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O:\Person og krim\Statistikk og analyse (FNF)\RMørk\Livstatistikk - fra fno\Faste statistikker\MA\2024\Q2-2024\Publisert\"/>
    </mc:Choice>
  </mc:AlternateContent>
  <xr:revisionPtr revIDLastSave="0" documentId="13_ncr:1_{7945AA77-5D39-453C-AF13-7579F75631AE}" xr6:coauthVersionLast="47" xr6:coauthVersionMax="47" xr10:uidLastSave="{00000000-0000-0000-0000-000000000000}"/>
  <bookViews>
    <workbookView xWindow="-120" yWindow="-120" windowWidth="29040" windowHeight="17520" tabRatio="835" activeTab="1" xr2:uid="{00000000-000D-0000-FFFF-FFFF00000000}"/>
  </bookViews>
  <sheets>
    <sheet name="Forside" sheetId="80" r:id="rId1"/>
    <sheet name="Innhold" sheetId="7" r:id="rId2"/>
    <sheet name="Figurer" sheetId="8" r:id="rId3"/>
    <sheet name="Tabel 1.1" sheetId="9" r:id="rId4"/>
    <sheet name="Tabell 1.2" sheetId="10" r:id="rId5"/>
    <sheet name="Tabell 1.3" sheetId="58" r:id="rId6"/>
    <sheet name="Skjema total MA" sheetId="4" r:id="rId7"/>
    <sheet name="DNB Livsforsikring" sheetId="13" r:id="rId8"/>
    <sheet name="Eika Forsikring AS" sheetId="19" r:id="rId9"/>
    <sheet name="Euro Accident" sheetId="77" r:id="rId10"/>
    <sheet name="Fremtind Livsforsikring" sheetId="16" r:id="rId11"/>
    <sheet name="Frende Livsforsikring" sheetId="20" r:id="rId12"/>
    <sheet name="Frende Skadeforsikring" sheetId="21" r:id="rId13"/>
    <sheet name="Gjensidige Forsikring" sheetId="22" r:id="rId14"/>
    <sheet name="Gjensidige Pensjon" sheetId="23" r:id="rId15"/>
    <sheet name="If Skadeforsikring NUF" sheetId="25" r:id="rId16"/>
    <sheet name="KLP" sheetId="26" r:id="rId17"/>
    <sheet name="KLP Skadeforsikring AS" sheetId="51" r:id="rId18"/>
    <sheet name="Landkreditt Forsikring" sheetId="40" r:id="rId19"/>
    <sheet name="Ly Forsikring" sheetId="78" r:id="rId20"/>
    <sheet name="Nordea Liv " sheetId="29" r:id="rId21"/>
    <sheet name="Oslo Forsikring" sheetId="81" r:id="rId22"/>
    <sheet name="Oslo Pensjonsforsikring" sheetId="34" r:id="rId23"/>
    <sheet name="Protector Forsikring" sheetId="72" r:id="rId24"/>
    <sheet name="Sparebank 1 Fors." sheetId="33" r:id="rId25"/>
    <sheet name="Storebrand Livsforsikring" sheetId="37" r:id="rId26"/>
    <sheet name="Telenor Forsikring" sheetId="38" r:id="rId27"/>
    <sheet name="Tryg Forsikring" sheetId="39" r:id="rId28"/>
    <sheet name="WaterCircles F" sheetId="74" r:id="rId29"/>
    <sheet name="Youplus Livsforsikring" sheetId="79" r:id="rId30"/>
    <sheet name="Tabell 4" sheetId="82" r:id="rId31"/>
    <sheet name="Tabell 6" sheetId="86" r:id="rId32"/>
    <sheet name="Tabell 8" sheetId="90" r:id="rId33"/>
    <sheet name="Noter og kommentarer" sheetId="3" r:id="rId34"/>
  </sheets>
  <externalReferences>
    <externalReference r:id="rId35"/>
    <externalReference r:id="rId36"/>
  </externalReferences>
  <definedNames>
    <definedName name="Dag">#REF!</definedName>
    <definedName name="Dager">#REF!</definedName>
    <definedName name="dato">#REF!</definedName>
    <definedName name="Feilmelding">#REF!</definedName>
    <definedName name="FilNavn">[1]Oppslagstabeller!$N$5</definedName>
    <definedName name="Fjorårstall">#REF!</definedName>
    <definedName name="Koder2a">#REF!</definedName>
    <definedName name="kvartal">#REF!</definedName>
    <definedName name="Måned">#REF!</definedName>
    <definedName name="OppslagsKolonneDataVerdi">#REF!</definedName>
    <definedName name="OppslagsKolonneSelskapNavn">#REF!</definedName>
    <definedName name="Selskap">[1]Oppslagstabeller!$N$4</definedName>
    <definedName name="SelskapKolonneIndeks">[1]!Tabell3[#All]</definedName>
    <definedName name="SelskapListe">#REF!</definedName>
    <definedName name="Selskapsliste">[1]Oppslagstabeller!$A$1:$G$36</definedName>
    <definedName name="UtfylteTall">#REF!</definedName>
    <definedName name="_xlnm.Print_Area" localSheetId="10">'Fremtind Livsforsikring'!$A$1:$M$137</definedName>
    <definedName name="_xlnm.Print_Area" localSheetId="33">'Noter og kommentarer'!$A$1:$L$43</definedName>
    <definedName name="_xlnm.Print_Area" localSheetId="6">'Skjema total MA'!$A$1:$J$138</definedName>
    <definedName name="år">#REF!</definedName>
    <definedName name="ÅrFratrek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4" l="1"/>
  <c r="C49" i="4"/>
  <c r="B49" i="4"/>
  <c r="C48" i="4"/>
  <c r="B48" i="4"/>
  <c r="B47" i="4"/>
  <c r="B7" i="4"/>
  <c r="AG83" i="86"/>
  <c r="AJ83" i="86"/>
  <c r="AH84" i="86"/>
  <c r="AB86" i="86"/>
  <c r="AB79" i="86"/>
  <c r="AB53" i="86"/>
  <c r="AB50" i="86"/>
  <c r="AB46" i="86"/>
  <c r="Y79" i="86"/>
  <c r="Y58" i="86"/>
  <c r="Y57" i="86"/>
  <c r="Y49" i="86"/>
  <c r="Y42" i="86"/>
  <c r="Y24" i="86"/>
  <c r="V79" i="86"/>
  <c r="V78" i="86"/>
  <c r="V77" i="86"/>
  <c r="V21" i="86"/>
  <c r="S58" i="86"/>
  <c r="S56" i="86"/>
  <c r="S49" i="86"/>
  <c r="S25" i="86"/>
  <c r="S24" i="86"/>
  <c r="S18" i="86"/>
  <c r="S17" i="86"/>
  <c r="S16" i="86"/>
  <c r="S15" i="86"/>
  <c r="P86" i="86"/>
  <c r="P84" i="86"/>
  <c r="P83" i="86"/>
  <c r="P79" i="86"/>
  <c r="P52" i="86"/>
  <c r="M77" i="86"/>
  <c r="M71" i="86"/>
  <c r="M61" i="86"/>
  <c r="M49" i="86"/>
  <c r="M46" i="86"/>
  <c r="M40" i="86"/>
  <c r="M34" i="86"/>
  <c r="M19" i="86"/>
  <c r="M16" i="86"/>
  <c r="M14" i="86"/>
  <c r="J75" i="86"/>
  <c r="J70" i="86"/>
  <c r="J36" i="86"/>
  <c r="J35" i="86"/>
  <c r="J17" i="86"/>
  <c r="J16" i="86"/>
  <c r="G90" i="86"/>
  <c r="G89" i="86"/>
  <c r="G75" i="86"/>
  <c r="G71" i="86"/>
  <c r="G43" i="86"/>
  <c r="G42" i="86"/>
  <c r="G38" i="86"/>
  <c r="G37" i="86"/>
  <c r="G36" i="86"/>
  <c r="G35" i="86"/>
  <c r="G34" i="86"/>
  <c r="G23" i="86"/>
  <c r="G19" i="86"/>
  <c r="G16" i="86"/>
  <c r="G18" i="86"/>
  <c r="D49" i="86"/>
  <c r="D46" i="86"/>
  <c r="D38" i="86"/>
  <c r="D19" i="86"/>
  <c r="D18" i="86"/>
  <c r="D17" i="86"/>
  <c r="D16" i="86"/>
  <c r="AH27" i="82"/>
  <c r="AG25" i="82"/>
  <c r="AH25" i="82" s="1"/>
  <c r="V34" i="82"/>
  <c r="V28" i="82"/>
  <c r="V20" i="82"/>
  <c r="V12" i="82"/>
  <c r="P43" i="82"/>
  <c r="P28" i="82"/>
  <c r="M26" i="82"/>
  <c r="M17" i="82"/>
  <c r="J27" i="82"/>
  <c r="G34" i="82"/>
  <c r="G32" i="82"/>
  <c r="G27" i="82"/>
  <c r="I33" i="37"/>
  <c r="M33" i="37"/>
  <c r="M33" i="33"/>
  <c r="I33" i="33"/>
  <c r="I33" i="29"/>
  <c r="M33" i="29"/>
  <c r="M33" i="23"/>
  <c r="I33" i="23"/>
  <c r="I34" i="13"/>
  <c r="AJ75" i="86"/>
  <c r="AJ74" i="86"/>
  <c r="AG75" i="86"/>
  <c r="AG74" i="86"/>
  <c r="AG27" i="82"/>
  <c r="N41" i="82" l="1"/>
  <c r="N30" i="82"/>
  <c r="N35" i="82" s="1"/>
  <c r="N42" i="82" s="1"/>
  <c r="N44" i="82" s="1"/>
  <c r="N46" i="82" s="1"/>
  <c r="H23" i="9" l="1"/>
  <c r="C23" i="9"/>
  <c r="U14" i="90" l="1"/>
  <c r="T14" i="90"/>
  <c r="U90" i="86"/>
  <c r="T90" i="86"/>
  <c r="U80" i="86"/>
  <c r="T80" i="86"/>
  <c r="T93" i="86" s="1"/>
  <c r="U39" i="86"/>
  <c r="T39" i="86"/>
  <c r="U35" i="86"/>
  <c r="T35" i="86"/>
  <c r="U34" i="86"/>
  <c r="U45" i="86" s="1"/>
  <c r="T34" i="86"/>
  <c r="T28" i="86"/>
  <c r="U20" i="86"/>
  <c r="T20" i="86"/>
  <c r="U16" i="86"/>
  <c r="T16" i="86"/>
  <c r="T15" i="86"/>
  <c r="U41" i="82"/>
  <c r="T41" i="82"/>
  <c r="U30" i="82"/>
  <c r="T30" i="82"/>
  <c r="U21" i="82"/>
  <c r="T21" i="82"/>
  <c r="U14" i="82"/>
  <c r="T14" i="82"/>
  <c r="T45" i="86" l="1"/>
  <c r="T62" i="86" s="1"/>
  <c r="U62" i="86"/>
  <c r="T35" i="82"/>
  <c r="T42" i="82" s="1"/>
  <c r="T44" i="82" s="1"/>
  <c r="T46" i="82" s="1"/>
  <c r="T27" i="86"/>
  <c r="T29" i="86" s="1"/>
  <c r="U35" i="82"/>
  <c r="U42" i="82" s="1"/>
  <c r="U44" i="82" s="1"/>
  <c r="U46" i="82" s="1"/>
  <c r="U93" i="86"/>
  <c r="U27" i="86"/>
  <c r="U29" i="86" s="1"/>
  <c r="T64" i="86" l="1"/>
  <c r="U64" i="86"/>
  <c r="F93" i="86"/>
  <c r="E80" i="86"/>
  <c r="E93" i="86" s="1"/>
  <c r="F39" i="86"/>
  <c r="E39" i="86"/>
  <c r="F35" i="86"/>
  <c r="E35" i="86"/>
  <c r="F27" i="86"/>
  <c r="F29" i="86" s="1"/>
  <c r="E20" i="86"/>
  <c r="E16" i="86"/>
  <c r="E27" i="86" s="1"/>
  <c r="E29" i="86" s="1"/>
  <c r="F41" i="82"/>
  <c r="E41" i="82"/>
  <c r="F30" i="82"/>
  <c r="E30" i="82"/>
  <c r="E21" i="82"/>
  <c r="F14" i="82"/>
  <c r="E14" i="82"/>
  <c r="F35" i="82" l="1"/>
  <c r="F42" i="82" s="1"/>
  <c r="F44" i="82" s="1"/>
  <c r="F46" i="82" s="1"/>
  <c r="F45" i="86"/>
  <c r="E35" i="82"/>
  <c r="E42" i="82" s="1"/>
  <c r="E44" i="82" s="1"/>
  <c r="E46" i="82" s="1"/>
  <c r="E45" i="86"/>
  <c r="E62" i="86" s="1"/>
  <c r="E64" i="86" s="1"/>
  <c r="AD80" i="86"/>
  <c r="AD93" i="86" s="1"/>
  <c r="AC80" i="86"/>
  <c r="AC93" i="86" s="1"/>
  <c r="AD39" i="86"/>
  <c r="AD45" i="86"/>
  <c r="AD20" i="86"/>
  <c r="AC20" i="86"/>
  <c r="AC27" i="86" s="1"/>
  <c r="AC29" i="86" s="1"/>
  <c r="AC64" i="86" s="1"/>
  <c r="AD41" i="82"/>
  <c r="AC41" i="82"/>
  <c r="AD30" i="82"/>
  <c r="AC30" i="82"/>
  <c r="AD21" i="82"/>
  <c r="AD14" i="82"/>
  <c r="AD35" i="82" s="1"/>
  <c r="AC14" i="82"/>
  <c r="AC35" i="82" s="1"/>
  <c r="AC42" i="82" s="1"/>
  <c r="AC44" i="82" s="1"/>
  <c r="AC46" i="82" s="1"/>
  <c r="F62" i="86" l="1"/>
  <c r="F64" i="86" s="1"/>
  <c r="AD42" i="82"/>
  <c r="AD44" i="82" s="1"/>
  <c r="AD46" i="82" s="1"/>
  <c r="AD62" i="86"/>
  <c r="AD27" i="86"/>
  <c r="AD29" i="86" s="1"/>
  <c r="AD64" i="86" l="1"/>
  <c r="I80" i="86"/>
  <c r="H80" i="86"/>
  <c r="H93" i="86" s="1"/>
  <c r="I39" i="86"/>
  <c r="H39" i="86"/>
  <c r="I35" i="86"/>
  <c r="H35" i="86"/>
  <c r="I20" i="86"/>
  <c r="H20" i="86"/>
  <c r="I16" i="86"/>
  <c r="H16" i="86"/>
  <c r="H27" i="86" s="1"/>
  <c r="H29" i="86" s="1"/>
  <c r="I41" i="82"/>
  <c r="H41" i="82"/>
  <c r="I30" i="82"/>
  <c r="H30" i="82"/>
  <c r="I21" i="82"/>
  <c r="H21" i="82"/>
  <c r="I14" i="82"/>
  <c r="H14" i="82"/>
  <c r="H45" i="86" l="1"/>
  <c r="H62" i="86" s="1"/>
  <c r="H64" i="86" s="1"/>
  <c r="I45" i="86"/>
  <c r="H35" i="82"/>
  <c r="H42" i="82" s="1"/>
  <c r="H44" i="82" s="1"/>
  <c r="H46" i="82" s="1"/>
  <c r="I93" i="86"/>
  <c r="I27" i="86"/>
  <c r="I29" i="86" s="1"/>
  <c r="I35" i="82"/>
  <c r="I42" i="82" s="1"/>
  <c r="I44" i="82" s="1"/>
  <c r="I46" i="82" s="1"/>
  <c r="I62" i="86" l="1"/>
  <c r="I64" i="86" s="1"/>
  <c r="C87" i="86"/>
  <c r="B87" i="86"/>
  <c r="C80" i="86"/>
  <c r="B80" i="86"/>
  <c r="B93" i="86" s="1"/>
  <c r="C54" i="86"/>
  <c r="B54" i="86"/>
  <c r="B60" i="86" s="1"/>
  <c r="C39" i="86"/>
  <c r="B39" i="86"/>
  <c r="C35" i="86"/>
  <c r="B35" i="86"/>
  <c r="C20" i="86"/>
  <c r="B20" i="86"/>
  <c r="C16" i="86"/>
  <c r="C27" i="86" s="1"/>
  <c r="C29" i="86" s="1"/>
  <c r="B16" i="86"/>
  <c r="C41" i="82"/>
  <c r="B41" i="82"/>
  <c r="C30" i="82"/>
  <c r="B30" i="82"/>
  <c r="C21" i="82"/>
  <c r="B21" i="82"/>
  <c r="C14" i="82"/>
  <c r="C35" i="82" s="1"/>
  <c r="B14" i="82"/>
  <c r="B35" i="82" l="1"/>
  <c r="C60" i="86"/>
  <c r="C62" i="86" s="1"/>
  <c r="C64" i="86" s="1"/>
  <c r="C42" i="82"/>
  <c r="C44" i="82" s="1"/>
  <c r="C46" i="82" s="1"/>
  <c r="B42" i="82"/>
  <c r="B44" i="82" s="1"/>
  <c r="B46" i="82" s="1"/>
  <c r="C45" i="86"/>
  <c r="C93" i="86"/>
  <c r="B45" i="86"/>
  <c r="B62" i="86" s="1"/>
  <c r="B64" i="86" s="1"/>
  <c r="B27" i="86"/>
  <c r="B29" i="86" s="1"/>
  <c r="X14" i="90"/>
  <c r="X87" i="86"/>
  <c r="W87" i="86"/>
  <c r="X80" i="86"/>
  <c r="W80" i="86"/>
  <c r="X54" i="86"/>
  <c r="W54" i="86"/>
  <c r="W60" i="86" s="1"/>
  <c r="X39" i="86"/>
  <c r="W39" i="86"/>
  <c r="X35" i="86"/>
  <c r="W35" i="86"/>
  <c r="X20" i="86"/>
  <c r="W20" i="86"/>
  <c r="X16" i="86"/>
  <c r="W16" i="86"/>
  <c r="X41" i="82"/>
  <c r="W41" i="82"/>
  <c r="X30" i="82"/>
  <c r="W30" i="82"/>
  <c r="X21" i="82"/>
  <c r="W21" i="82"/>
  <c r="X14" i="82"/>
  <c r="W14" i="82"/>
  <c r="AA87" i="86"/>
  <c r="Z87" i="86"/>
  <c r="AA80" i="86"/>
  <c r="Z80" i="86"/>
  <c r="AA54" i="86"/>
  <c r="Z54" i="86"/>
  <c r="Z53" i="86"/>
  <c r="Z50" i="86" s="1"/>
  <c r="AA50" i="86"/>
  <c r="AA39" i="86"/>
  <c r="Z39" i="86"/>
  <c r="Z38" i="86"/>
  <c r="AA35" i="86"/>
  <c r="Z35" i="86"/>
  <c r="Z28" i="86"/>
  <c r="AA20" i="86"/>
  <c r="Z20" i="86"/>
  <c r="Z19" i="86"/>
  <c r="AA16" i="86"/>
  <c r="Z16" i="86"/>
  <c r="AA41" i="82"/>
  <c r="Z41" i="82"/>
  <c r="AA30" i="82"/>
  <c r="Z30" i="82"/>
  <c r="AA21" i="82"/>
  <c r="Z19" i="82"/>
  <c r="Z21" i="82" s="1"/>
  <c r="AA14" i="82"/>
  <c r="Z14" i="82"/>
  <c r="Z60" i="86" l="1"/>
  <c r="X27" i="86"/>
  <c r="X29" i="86" s="1"/>
  <c r="W93" i="86"/>
  <c r="W45" i="86"/>
  <c r="W62" i="86" s="1"/>
  <c r="X93" i="86"/>
  <c r="X45" i="86"/>
  <c r="AA60" i="86"/>
  <c r="W35" i="82"/>
  <c r="W42" i="82" s="1"/>
  <c r="W44" i="82" s="1"/>
  <c r="W46" i="82" s="1"/>
  <c r="W27" i="86"/>
  <c r="W29" i="86" s="1"/>
  <c r="X60" i="86"/>
  <c r="X35" i="82"/>
  <c r="X42" i="82" s="1"/>
  <c r="X44" i="82" s="1"/>
  <c r="X46" i="82" s="1"/>
  <c r="Z27" i="86"/>
  <c r="Z29" i="86" s="1"/>
  <c r="Z45" i="86"/>
  <c r="Z62" i="86" s="1"/>
  <c r="AA27" i="86"/>
  <c r="AA29" i="86" s="1"/>
  <c r="AA45" i="86"/>
  <c r="Z93" i="86"/>
  <c r="AA35" i="82"/>
  <c r="AA42" i="82" s="1"/>
  <c r="AA44" i="82" s="1"/>
  <c r="AA46" i="82" s="1"/>
  <c r="AA93" i="86"/>
  <c r="Z35" i="82"/>
  <c r="Z42" i="82" s="1"/>
  <c r="Z44" i="82" s="1"/>
  <c r="Z46" i="82" s="1"/>
  <c r="W64" i="86" l="1"/>
  <c r="AA62" i="86"/>
  <c r="AA64" i="86" s="1"/>
  <c r="X62" i="86"/>
  <c r="X64" i="86" s="1"/>
  <c r="Z64" i="86"/>
  <c r="R87" i="86"/>
  <c r="Q87" i="86"/>
  <c r="R80" i="86"/>
  <c r="Q80" i="86"/>
  <c r="Q93" i="86" s="1"/>
  <c r="R54" i="86"/>
  <c r="Q54" i="86"/>
  <c r="Q60" i="86" s="1"/>
  <c r="R39" i="86"/>
  <c r="Q39" i="86"/>
  <c r="R35" i="86"/>
  <c r="Q35" i="86"/>
  <c r="R20" i="86"/>
  <c r="Q20" i="86"/>
  <c r="R16" i="86"/>
  <c r="Q16" i="86"/>
  <c r="R41" i="82"/>
  <c r="Q41" i="82"/>
  <c r="R30" i="82"/>
  <c r="Q30" i="82"/>
  <c r="R21" i="82"/>
  <c r="Q21" i="82"/>
  <c r="R14" i="82"/>
  <c r="Q14" i="82"/>
  <c r="K14" i="82"/>
  <c r="L14" i="82"/>
  <c r="K21" i="82"/>
  <c r="L21" i="82"/>
  <c r="K30" i="82"/>
  <c r="L30" i="82"/>
  <c r="K41" i="82"/>
  <c r="L41" i="82"/>
  <c r="Q45" i="86" l="1"/>
  <c r="R93" i="86"/>
  <c r="R60" i="86"/>
  <c r="R27" i="86"/>
  <c r="R29" i="86" s="1"/>
  <c r="Q35" i="82"/>
  <c r="Q42" i="82" s="1"/>
  <c r="Q44" i="82" s="1"/>
  <c r="Q46" i="82" s="1"/>
  <c r="R45" i="86"/>
  <c r="K35" i="82"/>
  <c r="K42" i="82" s="1"/>
  <c r="K44" i="82" s="1"/>
  <c r="K46" i="82" s="1"/>
  <c r="L35" i="82"/>
  <c r="L42" i="82" s="1"/>
  <c r="L44" i="82" s="1"/>
  <c r="L46" i="82" s="1"/>
  <c r="Q62" i="86"/>
  <c r="R35" i="82"/>
  <c r="R42" i="82" s="1"/>
  <c r="R44" i="82" s="1"/>
  <c r="R46" i="82" s="1"/>
  <c r="Q27" i="86"/>
  <c r="Q29" i="86" s="1"/>
  <c r="R62" i="86" l="1"/>
  <c r="R64" i="86" s="1"/>
  <c r="Q64" i="86"/>
  <c r="L87" i="86"/>
  <c r="K87" i="86"/>
  <c r="L80" i="86"/>
  <c r="K80" i="86"/>
  <c r="K93" i="86" s="1"/>
  <c r="L54" i="86"/>
  <c r="K54" i="86"/>
  <c r="K60" i="86" s="1"/>
  <c r="L39" i="86"/>
  <c r="K39" i="86"/>
  <c r="L35" i="86"/>
  <c r="K35" i="86"/>
  <c r="L20" i="86"/>
  <c r="K20" i="86"/>
  <c r="L16" i="86"/>
  <c r="K16" i="86"/>
  <c r="K27" i="86" l="1"/>
  <c r="K29" i="86" s="1"/>
  <c r="L27" i="86"/>
  <c r="L29" i="86" s="1"/>
  <c r="L93" i="86"/>
  <c r="K45" i="86"/>
  <c r="K62" i="86" s="1"/>
  <c r="K64" i="86" s="1"/>
  <c r="L45" i="86"/>
  <c r="L60" i="86"/>
  <c r="L62" i="86" l="1"/>
  <c r="L64" i="86" s="1"/>
  <c r="AD20" i="90" l="1"/>
  <c r="AC20" i="90"/>
  <c r="D20" i="90"/>
  <c r="AD18" i="90"/>
  <c r="AC18" i="90"/>
  <c r="AB18" i="90"/>
  <c r="Y18" i="90"/>
  <c r="V18" i="90"/>
  <c r="S18" i="90"/>
  <c r="P18" i="90"/>
  <c r="M18" i="90"/>
  <c r="J18" i="90"/>
  <c r="G18" i="90"/>
  <c r="D18" i="90"/>
  <c r="AC16" i="90"/>
  <c r="D16" i="90"/>
  <c r="AB14" i="90"/>
  <c r="Y14" i="90"/>
  <c r="S14" i="90"/>
  <c r="P14" i="90"/>
  <c r="M14" i="90"/>
  <c r="J14" i="90"/>
  <c r="G14" i="90"/>
  <c r="D14" i="90"/>
  <c r="D12" i="90"/>
  <c r="D11" i="90"/>
  <c r="AD8" i="90"/>
  <c r="AC8" i="90"/>
  <c r="AA8" i="90"/>
  <c r="Z8" i="90"/>
  <c r="X8" i="90"/>
  <c r="W8" i="90"/>
  <c r="U8" i="90"/>
  <c r="T8" i="90"/>
  <c r="R8" i="90"/>
  <c r="Q8" i="90"/>
  <c r="O8" i="90"/>
  <c r="N8" i="90"/>
  <c r="L8" i="90"/>
  <c r="K8" i="90"/>
  <c r="I8" i="90"/>
  <c r="H8" i="90"/>
  <c r="F8" i="90"/>
  <c r="E8" i="90"/>
  <c r="AI93" i="86"/>
  <c r="AF93" i="86"/>
  <c r="G93" i="86"/>
  <c r="AJ91" i="86"/>
  <c r="AI91" i="86"/>
  <c r="AG91" i="86"/>
  <c r="AF91" i="86"/>
  <c r="AE91" i="86"/>
  <c r="AB91" i="86"/>
  <c r="Y91" i="86"/>
  <c r="S91" i="86"/>
  <c r="P91" i="86"/>
  <c r="M91" i="86"/>
  <c r="J91" i="86"/>
  <c r="D91" i="86"/>
  <c r="AJ90" i="86"/>
  <c r="AI90" i="86"/>
  <c r="AG90" i="86"/>
  <c r="AF90" i="86"/>
  <c r="AE90" i="86"/>
  <c r="AB90" i="86"/>
  <c r="Y90" i="86"/>
  <c r="V90" i="86"/>
  <c r="S90" i="86"/>
  <c r="P90" i="86"/>
  <c r="M90" i="86"/>
  <c r="D90" i="86"/>
  <c r="AJ89" i="86"/>
  <c r="AI89" i="86"/>
  <c r="AG89" i="86"/>
  <c r="AF89" i="86"/>
  <c r="Y89" i="86"/>
  <c r="AJ88" i="86"/>
  <c r="AI88" i="86"/>
  <c r="AG88" i="86"/>
  <c r="AF88" i="86"/>
  <c r="AB88" i="86"/>
  <c r="Y88" i="86"/>
  <c r="S88" i="86"/>
  <c r="P88" i="86"/>
  <c r="M88" i="86"/>
  <c r="J88" i="86"/>
  <c r="G88" i="86"/>
  <c r="D88" i="86"/>
  <c r="AJ86" i="86"/>
  <c r="AI86" i="86"/>
  <c r="AG86" i="86"/>
  <c r="AF86" i="86"/>
  <c r="AJ85" i="86"/>
  <c r="AI85" i="86"/>
  <c r="AG85" i="86"/>
  <c r="AF85" i="86"/>
  <c r="AB85" i="86"/>
  <c r="Y85" i="86"/>
  <c r="P85" i="86"/>
  <c r="M85" i="86"/>
  <c r="D85" i="86"/>
  <c r="AJ84" i="86"/>
  <c r="AI84" i="86"/>
  <c r="AG84" i="86"/>
  <c r="AF84" i="86"/>
  <c r="AI83" i="86"/>
  <c r="AK83" i="86" s="1"/>
  <c r="AF83" i="86"/>
  <c r="AH83" i="86" s="1"/>
  <c r="AJ82" i="86"/>
  <c r="AI82" i="86"/>
  <c r="AG82" i="86"/>
  <c r="AF82" i="86"/>
  <c r="AB82" i="86"/>
  <c r="Y82" i="86"/>
  <c r="S82" i="86"/>
  <c r="P82" i="86"/>
  <c r="M82" i="86"/>
  <c r="D82" i="86"/>
  <c r="G80" i="86"/>
  <c r="AJ79" i="86"/>
  <c r="AI79" i="86"/>
  <c r="AG79" i="86"/>
  <c r="AF79" i="86"/>
  <c r="AJ78" i="86"/>
  <c r="AI78" i="86"/>
  <c r="AG78" i="86"/>
  <c r="AF78" i="86"/>
  <c r="AB78" i="86"/>
  <c r="D78" i="86"/>
  <c r="AJ77" i="86"/>
  <c r="AI77" i="86"/>
  <c r="AG77" i="86"/>
  <c r="AF77" i="86"/>
  <c r="AE77" i="86"/>
  <c r="AB77" i="86"/>
  <c r="Y77" i="86"/>
  <c r="S77" i="86"/>
  <c r="P77" i="86"/>
  <c r="D77" i="86"/>
  <c r="AJ76" i="86"/>
  <c r="AI76" i="86"/>
  <c r="AG76" i="86"/>
  <c r="AF76" i="86"/>
  <c r="AE76" i="86"/>
  <c r="AB76" i="86"/>
  <c r="Y76" i="86"/>
  <c r="V76" i="86"/>
  <c r="S76" i="86"/>
  <c r="P76" i="86"/>
  <c r="M76" i="86"/>
  <c r="G76" i="86"/>
  <c r="D76" i="86"/>
  <c r="AI75" i="86"/>
  <c r="AK75" i="86" s="1"/>
  <c r="AF75" i="86"/>
  <c r="AH75" i="86" s="1"/>
  <c r="AB75" i="86"/>
  <c r="Y75" i="86"/>
  <c r="S75" i="86"/>
  <c r="P75" i="86"/>
  <c r="M75" i="86"/>
  <c r="D75" i="86"/>
  <c r="AI74" i="86"/>
  <c r="AK74" i="86" s="1"/>
  <c r="AF74" i="86"/>
  <c r="AH74" i="86" s="1"/>
  <c r="AB74" i="86"/>
  <c r="Y74" i="86"/>
  <c r="S74" i="86"/>
  <c r="M74" i="86"/>
  <c r="J74" i="86"/>
  <c r="D74" i="86"/>
  <c r="AJ73" i="86"/>
  <c r="AI73" i="86"/>
  <c r="AG73" i="86"/>
  <c r="AF73" i="86"/>
  <c r="AE73" i="86"/>
  <c r="AB73" i="86"/>
  <c r="Y73" i="86"/>
  <c r="V73" i="86"/>
  <c r="S73" i="86"/>
  <c r="P73" i="86"/>
  <c r="M73" i="86"/>
  <c r="J73" i="86"/>
  <c r="G73" i="86"/>
  <c r="D73" i="86"/>
  <c r="AJ71" i="86"/>
  <c r="AI71" i="86"/>
  <c r="AG71" i="86"/>
  <c r="AF71" i="86"/>
  <c r="AB71" i="86"/>
  <c r="V71" i="86"/>
  <c r="S71" i="86"/>
  <c r="P71" i="86"/>
  <c r="D71" i="86"/>
  <c r="AJ70" i="86"/>
  <c r="AI70" i="86"/>
  <c r="AG70" i="86"/>
  <c r="AF70" i="86"/>
  <c r="AB70" i="86"/>
  <c r="Y70" i="86"/>
  <c r="S70" i="86"/>
  <c r="P70" i="86"/>
  <c r="M70" i="86"/>
  <c r="D70" i="86"/>
  <c r="AJ69" i="86"/>
  <c r="AI69" i="86"/>
  <c r="AG69" i="86"/>
  <c r="AF69" i="86"/>
  <c r="AE69" i="86"/>
  <c r="AB69" i="86"/>
  <c r="Y69" i="86"/>
  <c r="V69" i="86"/>
  <c r="S69" i="86"/>
  <c r="P69" i="86"/>
  <c r="M69" i="86"/>
  <c r="J69" i="86"/>
  <c r="G69" i="86"/>
  <c r="D69" i="86"/>
  <c r="AJ68" i="86"/>
  <c r="AI68" i="86"/>
  <c r="AG68" i="86"/>
  <c r="AF68" i="86"/>
  <c r="AE68" i="86"/>
  <c r="AB68" i="86"/>
  <c r="Y68" i="86"/>
  <c r="V68" i="86"/>
  <c r="S68" i="86"/>
  <c r="P68" i="86"/>
  <c r="M68" i="86"/>
  <c r="J68" i="86"/>
  <c r="G68" i="86"/>
  <c r="D68" i="86"/>
  <c r="AI64" i="86"/>
  <c r="AF64" i="86"/>
  <c r="G64" i="86"/>
  <c r="G62" i="86"/>
  <c r="AJ61" i="86"/>
  <c r="AI61" i="86"/>
  <c r="AG61" i="86"/>
  <c r="AF61" i="86"/>
  <c r="AJ59" i="86"/>
  <c r="AG59" i="86"/>
  <c r="Y59" i="86"/>
  <c r="S59" i="86"/>
  <c r="P59" i="86"/>
  <c r="AJ58" i="86"/>
  <c r="AI58" i="86"/>
  <c r="AG58" i="86"/>
  <c r="AF58" i="86"/>
  <c r="AB58" i="86"/>
  <c r="P58" i="86"/>
  <c r="AJ57" i="86"/>
  <c r="AI57" i="86"/>
  <c r="AG57" i="86"/>
  <c r="AF57" i="86"/>
  <c r="AB57" i="86"/>
  <c r="P57" i="86"/>
  <c r="M57" i="86"/>
  <c r="D57" i="86"/>
  <c r="AJ56" i="86"/>
  <c r="AG56" i="86"/>
  <c r="Y56" i="86"/>
  <c r="P56" i="86"/>
  <c r="M56" i="86"/>
  <c r="D56" i="86"/>
  <c r="AJ55" i="86"/>
  <c r="AG55" i="86"/>
  <c r="AB55" i="86"/>
  <c r="Y55" i="86"/>
  <c r="S55" i="86"/>
  <c r="P55" i="86"/>
  <c r="M55" i="86"/>
  <c r="AF55" i="86"/>
  <c r="D55" i="86"/>
  <c r="AJ53" i="86"/>
  <c r="AI53" i="86"/>
  <c r="AG53" i="86"/>
  <c r="AF53" i="86"/>
  <c r="AJ52" i="86"/>
  <c r="AI52" i="86"/>
  <c r="AG52" i="86"/>
  <c r="AF52" i="86"/>
  <c r="AJ51" i="86"/>
  <c r="AI51" i="86"/>
  <c r="AG51" i="86"/>
  <c r="AF51" i="86"/>
  <c r="P51" i="86"/>
  <c r="AJ49" i="86"/>
  <c r="AI49" i="86"/>
  <c r="AG49" i="86"/>
  <c r="AF49" i="86"/>
  <c r="AB49" i="86"/>
  <c r="P49" i="86"/>
  <c r="AJ48" i="86"/>
  <c r="AI48" i="86"/>
  <c r="AG48" i="86"/>
  <c r="AF48" i="86"/>
  <c r="AH48" i="86" s="1"/>
  <c r="AJ46" i="86"/>
  <c r="AI46" i="86"/>
  <c r="AG46" i="86"/>
  <c r="AF46" i="86"/>
  <c r="Y46" i="86"/>
  <c r="S46" i="86"/>
  <c r="J46" i="86"/>
  <c r="G46" i="86"/>
  <c r="G45" i="86"/>
  <c r="AJ44" i="86"/>
  <c r="AI44" i="86"/>
  <c r="AG44" i="86"/>
  <c r="AF44" i="86"/>
  <c r="Y44" i="86"/>
  <c r="S44" i="86"/>
  <c r="P44" i="86"/>
  <c r="M44" i="86"/>
  <c r="J44" i="86"/>
  <c r="G44" i="86"/>
  <c r="D44" i="86"/>
  <c r="AJ43" i="86"/>
  <c r="AI43" i="86"/>
  <c r="AG43" i="86"/>
  <c r="AF43" i="86"/>
  <c r="AB43" i="86"/>
  <c r="Y43" i="86"/>
  <c r="V43" i="86"/>
  <c r="S43" i="86"/>
  <c r="P43" i="86"/>
  <c r="D43" i="86"/>
  <c r="AJ42" i="86"/>
  <c r="AI42" i="86"/>
  <c r="AG42" i="86"/>
  <c r="AF42" i="86"/>
  <c r="V42" i="86"/>
  <c r="P42" i="86"/>
  <c r="D42" i="86"/>
  <c r="AJ41" i="86"/>
  <c r="AI41" i="86"/>
  <c r="AG41" i="86"/>
  <c r="AF41" i="86"/>
  <c r="AE41" i="86"/>
  <c r="AB41" i="86"/>
  <c r="Y41" i="86"/>
  <c r="V41" i="86"/>
  <c r="S41" i="86"/>
  <c r="P41" i="86"/>
  <c r="M41" i="86"/>
  <c r="J41" i="86"/>
  <c r="G41" i="86"/>
  <c r="D41" i="86"/>
  <c r="AJ40" i="86"/>
  <c r="AI40" i="86"/>
  <c r="AG40" i="86"/>
  <c r="AF40" i="86"/>
  <c r="AB40" i="86"/>
  <c r="Y40" i="86"/>
  <c r="V40" i="86"/>
  <c r="S40" i="86"/>
  <c r="P40" i="86"/>
  <c r="J40" i="86"/>
  <c r="G40" i="86"/>
  <c r="D40" i="86"/>
  <c r="G39" i="86"/>
  <c r="AJ38" i="86"/>
  <c r="AG38" i="86"/>
  <c r="Y38" i="86"/>
  <c r="V38" i="86"/>
  <c r="P38" i="86"/>
  <c r="M38" i="86"/>
  <c r="AJ37" i="86"/>
  <c r="AI37" i="86"/>
  <c r="AG37" i="86"/>
  <c r="AF37" i="86"/>
  <c r="Y37" i="86"/>
  <c r="S37" i="86"/>
  <c r="D37" i="86"/>
  <c r="AJ36" i="86"/>
  <c r="AI36" i="86"/>
  <c r="AG36" i="86"/>
  <c r="AF36" i="86"/>
  <c r="Y36" i="86"/>
  <c r="V36" i="86"/>
  <c r="S36" i="86"/>
  <c r="D36" i="86"/>
  <c r="AJ34" i="86"/>
  <c r="AI34" i="86"/>
  <c r="AG34" i="86"/>
  <c r="AF34" i="86"/>
  <c r="AB34" i="86"/>
  <c r="Y34" i="86"/>
  <c r="V34" i="86"/>
  <c r="S34" i="86"/>
  <c r="P34" i="86"/>
  <c r="D34" i="86"/>
  <c r="AJ33" i="86"/>
  <c r="AI33" i="86"/>
  <c r="AG33" i="86"/>
  <c r="AF33" i="86"/>
  <c r="D33" i="86"/>
  <c r="G29" i="86"/>
  <c r="AJ28" i="86"/>
  <c r="AG28" i="86"/>
  <c r="AE28" i="86"/>
  <c r="AB28" i="86"/>
  <c r="Y28" i="86"/>
  <c r="V28" i="86"/>
  <c r="S28" i="86"/>
  <c r="P28" i="86"/>
  <c r="M28" i="86"/>
  <c r="J28" i="86"/>
  <c r="G28" i="86"/>
  <c r="G27" i="86"/>
  <c r="AJ26" i="86"/>
  <c r="AI26" i="86"/>
  <c r="AK26" i="86" s="1"/>
  <c r="AG26" i="86"/>
  <c r="AF26" i="86"/>
  <c r="AH26" i="86" s="1"/>
  <c r="AJ25" i="86"/>
  <c r="AI25" i="86"/>
  <c r="AG25" i="86"/>
  <c r="AF25" i="86"/>
  <c r="AE25" i="86"/>
  <c r="Y25" i="86"/>
  <c r="P25" i="86"/>
  <c r="J25" i="86"/>
  <c r="G25" i="86"/>
  <c r="D25" i="86"/>
  <c r="AJ24" i="86"/>
  <c r="AI24" i="86"/>
  <c r="AG24" i="86"/>
  <c r="AF24" i="86"/>
  <c r="AB24" i="86"/>
  <c r="V24" i="86"/>
  <c r="P24" i="86"/>
  <c r="D24" i="86"/>
  <c r="AJ23" i="86"/>
  <c r="AI23" i="86"/>
  <c r="AG23" i="86"/>
  <c r="AF23" i="86"/>
  <c r="Y23" i="86"/>
  <c r="S23" i="86"/>
  <c r="P23" i="86"/>
  <c r="D23" i="86"/>
  <c r="AJ22" i="86"/>
  <c r="AI22" i="86"/>
  <c r="AG22" i="86"/>
  <c r="AF22" i="86"/>
  <c r="AB22" i="86"/>
  <c r="Y22" i="86"/>
  <c r="V22" i="86"/>
  <c r="S22" i="86"/>
  <c r="P22" i="86"/>
  <c r="M22" i="86"/>
  <c r="J22" i="86"/>
  <c r="G22" i="86"/>
  <c r="D22" i="86"/>
  <c r="AJ21" i="86"/>
  <c r="AI21" i="86"/>
  <c r="AG21" i="86"/>
  <c r="AF21" i="86"/>
  <c r="AB21" i="86"/>
  <c r="Y21" i="86"/>
  <c r="S21" i="86"/>
  <c r="P21" i="86"/>
  <c r="M21" i="86"/>
  <c r="J21" i="86"/>
  <c r="D21" i="86"/>
  <c r="G20" i="86"/>
  <c r="AJ19" i="86"/>
  <c r="AG19" i="86"/>
  <c r="Y19" i="86"/>
  <c r="V19" i="86"/>
  <c r="P19" i="86"/>
  <c r="AJ18" i="86"/>
  <c r="AI18" i="86"/>
  <c r="AG18" i="86"/>
  <c r="AF18" i="86"/>
  <c r="Y18" i="86"/>
  <c r="P18" i="86"/>
  <c r="AJ17" i="86"/>
  <c r="AI17" i="86"/>
  <c r="AG17" i="86"/>
  <c r="AF17" i="86"/>
  <c r="Y17" i="86"/>
  <c r="V17" i="86"/>
  <c r="P17" i="86"/>
  <c r="AJ15" i="86"/>
  <c r="AG15" i="86"/>
  <c r="AB15" i="86"/>
  <c r="Y15" i="86"/>
  <c r="V15" i="86"/>
  <c r="P15" i="86"/>
  <c r="AJ14" i="86"/>
  <c r="AI14" i="86"/>
  <c r="AG14" i="86"/>
  <c r="AF14" i="86"/>
  <c r="P14" i="86"/>
  <c r="F8" i="86"/>
  <c r="I8" i="86" s="1"/>
  <c r="L8" i="86" s="1"/>
  <c r="O8" i="86" s="1"/>
  <c r="R8" i="86" s="1"/>
  <c r="U8" i="86" s="1"/>
  <c r="X8" i="86" s="1"/>
  <c r="AA8" i="86" s="1"/>
  <c r="AD8" i="86" s="1"/>
  <c r="AG8" i="86" s="1"/>
  <c r="AJ8" i="86" s="1"/>
  <c r="E8" i="86"/>
  <c r="H8" i="86" s="1"/>
  <c r="K8" i="86" s="1"/>
  <c r="N8" i="86" s="1"/>
  <c r="Q8" i="86" s="1"/>
  <c r="T8" i="86" s="1"/>
  <c r="W8" i="86" s="1"/>
  <c r="Z8" i="86" s="1"/>
  <c r="AC8" i="86" s="1"/>
  <c r="AF8" i="86" s="1"/>
  <c r="AI8" i="86" s="1"/>
  <c r="AG45" i="82"/>
  <c r="AF45" i="82"/>
  <c r="AB45" i="82"/>
  <c r="S45" i="82"/>
  <c r="P45" i="82"/>
  <c r="AG43" i="82"/>
  <c r="AF43" i="82"/>
  <c r="AB43" i="82"/>
  <c r="Y43" i="82"/>
  <c r="V43" i="82"/>
  <c r="S43" i="82"/>
  <c r="G43" i="82"/>
  <c r="D43" i="82"/>
  <c r="P41" i="82"/>
  <c r="AG40" i="82"/>
  <c r="AF40" i="82"/>
  <c r="AB40" i="82"/>
  <c r="Y40" i="82"/>
  <c r="V40" i="82"/>
  <c r="S40" i="82"/>
  <c r="P40" i="82"/>
  <c r="M40" i="82"/>
  <c r="G40" i="82"/>
  <c r="D40" i="82"/>
  <c r="AG39" i="82"/>
  <c r="AF39" i="82"/>
  <c r="AB39" i="82"/>
  <c r="Y39" i="82"/>
  <c r="V39" i="82"/>
  <c r="S39" i="82"/>
  <c r="P39" i="82"/>
  <c r="D39" i="82"/>
  <c r="AG38" i="82"/>
  <c r="AF38" i="82"/>
  <c r="AE38" i="82"/>
  <c r="AB38" i="82"/>
  <c r="Y38" i="82"/>
  <c r="V38" i="82"/>
  <c r="S38" i="82"/>
  <c r="P38" i="82"/>
  <c r="M38" i="82"/>
  <c r="J38" i="82"/>
  <c r="G38" i="82"/>
  <c r="D38" i="82"/>
  <c r="AG34" i="82"/>
  <c r="AF34" i="82"/>
  <c r="AB34" i="82"/>
  <c r="Y34" i="82"/>
  <c r="S34" i="82"/>
  <c r="P34" i="82"/>
  <c r="D34" i="82"/>
  <c r="AG33" i="82"/>
  <c r="AF33" i="82"/>
  <c r="AE33" i="82"/>
  <c r="AB33" i="82"/>
  <c r="Y33" i="82"/>
  <c r="S33" i="82"/>
  <c r="P33" i="82"/>
  <c r="M33" i="82"/>
  <c r="J33" i="82"/>
  <c r="G33" i="82"/>
  <c r="D33" i="82"/>
  <c r="AG32" i="82"/>
  <c r="AF32" i="82"/>
  <c r="AE32" i="82"/>
  <c r="AB32" i="82"/>
  <c r="Y32" i="82"/>
  <c r="V32" i="82"/>
  <c r="S32" i="82"/>
  <c r="P32" i="82"/>
  <c r="M32" i="82"/>
  <c r="D32" i="82"/>
  <c r="AG31" i="82"/>
  <c r="AF31" i="82"/>
  <c r="AB31" i="82"/>
  <c r="Y31" i="82"/>
  <c r="S31" i="82"/>
  <c r="P31" i="82"/>
  <c r="M31" i="82"/>
  <c r="D31" i="82"/>
  <c r="AG29" i="82"/>
  <c r="AF29" i="82"/>
  <c r="AE29" i="82"/>
  <c r="AB29" i="82"/>
  <c r="S29" i="82"/>
  <c r="D29" i="82"/>
  <c r="AG28" i="82"/>
  <c r="AF28" i="82"/>
  <c r="AB28" i="82"/>
  <c r="J28" i="82"/>
  <c r="D28" i="82"/>
  <c r="AF27" i="82"/>
  <c r="AB27" i="82"/>
  <c r="Y27" i="82"/>
  <c r="S27" i="82"/>
  <c r="M27" i="82"/>
  <c r="D27" i="82"/>
  <c r="AG26" i="82"/>
  <c r="AF26" i="82"/>
  <c r="Y26" i="82"/>
  <c r="V26" i="82"/>
  <c r="S26" i="82"/>
  <c r="P26" i="82"/>
  <c r="D26" i="82"/>
  <c r="AF25" i="82"/>
  <c r="AB25" i="82"/>
  <c r="Y25" i="82"/>
  <c r="S25" i="82"/>
  <c r="M25" i="82"/>
  <c r="D25" i="82"/>
  <c r="AG24" i="82"/>
  <c r="AF24" i="82"/>
  <c r="AB24" i="82"/>
  <c r="Y24" i="82"/>
  <c r="S24" i="82"/>
  <c r="P24" i="82"/>
  <c r="M24" i="82"/>
  <c r="D24" i="82"/>
  <c r="AG23" i="82"/>
  <c r="AE23" i="82"/>
  <c r="AB23" i="82"/>
  <c r="Y23" i="82"/>
  <c r="V23" i="82"/>
  <c r="S23" i="82"/>
  <c r="P23" i="82"/>
  <c r="AF23" i="82"/>
  <c r="J23" i="82"/>
  <c r="G23" i="82"/>
  <c r="D23" i="82"/>
  <c r="AJ20" i="82"/>
  <c r="AI20" i="82"/>
  <c r="AG20" i="82"/>
  <c r="AF20" i="82"/>
  <c r="AE20" i="82"/>
  <c r="AB20" i="82"/>
  <c r="Y20" i="82"/>
  <c r="S20" i="82"/>
  <c r="P20" i="82"/>
  <c r="M20" i="82"/>
  <c r="G20" i="82"/>
  <c r="D20" i="82"/>
  <c r="AJ19" i="82"/>
  <c r="AG19" i="82"/>
  <c r="Y19" i="82"/>
  <c r="V19" i="82"/>
  <c r="S19" i="82"/>
  <c r="P19" i="82"/>
  <c r="M19" i="82"/>
  <c r="J19" i="82"/>
  <c r="G19" i="82"/>
  <c r="D19" i="82"/>
  <c r="AJ17" i="82"/>
  <c r="AI17" i="82"/>
  <c r="AG17" i="82"/>
  <c r="AF17" i="82"/>
  <c r="AB17" i="82"/>
  <c r="Y17" i="82"/>
  <c r="V17" i="82"/>
  <c r="S17" i="82"/>
  <c r="P17" i="82"/>
  <c r="G17" i="82"/>
  <c r="D17" i="82"/>
  <c r="AJ16" i="82"/>
  <c r="AI16" i="82"/>
  <c r="AG16" i="82"/>
  <c r="AF16" i="82"/>
  <c r="AB16" i="82"/>
  <c r="Y16" i="82"/>
  <c r="S16" i="82"/>
  <c r="P16" i="82"/>
  <c r="M16" i="82"/>
  <c r="D16" i="82"/>
  <c r="AJ15" i="82"/>
  <c r="AI15" i="82"/>
  <c r="AG15" i="82"/>
  <c r="AF15" i="82"/>
  <c r="AE15" i="82"/>
  <c r="AB15" i="82"/>
  <c r="Y15" i="82"/>
  <c r="V15" i="82"/>
  <c r="S15" i="82"/>
  <c r="P15" i="82"/>
  <c r="M15" i="82"/>
  <c r="J15" i="82"/>
  <c r="G15" i="82"/>
  <c r="D15" i="82"/>
  <c r="P14" i="82"/>
  <c r="AJ13" i="82"/>
  <c r="AI13" i="82"/>
  <c r="AG13" i="82"/>
  <c r="AF13" i="82"/>
  <c r="AE13" i="82"/>
  <c r="AB13" i="82"/>
  <c r="Y13" i="82"/>
  <c r="S13" i="82"/>
  <c r="P13" i="82"/>
  <c r="M13" i="82"/>
  <c r="D13" i="82"/>
  <c r="AJ12" i="82"/>
  <c r="AI12" i="82"/>
  <c r="AG12" i="82"/>
  <c r="AF12" i="82"/>
  <c r="AE12" i="82"/>
  <c r="AB12" i="82"/>
  <c r="Y12" i="82"/>
  <c r="S12" i="82"/>
  <c r="M12" i="82"/>
  <c r="J12" i="82"/>
  <c r="G12" i="82"/>
  <c r="D12" i="82"/>
  <c r="AJ11" i="82"/>
  <c r="AI11" i="82"/>
  <c r="AG11" i="82"/>
  <c r="AF11" i="82"/>
  <c r="AE11" i="82"/>
  <c r="AB11" i="82"/>
  <c r="Y11" i="82"/>
  <c r="V11" i="82"/>
  <c r="S11" i="82"/>
  <c r="P11" i="82"/>
  <c r="M11" i="82"/>
  <c r="J11" i="82"/>
  <c r="G11" i="82"/>
  <c r="D11" i="82"/>
  <c r="AJ8" i="82"/>
  <c r="AI8" i="82"/>
  <c r="AG8" i="82"/>
  <c r="AF8" i="82"/>
  <c r="AD8" i="82"/>
  <c r="AC8" i="82"/>
  <c r="AA8" i="82"/>
  <c r="Z8" i="82"/>
  <c r="X8" i="82"/>
  <c r="W8" i="82"/>
  <c r="U8" i="82"/>
  <c r="T8" i="82"/>
  <c r="R8" i="82"/>
  <c r="Q8" i="82"/>
  <c r="O8" i="82"/>
  <c r="N8" i="82"/>
  <c r="L8" i="82"/>
  <c r="K8" i="82"/>
  <c r="I8" i="82"/>
  <c r="H8" i="82"/>
  <c r="F8" i="82"/>
  <c r="E8" i="82"/>
  <c r="B17" i="58" l="1"/>
  <c r="C29" i="58"/>
  <c r="C14" i="58"/>
  <c r="C30" i="58"/>
  <c r="C13" i="58"/>
  <c r="C17" i="58"/>
  <c r="B11" i="58"/>
  <c r="C12" i="58"/>
  <c r="B10" i="58"/>
  <c r="B22" i="58"/>
  <c r="C18" i="58"/>
  <c r="C25" i="58"/>
  <c r="C11" i="58"/>
  <c r="C10" i="58"/>
  <c r="B19" i="58"/>
  <c r="C21" i="58"/>
  <c r="C22" i="58"/>
  <c r="C20" i="58"/>
  <c r="C19" i="58"/>
  <c r="AK48" i="86"/>
  <c r="B27" i="58"/>
  <c r="C28" i="58"/>
  <c r="B28" i="58"/>
  <c r="B9" i="58"/>
  <c r="C9" i="58"/>
  <c r="B20" i="58"/>
  <c r="B18" i="58"/>
  <c r="C27" i="58"/>
  <c r="C26" i="58"/>
  <c r="B29" i="58"/>
  <c r="AE18" i="90"/>
  <c r="AK76" i="86"/>
  <c r="AK44" i="86"/>
  <c r="P35" i="86"/>
  <c r="AH76" i="86"/>
  <c r="AH24" i="82"/>
  <c r="AK12" i="82"/>
  <c r="AH16" i="82"/>
  <c r="AK46" i="86"/>
  <c r="AH11" i="82"/>
  <c r="S41" i="82"/>
  <c r="S21" i="82"/>
  <c r="AK57" i="86"/>
  <c r="AK79" i="86"/>
  <c r="AH91" i="86"/>
  <c r="AK51" i="86"/>
  <c r="AK20" i="82"/>
  <c r="AH25" i="86"/>
  <c r="AH41" i="86"/>
  <c r="AH52" i="86"/>
  <c r="J41" i="82"/>
  <c r="V41" i="82"/>
  <c r="AH58" i="86"/>
  <c r="AH38" i="82"/>
  <c r="AK25" i="86"/>
  <c r="AH28" i="82"/>
  <c r="AK18" i="86"/>
  <c r="AH55" i="86"/>
  <c r="AH34" i="82"/>
  <c r="AK24" i="86"/>
  <c r="AH22" i="86"/>
  <c r="AH44" i="86"/>
  <c r="AH90" i="86"/>
  <c r="AK36" i="86"/>
  <c r="AK52" i="86"/>
  <c r="AK71" i="86"/>
  <c r="AH13" i="82"/>
  <c r="AH20" i="82"/>
  <c r="G41" i="82"/>
  <c r="AE41" i="82"/>
  <c r="AH14" i="86"/>
  <c r="AK43" i="86"/>
  <c r="G30" i="82"/>
  <c r="AH42" i="86"/>
  <c r="J20" i="86"/>
  <c r="M41" i="82"/>
  <c r="AH45" i="82"/>
  <c r="Y20" i="86"/>
  <c r="AF28" i="86"/>
  <c r="AH28" i="86" s="1"/>
  <c r="AH33" i="86"/>
  <c r="S35" i="86"/>
  <c r="AK40" i="86"/>
  <c r="AK70" i="86"/>
  <c r="AH88" i="86"/>
  <c r="AH23" i="82"/>
  <c r="AB30" i="82"/>
  <c r="AH23" i="86"/>
  <c r="AH43" i="86"/>
  <c r="AH71" i="86"/>
  <c r="AK78" i="86"/>
  <c r="AG39" i="86"/>
  <c r="P30" i="82"/>
  <c r="AH24" i="86"/>
  <c r="V14" i="82"/>
  <c r="AK13" i="82"/>
  <c r="AH15" i="82"/>
  <c r="AH26" i="82"/>
  <c r="AH39" i="82"/>
  <c r="AH43" i="82"/>
  <c r="V16" i="86"/>
  <c r="AH37" i="86"/>
  <c r="AK58" i="86"/>
  <c r="AK69" i="86"/>
  <c r="V14" i="90"/>
  <c r="AH69" i="86"/>
  <c r="AK14" i="86"/>
  <c r="D35" i="86"/>
  <c r="AH46" i="86"/>
  <c r="AH70" i="86"/>
  <c r="AH77" i="86"/>
  <c r="J80" i="86"/>
  <c r="AK88" i="86"/>
  <c r="AK15" i="82"/>
  <c r="Y41" i="82"/>
  <c r="AH61" i="86"/>
  <c r="AH32" i="82"/>
  <c r="AH17" i="86"/>
  <c r="AH21" i="86"/>
  <c r="V39" i="86"/>
  <c r="AH73" i="86"/>
  <c r="AK77" i="86"/>
  <c r="S87" i="86"/>
  <c r="AE20" i="90"/>
  <c r="D20" i="86"/>
  <c r="S14" i="82"/>
  <c r="AK17" i="82"/>
  <c r="AH29" i="82"/>
  <c r="J30" i="82"/>
  <c r="Y30" i="82"/>
  <c r="AK17" i="86"/>
  <c r="V35" i="86"/>
  <c r="M39" i="86"/>
  <c r="AH49" i="86"/>
  <c r="AH78" i="86"/>
  <c r="AK86" i="86"/>
  <c r="Y14" i="82"/>
  <c r="AF19" i="82"/>
  <c r="AH19" i="82" s="1"/>
  <c r="J21" i="82"/>
  <c r="V21" i="82"/>
  <c r="AH31" i="82"/>
  <c r="AB41" i="82"/>
  <c r="S20" i="86"/>
  <c r="AH57" i="86"/>
  <c r="AK90" i="86"/>
  <c r="AH12" i="82"/>
  <c r="AB14" i="82"/>
  <c r="AK16" i="82"/>
  <c r="AH40" i="82"/>
  <c r="AG41" i="82"/>
  <c r="Y54" i="86"/>
  <c r="AK73" i="86"/>
  <c r="AF19" i="86"/>
  <c r="AH19" i="86" s="1"/>
  <c r="J14" i="82"/>
  <c r="D21" i="82"/>
  <c r="M23" i="82"/>
  <c r="AF41" i="82"/>
  <c r="P39" i="86"/>
  <c r="AB39" i="86"/>
  <c r="AH68" i="86"/>
  <c r="AI14" i="82"/>
  <c r="AH17" i="82"/>
  <c r="D30" i="82"/>
  <c r="AH18" i="86"/>
  <c r="D54" i="86"/>
  <c r="P54" i="86"/>
  <c r="AK21" i="86"/>
  <c r="AJ14" i="82"/>
  <c r="AK11" i="82"/>
  <c r="D14" i="82"/>
  <c r="M14" i="82"/>
  <c r="AB19" i="82"/>
  <c r="AH33" i="82"/>
  <c r="AH79" i="86"/>
  <c r="V80" i="86"/>
  <c r="AE20" i="86"/>
  <c r="AK33" i="86"/>
  <c r="AH36" i="86"/>
  <c r="AK42" i="86"/>
  <c r="AH51" i="86"/>
  <c r="AH85" i="86"/>
  <c r="AK23" i="86"/>
  <c r="AJ50" i="86"/>
  <c r="AK68" i="86"/>
  <c r="AK89" i="86"/>
  <c r="AK34" i="86"/>
  <c r="AK49" i="86"/>
  <c r="AH53" i="86"/>
  <c r="AH82" i="86"/>
  <c r="AF15" i="86"/>
  <c r="AH15" i="86" s="1"/>
  <c r="P20" i="86"/>
  <c r="D39" i="86"/>
  <c r="AH40" i="86"/>
  <c r="AK41" i="86"/>
  <c r="AK53" i="86"/>
  <c r="AK61" i="86"/>
  <c r="AK82" i="86"/>
  <c r="AH86" i="86"/>
  <c r="AK91" i="86"/>
  <c r="AB21" i="82"/>
  <c r="AE21" i="82"/>
  <c r="AE14" i="82"/>
  <c r="G21" i="82"/>
  <c r="P21" i="82"/>
  <c r="V30" i="82"/>
  <c r="G14" i="82"/>
  <c r="AF14" i="82"/>
  <c r="AI19" i="82"/>
  <c r="AK19" i="82" s="1"/>
  <c r="Y21" i="82"/>
  <c r="AG21" i="82"/>
  <c r="AE30" i="82"/>
  <c r="D41" i="82"/>
  <c r="AG14" i="82"/>
  <c r="AG30" i="82"/>
  <c r="AI21" i="82"/>
  <c r="AJ21" i="82"/>
  <c r="AE19" i="82"/>
  <c r="S30" i="82"/>
  <c r="AI20" i="86"/>
  <c r="M20" i="86"/>
  <c r="AE39" i="86"/>
  <c r="AJ54" i="86"/>
  <c r="AG54" i="86"/>
  <c r="Y27" i="86"/>
  <c r="Y93" i="86"/>
  <c r="AG16" i="86"/>
  <c r="AF20" i="86"/>
  <c r="AG20" i="86"/>
  <c r="AF59" i="86"/>
  <c r="AH59" i="86" s="1"/>
  <c r="AI59" i="86"/>
  <c r="AK59" i="86" s="1"/>
  <c r="M59" i="86"/>
  <c r="AJ20" i="86"/>
  <c r="Y45" i="86"/>
  <c r="J29" i="86"/>
  <c r="AB19" i="86"/>
  <c r="AI19" i="86"/>
  <c r="M87" i="86"/>
  <c r="AI87" i="86"/>
  <c r="AI15" i="86"/>
  <c r="D15" i="86"/>
  <c r="AB20" i="86"/>
  <c r="AI28" i="86"/>
  <c r="AK28" i="86" s="1"/>
  <c r="D28" i="86"/>
  <c r="Y16" i="86"/>
  <c r="AF35" i="86"/>
  <c r="AI38" i="86"/>
  <c r="AF38" i="86"/>
  <c r="AH38" i="86" s="1"/>
  <c r="AB38" i="86"/>
  <c r="P16" i="86"/>
  <c r="AK22" i="86"/>
  <c r="M35" i="86"/>
  <c r="V20" i="86"/>
  <c r="AH34" i="86"/>
  <c r="AK37" i="86"/>
  <c r="P50" i="86"/>
  <c r="S54" i="86"/>
  <c r="AB80" i="86"/>
  <c r="AK85" i="86"/>
  <c r="D87" i="86"/>
  <c r="Y87" i="86"/>
  <c r="AF87" i="86"/>
  <c r="AJ16" i="86"/>
  <c r="AF39" i="86"/>
  <c r="P87" i="86"/>
  <c r="S80" i="86"/>
  <c r="AJ87" i="86"/>
  <c r="AH89" i="86"/>
  <c r="AF56" i="86"/>
  <c r="AH56" i="86" s="1"/>
  <c r="AI56" i="86"/>
  <c r="AK56" i="86" s="1"/>
  <c r="AF80" i="86"/>
  <c r="Y39" i="86"/>
  <c r="AF50" i="86"/>
  <c r="AB56" i="86"/>
  <c r="AE80" i="86"/>
  <c r="AB87" i="86"/>
  <c r="S39" i="86"/>
  <c r="D80" i="86"/>
  <c r="M80" i="86"/>
  <c r="AG35" i="86"/>
  <c r="Y35" i="86"/>
  <c r="AJ35" i="86"/>
  <c r="J39" i="86"/>
  <c r="AI50" i="86"/>
  <c r="P80" i="86"/>
  <c r="Y80" i="86"/>
  <c r="AI80" i="86"/>
  <c r="AG50" i="86"/>
  <c r="AI55" i="86"/>
  <c r="AJ80" i="86"/>
  <c r="AI39" i="86"/>
  <c r="AG87" i="86"/>
  <c r="AJ39" i="86"/>
  <c r="AG80" i="86"/>
  <c r="AK55" i="86" l="1"/>
  <c r="B25" i="58"/>
  <c r="AK19" i="86"/>
  <c r="B13" i="58"/>
  <c r="AK38" i="86"/>
  <c r="B21" i="58"/>
  <c r="AK15" i="86"/>
  <c r="B12" i="58"/>
  <c r="B30" i="58"/>
  <c r="B26" i="58"/>
  <c r="B14" i="58"/>
  <c r="D93" i="86"/>
  <c r="AK14" i="82"/>
  <c r="P35" i="82"/>
  <c r="J35" i="82"/>
  <c r="V35" i="82"/>
  <c r="AH41" i="82"/>
  <c r="AF54" i="86"/>
  <c r="J42" i="82"/>
  <c r="D45" i="86"/>
  <c r="S35" i="82"/>
  <c r="AF30" i="82"/>
  <c r="AH30" i="82" s="1"/>
  <c r="J27" i="86"/>
  <c r="V27" i="86"/>
  <c r="AI16" i="86"/>
  <c r="AK16" i="86" s="1"/>
  <c r="AI54" i="86"/>
  <c r="M30" i="82"/>
  <c r="AI35" i="86"/>
  <c r="AK35" i="86" s="1"/>
  <c r="AB16" i="86"/>
  <c r="AG60" i="86"/>
  <c r="AF27" i="86"/>
  <c r="J93" i="86"/>
  <c r="Y60" i="86"/>
  <c r="AF16" i="86"/>
  <c r="AH16" i="86" s="1"/>
  <c r="D48" i="81"/>
  <c r="AK21" i="82"/>
  <c r="D60" i="86"/>
  <c r="AJ93" i="86"/>
  <c r="P45" i="86"/>
  <c r="AH14" i="82"/>
  <c r="AB54" i="86"/>
  <c r="S60" i="86"/>
  <c r="S93" i="86"/>
  <c r="AH87" i="86"/>
  <c r="V45" i="86"/>
  <c r="AK87" i="86"/>
  <c r="M93" i="86"/>
  <c r="AG45" i="86"/>
  <c r="AJ45" i="86"/>
  <c r="AH50" i="86"/>
  <c r="AB60" i="86"/>
  <c r="P27" i="86"/>
  <c r="AB35" i="86"/>
  <c r="Y62" i="86"/>
  <c r="P93" i="86"/>
  <c r="Y29" i="86"/>
  <c r="V29" i="86"/>
  <c r="P42" i="82"/>
  <c r="AK50" i="86"/>
  <c r="AH80" i="86"/>
  <c r="M45" i="86"/>
  <c r="AH20" i="86"/>
  <c r="D27" i="86"/>
  <c r="Y35" i="82"/>
  <c r="AE35" i="82"/>
  <c r="AG35" i="82"/>
  <c r="D35" i="82"/>
  <c r="AK39" i="86"/>
  <c r="AH35" i="86"/>
  <c r="M54" i="86"/>
  <c r="S27" i="86"/>
  <c r="AB35" i="82"/>
  <c r="AH39" i="86"/>
  <c r="AK20" i="86"/>
  <c r="M21" i="82"/>
  <c r="J44" i="82"/>
  <c r="AG93" i="86"/>
  <c r="AJ27" i="86"/>
  <c r="AG27" i="86"/>
  <c r="AB93" i="86"/>
  <c r="J45" i="86"/>
  <c r="S45" i="86"/>
  <c r="M27" i="86"/>
  <c r="AF21" i="82"/>
  <c r="AK80" i="86"/>
  <c r="AJ60" i="86"/>
  <c r="V93" i="86"/>
  <c r="AE93" i="86"/>
  <c r="P60" i="86"/>
  <c r="G35" i="82"/>
  <c r="D47" i="81"/>
  <c r="G23" i="9"/>
  <c r="G30" i="58" l="1"/>
  <c r="G29" i="58"/>
  <c r="G25" i="58"/>
  <c r="G27" i="58"/>
  <c r="G28" i="58"/>
  <c r="G26" i="58"/>
  <c r="G19" i="58"/>
  <c r="G21" i="58"/>
  <c r="G17" i="58"/>
  <c r="G22" i="58"/>
  <c r="G18" i="58"/>
  <c r="G20" i="58"/>
  <c r="V42" i="82"/>
  <c r="AH54" i="86"/>
  <c r="AI45" i="86"/>
  <c r="S42" i="82"/>
  <c r="AB27" i="86"/>
  <c r="AI60" i="86"/>
  <c r="AK54" i="86"/>
  <c r="AI27" i="86"/>
  <c r="AK27" i="86" s="1"/>
  <c r="AB45" i="86"/>
  <c r="AF60" i="86"/>
  <c r="G42" i="82"/>
  <c r="M35" i="82"/>
  <c r="AF42" i="82"/>
  <c r="AF45" i="86"/>
  <c r="S44" i="82"/>
  <c r="J62" i="86"/>
  <c r="AG29" i="86"/>
  <c r="AJ29" i="86"/>
  <c r="AG42" i="82"/>
  <c r="P29" i="86"/>
  <c r="J64" i="86"/>
  <c r="AH93" i="86"/>
  <c r="M64" i="86"/>
  <c r="AB42" i="82"/>
  <c r="Y42" i="82"/>
  <c r="P64" i="86"/>
  <c r="J46" i="82"/>
  <c r="D42" i="82"/>
  <c r="AI29" i="86"/>
  <c r="AE27" i="86"/>
  <c r="AG62" i="86"/>
  <c r="AJ62" i="86"/>
  <c r="V62" i="86"/>
  <c r="P62" i="86"/>
  <c r="AH27" i="86"/>
  <c r="P44" i="82"/>
  <c r="AE45" i="86"/>
  <c r="AB29" i="86"/>
  <c r="S29" i="86"/>
  <c r="AF35" i="82"/>
  <c r="AF29" i="86"/>
  <c r="D29" i="86"/>
  <c r="D62" i="86"/>
  <c r="AH21" i="82"/>
  <c r="M29" i="86"/>
  <c r="S62" i="86"/>
  <c r="M60" i="86"/>
  <c r="AE42" i="82"/>
  <c r="V44" i="82"/>
  <c r="V64" i="86"/>
  <c r="AK93" i="86"/>
  <c r="B23" i="9"/>
  <c r="M22" i="8" s="1"/>
  <c r="M66" i="8"/>
  <c r="G59" i="9"/>
  <c r="F10" i="58" l="1"/>
  <c r="F9" i="58"/>
  <c r="F11" i="58"/>
  <c r="F12" i="58"/>
  <c r="F13" i="58"/>
  <c r="F14" i="58"/>
  <c r="AK45" i="86"/>
  <c r="F17" i="58"/>
  <c r="F19" i="58"/>
  <c r="F18" i="58"/>
  <c r="F22" i="58"/>
  <c r="F20" i="58"/>
  <c r="F21" i="58"/>
  <c r="AK60" i="86"/>
  <c r="F28" i="58"/>
  <c r="F27" i="58"/>
  <c r="F26" i="58"/>
  <c r="F29" i="58"/>
  <c r="F25" i="58"/>
  <c r="F30" i="58"/>
  <c r="G12" i="58"/>
  <c r="G13" i="58"/>
  <c r="G11" i="58"/>
  <c r="G10" i="58"/>
  <c r="G9" i="58"/>
  <c r="G14" i="58"/>
  <c r="AE64" i="86"/>
  <c r="M62" i="86"/>
  <c r="AH42" i="82"/>
  <c r="AF62" i="86"/>
  <c r="AH62" i="86" s="1"/>
  <c r="AI62" i="86"/>
  <c r="P46" i="82"/>
  <c r="G44" i="82"/>
  <c r="D23" i="9"/>
  <c r="AH35" i="82"/>
  <c r="S64" i="86"/>
  <c r="S46" i="82"/>
  <c r="AH60" i="86"/>
  <c r="Y44" i="82"/>
  <c r="AJ64" i="86"/>
  <c r="D64" i="86"/>
  <c r="AG64" i="86"/>
  <c r="AH45" i="86"/>
  <c r="D44" i="82"/>
  <c r="Y64" i="86"/>
  <c r="AE44" i="82"/>
  <c r="AE62" i="86"/>
  <c r="AB62" i="86"/>
  <c r="AG44" i="82"/>
  <c r="AE29" i="86"/>
  <c r="AB44" i="82"/>
  <c r="AB64" i="86"/>
  <c r="V46" i="82"/>
  <c r="AK29" i="86"/>
  <c r="M42" i="82"/>
  <c r="AH29" i="86"/>
  <c r="B59" i="9"/>
  <c r="D59" i="9" s="1"/>
  <c r="AK62" i="86" l="1"/>
  <c r="M44" i="82"/>
  <c r="AF44" i="82"/>
  <c r="AH44" i="82" s="1"/>
  <c r="AG46" i="82"/>
  <c r="AK64" i="86"/>
  <c r="AB46" i="82"/>
  <c r="D46" i="82"/>
  <c r="AE46" i="82"/>
  <c r="Y46" i="82"/>
  <c r="G46" i="82"/>
  <c r="AH64" i="86"/>
  <c r="G16" i="10"/>
  <c r="G26" i="10"/>
  <c r="M46" i="82" l="1"/>
  <c r="AF46" i="82"/>
  <c r="D27" i="58"/>
  <c r="AH46" i="82" l="1"/>
  <c r="B33" i="58"/>
  <c r="D29" i="58"/>
  <c r="D17" i="58"/>
  <c r="D11" i="58"/>
  <c r="D18" i="58"/>
  <c r="C38" i="58"/>
  <c r="D19" i="58"/>
  <c r="D22" i="58"/>
  <c r="D26" i="58"/>
  <c r="C37" i="58"/>
  <c r="D28" i="58"/>
  <c r="C34" i="58"/>
  <c r="C35" i="58"/>
  <c r="C24" i="58"/>
  <c r="C36" i="58"/>
  <c r="D20" i="58"/>
  <c r="C16" i="58"/>
  <c r="D30" i="58"/>
  <c r="C33" i="58"/>
  <c r="C8" i="58"/>
  <c r="D9" i="58"/>
  <c r="D14" i="58"/>
  <c r="B35" i="58"/>
  <c r="D10" i="58"/>
  <c r="B34" i="58"/>
  <c r="G16" i="58" l="1"/>
  <c r="G24" i="58"/>
  <c r="D34" i="58"/>
  <c r="C32" i="58"/>
  <c r="G36" i="58" s="1"/>
  <c r="B38" i="58"/>
  <c r="D38" i="58" s="1"/>
  <c r="D35" i="58"/>
  <c r="D13" i="58"/>
  <c r="B37" i="58"/>
  <c r="D33" i="58"/>
  <c r="D25" i="58"/>
  <c r="B24" i="58"/>
  <c r="D24" i="58" s="1"/>
  <c r="B8" i="58"/>
  <c r="D8" i="58" s="1"/>
  <c r="D12" i="58"/>
  <c r="B36" i="58"/>
  <c r="D21" i="58"/>
  <c r="B16" i="58"/>
  <c r="D16" i="58" s="1"/>
  <c r="H22" i="58" l="1"/>
  <c r="H18" i="58"/>
  <c r="H20" i="58"/>
  <c r="H21" i="58"/>
  <c r="G8" i="58"/>
  <c r="H28" i="58"/>
  <c r="H27" i="58"/>
  <c r="H29" i="58"/>
  <c r="H26" i="58"/>
  <c r="H30" i="58"/>
  <c r="G35" i="58"/>
  <c r="B32" i="58"/>
  <c r="F34" i="58" s="1"/>
  <c r="G33" i="58"/>
  <c r="G37" i="58"/>
  <c r="G38" i="58"/>
  <c r="H19" i="58"/>
  <c r="G34" i="58"/>
  <c r="D36" i="58"/>
  <c r="D37" i="58"/>
  <c r="G32" i="58" l="1"/>
  <c r="F33" i="58"/>
  <c r="H33" i="58" s="1"/>
  <c r="H10" i="58"/>
  <c r="H14" i="58"/>
  <c r="F37" i="58"/>
  <c r="H37" i="58" s="1"/>
  <c r="F38" i="58"/>
  <c r="H38" i="58" s="1"/>
  <c r="H34" i="58"/>
  <c r="F36" i="58"/>
  <c r="H36" i="58" s="1"/>
  <c r="H17" i="58"/>
  <c r="F16" i="58"/>
  <c r="H16" i="58" s="1"/>
  <c r="H12" i="58"/>
  <c r="H13" i="58"/>
  <c r="H25" i="58"/>
  <c r="F24" i="58"/>
  <c r="H24" i="58" s="1"/>
  <c r="F35" i="58"/>
  <c r="H35" i="58" s="1"/>
  <c r="D32" i="58"/>
  <c r="H11" i="58"/>
  <c r="H9" i="58"/>
  <c r="F8" i="58"/>
  <c r="H8" i="58" s="1"/>
  <c r="F32" i="58" l="1"/>
  <c r="H32" i="58" s="1"/>
  <c r="K36" i="79" l="1"/>
  <c r="J9" i="79"/>
  <c r="K8" i="79"/>
  <c r="D7" i="79" l="1"/>
  <c r="D37" i="79"/>
  <c r="K122" i="79"/>
  <c r="K114" i="79"/>
  <c r="D48" i="79"/>
  <c r="D10" i="79"/>
  <c r="L114" i="79"/>
  <c r="J29" i="79"/>
  <c r="J97" i="79"/>
  <c r="L97" i="79" s="1"/>
  <c r="J28" i="79"/>
  <c r="K76" i="79"/>
  <c r="L122" i="79"/>
  <c r="D122" i="79"/>
  <c r="D9" i="79"/>
  <c r="K7" i="79"/>
  <c r="J22" i="79"/>
  <c r="J30" i="79"/>
  <c r="K10" i="79"/>
  <c r="D36" i="79"/>
  <c r="D8" i="79"/>
  <c r="J8" i="79"/>
  <c r="L8" i="79" s="1"/>
  <c r="K22" i="79"/>
  <c r="K28" i="79"/>
  <c r="K29" i="79"/>
  <c r="K30" i="79"/>
  <c r="J10" i="79"/>
  <c r="K9" i="79"/>
  <c r="L9" i="79" s="1"/>
  <c r="J7" i="79"/>
  <c r="D22" i="79"/>
  <c r="D28" i="79"/>
  <c r="D29" i="79"/>
  <c r="D30" i="79"/>
  <c r="K37" i="79"/>
  <c r="D76" i="79"/>
  <c r="K97" i="79"/>
  <c r="L76" i="79"/>
  <c r="D97" i="79"/>
  <c r="D114" i="79"/>
  <c r="L10" i="79" l="1"/>
  <c r="L22" i="79"/>
  <c r="L29" i="79"/>
  <c r="L28" i="79"/>
  <c r="L7" i="79"/>
  <c r="L30" i="79"/>
  <c r="H31" i="9"/>
  <c r="H67" i="9" s="1"/>
  <c r="K119" i="79"/>
  <c r="K111" i="79"/>
  <c r="D87" i="79"/>
  <c r="G31" i="9"/>
  <c r="G67" i="9" s="1"/>
  <c r="D66" i="79"/>
  <c r="C31" i="9"/>
  <c r="C67" i="9" s="1"/>
  <c r="D111" i="79"/>
  <c r="L111" i="79"/>
  <c r="D119" i="79"/>
  <c r="L119" i="79"/>
  <c r="K87" i="79" l="1"/>
  <c r="D47" i="79"/>
  <c r="B31" i="9"/>
  <c r="B67" i="9" s="1"/>
  <c r="L87" i="79" l="1"/>
  <c r="J66" i="79"/>
  <c r="L66" i="79" s="1"/>
  <c r="K66" i="79"/>
  <c r="H21" i="9" l="1"/>
  <c r="D48" i="78"/>
  <c r="G21" i="9" l="1"/>
  <c r="M64" i="8" s="1"/>
  <c r="C21" i="9"/>
  <c r="N20" i="8" s="1"/>
  <c r="D47" i="78"/>
  <c r="H57" i="9"/>
  <c r="N64" i="8"/>
  <c r="G57" i="9" l="1"/>
  <c r="C57" i="9"/>
  <c r="B21" i="9"/>
  <c r="M20" i="8" l="1"/>
  <c r="D21" i="9"/>
  <c r="B57" i="9"/>
  <c r="D57" i="9" s="1"/>
  <c r="D54" i="77" l="1"/>
  <c r="D55" i="77"/>
  <c r="H11" i="9"/>
  <c r="D48" i="77"/>
  <c r="G11" i="9"/>
  <c r="D53" i="77" l="1"/>
  <c r="M55" i="8"/>
  <c r="G47" i="9"/>
  <c r="H47" i="9"/>
  <c r="N55" i="8"/>
  <c r="D49" i="77"/>
  <c r="C11" i="9"/>
  <c r="C47" i="9" l="1"/>
  <c r="N10" i="8"/>
  <c r="B11" i="9"/>
  <c r="M10" i="8" s="1"/>
  <c r="D47" i="77"/>
  <c r="D11" i="9" l="1"/>
  <c r="B47" i="9"/>
  <c r="D47" i="9" s="1"/>
  <c r="N121" i="8" l="1"/>
  <c r="M121" i="8"/>
  <c r="N99" i="8"/>
  <c r="M99" i="8"/>
  <c r="N84" i="8"/>
  <c r="M84" i="8"/>
  <c r="N71" i="8"/>
  <c r="M71" i="8"/>
  <c r="N52" i="8"/>
  <c r="M52" i="8"/>
  <c r="N34" i="8"/>
  <c r="M34" i="8"/>
  <c r="G65" i="9" l="1"/>
  <c r="H65" i="9"/>
  <c r="M66" i="9"/>
  <c r="O66" i="9"/>
  <c r="N66" i="9"/>
  <c r="L66" i="9"/>
  <c r="K8" i="74" l="1"/>
  <c r="H30" i="9"/>
  <c r="G30" i="9"/>
  <c r="M72" i="8" s="1"/>
  <c r="D8" i="74"/>
  <c r="J8" i="74"/>
  <c r="K7" i="74"/>
  <c r="J7" i="74"/>
  <c r="D48" i="74"/>
  <c r="D7" i="74"/>
  <c r="L8" i="74" l="1"/>
  <c r="C30" i="9"/>
  <c r="L7" i="74"/>
  <c r="D47" i="74"/>
  <c r="H66" i="9"/>
  <c r="N72" i="8"/>
  <c r="B30" i="9"/>
  <c r="M29" i="8" s="1"/>
  <c r="G66" i="9"/>
  <c r="B66" i="9" l="1"/>
  <c r="B22" i="4" l="1"/>
  <c r="E22" i="4"/>
  <c r="F22" i="4"/>
  <c r="C22" i="4"/>
  <c r="B29" i="4"/>
  <c r="E29" i="4"/>
  <c r="C29" i="4"/>
  <c r="F29" i="4"/>
  <c r="C21" i="10" l="1"/>
  <c r="G21" i="10"/>
  <c r="C10" i="10"/>
  <c r="G10" i="10"/>
  <c r="E29" i="79"/>
  <c r="E22" i="79"/>
  <c r="E33" i="4" l="1"/>
  <c r="F31" i="4"/>
  <c r="F32" i="4" l="1"/>
  <c r="K32" i="13"/>
  <c r="B24" i="4"/>
  <c r="E26" i="4"/>
  <c r="C24" i="4"/>
  <c r="F26" i="4"/>
  <c r="E32" i="4"/>
  <c r="F30" i="4"/>
  <c r="E31" i="4"/>
  <c r="F25" i="4"/>
  <c r="B32" i="4"/>
  <c r="B25" i="4"/>
  <c r="B33" i="4"/>
  <c r="E24" i="4"/>
  <c r="F33" i="4"/>
  <c r="B31" i="4"/>
  <c r="F23" i="4"/>
  <c r="C33" i="4"/>
  <c r="E30" i="4"/>
  <c r="B30" i="4"/>
  <c r="E25" i="4"/>
  <c r="C30" i="4"/>
  <c r="C32" i="4"/>
  <c r="C31" i="4"/>
  <c r="E23" i="4"/>
  <c r="C25" i="4"/>
  <c r="F24" i="4"/>
  <c r="B23" i="4"/>
  <c r="C23" i="4"/>
  <c r="D23" i="23"/>
  <c r="H23" i="33"/>
  <c r="D23" i="29"/>
  <c r="D30" i="33"/>
  <c r="H24" i="23"/>
  <c r="D30" i="16"/>
  <c r="D25" i="13"/>
  <c r="D31" i="37"/>
  <c r="D32" i="29"/>
  <c r="H30" i="37"/>
  <c r="H30" i="33"/>
  <c r="H30" i="29"/>
  <c r="H30" i="23"/>
  <c r="H30" i="13"/>
  <c r="D23" i="37"/>
  <c r="D23" i="20"/>
  <c r="D30" i="37"/>
  <c r="D30" i="20"/>
  <c r="H23" i="37"/>
  <c r="H24" i="13"/>
  <c r="H31" i="37"/>
  <c r="H31" i="29"/>
  <c r="H31" i="23"/>
  <c r="H31" i="13"/>
  <c r="H25" i="13"/>
  <c r="D31" i="13"/>
  <c r="H32" i="37"/>
  <c r="H32" i="33"/>
  <c r="H32" i="29"/>
  <c r="H32" i="23"/>
  <c r="H33" i="37"/>
  <c r="H33" i="33"/>
  <c r="H33" i="29"/>
  <c r="H33" i="23"/>
  <c r="H23" i="13"/>
  <c r="D30" i="13"/>
  <c r="D31" i="33"/>
  <c r="D31" i="29"/>
  <c r="D32" i="13"/>
  <c r="H24" i="37"/>
  <c r="H24" i="33"/>
  <c r="H31" i="33"/>
  <c r="H25" i="37"/>
  <c r="H25" i="33"/>
  <c r="H25" i="29"/>
  <c r="H32" i="13"/>
  <c r="D24" i="37"/>
  <c r="D24" i="33"/>
  <c r="D24" i="29"/>
  <c r="D24" i="13"/>
  <c r="H26" i="37"/>
  <c r="H26" i="33"/>
  <c r="H26" i="29"/>
  <c r="H26" i="23"/>
  <c r="J30" i="29"/>
  <c r="D30" i="29"/>
  <c r="J30" i="23"/>
  <c r="D30" i="23"/>
  <c r="D23" i="33"/>
  <c r="H23" i="29"/>
  <c r="H23" i="23"/>
  <c r="D23" i="13"/>
  <c r="J33" i="23"/>
  <c r="J33" i="33"/>
  <c r="J33" i="29"/>
  <c r="J25" i="29"/>
  <c r="J25" i="13"/>
  <c r="J32" i="33"/>
  <c r="J32" i="29"/>
  <c r="J32" i="23"/>
  <c r="J26" i="37"/>
  <c r="J26" i="33"/>
  <c r="J26" i="29"/>
  <c r="J26" i="23"/>
  <c r="K23" i="33"/>
  <c r="J33" i="37"/>
  <c r="K31" i="23"/>
  <c r="K30" i="16"/>
  <c r="K25" i="37"/>
  <c r="K25" i="33"/>
  <c r="K25" i="29"/>
  <c r="K25" i="13"/>
  <c r="K23" i="37"/>
  <c r="K23" i="20"/>
  <c r="K32" i="33"/>
  <c r="K32" i="29"/>
  <c r="K32" i="23"/>
  <c r="J30" i="16"/>
  <c r="K33" i="23"/>
  <c r="K26" i="33"/>
  <c r="K26" i="29"/>
  <c r="K23" i="13"/>
  <c r="K33" i="33"/>
  <c r="K33" i="29"/>
  <c r="J23" i="20"/>
  <c r="J23" i="37"/>
  <c r="K26" i="37"/>
  <c r="K26" i="23"/>
  <c r="K31" i="13"/>
  <c r="J23" i="29"/>
  <c r="J23" i="23"/>
  <c r="J25" i="37"/>
  <c r="J25" i="33"/>
  <c r="K24" i="23"/>
  <c r="K24" i="13"/>
  <c r="K31" i="33"/>
  <c r="K31" i="29"/>
  <c r="J23" i="13"/>
  <c r="K30" i="20"/>
  <c r="K30" i="13"/>
  <c r="K24" i="33"/>
  <c r="K24" i="29"/>
  <c r="J31" i="37"/>
  <c r="J31" i="13"/>
  <c r="J24" i="37"/>
  <c r="J24" i="33"/>
  <c r="J24" i="29"/>
  <c r="J24" i="23"/>
  <c r="J24" i="13"/>
  <c r="K23" i="29"/>
  <c r="K23" i="23"/>
  <c r="J31" i="33"/>
  <c r="J31" i="29"/>
  <c r="J31" i="23"/>
  <c r="K24" i="37"/>
  <c r="K30" i="37"/>
  <c r="J30" i="13"/>
  <c r="J23" i="33"/>
  <c r="J30" i="33"/>
  <c r="J32" i="13"/>
  <c r="L32" i="13" s="1"/>
  <c r="J30" i="37"/>
  <c r="J30" i="20"/>
  <c r="J32" i="37"/>
  <c r="K30" i="33"/>
  <c r="K30" i="29"/>
  <c r="K30" i="23"/>
  <c r="K32" i="37"/>
  <c r="K31" i="37"/>
  <c r="K33" i="37"/>
  <c r="L31" i="23" l="1"/>
  <c r="E30" i="79"/>
  <c r="L23" i="33"/>
  <c r="L30" i="37"/>
  <c r="L24" i="23"/>
  <c r="L24" i="29"/>
  <c r="L23" i="20"/>
  <c r="L31" i="29"/>
  <c r="L25" i="29"/>
  <c r="L24" i="33"/>
  <c r="L26" i="33"/>
  <c r="L33" i="23"/>
  <c r="L30" i="20"/>
  <c r="L31" i="13"/>
  <c r="L24" i="13"/>
  <c r="L24" i="37"/>
  <c r="L31" i="37"/>
  <c r="L23" i="23"/>
  <c r="L26" i="37"/>
  <c r="L26" i="29"/>
  <c r="L30" i="29"/>
  <c r="L32" i="37"/>
  <c r="L31" i="33"/>
  <c r="L23" i="13"/>
  <c r="L23" i="29"/>
  <c r="L33" i="37"/>
  <c r="L32" i="23"/>
  <c r="L25" i="13"/>
  <c r="L33" i="29"/>
  <c r="L25" i="33"/>
  <c r="L30" i="16"/>
  <c r="L26" i="23"/>
  <c r="L32" i="29"/>
  <c r="L33" i="33"/>
  <c r="L30" i="13"/>
  <c r="L30" i="33"/>
  <c r="L25" i="37"/>
  <c r="L23" i="37"/>
  <c r="L32" i="33"/>
  <c r="L30" i="23"/>
  <c r="J9" i="72"/>
  <c r="E31" i="13" l="1"/>
  <c r="E31" i="37"/>
  <c r="E31" i="33"/>
  <c r="E31" i="29"/>
  <c r="E23" i="23"/>
  <c r="E23" i="13"/>
  <c r="E23" i="20"/>
  <c r="E23" i="37"/>
  <c r="E23" i="33"/>
  <c r="E23" i="29"/>
  <c r="E25" i="13"/>
  <c r="E30" i="13"/>
  <c r="E30" i="20"/>
  <c r="E30" i="37"/>
  <c r="E30" i="23"/>
  <c r="E30" i="29"/>
  <c r="E30" i="16"/>
  <c r="E30" i="33"/>
  <c r="E32" i="13"/>
  <c r="E32" i="29"/>
  <c r="E24" i="13"/>
  <c r="E24" i="29"/>
  <c r="E24" i="33"/>
  <c r="E24" i="37"/>
  <c r="K7" i="72"/>
  <c r="K9" i="72"/>
  <c r="L9" i="72" s="1"/>
  <c r="J7" i="72"/>
  <c r="D48" i="72"/>
  <c r="D7" i="72"/>
  <c r="D9" i="72"/>
  <c r="L7" i="72" l="1"/>
  <c r="H25" i="9"/>
  <c r="D47" i="72"/>
  <c r="G25" i="9"/>
  <c r="G61" i="9" s="1"/>
  <c r="B25" i="9"/>
  <c r="M24" i="8" s="1"/>
  <c r="C25" i="9" l="1"/>
  <c r="B61" i="9"/>
  <c r="C61" i="9" l="1"/>
  <c r="D61" i="9" s="1"/>
  <c r="N24" i="8"/>
  <c r="G33" i="4"/>
  <c r="I33" i="4" l="1"/>
  <c r="H33" i="4"/>
  <c r="J33" i="4" l="1"/>
  <c r="C97" i="4" l="1"/>
  <c r="B97" i="4"/>
  <c r="C76" i="4"/>
  <c r="B76" i="4"/>
  <c r="K97" i="37"/>
  <c r="J97" i="37"/>
  <c r="D97" i="29"/>
  <c r="K97" i="33"/>
  <c r="K97" i="29"/>
  <c r="J97" i="13"/>
  <c r="J97" i="33"/>
  <c r="J97" i="29"/>
  <c r="D97" i="37"/>
  <c r="D97" i="13"/>
  <c r="K97" i="13"/>
  <c r="D97" i="33"/>
  <c r="K76" i="37"/>
  <c r="D76" i="33"/>
  <c r="D76" i="37"/>
  <c r="K76" i="29"/>
  <c r="J76" i="13"/>
  <c r="J76" i="37"/>
  <c r="D76" i="29"/>
  <c r="K76" i="33"/>
  <c r="J76" i="33"/>
  <c r="J76" i="29"/>
  <c r="D76" i="13"/>
  <c r="K76" i="13"/>
  <c r="J8" i="37"/>
  <c r="K8" i="37"/>
  <c r="J9" i="37"/>
  <c r="K9" i="37"/>
  <c r="J36" i="37"/>
  <c r="J37" i="37"/>
  <c r="L8" i="37" l="1"/>
  <c r="L9" i="37"/>
  <c r="L76" i="33"/>
  <c r="L97" i="33"/>
  <c r="L97" i="29"/>
  <c r="L76" i="29"/>
  <c r="L76" i="13"/>
  <c r="D97" i="4"/>
  <c r="D76" i="4"/>
  <c r="L97" i="37"/>
  <c r="L76" i="37"/>
  <c r="L97" i="13"/>
  <c r="I97" i="4"/>
  <c r="I76" i="4"/>
  <c r="H34" i="37"/>
  <c r="H116" i="37"/>
  <c r="D114" i="37"/>
  <c r="D116" i="37"/>
  <c r="J124" i="37"/>
  <c r="H76" i="4"/>
  <c r="H97" i="4"/>
  <c r="K12" i="37"/>
  <c r="K7" i="37"/>
  <c r="H113" i="37"/>
  <c r="H117" i="37"/>
  <c r="J88" i="37"/>
  <c r="K75" i="37"/>
  <c r="K108" i="37"/>
  <c r="K96" i="37"/>
  <c r="K67" i="37"/>
  <c r="J35" i="37"/>
  <c r="J10" i="37"/>
  <c r="D7" i="37"/>
  <c r="K137" i="37"/>
  <c r="K135" i="37"/>
  <c r="K134" i="37"/>
  <c r="K122" i="37"/>
  <c r="D122" i="37"/>
  <c r="H114" i="37"/>
  <c r="H112" i="37"/>
  <c r="J121" i="37"/>
  <c r="D137" i="37"/>
  <c r="H121" i="37"/>
  <c r="K114" i="37"/>
  <c r="K107" i="37"/>
  <c r="K99" i="37"/>
  <c r="J125" i="37"/>
  <c r="K116" i="37"/>
  <c r="K78" i="37"/>
  <c r="D8" i="37"/>
  <c r="H108" i="37"/>
  <c r="D67" i="37"/>
  <c r="K110" i="37"/>
  <c r="J86" i="37"/>
  <c r="K28" i="37"/>
  <c r="H7" i="37"/>
  <c r="D135" i="37"/>
  <c r="H124" i="37"/>
  <c r="J110" i="37"/>
  <c r="D108" i="37"/>
  <c r="D28" i="37"/>
  <c r="D125" i="37"/>
  <c r="K113" i="37"/>
  <c r="J108" i="37"/>
  <c r="D34" i="37"/>
  <c r="K10" i="37"/>
  <c r="K125" i="37"/>
  <c r="J117" i="37"/>
  <c r="J113" i="37"/>
  <c r="D110" i="37"/>
  <c r="K136" i="37"/>
  <c r="J134" i="37"/>
  <c r="H35" i="37"/>
  <c r="J28" i="37"/>
  <c r="K11" i="37"/>
  <c r="J122" i="37"/>
  <c r="J116" i="37"/>
  <c r="K109" i="37"/>
  <c r="D35" i="37"/>
  <c r="J12" i="37"/>
  <c r="J7" i="37"/>
  <c r="H75" i="37"/>
  <c r="D48" i="37"/>
  <c r="J137" i="37"/>
  <c r="K121" i="37"/>
  <c r="J67" i="37"/>
  <c r="H125" i="37"/>
  <c r="D124" i="37"/>
  <c r="D109" i="37"/>
  <c r="H96" i="37"/>
  <c r="K88" i="37"/>
  <c r="J34" i="37"/>
  <c r="D9" i="37"/>
  <c r="J107" i="37"/>
  <c r="D107" i="37"/>
  <c r="K124" i="37"/>
  <c r="D99" i="37"/>
  <c r="D134" i="37"/>
  <c r="D120" i="37"/>
  <c r="J78" i="37"/>
  <c r="D78" i="37"/>
  <c r="J75" i="37"/>
  <c r="D75" i="37"/>
  <c r="J112" i="37"/>
  <c r="D112" i="37"/>
  <c r="J109" i="37"/>
  <c r="J135" i="37"/>
  <c r="D136" i="37"/>
  <c r="K120" i="37"/>
  <c r="J99" i="37"/>
  <c r="J96" i="37"/>
  <c r="D96" i="37"/>
  <c r="K86" i="37"/>
  <c r="J136" i="37"/>
  <c r="J120" i="37"/>
  <c r="J114" i="37"/>
  <c r="H109" i="37"/>
  <c r="D86" i="37"/>
  <c r="K117" i="37"/>
  <c r="K112" i="37"/>
  <c r="D88" i="37"/>
  <c r="H11" i="37"/>
  <c r="D10" i="37"/>
  <c r="K35" i="37"/>
  <c r="D57" i="37"/>
  <c r="D54" i="37"/>
  <c r="K34" i="37"/>
  <c r="H12" i="37"/>
  <c r="K37" i="37"/>
  <c r="D37" i="37"/>
  <c r="H10" i="37"/>
  <c r="K36" i="37"/>
  <c r="D36" i="37"/>
  <c r="J11" i="37"/>
  <c r="L122" i="37" l="1"/>
  <c r="J76" i="4"/>
  <c r="L114" i="37"/>
  <c r="D77" i="37"/>
  <c r="H29" i="37"/>
  <c r="J29" i="37"/>
  <c r="D100" i="37"/>
  <c r="K98" i="37"/>
  <c r="K77" i="37"/>
  <c r="J79" i="37"/>
  <c r="L110" i="37"/>
  <c r="J97" i="4"/>
  <c r="J100" i="37"/>
  <c r="J66" i="37"/>
  <c r="L116" i="37"/>
  <c r="D89" i="37"/>
  <c r="K22" i="37"/>
  <c r="D49" i="37"/>
  <c r="J22" i="37"/>
  <c r="H22" i="37"/>
  <c r="K29" i="37"/>
  <c r="D29" i="37"/>
  <c r="D22" i="37"/>
  <c r="D87" i="37"/>
  <c r="D56" i="37"/>
  <c r="L88" i="37"/>
  <c r="L124" i="37"/>
  <c r="L12" i="37"/>
  <c r="L78" i="37"/>
  <c r="K111" i="37"/>
  <c r="L7" i="37"/>
  <c r="L135" i="37"/>
  <c r="D53" i="37"/>
  <c r="L28" i="37"/>
  <c r="L136" i="37"/>
  <c r="L96" i="37"/>
  <c r="L34" i="37"/>
  <c r="L109" i="37"/>
  <c r="L67" i="37"/>
  <c r="L99" i="37"/>
  <c r="L108" i="37"/>
  <c r="L134" i="37"/>
  <c r="L10" i="37"/>
  <c r="D47" i="37"/>
  <c r="L107" i="37"/>
  <c r="L75" i="37"/>
  <c r="K119" i="37"/>
  <c r="H111" i="37"/>
  <c r="L86" i="37"/>
  <c r="L121" i="37"/>
  <c r="H119" i="37"/>
  <c r="L137" i="37"/>
  <c r="L35" i="37"/>
  <c r="L120" i="37"/>
  <c r="L11" i="37"/>
  <c r="D119" i="37"/>
  <c r="L117" i="37"/>
  <c r="L125" i="37"/>
  <c r="L113" i="37"/>
  <c r="J111" i="37"/>
  <c r="D111" i="37"/>
  <c r="D66" i="37"/>
  <c r="D98" i="37"/>
  <c r="J119" i="37"/>
  <c r="L112" i="37"/>
  <c r="L29" i="37" l="1"/>
  <c r="K79" i="37"/>
  <c r="L79" i="37" s="1"/>
  <c r="K100" i="37"/>
  <c r="L100" i="37" s="1"/>
  <c r="K87" i="37"/>
  <c r="K89" i="37"/>
  <c r="H68" i="37"/>
  <c r="H79" i="37"/>
  <c r="H100" i="37"/>
  <c r="H77" i="37"/>
  <c r="H98" i="37"/>
  <c r="L22" i="37"/>
  <c r="J68" i="37"/>
  <c r="K68" i="37"/>
  <c r="H89" i="37"/>
  <c r="J89" i="37"/>
  <c r="L111" i="37"/>
  <c r="L119" i="37"/>
  <c r="H87" i="37" l="1"/>
  <c r="L89" i="37"/>
  <c r="J98" i="37"/>
  <c r="L98" i="37" s="1"/>
  <c r="J77" i="37"/>
  <c r="L77" i="37" s="1"/>
  <c r="L68" i="37"/>
  <c r="J87" i="37"/>
  <c r="L87" i="37" s="1"/>
  <c r="H66" i="37"/>
  <c r="K66" i="37"/>
  <c r="L66" i="37" s="1"/>
  <c r="G31" i="4" l="1"/>
  <c r="G23" i="4" l="1"/>
  <c r="G24" i="4"/>
  <c r="G30" i="4"/>
  <c r="G25" i="4"/>
  <c r="G32" i="4"/>
  <c r="D32" i="4"/>
  <c r="D24" i="4"/>
  <c r="I23" i="37"/>
  <c r="I25" i="37"/>
  <c r="I30" i="37"/>
  <c r="I31" i="37"/>
  <c r="G26" i="4"/>
  <c r="D25" i="4"/>
  <c r="I24" i="37"/>
  <c r="I32" i="37"/>
  <c r="D30" i="4"/>
  <c r="D31" i="4"/>
  <c r="E29" i="23" l="1"/>
  <c r="E29" i="29"/>
  <c r="E29" i="33"/>
  <c r="E29" i="16"/>
  <c r="E29" i="20"/>
  <c r="E29" i="51"/>
  <c r="E29" i="37"/>
  <c r="E29" i="13"/>
  <c r="D23" i="4"/>
  <c r="I26" i="4"/>
  <c r="H26" i="4"/>
  <c r="F26" i="10"/>
  <c r="F16" i="10"/>
  <c r="F34" i="10"/>
  <c r="I26" i="29"/>
  <c r="I26" i="23"/>
  <c r="I26" i="33"/>
  <c r="I26" i="37"/>
  <c r="G34" i="10"/>
  <c r="M26" i="29" l="1"/>
  <c r="J26" i="4"/>
  <c r="M26" i="23"/>
  <c r="M26" i="37"/>
  <c r="M26" i="33"/>
  <c r="G56" i="10" l="1"/>
  <c r="G60" i="10"/>
  <c r="F60" i="10" l="1"/>
  <c r="F56" i="10"/>
  <c r="K28" i="10" l="1"/>
  <c r="J28" i="10"/>
  <c r="K9" i="33" l="1"/>
  <c r="K9" i="29"/>
  <c r="K8" i="51"/>
  <c r="K8" i="29"/>
  <c r="K8" i="33"/>
  <c r="K9" i="51"/>
  <c r="K8" i="25"/>
  <c r="K9" i="25"/>
  <c r="K8" i="22"/>
  <c r="K9" i="22"/>
  <c r="K9" i="20"/>
  <c r="K8" i="20"/>
  <c r="K8" i="19"/>
  <c r="J36" i="13"/>
  <c r="K9" i="19"/>
  <c r="K39" i="13"/>
  <c r="K37" i="13"/>
  <c r="J39" i="13"/>
  <c r="J37" i="13"/>
  <c r="K36" i="13"/>
  <c r="K8" i="13"/>
  <c r="K9" i="13"/>
  <c r="D22" i="16"/>
  <c r="B135" i="4" l="1"/>
  <c r="B25" i="10" s="1"/>
  <c r="C110" i="4"/>
  <c r="N22" i="8"/>
  <c r="C59" i="9"/>
  <c r="F7" i="4"/>
  <c r="F134" i="4"/>
  <c r="E135" i="4"/>
  <c r="F25" i="10" s="1"/>
  <c r="C107" i="4"/>
  <c r="E121" i="4"/>
  <c r="C88" i="4"/>
  <c r="E86" i="4"/>
  <c r="F68" i="4"/>
  <c r="E34" i="4"/>
  <c r="F31" i="10" s="1"/>
  <c r="E134" i="4"/>
  <c r="F15" i="10" s="1"/>
  <c r="C68" i="4"/>
  <c r="B116" i="4"/>
  <c r="F86" i="4"/>
  <c r="B114" i="4"/>
  <c r="C121" i="4"/>
  <c r="B68" i="4"/>
  <c r="B13" i="10" s="1"/>
  <c r="F125" i="4"/>
  <c r="E11" i="4"/>
  <c r="F30" i="10" s="1"/>
  <c r="C112" i="4"/>
  <c r="F79" i="4"/>
  <c r="B107" i="4"/>
  <c r="C134" i="4"/>
  <c r="F114" i="4"/>
  <c r="B109" i="4"/>
  <c r="E107" i="4"/>
  <c r="C8" i="4"/>
  <c r="E117" i="4"/>
  <c r="E12" i="4"/>
  <c r="F41" i="10" s="1"/>
  <c r="C96" i="4"/>
  <c r="C89" i="4"/>
  <c r="E136" i="4"/>
  <c r="C137" i="4"/>
  <c r="B88" i="4"/>
  <c r="B9" i="10"/>
  <c r="B55" i="4"/>
  <c r="B57" i="4"/>
  <c r="E7" i="4"/>
  <c r="F9" i="10" s="1"/>
  <c r="F10" i="4"/>
  <c r="E114" i="4"/>
  <c r="C86" i="4"/>
  <c r="F135" i="4"/>
  <c r="E79" i="4"/>
  <c r="C67" i="4"/>
  <c r="C108" i="4"/>
  <c r="C125" i="4"/>
  <c r="E116" i="4"/>
  <c r="F124" i="4"/>
  <c r="C10" i="4"/>
  <c r="B12" i="4"/>
  <c r="B41" i="10" s="1"/>
  <c r="B10" i="4"/>
  <c r="B20" i="10" s="1"/>
  <c r="F34" i="4"/>
  <c r="B36" i="4"/>
  <c r="B16" i="10" s="1"/>
  <c r="C99" i="4"/>
  <c r="C34" i="4"/>
  <c r="C12" i="4"/>
  <c r="E10" i="4"/>
  <c r="F20" i="10" s="1"/>
  <c r="B86" i="4"/>
  <c r="F137" i="4"/>
  <c r="B54" i="4"/>
  <c r="B89" i="4"/>
  <c r="B23" i="10" s="1"/>
  <c r="B110" i="4"/>
  <c r="F109" i="4"/>
  <c r="F116" i="4"/>
  <c r="C28" i="4"/>
  <c r="C39" i="4"/>
  <c r="C75" i="4"/>
  <c r="E75" i="4"/>
  <c r="F14" i="10" s="1"/>
  <c r="F96" i="4"/>
  <c r="C57" i="4"/>
  <c r="B34" i="4"/>
  <c r="C114" i="4"/>
  <c r="E137" i="4"/>
  <c r="B8" i="4"/>
  <c r="F107" i="4"/>
  <c r="F12" i="4"/>
  <c r="C11" i="4"/>
  <c r="E96" i="4"/>
  <c r="F24" i="10" s="1"/>
  <c r="C79" i="4"/>
  <c r="E100" i="4"/>
  <c r="B108" i="4"/>
  <c r="C124" i="4"/>
  <c r="F117" i="4"/>
  <c r="C116" i="4"/>
  <c r="F113" i="4"/>
  <c r="C120" i="4"/>
  <c r="B39" i="4"/>
  <c r="B35" i="4"/>
  <c r="B11" i="4"/>
  <c r="B30" i="10" s="1"/>
  <c r="F112" i="4"/>
  <c r="C35" i="4"/>
  <c r="E48" i="81"/>
  <c r="F89" i="4"/>
  <c r="F100" i="4"/>
  <c r="E109" i="4"/>
  <c r="E108" i="4"/>
  <c r="B28" i="4"/>
  <c r="B75" i="4"/>
  <c r="B14" i="10" s="1"/>
  <c r="E113" i="4"/>
  <c r="B134" i="4"/>
  <c r="B15" i="10" s="1"/>
  <c r="C9" i="4"/>
  <c r="F11" i="4"/>
  <c r="B37" i="4"/>
  <c r="B26" i="10" s="1"/>
  <c r="C37" i="4"/>
  <c r="E35" i="4"/>
  <c r="F42" i="10" s="1"/>
  <c r="B96" i="4"/>
  <c r="B24" i="10" s="1"/>
  <c r="C54" i="4"/>
  <c r="B120" i="4"/>
  <c r="C100" i="4"/>
  <c r="B79" i="4"/>
  <c r="F108" i="4"/>
  <c r="F136" i="4"/>
  <c r="B137" i="4"/>
  <c r="B44" i="10" s="1"/>
  <c r="C55" i="4"/>
  <c r="B112" i="4"/>
  <c r="B99" i="4"/>
  <c r="C122" i="4"/>
  <c r="C135" i="4"/>
  <c r="B78" i="4"/>
  <c r="F121" i="4"/>
  <c r="E112" i="4"/>
  <c r="F35" i="4"/>
  <c r="B122" i="4"/>
  <c r="B67" i="4"/>
  <c r="E89" i="4"/>
  <c r="B124" i="4"/>
  <c r="B125" i="4"/>
  <c r="C7" i="4"/>
  <c r="B9" i="4"/>
  <c r="C36" i="4"/>
  <c r="B121" i="4"/>
  <c r="C136" i="4"/>
  <c r="F75" i="4"/>
  <c r="C78" i="4"/>
  <c r="B136" i="4"/>
  <c r="B33" i="10" s="1"/>
  <c r="E68" i="4"/>
  <c r="B100" i="4"/>
  <c r="E125" i="4"/>
  <c r="G125" i="4" s="1"/>
  <c r="C109" i="4"/>
  <c r="E124" i="4"/>
  <c r="G15" i="9"/>
  <c r="G51" i="9" s="1"/>
  <c r="H38" i="9"/>
  <c r="C36" i="9"/>
  <c r="H37" i="9"/>
  <c r="G36" i="9"/>
  <c r="H17" i="9"/>
  <c r="N60" i="8" s="1"/>
  <c r="G16" i="9"/>
  <c r="M59" i="8" s="1"/>
  <c r="G13" i="9"/>
  <c r="G14" i="9"/>
  <c r="C35" i="9"/>
  <c r="B39" i="9"/>
  <c r="C39" i="9"/>
  <c r="G19" i="9"/>
  <c r="M62" i="8" s="1"/>
  <c r="C38" i="9"/>
  <c r="H13" i="9"/>
  <c r="G10" i="9"/>
  <c r="G18" i="9"/>
  <c r="M61" i="8" s="1"/>
  <c r="H18" i="9"/>
  <c r="G22" i="9"/>
  <c r="M65" i="8" s="1"/>
  <c r="H35" i="9"/>
  <c r="H9" i="9"/>
  <c r="H36" i="9"/>
  <c r="G9" i="9"/>
  <c r="H10" i="9"/>
  <c r="N54" i="8" s="1"/>
  <c r="C37" i="9"/>
  <c r="G20" i="9"/>
  <c r="G17" i="9"/>
  <c r="G24" i="9"/>
  <c r="H39" i="9"/>
  <c r="G26" i="9"/>
  <c r="M68" i="8" s="1"/>
  <c r="G28" i="9"/>
  <c r="M70" i="8" s="1"/>
  <c r="G35" i="9"/>
  <c r="H20" i="9"/>
  <c r="N63" i="8" s="1"/>
  <c r="B35" i="9"/>
  <c r="B38" i="9"/>
  <c r="K135" i="26"/>
  <c r="H29" i="29"/>
  <c r="K121" i="13"/>
  <c r="H121" i="33"/>
  <c r="H125" i="33"/>
  <c r="H68" i="29"/>
  <c r="K113" i="33"/>
  <c r="H29" i="13"/>
  <c r="K12" i="29"/>
  <c r="J86" i="29"/>
  <c r="K108" i="33"/>
  <c r="H22" i="33"/>
  <c r="K68" i="33"/>
  <c r="H35" i="29"/>
  <c r="H34" i="13"/>
  <c r="K22" i="51"/>
  <c r="K135" i="34"/>
  <c r="K134" i="26"/>
  <c r="K113" i="29"/>
  <c r="H100" i="29"/>
  <c r="K137" i="26"/>
  <c r="J79" i="29"/>
  <c r="K28" i="51"/>
  <c r="H89" i="29"/>
  <c r="K12" i="33"/>
  <c r="K116" i="33"/>
  <c r="K29" i="51"/>
  <c r="H34" i="33"/>
  <c r="H12" i="33"/>
  <c r="H125" i="29"/>
  <c r="K108" i="23"/>
  <c r="K22" i="23"/>
  <c r="H107" i="23"/>
  <c r="K107" i="33"/>
  <c r="K100" i="33"/>
  <c r="K75" i="33"/>
  <c r="K122" i="33"/>
  <c r="K114" i="33"/>
  <c r="H29" i="33"/>
  <c r="H75" i="33"/>
  <c r="D49" i="19"/>
  <c r="D37" i="13"/>
  <c r="K89" i="23"/>
  <c r="K68" i="23"/>
  <c r="H135" i="26"/>
  <c r="H22" i="29"/>
  <c r="H96" i="33"/>
  <c r="H117" i="33"/>
  <c r="K28" i="25"/>
  <c r="K96" i="33"/>
  <c r="H35" i="33"/>
  <c r="K117" i="33"/>
  <c r="K28" i="23"/>
  <c r="K89" i="33"/>
  <c r="D57" i="16"/>
  <c r="D28" i="16"/>
  <c r="D29" i="16"/>
  <c r="D9" i="16"/>
  <c r="D10" i="16"/>
  <c r="D54" i="16"/>
  <c r="D8" i="16"/>
  <c r="D49" i="16"/>
  <c r="D7" i="16"/>
  <c r="D48" i="16"/>
  <c r="H100" i="23"/>
  <c r="B21" i="10"/>
  <c r="K109" i="23"/>
  <c r="K34" i="13"/>
  <c r="K107" i="13"/>
  <c r="K121" i="23"/>
  <c r="H109" i="23"/>
  <c r="H22" i="23"/>
  <c r="H100" i="33"/>
  <c r="H68" i="33"/>
  <c r="K125" i="33"/>
  <c r="D49" i="39"/>
  <c r="K7" i="13"/>
  <c r="K7" i="19"/>
  <c r="K10" i="29"/>
  <c r="H7" i="23"/>
  <c r="H7" i="29"/>
  <c r="H7" i="33"/>
  <c r="K10" i="33"/>
  <c r="H10" i="13"/>
  <c r="K7" i="23"/>
  <c r="K11" i="33"/>
  <c r="K7" i="29"/>
  <c r="H11" i="13"/>
  <c r="K22" i="13"/>
  <c r="K29" i="13"/>
  <c r="H79" i="13"/>
  <c r="K100" i="13"/>
  <c r="K116" i="13"/>
  <c r="K10" i="13"/>
  <c r="H121" i="13"/>
  <c r="K7" i="20"/>
  <c r="K10" i="20"/>
  <c r="D49" i="26"/>
  <c r="K11" i="29"/>
  <c r="H113" i="29"/>
  <c r="K7" i="33"/>
  <c r="H89" i="33"/>
  <c r="H107" i="33"/>
  <c r="K121" i="33"/>
  <c r="H89" i="13"/>
  <c r="K109" i="13"/>
  <c r="K67" i="13"/>
  <c r="K11" i="13"/>
  <c r="H113" i="33"/>
  <c r="H12" i="23"/>
  <c r="H86" i="23"/>
  <c r="H136" i="26"/>
  <c r="K28" i="29"/>
  <c r="K34" i="29"/>
  <c r="H134" i="26"/>
  <c r="K117" i="29"/>
  <c r="H79" i="23"/>
  <c r="H89" i="23"/>
  <c r="H117" i="23"/>
  <c r="K35" i="29"/>
  <c r="H117" i="29"/>
  <c r="K28" i="19"/>
  <c r="H40" i="9"/>
  <c r="D39" i="13"/>
  <c r="H22" i="13"/>
  <c r="H7" i="13"/>
  <c r="K35" i="13"/>
  <c r="K108" i="13"/>
  <c r="K12" i="13"/>
  <c r="H107" i="13"/>
  <c r="C40" i="9"/>
  <c r="D48" i="13"/>
  <c r="J10" i="13"/>
  <c r="D10" i="13"/>
  <c r="K28" i="13"/>
  <c r="K68" i="13"/>
  <c r="K112" i="13"/>
  <c r="K117" i="13"/>
  <c r="H35" i="13"/>
  <c r="H109" i="13"/>
  <c r="J89" i="13"/>
  <c r="D89" i="13"/>
  <c r="D11" i="13"/>
  <c r="J11" i="13"/>
  <c r="J9" i="19"/>
  <c r="L9" i="19" s="1"/>
  <c r="D9" i="19"/>
  <c r="K113" i="13"/>
  <c r="J9" i="13"/>
  <c r="L9" i="13" s="1"/>
  <c r="D9" i="13"/>
  <c r="H68" i="13"/>
  <c r="J88" i="13"/>
  <c r="D88" i="13"/>
  <c r="H100" i="13"/>
  <c r="H12" i="13"/>
  <c r="D78" i="13"/>
  <c r="J78" i="13"/>
  <c r="J12" i="13"/>
  <c r="D12" i="13"/>
  <c r="K120" i="13"/>
  <c r="K88" i="13"/>
  <c r="H117" i="13"/>
  <c r="D48" i="19"/>
  <c r="D35" i="13"/>
  <c r="J35" i="13"/>
  <c r="J68" i="13"/>
  <c r="K86" i="13"/>
  <c r="K89" i="13"/>
  <c r="J107" i="13"/>
  <c r="D107" i="13"/>
  <c r="D112" i="13"/>
  <c r="J112" i="13"/>
  <c r="J117" i="13"/>
  <c r="D86" i="13"/>
  <c r="J86" i="13"/>
  <c r="J125" i="13"/>
  <c r="D8" i="20"/>
  <c r="J8" i="20"/>
  <c r="L8" i="20" s="1"/>
  <c r="J79" i="13"/>
  <c r="D99" i="13"/>
  <c r="J99" i="13"/>
  <c r="J124" i="13"/>
  <c r="D124" i="13"/>
  <c r="H108" i="13"/>
  <c r="H113" i="13"/>
  <c r="D36" i="13"/>
  <c r="D54" i="13"/>
  <c r="D108" i="13"/>
  <c r="J108" i="13"/>
  <c r="J113" i="13"/>
  <c r="K124" i="13"/>
  <c r="J7" i="20"/>
  <c r="D7" i="20"/>
  <c r="J7" i="13"/>
  <c r="D7" i="13"/>
  <c r="D22" i="13"/>
  <c r="J22" i="13"/>
  <c r="J29" i="13"/>
  <c r="D29" i="13"/>
  <c r="D57" i="13"/>
  <c r="K78" i="13"/>
  <c r="K99" i="13"/>
  <c r="D109" i="13"/>
  <c r="J109" i="13"/>
  <c r="J120" i="13"/>
  <c r="D120" i="13"/>
  <c r="H125" i="13"/>
  <c r="J10" i="20"/>
  <c r="D10" i="20"/>
  <c r="J7" i="19"/>
  <c r="D7" i="19"/>
  <c r="J28" i="20"/>
  <c r="D28" i="20"/>
  <c r="D54" i="22"/>
  <c r="D22" i="23"/>
  <c r="J22" i="23"/>
  <c r="D28" i="25"/>
  <c r="J28" i="25"/>
  <c r="J112" i="23"/>
  <c r="D112" i="23"/>
  <c r="D8" i="22"/>
  <c r="J8" i="22"/>
  <c r="L8" i="22" s="1"/>
  <c r="D29" i="23"/>
  <c r="J29" i="23"/>
  <c r="K112" i="23"/>
  <c r="J22" i="51"/>
  <c r="D22" i="51"/>
  <c r="K11" i="23"/>
  <c r="K35" i="23"/>
  <c r="D107" i="23"/>
  <c r="J107" i="23"/>
  <c r="J117" i="23"/>
  <c r="D48" i="25"/>
  <c r="D9" i="22"/>
  <c r="J9" i="22"/>
  <c r="L9" i="22" s="1"/>
  <c r="K12" i="23"/>
  <c r="K67" i="23"/>
  <c r="D78" i="23"/>
  <c r="K78" i="23"/>
  <c r="J108" i="23"/>
  <c r="D108" i="23"/>
  <c r="H113" i="23"/>
  <c r="D67" i="29"/>
  <c r="K67" i="29"/>
  <c r="J75" i="33"/>
  <c r="D75" i="33"/>
  <c r="D48" i="51"/>
  <c r="D54" i="40"/>
  <c r="J28" i="29"/>
  <c r="D28" i="29"/>
  <c r="D136" i="26"/>
  <c r="J136" i="26"/>
  <c r="D7" i="29"/>
  <c r="J7" i="29"/>
  <c r="J12" i="29"/>
  <c r="H12" i="29"/>
  <c r="J109" i="29"/>
  <c r="D109" i="29"/>
  <c r="K120" i="29"/>
  <c r="D68" i="29"/>
  <c r="J68" i="29"/>
  <c r="D86" i="29"/>
  <c r="K86" i="29"/>
  <c r="K89" i="29"/>
  <c r="K107" i="29"/>
  <c r="H121" i="29"/>
  <c r="J10" i="33"/>
  <c r="D10" i="33"/>
  <c r="J68" i="33"/>
  <c r="D68" i="33"/>
  <c r="K78" i="33"/>
  <c r="K77" i="33"/>
  <c r="K112" i="33"/>
  <c r="J8" i="33"/>
  <c r="L8" i="33" s="1"/>
  <c r="D8" i="33"/>
  <c r="H11" i="33"/>
  <c r="K35" i="33"/>
  <c r="D96" i="33"/>
  <c r="J96" i="33"/>
  <c r="J108" i="33"/>
  <c r="D108" i="33"/>
  <c r="K110" i="33"/>
  <c r="D116" i="33"/>
  <c r="D54" i="39"/>
  <c r="J8" i="13"/>
  <c r="L8" i="13" s="1"/>
  <c r="D8" i="13"/>
  <c r="J28" i="13"/>
  <c r="D28" i="13"/>
  <c r="J34" i="13"/>
  <c r="D34" i="13"/>
  <c r="D67" i="13"/>
  <c r="J67" i="13"/>
  <c r="K79" i="13"/>
  <c r="D100" i="13"/>
  <c r="J100" i="13"/>
  <c r="J116" i="13"/>
  <c r="D116" i="13"/>
  <c r="J121" i="13"/>
  <c r="K125" i="13"/>
  <c r="J8" i="19"/>
  <c r="L8" i="19" s="1"/>
  <c r="D8" i="19"/>
  <c r="D57" i="22"/>
  <c r="J9" i="20"/>
  <c r="L9" i="20" s="1"/>
  <c r="D9" i="20"/>
  <c r="K22" i="20"/>
  <c r="K29" i="20"/>
  <c r="J113" i="23"/>
  <c r="K7" i="22"/>
  <c r="D49" i="22"/>
  <c r="J10" i="23"/>
  <c r="J34" i="23"/>
  <c r="K113" i="23"/>
  <c r="J125" i="23"/>
  <c r="J7" i="25"/>
  <c r="D7" i="25"/>
  <c r="D29" i="51"/>
  <c r="J29" i="51"/>
  <c r="J12" i="23"/>
  <c r="J78" i="23"/>
  <c r="H29" i="23"/>
  <c r="J68" i="23"/>
  <c r="K79" i="23"/>
  <c r="J88" i="23"/>
  <c r="D88" i="23"/>
  <c r="K99" i="23"/>
  <c r="J109" i="23"/>
  <c r="K120" i="23"/>
  <c r="D48" i="40"/>
  <c r="J29" i="29"/>
  <c r="D29" i="29"/>
  <c r="D137" i="34"/>
  <c r="D134" i="26"/>
  <c r="J134" i="26"/>
  <c r="D137" i="26"/>
  <c r="J137" i="26"/>
  <c r="K7" i="51"/>
  <c r="K10" i="51"/>
  <c r="J78" i="29"/>
  <c r="D78" i="29"/>
  <c r="J22" i="29"/>
  <c r="D22" i="29"/>
  <c r="K68" i="29"/>
  <c r="J88" i="29"/>
  <c r="D88" i="29"/>
  <c r="J11" i="33"/>
  <c r="J121" i="29"/>
  <c r="J134" i="34"/>
  <c r="D134" i="34"/>
  <c r="K108" i="29"/>
  <c r="D48" i="34"/>
  <c r="H107" i="29"/>
  <c r="J117" i="29"/>
  <c r="J135" i="34"/>
  <c r="D135" i="34"/>
  <c r="J9" i="33"/>
  <c r="L9" i="33" s="1"/>
  <c r="D9" i="33"/>
  <c r="J78" i="33"/>
  <c r="D78" i="33"/>
  <c r="J22" i="33"/>
  <c r="D22" i="33"/>
  <c r="J29" i="33"/>
  <c r="D29" i="33"/>
  <c r="J67" i="33"/>
  <c r="K79" i="33"/>
  <c r="J99" i="33"/>
  <c r="D99" i="33"/>
  <c r="D109" i="33"/>
  <c r="J109" i="33"/>
  <c r="D48" i="38"/>
  <c r="G40" i="9"/>
  <c r="J112" i="33"/>
  <c r="D112" i="33"/>
  <c r="J117" i="33"/>
  <c r="D48" i="39"/>
  <c r="K28" i="20"/>
  <c r="J28" i="23"/>
  <c r="D28" i="23"/>
  <c r="D48" i="21"/>
  <c r="D57" i="25"/>
  <c r="J11" i="23"/>
  <c r="J35" i="23"/>
  <c r="J8" i="25"/>
  <c r="L8" i="25" s="1"/>
  <c r="D8" i="25"/>
  <c r="J9" i="51"/>
  <c r="L9" i="51" s="1"/>
  <c r="D9" i="51"/>
  <c r="K29" i="23"/>
  <c r="J67" i="23"/>
  <c r="D67" i="23"/>
  <c r="J79" i="23"/>
  <c r="J99" i="23"/>
  <c r="D99" i="23"/>
  <c r="J120" i="23"/>
  <c r="D120" i="23"/>
  <c r="K125" i="23"/>
  <c r="K7" i="25"/>
  <c r="D48" i="22"/>
  <c r="H10" i="23"/>
  <c r="H34" i="23"/>
  <c r="K86" i="23"/>
  <c r="J89" i="23"/>
  <c r="K100" i="23"/>
  <c r="K116" i="23"/>
  <c r="J121" i="23"/>
  <c r="H125" i="23"/>
  <c r="D54" i="25"/>
  <c r="J7" i="51"/>
  <c r="D7" i="51"/>
  <c r="D10" i="51"/>
  <c r="J10" i="51"/>
  <c r="J34" i="29"/>
  <c r="D34" i="29"/>
  <c r="D10" i="29"/>
  <c r="J10" i="29"/>
  <c r="J89" i="29"/>
  <c r="D89" i="29"/>
  <c r="H10" i="29"/>
  <c r="K22" i="29"/>
  <c r="K29" i="29"/>
  <c r="J120" i="29"/>
  <c r="D120" i="29"/>
  <c r="J107" i="29"/>
  <c r="D107" i="29"/>
  <c r="K137" i="34"/>
  <c r="K78" i="29"/>
  <c r="K99" i="29"/>
  <c r="K109" i="29"/>
  <c r="J125" i="29"/>
  <c r="K134" i="34"/>
  <c r="H27" i="9"/>
  <c r="N69" i="8" s="1"/>
  <c r="H79" i="29"/>
  <c r="J113" i="29"/>
  <c r="K125" i="29"/>
  <c r="D67" i="33"/>
  <c r="K67" i="33"/>
  <c r="J79" i="33"/>
  <c r="D79" i="33"/>
  <c r="J34" i="33"/>
  <c r="K86" i="33"/>
  <c r="D122" i="33"/>
  <c r="J122" i="33"/>
  <c r="K22" i="33"/>
  <c r="K29" i="33"/>
  <c r="H79" i="33"/>
  <c r="J88" i="33"/>
  <c r="D88" i="33"/>
  <c r="J100" i="33"/>
  <c r="D100" i="33"/>
  <c r="K120" i="33"/>
  <c r="J113" i="33"/>
  <c r="D57" i="39"/>
  <c r="J22" i="20"/>
  <c r="D22" i="20"/>
  <c r="J29" i="20"/>
  <c r="D29" i="20"/>
  <c r="D48" i="20"/>
  <c r="J7" i="23"/>
  <c r="D28" i="19"/>
  <c r="J28" i="19"/>
  <c r="L28" i="19" s="1"/>
  <c r="K88" i="23"/>
  <c r="J35" i="29"/>
  <c r="D7" i="22"/>
  <c r="J7" i="22"/>
  <c r="H121" i="23"/>
  <c r="K10" i="23"/>
  <c r="K34" i="23"/>
  <c r="H68" i="23"/>
  <c r="D86" i="23"/>
  <c r="J86" i="23"/>
  <c r="J100" i="23"/>
  <c r="D116" i="23"/>
  <c r="J116" i="23"/>
  <c r="J28" i="51"/>
  <c r="D28" i="51"/>
  <c r="H11" i="23"/>
  <c r="H35" i="23"/>
  <c r="K107" i="23"/>
  <c r="K117" i="23"/>
  <c r="J9" i="25"/>
  <c r="L9" i="25" s="1"/>
  <c r="D9" i="25"/>
  <c r="K136" i="26"/>
  <c r="J8" i="51"/>
  <c r="L8" i="51" s="1"/>
  <c r="D8" i="51"/>
  <c r="D135" i="26"/>
  <c r="J135" i="26"/>
  <c r="D57" i="40"/>
  <c r="J8" i="29"/>
  <c r="L8" i="29" s="1"/>
  <c r="D8" i="29"/>
  <c r="J11" i="29"/>
  <c r="J99" i="29"/>
  <c r="D99" i="29"/>
  <c r="D120" i="33"/>
  <c r="J120" i="33"/>
  <c r="D9" i="29"/>
  <c r="J9" i="29"/>
  <c r="L9" i="29" s="1"/>
  <c r="H11" i="29"/>
  <c r="H34" i="29"/>
  <c r="J100" i="29"/>
  <c r="D100" i="29"/>
  <c r="J108" i="29"/>
  <c r="D108" i="29"/>
  <c r="J12" i="33"/>
  <c r="D125" i="33"/>
  <c r="J125" i="33"/>
  <c r="J67" i="29"/>
  <c r="D79" i="29"/>
  <c r="K79" i="29"/>
  <c r="K88" i="29"/>
  <c r="K100" i="29"/>
  <c r="K121" i="29"/>
  <c r="K99" i="33"/>
  <c r="H86" i="29"/>
  <c r="H109" i="29"/>
  <c r="K88" i="33"/>
  <c r="J86" i="33"/>
  <c r="D121" i="33"/>
  <c r="J121" i="33"/>
  <c r="J35" i="33"/>
  <c r="D35" i="33"/>
  <c r="J7" i="33"/>
  <c r="D7" i="33"/>
  <c r="H10" i="33"/>
  <c r="K34" i="33"/>
  <c r="H86" i="33"/>
  <c r="J89" i="33"/>
  <c r="D89" i="33"/>
  <c r="J107" i="33"/>
  <c r="J110" i="33"/>
  <c r="D110" i="33"/>
  <c r="K109" i="33"/>
  <c r="H109" i="33"/>
  <c r="J114" i="33"/>
  <c r="D114" i="33"/>
  <c r="G27" i="9"/>
  <c r="M69" i="8" s="1"/>
  <c r="B10" i="10"/>
  <c r="F21" i="10"/>
  <c r="F10" i="10"/>
  <c r="K9" i="16"/>
  <c r="K8" i="16"/>
  <c r="K22" i="16"/>
  <c r="K7" i="16"/>
  <c r="J8" i="16"/>
  <c r="J9" i="16"/>
  <c r="J22" i="16"/>
  <c r="J28" i="16"/>
  <c r="J29" i="16"/>
  <c r="K10" i="16"/>
  <c r="K29" i="16"/>
  <c r="J10" i="16"/>
  <c r="J7" i="16"/>
  <c r="K28" i="16"/>
  <c r="G109" i="4" l="1"/>
  <c r="H77" i="29"/>
  <c r="G112" i="4"/>
  <c r="G89" i="4"/>
  <c r="E36" i="37"/>
  <c r="E36" i="79"/>
  <c r="E37" i="37"/>
  <c r="E37" i="79"/>
  <c r="E57" i="16"/>
  <c r="G79" i="4"/>
  <c r="G114" i="4"/>
  <c r="G68" i="4"/>
  <c r="G116" i="4"/>
  <c r="G113" i="4"/>
  <c r="G107" i="4"/>
  <c r="G24" i="10"/>
  <c r="C25" i="10"/>
  <c r="G23" i="10"/>
  <c r="C15" i="10"/>
  <c r="G15" i="10"/>
  <c r="C16" i="10"/>
  <c r="C14" i="10"/>
  <c r="G20" i="10"/>
  <c r="G13" i="10"/>
  <c r="G9" i="10"/>
  <c r="C26" i="10"/>
  <c r="N66" i="8"/>
  <c r="H59" i="9"/>
  <c r="C9" i="10"/>
  <c r="C23" i="10"/>
  <c r="C20" i="10"/>
  <c r="C24" i="10"/>
  <c r="C13" i="10"/>
  <c r="G14" i="10"/>
  <c r="G25" i="10"/>
  <c r="G117" i="4"/>
  <c r="D47" i="19"/>
  <c r="G124" i="4"/>
  <c r="E77" i="4"/>
  <c r="B66" i="4"/>
  <c r="E87" i="4"/>
  <c r="C56" i="4"/>
  <c r="F119" i="4"/>
  <c r="B119" i="4"/>
  <c r="B43" i="10" s="1"/>
  <c r="B11" i="10"/>
  <c r="C119" i="4"/>
  <c r="F98" i="4"/>
  <c r="F77" i="4"/>
  <c r="C66" i="4"/>
  <c r="F87" i="4"/>
  <c r="C53" i="4"/>
  <c r="C77" i="4"/>
  <c r="E98" i="4"/>
  <c r="B87" i="4"/>
  <c r="B22" i="10" s="1"/>
  <c r="C87" i="4"/>
  <c r="C111" i="4"/>
  <c r="F66" i="4"/>
  <c r="B98" i="4"/>
  <c r="C98" i="4"/>
  <c r="B77" i="4"/>
  <c r="B56" i="4"/>
  <c r="B49" i="10" s="1"/>
  <c r="E119" i="4"/>
  <c r="B111" i="4"/>
  <c r="B32" i="10" s="1"/>
  <c r="E111" i="4"/>
  <c r="F32" i="10" s="1"/>
  <c r="F111" i="4"/>
  <c r="E66" i="4"/>
  <c r="B53" i="4"/>
  <c r="B38" i="10" s="1"/>
  <c r="G86" i="4"/>
  <c r="G96" i="4"/>
  <c r="G108" i="4"/>
  <c r="F13" i="10"/>
  <c r="G100" i="4"/>
  <c r="G121" i="4"/>
  <c r="G75" i="4"/>
  <c r="N57" i="8"/>
  <c r="H49" i="9"/>
  <c r="F23" i="10"/>
  <c r="M57" i="8"/>
  <c r="G49" i="9"/>
  <c r="D28" i="4"/>
  <c r="N53" i="8"/>
  <c r="M53" i="8"/>
  <c r="M73" i="8"/>
  <c r="L86" i="23"/>
  <c r="E9" i="79"/>
  <c r="E114" i="79"/>
  <c r="E122" i="79"/>
  <c r="E7" i="79"/>
  <c r="E48" i="78"/>
  <c r="E48" i="79"/>
  <c r="E8" i="79"/>
  <c r="E10" i="79"/>
  <c r="E28" i="79"/>
  <c r="H12" i="9"/>
  <c r="N56" i="8" s="1"/>
  <c r="G12" i="9"/>
  <c r="M56" i="8" s="1"/>
  <c r="N73" i="8"/>
  <c r="L137" i="34"/>
  <c r="D34" i="4"/>
  <c r="E48" i="77"/>
  <c r="E55" i="77"/>
  <c r="E49" i="77"/>
  <c r="E54" i="77"/>
  <c r="L107" i="23"/>
  <c r="B12" i="9"/>
  <c r="M11" i="8" s="1"/>
  <c r="H77" i="33"/>
  <c r="L29" i="51"/>
  <c r="N124" i="8"/>
  <c r="E28" i="16"/>
  <c r="H54" i="9"/>
  <c r="N61" i="8"/>
  <c r="E28" i="51"/>
  <c r="G60" i="9"/>
  <c r="M67" i="8"/>
  <c r="G53" i="9"/>
  <c r="M60" i="8"/>
  <c r="E28" i="29"/>
  <c r="G56" i="9"/>
  <c r="M63" i="8"/>
  <c r="E28" i="23"/>
  <c r="E28" i="20"/>
  <c r="G46" i="9"/>
  <c r="M54" i="8"/>
  <c r="E28" i="25"/>
  <c r="E28" i="19"/>
  <c r="G50" i="9"/>
  <c r="M58" i="8"/>
  <c r="M124" i="8"/>
  <c r="G63" i="9"/>
  <c r="I9" i="9"/>
  <c r="G45" i="9"/>
  <c r="G52" i="9"/>
  <c r="G64" i="9"/>
  <c r="G55" i="9"/>
  <c r="K98" i="33"/>
  <c r="C12" i="9"/>
  <c r="L22" i="51"/>
  <c r="D47" i="39"/>
  <c r="L7" i="51"/>
  <c r="E34" i="37"/>
  <c r="E34" i="13"/>
  <c r="E34" i="29"/>
  <c r="L110" i="33"/>
  <c r="E8" i="74"/>
  <c r="E7" i="72"/>
  <c r="E7" i="74"/>
  <c r="E48" i="72"/>
  <c r="E48" i="74"/>
  <c r="E28" i="37"/>
  <c r="E28" i="13"/>
  <c r="D35" i="4"/>
  <c r="C29" i="9"/>
  <c r="N28" i="8" s="1"/>
  <c r="D53" i="40"/>
  <c r="L28" i="51"/>
  <c r="L10" i="51"/>
  <c r="E35" i="13"/>
  <c r="E35" i="37"/>
  <c r="E35" i="33"/>
  <c r="B34" i="10"/>
  <c r="H77" i="13"/>
  <c r="B42" i="10"/>
  <c r="D29" i="4"/>
  <c r="E9" i="72"/>
  <c r="D37" i="4"/>
  <c r="D36" i="4"/>
  <c r="D39" i="4"/>
  <c r="B31" i="10"/>
  <c r="D110" i="4"/>
  <c r="L122" i="33"/>
  <c r="L135" i="26"/>
  <c r="E39" i="13"/>
  <c r="D122" i="4"/>
  <c r="D47" i="34"/>
  <c r="L121" i="13"/>
  <c r="L108" i="33"/>
  <c r="E48" i="37"/>
  <c r="I11" i="37"/>
  <c r="E54" i="37"/>
  <c r="I34" i="37"/>
  <c r="I117" i="37"/>
  <c r="E22" i="37"/>
  <c r="I109" i="37"/>
  <c r="E7" i="37"/>
  <c r="E134" i="37"/>
  <c r="I89" i="37"/>
  <c r="I10" i="37"/>
  <c r="I125" i="37"/>
  <c r="I124" i="37"/>
  <c r="I113" i="37"/>
  <c r="I68" i="37"/>
  <c r="E137" i="37"/>
  <c r="I114" i="37"/>
  <c r="I96" i="37"/>
  <c r="E75" i="37"/>
  <c r="E49" i="37"/>
  <c r="I100" i="37"/>
  <c r="E89" i="37"/>
  <c r="D114" i="4"/>
  <c r="I12" i="37"/>
  <c r="I22" i="37"/>
  <c r="I121" i="37"/>
  <c r="I29" i="37"/>
  <c r="I79" i="37"/>
  <c r="I116" i="37"/>
  <c r="I35" i="37"/>
  <c r="I75" i="37"/>
  <c r="E135" i="37"/>
  <c r="I112" i="37"/>
  <c r="I108" i="37"/>
  <c r="E10" i="37"/>
  <c r="E57" i="37"/>
  <c r="I7" i="37"/>
  <c r="E96" i="37"/>
  <c r="E136" i="37"/>
  <c r="L114" i="33"/>
  <c r="H77" i="23"/>
  <c r="K77" i="23"/>
  <c r="D47" i="21"/>
  <c r="D47" i="20"/>
  <c r="L107" i="29"/>
  <c r="L134" i="26"/>
  <c r="L109" i="23"/>
  <c r="L113" i="33"/>
  <c r="L12" i="33"/>
  <c r="D56" i="22"/>
  <c r="E100" i="37"/>
  <c r="E122" i="37"/>
  <c r="E78" i="37"/>
  <c r="E114" i="37"/>
  <c r="E9" i="37"/>
  <c r="E124" i="37"/>
  <c r="E8" i="37"/>
  <c r="E67" i="37"/>
  <c r="E109" i="37"/>
  <c r="E116" i="37"/>
  <c r="E125" i="37"/>
  <c r="E99" i="37"/>
  <c r="E112" i="37"/>
  <c r="E110" i="37"/>
  <c r="E107" i="37"/>
  <c r="E88" i="37"/>
  <c r="E86" i="37"/>
  <c r="E108" i="37"/>
  <c r="E120" i="37"/>
  <c r="D47" i="38"/>
  <c r="L96" i="33"/>
  <c r="L113" i="29"/>
  <c r="L89" i="23"/>
  <c r="L75" i="33"/>
  <c r="L68" i="33"/>
  <c r="L68" i="23"/>
  <c r="H98" i="29"/>
  <c r="K98" i="29"/>
  <c r="L22" i="23"/>
  <c r="L120" i="33"/>
  <c r="K87" i="29"/>
  <c r="L137" i="26"/>
  <c r="D47" i="40"/>
  <c r="L28" i="23"/>
  <c r="L12" i="29"/>
  <c r="D53" i="13"/>
  <c r="K87" i="33"/>
  <c r="K87" i="23"/>
  <c r="L89" i="33"/>
  <c r="H87" i="29"/>
  <c r="L135" i="34"/>
  <c r="L10" i="29"/>
  <c r="L7" i="33"/>
  <c r="H66" i="23"/>
  <c r="L35" i="29"/>
  <c r="D56" i="39"/>
  <c r="L11" i="29"/>
  <c r="H111" i="13"/>
  <c r="L35" i="23"/>
  <c r="N123" i="8"/>
  <c r="C10" i="9"/>
  <c r="N9" i="8" s="1"/>
  <c r="N102" i="8"/>
  <c r="C22" i="9"/>
  <c r="N21" i="8" s="1"/>
  <c r="C13" i="9"/>
  <c r="C20" i="9"/>
  <c r="N19" i="8" s="1"/>
  <c r="C26" i="9"/>
  <c r="N25" i="8" s="1"/>
  <c r="K111" i="13"/>
  <c r="L107" i="33"/>
  <c r="L100" i="33"/>
  <c r="M102" i="8"/>
  <c r="L108" i="13"/>
  <c r="D56" i="40"/>
  <c r="N126" i="8"/>
  <c r="H119" i="23"/>
  <c r="L116" i="33"/>
  <c r="C18" i="9"/>
  <c r="N17" i="8" s="1"/>
  <c r="D53" i="22"/>
  <c r="L35" i="33"/>
  <c r="L8" i="16"/>
  <c r="L67" i="29"/>
  <c r="L29" i="20"/>
  <c r="L116" i="23"/>
  <c r="L108" i="23"/>
  <c r="L28" i="25"/>
  <c r="L9" i="16"/>
  <c r="H98" i="13"/>
  <c r="K111" i="29"/>
  <c r="L7" i="16"/>
  <c r="D53" i="16"/>
  <c r="D56" i="25"/>
  <c r="L117" i="33"/>
  <c r="L12" i="13"/>
  <c r="D56" i="16"/>
  <c r="N122" i="8"/>
  <c r="L99" i="23"/>
  <c r="L7" i="20"/>
  <c r="K119" i="13"/>
  <c r="M103" i="8"/>
  <c r="K66" i="23"/>
  <c r="L11" i="33"/>
  <c r="H119" i="13"/>
  <c r="L22" i="16"/>
  <c r="L29" i="16"/>
  <c r="C14" i="9"/>
  <c r="N13" i="8" s="1"/>
  <c r="L10" i="16"/>
  <c r="D47" i="16"/>
  <c r="L28" i="16"/>
  <c r="N125" i="8"/>
  <c r="L7" i="13"/>
  <c r="B27" i="9"/>
  <c r="M26" i="8" s="1"/>
  <c r="M104" i="8"/>
  <c r="M125" i="8"/>
  <c r="N101" i="8"/>
  <c r="N127" i="8"/>
  <c r="C27" i="9"/>
  <c r="N26" i="8" s="1"/>
  <c r="C19" i="9"/>
  <c r="N18" i="8" s="1"/>
  <c r="M101" i="8"/>
  <c r="B9" i="9"/>
  <c r="B15" i="9"/>
  <c r="M14" i="8" s="1"/>
  <c r="M105" i="8"/>
  <c r="H119" i="33"/>
  <c r="L125" i="33"/>
  <c r="L121" i="23"/>
  <c r="M123" i="8"/>
  <c r="L116" i="13"/>
  <c r="N104" i="8"/>
  <c r="L10" i="33"/>
  <c r="C17" i="9"/>
  <c r="N16" i="8" s="1"/>
  <c r="B17" i="9"/>
  <c r="M16" i="8" s="1"/>
  <c r="L22" i="13"/>
  <c r="L107" i="13"/>
  <c r="L10" i="13"/>
  <c r="L121" i="33"/>
  <c r="C24" i="9"/>
  <c r="N23" i="8" s="1"/>
  <c r="H87" i="23"/>
  <c r="L7" i="23"/>
  <c r="H87" i="33"/>
  <c r="L120" i="29"/>
  <c r="D47" i="22"/>
  <c r="L11" i="23"/>
  <c r="L117" i="29"/>
  <c r="K119" i="23"/>
  <c r="L34" i="13"/>
  <c r="M126" i="8"/>
  <c r="B19" i="9"/>
  <c r="M18" i="8" s="1"/>
  <c r="B18" i="9"/>
  <c r="M17" i="8" s="1"/>
  <c r="L7" i="19"/>
  <c r="M100" i="8"/>
  <c r="L11" i="13"/>
  <c r="C9" i="9"/>
  <c r="N8" i="8" s="1"/>
  <c r="C28" i="9"/>
  <c r="N27" i="8" s="1"/>
  <c r="E48" i="39"/>
  <c r="E48" i="16"/>
  <c r="I89" i="13"/>
  <c r="I89" i="29"/>
  <c r="I89" i="33"/>
  <c r="I89" i="23"/>
  <c r="I35" i="23"/>
  <c r="I35" i="29"/>
  <c r="I35" i="33"/>
  <c r="I35" i="13"/>
  <c r="G42" i="10"/>
  <c r="I134" i="26"/>
  <c r="I10" i="23"/>
  <c r="I10" i="29"/>
  <c r="I10" i="33"/>
  <c r="I10" i="13"/>
  <c r="E49" i="39"/>
  <c r="E49" i="16"/>
  <c r="I23" i="33"/>
  <c r="I23" i="13"/>
  <c r="I23" i="23"/>
  <c r="I23" i="29"/>
  <c r="E54" i="39"/>
  <c r="E54" i="16"/>
  <c r="C31" i="10"/>
  <c r="G44" i="10"/>
  <c r="C41" i="10"/>
  <c r="I86" i="23"/>
  <c r="I86" i="29"/>
  <c r="I86" i="33"/>
  <c r="C33" i="10"/>
  <c r="H16" i="9"/>
  <c r="N59" i="8" s="1"/>
  <c r="B14" i="9"/>
  <c r="M13" i="8" s="1"/>
  <c r="M127" i="8"/>
  <c r="B10" i="9"/>
  <c r="M9" i="8" s="1"/>
  <c r="H61" i="9"/>
  <c r="N100" i="8"/>
  <c r="I29" i="33"/>
  <c r="I29" i="23"/>
  <c r="I29" i="29"/>
  <c r="I29" i="13"/>
  <c r="I25" i="29"/>
  <c r="I25" i="33"/>
  <c r="I25" i="13"/>
  <c r="I30" i="23"/>
  <c r="I30" i="29"/>
  <c r="I30" i="33"/>
  <c r="I30" i="13"/>
  <c r="C30" i="10"/>
  <c r="I107" i="13"/>
  <c r="I107" i="23"/>
  <c r="I107" i="29"/>
  <c r="I107" i="33"/>
  <c r="C44" i="10"/>
  <c r="I75" i="33"/>
  <c r="I32" i="13"/>
  <c r="I32" i="23"/>
  <c r="I32" i="29"/>
  <c r="I32" i="33"/>
  <c r="I100" i="13"/>
  <c r="I100" i="23"/>
  <c r="I100" i="29"/>
  <c r="I100" i="33"/>
  <c r="I22" i="23"/>
  <c r="I22" i="29"/>
  <c r="I22" i="33"/>
  <c r="I22" i="13"/>
  <c r="C34" i="10"/>
  <c r="I121" i="13"/>
  <c r="I121" i="23"/>
  <c r="I121" i="33"/>
  <c r="I121" i="29"/>
  <c r="I113" i="23"/>
  <c r="I113" i="13"/>
  <c r="I113" i="33"/>
  <c r="I113" i="29"/>
  <c r="I108" i="13"/>
  <c r="N103" i="8"/>
  <c r="B37" i="9"/>
  <c r="B13" i="9"/>
  <c r="B29" i="9"/>
  <c r="M28" i="8" s="1"/>
  <c r="G39" i="9"/>
  <c r="G62" i="9" s="1"/>
  <c r="H19" i="9"/>
  <c r="N62" i="8" s="1"/>
  <c r="C15" i="9"/>
  <c r="N14" i="8" s="1"/>
  <c r="B28" i="9"/>
  <c r="M27" i="8" s="1"/>
  <c r="H26" i="9"/>
  <c r="N68" i="8" s="1"/>
  <c r="B36" i="9"/>
  <c r="I136" i="26"/>
  <c r="G33" i="10"/>
  <c r="I7" i="29"/>
  <c r="I7" i="33"/>
  <c r="I7" i="23"/>
  <c r="I7" i="13"/>
  <c r="B45" i="10"/>
  <c r="I31" i="13"/>
  <c r="I31" i="33"/>
  <c r="I31" i="23"/>
  <c r="I31" i="29"/>
  <c r="C45" i="10"/>
  <c r="C42" i="10"/>
  <c r="I24" i="13"/>
  <c r="I24" i="33"/>
  <c r="I24" i="23"/>
  <c r="B26" i="9"/>
  <c r="M25" i="8" s="1"/>
  <c r="H15" i="9"/>
  <c r="M122" i="8"/>
  <c r="B40" i="9"/>
  <c r="N105" i="8"/>
  <c r="C16" i="9"/>
  <c r="N15" i="8" s="1"/>
  <c r="H28" i="9"/>
  <c r="N70" i="8" s="1"/>
  <c r="F44" i="10"/>
  <c r="I135" i="26"/>
  <c r="I96" i="33"/>
  <c r="I68" i="23"/>
  <c r="I68" i="29"/>
  <c r="I68" i="33"/>
  <c r="I68" i="13"/>
  <c r="G136" i="4"/>
  <c r="F33" i="10"/>
  <c r="I79" i="13"/>
  <c r="I79" i="23"/>
  <c r="I79" i="33"/>
  <c r="I79" i="29"/>
  <c r="I109" i="13"/>
  <c r="I109" i="29"/>
  <c r="I109" i="23"/>
  <c r="I109" i="33"/>
  <c r="I12" i="29"/>
  <c r="I12" i="33"/>
  <c r="I12" i="23"/>
  <c r="I12" i="13"/>
  <c r="G41" i="10"/>
  <c r="I11" i="13"/>
  <c r="I11" i="23"/>
  <c r="I11" i="33"/>
  <c r="G30" i="10"/>
  <c r="I11" i="29"/>
  <c r="I125" i="13"/>
  <c r="I125" i="23"/>
  <c r="I125" i="29"/>
  <c r="I125" i="33"/>
  <c r="I34" i="23"/>
  <c r="I34" i="29"/>
  <c r="I34" i="33"/>
  <c r="G31" i="10"/>
  <c r="D96" i="4"/>
  <c r="I117" i="13"/>
  <c r="I117" i="23"/>
  <c r="I117" i="29"/>
  <c r="I117" i="33"/>
  <c r="D75" i="4"/>
  <c r="E57" i="39"/>
  <c r="L120" i="23"/>
  <c r="L67" i="23"/>
  <c r="H98" i="33"/>
  <c r="L100" i="13"/>
  <c r="D53" i="39"/>
  <c r="L109" i="29"/>
  <c r="L7" i="29"/>
  <c r="L28" i="29"/>
  <c r="L117" i="23"/>
  <c r="H98" i="23"/>
  <c r="L10" i="20"/>
  <c r="K98" i="13"/>
  <c r="L29" i="13"/>
  <c r="G37" i="9"/>
  <c r="G54" i="9" s="1"/>
  <c r="B16" i="9"/>
  <c r="M15" i="8" s="1"/>
  <c r="G38" i="9"/>
  <c r="G58" i="9" s="1"/>
  <c r="B20" i="9"/>
  <c r="M19" i="8" s="1"/>
  <c r="H14" i="9"/>
  <c r="N58" i="8" s="1"/>
  <c r="B24" i="9"/>
  <c r="M23" i="8" s="1"/>
  <c r="N30" i="8"/>
  <c r="H24" i="9"/>
  <c r="N67" i="8" s="1"/>
  <c r="B22" i="9"/>
  <c r="M21" i="8" s="1"/>
  <c r="H22" i="9"/>
  <c r="N65" i="8" s="1"/>
  <c r="L22" i="20"/>
  <c r="L109" i="33"/>
  <c r="L99" i="33"/>
  <c r="H111" i="29"/>
  <c r="L10" i="23"/>
  <c r="L28" i="13"/>
  <c r="D56" i="13"/>
  <c r="L99" i="29"/>
  <c r="K119" i="33"/>
  <c r="L88" i="33"/>
  <c r="L79" i="33"/>
  <c r="L34" i="29"/>
  <c r="H66" i="33"/>
  <c r="L78" i="33"/>
  <c r="L67" i="13"/>
  <c r="L109" i="13"/>
  <c r="L112" i="13"/>
  <c r="L35" i="13"/>
  <c r="L79" i="29"/>
  <c r="L86" i="29"/>
  <c r="L7" i="22"/>
  <c r="K66" i="33"/>
  <c r="L89" i="29"/>
  <c r="L12" i="23"/>
  <c r="H87" i="13"/>
  <c r="L120" i="13"/>
  <c r="L68" i="13"/>
  <c r="L7" i="25"/>
  <c r="L134" i="34"/>
  <c r="L108" i="29"/>
  <c r="D53" i="25"/>
  <c r="L112" i="33"/>
  <c r="L29" i="33"/>
  <c r="L121" i="29"/>
  <c r="L29" i="29"/>
  <c r="H111" i="23"/>
  <c r="L68" i="29"/>
  <c r="L136" i="26"/>
  <c r="D47" i="25"/>
  <c r="L112" i="23"/>
  <c r="L113" i="13"/>
  <c r="L117" i="13"/>
  <c r="L86" i="33"/>
  <c r="H119" i="29"/>
  <c r="L100" i="29"/>
  <c r="L34" i="33"/>
  <c r="L125" i="29"/>
  <c r="L88" i="29"/>
  <c r="L78" i="29"/>
  <c r="L88" i="23"/>
  <c r="L125" i="23"/>
  <c r="L113" i="23"/>
  <c r="H111" i="33"/>
  <c r="D47" i="51"/>
  <c r="D47" i="26"/>
  <c r="L29" i="23"/>
  <c r="L28" i="20"/>
  <c r="L100" i="23"/>
  <c r="L79" i="23"/>
  <c r="L67" i="33"/>
  <c r="L22" i="33"/>
  <c r="L22" i="29"/>
  <c r="J77" i="29"/>
  <c r="K98" i="23"/>
  <c r="L78" i="23"/>
  <c r="L34" i="23"/>
  <c r="L124" i="13"/>
  <c r="L79" i="13"/>
  <c r="L89" i="13"/>
  <c r="L99" i="13"/>
  <c r="L125" i="13"/>
  <c r="L78" i="13"/>
  <c r="K66" i="13"/>
  <c r="L86" i="13"/>
  <c r="K87" i="13"/>
  <c r="J77" i="13"/>
  <c r="L88" i="13"/>
  <c r="H66" i="13"/>
  <c r="D47" i="13"/>
  <c r="D66" i="33"/>
  <c r="J66" i="33"/>
  <c r="J98" i="23"/>
  <c r="D98" i="23"/>
  <c r="D111" i="33"/>
  <c r="J111" i="33"/>
  <c r="D66" i="13"/>
  <c r="J66" i="13"/>
  <c r="K111" i="33"/>
  <c r="J111" i="29"/>
  <c r="J111" i="23"/>
  <c r="D111" i="23"/>
  <c r="J87" i="13"/>
  <c r="D87" i="13"/>
  <c r="J119" i="33"/>
  <c r="D119" i="33"/>
  <c r="D77" i="29"/>
  <c r="K77" i="29"/>
  <c r="D77" i="13"/>
  <c r="K77" i="13"/>
  <c r="J66" i="29"/>
  <c r="J87" i="33"/>
  <c r="D87" i="33"/>
  <c r="D119" i="29"/>
  <c r="J119" i="29"/>
  <c r="D98" i="33"/>
  <c r="J98" i="33"/>
  <c r="J87" i="29"/>
  <c r="D87" i="29"/>
  <c r="J87" i="23"/>
  <c r="D87" i="23"/>
  <c r="K119" i="29"/>
  <c r="K111" i="23"/>
  <c r="D119" i="13"/>
  <c r="J119" i="13"/>
  <c r="D98" i="13"/>
  <c r="J98" i="13"/>
  <c r="D111" i="13"/>
  <c r="J111" i="13"/>
  <c r="J98" i="29"/>
  <c r="D98" i="29"/>
  <c r="H66" i="29"/>
  <c r="D119" i="23"/>
  <c r="J119" i="23"/>
  <c r="J66" i="23"/>
  <c r="D66" i="23"/>
  <c r="D77" i="33"/>
  <c r="J77" i="33"/>
  <c r="L77" i="33" s="1"/>
  <c r="J77" i="23"/>
  <c r="D77" i="23"/>
  <c r="D66" i="29"/>
  <c r="K66" i="29"/>
  <c r="E48" i="38"/>
  <c r="E88" i="33"/>
  <c r="E108" i="33"/>
  <c r="E22" i="33"/>
  <c r="E99" i="33"/>
  <c r="E9" i="33"/>
  <c r="E110" i="33"/>
  <c r="E122" i="33"/>
  <c r="E75" i="33"/>
  <c r="E116" i="33"/>
  <c r="E10" i="33"/>
  <c r="E79" i="33"/>
  <c r="E7" i="33"/>
  <c r="E89" i="33"/>
  <c r="E100" i="33"/>
  <c r="E125" i="33"/>
  <c r="E68" i="33"/>
  <c r="E96" i="33"/>
  <c r="E8" i="33"/>
  <c r="E78" i="33"/>
  <c r="E67" i="33"/>
  <c r="E112" i="33"/>
  <c r="E109" i="33"/>
  <c r="E114" i="33"/>
  <c r="E121" i="33"/>
  <c r="E120" i="33"/>
  <c r="E99" i="29"/>
  <c r="E9" i="29"/>
  <c r="E48" i="34"/>
  <c r="E86" i="29"/>
  <c r="E134" i="34"/>
  <c r="E68" i="29"/>
  <c r="E88" i="29"/>
  <c r="E108" i="29"/>
  <c r="E22" i="29"/>
  <c r="E10" i="29"/>
  <c r="E79" i="29"/>
  <c r="E137" i="34"/>
  <c r="E135" i="34"/>
  <c r="E7" i="29"/>
  <c r="E89" i="29"/>
  <c r="E100" i="29"/>
  <c r="E107" i="29"/>
  <c r="E8" i="29"/>
  <c r="E78" i="29"/>
  <c r="E67" i="29"/>
  <c r="E109" i="29"/>
  <c r="E120" i="29"/>
  <c r="E48" i="40"/>
  <c r="E57" i="40"/>
  <c r="E54" i="40"/>
  <c r="E9" i="51"/>
  <c r="E48" i="51"/>
  <c r="E22" i="51"/>
  <c r="E10" i="51"/>
  <c r="E7" i="51"/>
  <c r="E8" i="51"/>
  <c r="E9" i="25"/>
  <c r="E57" i="25"/>
  <c r="E48" i="25"/>
  <c r="E137" i="26"/>
  <c r="E49" i="26"/>
  <c r="E54" i="25"/>
  <c r="E135" i="26"/>
  <c r="E7" i="25"/>
  <c r="E136" i="26"/>
  <c r="E134" i="26"/>
  <c r="E8" i="25"/>
  <c r="E99" i="23"/>
  <c r="E86" i="23"/>
  <c r="E88" i="23"/>
  <c r="E108" i="23"/>
  <c r="E116" i="23"/>
  <c r="E22" i="23"/>
  <c r="E107" i="23"/>
  <c r="E78" i="23"/>
  <c r="E67" i="23"/>
  <c r="E112" i="23"/>
  <c r="E120" i="23"/>
  <c r="E9" i="22"/>
  <c r="E48" i="21"/>
  <c r="E48" i="22"/>
  <c r="E57" i="22"/>
  <c r="E49" i="22"/>
  <c r="E54" i="22"/>
  <c r="E7" i="22"/>
  <c r="E8" i="22"/>
  <c r="E22" i="20"/>
  <c r="E10" i="20"/>
  <c r="E49" i="19"/>
  <c r="E7" i="20"/>
  <c r="E9" i="20"/>
  <c r="E48" i="19"/>
  <c r="E48" i="20"/>
  <c r="E8" i="20"/>
  <c r="E99" i="13"/>
  <c r="E9" i="13"/>
  <c r="E48" i="13"/>
  <c r="E86" i="13"/>
  <c r="E88" i="13"/>
  <c r="E124" i="13"/>
  <c r="E37" i="13"/>
  <c r="E108" i="13"/>
  <c r="E116" i="13"/>
  <c r="E22" i="13"/>
  <c r="E10" i="13"/>
  <c r="E57" i="13"/>
  <c r="E11" i="13"/>
  <c r="E54" i="13"/>
  <c r="E7" i="13"/>
  <c r="E89" i="13"/>
  <c r="E100" i="13"/>
  <c r="E107" i="13"/>
  <c r="E12" i="13"/>
  <c r="E36" i="13"/>
  <c r="E8" i="13"/>
  <c r="E78" i="13"/>
  <c r="E67" i="13"/>
  <c r="E112" i="13"/>
  <c r="E109" i="13"/>
  <c r="E120" i="13"/>
  <c r="D116" i="4"/>
  <c r="D108" i="4"/>
  <c r="D124" i="4"/>
  <c r="D125" i="4"/>
  <c r="D109" i="4"/>
  <c r="E22" i="16"/>
  <c r="E9" i="16"/>
  <c r="D22" i="4"/>
  <c r="D136" i="4"/>
  <c r="D57" i="4"/>
  <c r="E10" i="16"/>
  <c r="G22" i="4"/>
  <c r="D137" i="4"/>
  <c r="D10" i="4"/>
  <c r="D112" i="4"/>
  <c r="D55" i="4"/>
  <c r="D120" i="4"/>
  <c r="D7" i="4"/>
  <c r="E7" i="16"/>
  <c r="D68" i="4"/>
  <c r="D8" i="4"/>
  <c r="E8" i="16"/>
  <c r="D134" i="4"/>
  <c r="G7" i="4"/>
  <c r="D48" i="4"/>
  <c r="D54" i="4"/>
  <c r="D49" i="4"/>
  <c r="D12" i="4"/>
  <c r="D11" i="4"/>
  <c r="G12" i="4"/>
  <c r="G34" i="4"/>
  <c r="D121" i="4"/>
  <c r="G11" i="4"/>
  <c r="H22" i="4"/>
  <c r="G29" i="4"/>
  <c r="D67" i="4"/>
  <c r="D100" i="4"/>
  <c r="G10" i="4"/>
  <c r="D89" i="4"/>
  <c r="G35" i="4"/>
  <c r="D99" i="4"/>
  <c r="D86" i="4"/>
  <c r="D107" i="4"/>
  <c r="D135" i="4"/>
  <c r="G135" i="4"/>
  <c r="G134" i="4"/>
  <c r="D78" i="4"/>
  <c r="D88" i="4"/>
  <c r="D79" i="4"/>
  <c r="D9" i="4"/>
  <c r="G12" i="10" l="1"/>
  <c r="G22" i="10"/>
  <c r="C12" i="10"/>
  <c r="C22" i="10"/>
  <c r="C11" i="10"/>
  <c r="E47" i="81"/>
  <c r="G77" i="4"/>
  <c r="G87" i="4"/>
  <c r="G111" i="4"/>
  <c r="G119" i="4"/>
  <c r="G98" i="4"/>
  <c r="F43" i="10"/>
  <c r="M12" i="8"/>
  <c r="B49" i="9"/>
  <c r="N12" i="8"/>
  <c r="C49" i="9"/>
  <c r="C32" i="9"/>
  <c r="H32" i="9"/>
  <c r="J23" i="9" s="1"/>
  <c r="M8" i="8"/>
  <c r="B32" i="9"/>
  <c r="G32" i="9"/>
  <c r="M30" i="8"/>
  <c r="G48" i="9"/>
  <c r="G68" i="9" s="1"/>
  <c r="E66" i="79"/>
  <c r="E111" i="79"/>
  <c r="E97" i="79"/>
  <c r="E76" i="79"/>
  <c r="E47" i="78"/>
  <c r="E47" i="79"/>
  <c r="E119" i="79"/>
  <c r="E87" i="79"/>
  <c r="I12" i="9"/>
  <c r="H48" i="9"/>
  <c r="E47" i="77"/>
  <c r="E53" i="77"/>
  <c r="B48" i="9"/>
  <c r="L98" i="33"/>
  <c r="C48" i="9"/>
  <c r="N11" i="8"/>
  <c r="D12" i="9"/>
  <c r="E47" i="72"/>
  <c r="E47" i="74"/>
  <c r="L77" i="23"/>
  <c r="I77" i="29"/>
  <c r="I77" i="23"/>
  <c r="I77" i="13"/>
  <c r="I77" i="33"/>
  <c r="E56" i="37"/>
  <c r="I111" i="37"/>
  <c r="E119" i="37"/>
  <c r="I119" i="37"/>
  <c r="E47" i="37"/>
  <c r="I87" i="37"/>
  <c r="E111" i="37"/>
  <c r="E53" i="37"/>
  <c r="I66" i="37"/>
  <c r="I77" i="37"/>
  <c r="L87" i="29"/>
  <c r="E97" i="33"/>
  <c r="E97" i="29"/>
  <c r="E97" i="37"/>
  <c r="E97" i="13"/>
  <c r="I98" i="37"/>
  <c r="L119" i="13"/>
  <c r="E76" i="33"/>
  <c r="E76" i="29"/>
  <c r="E76" i="37"/>
  <c r="E76" i="13"/>
  <c r="E66" i="37"/>
  <c r="E87" i="33"/>
  <c r="E87" i="37"/>
  <c r="E98" i="37"/>
  <c r="E77" i="37"/>
  <c r="L111" i="29"/>
  <c r="L111" i="13"/>
  <c r="L87" i="33"/>
  <c r="L98" i="29"/>
  <c r="L119" i="23"/>
  <c r="L87" i="23"/>
  <c r="L98" i="23"/>
  <c r="E87" i="13"/>
  <c r="E87" i="23"/>
  <c r="D98" i="4"/>
  <c r="E98" i="29"/>
  <c r="E98" i="33"/>
  <c r="L119" i="33"/>
  <c r="L98" i="13"/>
  <c r="L66" i="33"/>
  <c r="L66" i="23"/>
  <c r="L66" i="13"/>
  <c r="E66" i="23"/>
  <c r="E66" i="13"/>
  <c r="E66" i="29"/>
  <c r="E66" i="33"/>
  <c r="L111" i="33"/>
  <c r="D87" i="4"/>
  <c r="E98" i="23"/>
  <c r="E87" i="29"/>
  <c r="C43" i="10"/>
  <c r="I119" i="13"/>
  <c r="I119" i="23"/>
  <c r="I119" i="29"/>
  <c r="I119" i="33"/>
  <c r="G43" i="10"/>
  <c r="F22" i="10"/>
  <c r="I98" i="13"/>
  <c r="I98" i="23"/>
  <c r="I98" i="29"/>
  <c r="I98" i="33"/>
  <c r="D66" i="4"/>
  <c r="B12" i="10"/>
  <c r="I66" i="13"/>
  <c r="I66" i="29"/>
  <c r="I66" i="33"/>
  <c r="I66" i="23"/>
  <c r="G66" i="4"/>
  <c r="F12" i="10"/>
  <c r="E53" i="39"/>
  <c r="C38" i="10"/>
  <c r="E53" i="16"/>
  <c r="I111" i="13"/>
  <c r="I111" i="23"/>
  <c r="I111" i="29"/>
  <c r="I111" i="33"/>
  <c r="G32" i="10"/>
  <c r="E56" i="39"/>
  <c r="E56" i="16"/>
  <c r="C49" i="10"/>
  <c r="C32" i="10"/>
  <c r="E47" i="39"/>
  <c r="E47" i="16"/>
  <c r="I87" i="13"/>
  <c r="I87" i="29"/>
  <c r="I87" i="23"/>
  <c r="I87" i="33"/>
  <c r="L87" i="13"/>
  <c r="L119" i="29"/>
  <c r="L66" i="29"/>
  <c r="L77" i="29"/>
  <c r="L111" i="23"/>
  <c r="E98" i="13"/>
  <c r="L77" i="13"/>
  <c r="E47" i="38"/>
  <c r="E77" i="33"/>
  <c r="E111" i="33"/>
  <c r="E119" i="33"/>
  <c r="E47" i="34"/>
  <c r="E119" i="29"/>
  <c r="E77" i="29"/>
  <c r="E53" i="40"/>
  <c r="E56" i="40"/>
  <c r="E47" i="40"/>
  <c r="E47" i="51"/>
  <c r="E53" i="25"/>
  <c r="E47" i="25"/>
  <c r="E47" i="26"/>
  <c r="E56" i="25"/>
  <c r="E119" i="23"/>
  <c r="E77" i="23"/>
  <c r="E111" i="23"/>
  <c r="E56" i="22"/>
  <c r="E47" i="21"/>
  <c r="E47" i="22"/>
  <c r="E53" i="22"/>
  <c r="E47" i="19"/>
  <c r="E47" i="20"/>
  <c r="E53" i="13"/>
  <c r="E77" i="13"/>
  <c r="E56" i="13"/>
  <c r="E111" i="13"/>
  <c r="E47" i="13"/>
  <c r="E119" i="13"/>
  <c r="D111" i="4"/>
  <c r="D77" i="4"/>
  <c r="D119" i="4"/>
  <c r="D53" i="4"/>
  <c r="D56" i="4"/>
  <c r="D47" i="4"/>
  <c r="E21" i="9" l="1"/>
  <c r="E23" i="9"/>
  <c r="J28" i="9"/>
  <c r="J15" i="9"/>
  <c r="J27" i="9"/>
  <c r="J11" i="9"/>
  <c r="J25" i="9"/>
  <c r="J9" i="9"/>
  <c r="J31" i="9"/>
  <c r="J22" i="9"/>
  <c r="J24" i="9"/>
  <c r="J16" i="9"/>
  <c r="J30" i="9"/>
  <c r="J21" i="9"/>
  <c r="J14" i="9"/>
  <c r="J12" i="9"/>
  <c r="J18" i="9"/>
  <c r="J26" i="9"/>
  <c r="J10" i="9"/>
  <c r="J29" i="9"/>
  <c r="J20" i="9"/>
  <c r="J13" i="9"/>
  <c r="J19" i="9"/>
  <c r="J17" i="9"/>
  <c r="I48" i="9"/>
  <c r="D48" i="9"/>
  <c r="C60" i="10"/>
  <c r="H107" i="4"/>
  <c r="H114" i="4"/>
  <c r="H116" i="4"/>
  <c r="H28" i="4"/>
  <c r="J32" i="9" l="1"/>
  <c r="H98" i="4"/>
  <c r="H117" i="4"/>
  <c r="H99" i="4"/>
  <c r="H24" i="4"/>
  <c r="H78" i="4"/>
  <c r="D9" i="10"/>
  <c r="H124" i="4"/>
  <c r="H112" i="4"/>
  <c r="H88" i="4"/>
  <c r="H9" i="4"/>
  <c r="H8" i="4"/>
  <c r="H79" i="4"/>
  <c r="H122" i="4"/>
  <c r="H14" i="10"/>
  <c r="H37" i="4"/>
  <c r="H121" i="4"/>
  <c r="I121" i="4"/>
  <c r="I112" i="4"/>
  <c r="I9" i="4"/>
  <c r="I109" i="4"/>
  <c r="K49" i="10"/>
  <c r="H113" i="4"/>
  <c r="I108" i="4"/>
  <c r="H11" i="4"/>
  <c r="I122" i="4"/>
  <c r="I79" i="4"/>
  <c r="I100" i="4"/>
  <c r="H110" i="4"/>
  <c r="H25" i="4"/>
  <c r="H125" i="4"/>
  <c r="H86" i="4"/>
  <c r="H42" i="10"/>
  <c r="H21" i="10"/>
  <c r="I120" i="4"/>
  <c r="I28" i="4"/>
  <c r="H109" i="4"/>
  <c r="I32" i="4"/>
  <c r="I67" i="4"/>
  <c r="K11" i="10"/>
  <c r="I23" i="4"/>
  <c r="H22" i="10"/>
  <c r="H108" i="4"/>
  <c r="H10" i="4"/>
  <c r="I77" i="4"/>
  <c r="I88" i="4"/>
  <c r="I117" i="4"/>
  <c r="H67" i="4"/>
  <c r="H12" i="10"/>
  <c r="I116" i="4"/>
  <c r="H120" i="4"/>
  <c r="I110" i="4"/>
  <c r="I113" i="4"/>
  <c r="I78" i="4"/>
  <c r="K26" i="10"/>
  <c r="I98" i="4"/>
  <c r="I99" i="4"/>
  <c r="K9" i="10"/>
  <c r="H77" i="4"/>
  <c r="H24" i="10"/>
  <c r="I31" i="4"/>
  <c r="I24" i="4"/>
  <c r="K16" i="10"/>
  <c r="I30" i="4"/>
  <c r="H36" i="4"/>
  <c r="K45" i="10"/>
  <c r="H39" i="4"/>
  <c r="I107" i="4"/>
  <c r="I8" i="4"/>
  <c r="I114" i="4"/>
  <c r="I86" i="4"/>
  <c r="H10" i="10"/>
  <c r="I124" i="4"/>
  <c r="H100" i="4"/>
  <c r="H7" i="4"/>
  <c r="H23" i="4"/>
  <c r="H15" i="10"/>
  <c r="I125" i="4"/>
  <c r="M28" i="79" l="1"/>
  <c r="M97" i="79"/>
  <c r="M114" i="79"/>
  <c r="M76" i="79"/>
  <c r="M8" i="79"/>
  <c r="M122" i="79"/>
  <c r="M30" i="79"/>
  <c r="M9" i="79"/>
  <c r="M9" i="72"/>
  <c r="M8" i="74"/>
  <c r="J23" i="4"/>
  <c r="J24" i="4"/>
  <c r="J110" i="4"/>
  <c r="M67" i="37"/>
  <c r="M107" i="37"/>
  <c r="M32" i="37"/>
  <c r="M79" i="37"/>
  <c r="M124" i="37"/>
  <c r="M88" i="37"/>
  <c r="M78" i="37"/>
  <c r="M100" i="37"/>
  <c r="M86" i="37"/>
  <c r="M122" i="37"/>
  <c r="M109" i="37"/>
  <c r="M99" i="37"/>
  <c r="M113" i="37"/>
  <c r="M117" i="37"/>
  <c r="M28" i="37"/>
  <c r="M114" i="37"/>
  <c r="M110" i="37"/>
  <c r="M9" i="37"/>
  <c r="M31" i="37"/>
  <c r="M8" i="37"/>
  <c r="M24" i="37"/>
  <c r="M108" i="37"/>
  <c r="M112" i="37"/>
  <c r="J122" i="4"/>
  <c r="M23" i="37"/>
  <c r="M121" i="37"/>
  <c r="M125" i="37"/>
  <c r="M30" i="37"/>
  <c r="M116" i="37"/>
  <c r="M120" i="37"/>
  <c r="J114" i="4"/>
  <c r="M98" i="37"/>
  <c r="M97" i="37"/>
  <c r="M97" i="13"/>
  <c r="M97" i="29"/>
  <c r="M97" i="33"/>
  <c r="M77" i="37"/>
  <c r="M76" i="37"/>
  <c r="M76" i="33"/>
  <c r="M76" i="29"/>
  <c r="M76" i="13"/>
  <c r="M24" i="13"/>
  <c r="M24" i="23"/>
  <c r="M24" i="33"/>
  <c r="M24" i="29"/>
  <c r="M88" i="13"/>
  <c r="M88" i="29"/>
  <c r="M88" i="23"/>
  <c r="M88" i="33"/>
  <c r="J28" i="4"/>
  <c r="M28" i="19"/>
  <c r="M28" i="20"/>
  <c r="M28" i="25"/>
  <c r="M28" i="23"/>
  <c r="M28" i="51"/>
  <c r="M28" i="29"/>
  <c r="M28" i="16"/>
  <c r="M28" i="13"/>
  <c r="M121" i="23"/>
  <c r="M121" i="13"/>
  <c r="M121" i="29"/>
  <c r="M121" i="33"/>
  <c r="M125" i="23"/>
  <c r="M125" i="13"/>
  <c r="M125" i="29"/>
  <c r="M125" i="33"/>
  <c r="M124" i="13"/>
  <c r="M114" i="33"/>
  <c r="M31" i="23"/>
  <c r="M31" i="13"/>
  <c r="M31" i="29"/>
  <c r="M31" i="33"/>
  <c r="M78" i="23"/>
  <c r="M78" i="13"/>
  <c r="M78" i="29"/>
  <c r="M78" i="33"/>
  <c r="M113" i="23"/>
  <c r="M113" i="13"/>
  <c r="M113" i="29"/>
  <c r="M113" i="33"/>
  <c r="J116" i="4"/>
  <c r="M116" i="13"/>
  <c r="M116" i="23"/>
  <c r="M116" i="33"/>
  <c r="M117" i="23"/>
  <c r="M117" i="13"/>
  <c r="M117" i="29"/>
  <c r="M117" i="33"/>
  <c r="M23" i="20"/>
  <c r="M23" i="23"/>
  <c r="M23" i="13"/>
  <c r="M23" i="29"/>
  <c r="M23" i="33"/>
  <c r="M32" i="13"/>
  <c r="M32" i="33"/>
  <c r="M32" i="23"/>
  <c r="M32" i="29"/>
  <c r="M79" i="13"/>
  <c r="M79" i="23"/>
  <c r="M79" i="33"/>
  <c r="M79" i="29"/>
  <c r="M8" i="20"/>
  <c r="M8" i="13"/>
  <c r="M8" i="22"/>
  <c r="M8" i="51"/>
  <c r="M8" i="25"/>
  <c r="M8" i="29"/>
  <c r="M8" i="33"/>
  <c r="M8" i="19"/>
  <c r="M8" i="16"/>
  <c r="M30" i="20"/>
  <c r="M30" i="13"/>
  <c r="M30" i="23"/>
  <c r="M30" i="33"/>
  <c r="M30" i="29"/>
  <c r="M30" i="16"/>
  <c r="M99" i="23"/>
  <c r="M99" i="29"/>
  <c r="M99" i="13"/>
  <c r="M99" i="33"/>
  <c r="M110" i="33"/>
  <c r="M120" i="13"/>
  <c r="M120" i="23"/>
  <c r="M120" i="29"/>
  <c r="M120" i="33"/>
  <c r="M100" i="13"/>
  <c r="M100" i="29"/>
  <c r="M100" i="33"/>
  <c r="M100" i="23"/>
  <c r="M122" i="33"/>
  <c r="M108" i="13"/>
  <c r="M108" i="23"/>
  <c r="M108" i="33"/>
  <c r="M108" i="29"/>
  <c r="M9" i="19"/>
  <c r="M9" i="25"/>
  <c r="M9" i="20"/>
  <c r="M9" i="22"/>
  <c r="M9" i="51"/>
  <c r="M9" i="13"/>
  <c r="M9" i="16"/>
  <c r="M9" i="29"/>
  <c r="M9" i="33"/>
  <c r="M86" i="23"/>
  <c r="M86" i="29"/>
  <c r="M86" i="13"/>
  <c r="M86" i="33"/>
  <c r="J107" i="4"/>
  <c r="M107" i="23"/>
  <c r="M107" i="13"/>
  <c r="M107" i="29"/>
  <c r="M107" i="33"/>
  <c r="M98" i="13"/>
  <c r="M98" i="23"/>
  <c r="M98" i="29"/>
  <c r="M98" i="33"/>
  <c r="M77" i="13"/>
  <c r="M77" i="23"/>
  <c r="M77" i="29"/>
  <c r="M77" i="33"/>
  <c r="M67" i="13"/>
  <c r="M67" i="23"/>
  <c r="M67" i="29"/>
  <c r="M67" i="33"/>
  <c r="M109" i="13"/>
  <c r="M109" i="23"/>
  <c r="M109" i="29"/>
  <c r="M109" i="33"/>
  <c r="M112" i="13"/>
  <c r="M112" i="23"/>
  <c r="M112" i="33"/>
  <c r="J108" i="4"/>
  <c r="M38" i="8"/>
  <c r="D38" i="9"/>
  <c r="H60" i="9"/>
  <c r="H46" i="9"/>
  <c r="N40" i="8"/>
  <c r="B65" i="9"/>
  <c r="D29" i="9"/>
  <c r="D14" i="9"/>
  <c r="B50" i="9"/>
  <c r="D20" i="9"/>
  <c r="B56" i="9"/>
  <c r="B41" i="9"/>
  <c r="I22" i="9"/>
  <c r="H50" i="9"/>
  <c r="B64" i="9"/>
  <c r="D28" i="9"/>
  <c r="I18" i="9"/>
  <c r="N38" i="8"/>
  <c r="C46" i="9"/>
  <c r="C56" i="9"/>
  <c r="B54" i="9"/>
  <c r="D18" i="9"/>
  <c r="H51" i="9"/>
  <c r="N37" i="8"/>
  <c r="N36" i="8"/>
  <c r="C63" i="9"/>
  <c r="N39" i="8"/>
  <c r="M40" i="8"/>
  <c r="D40" i="9"/>
  <c r="B63" i="9"/>
  <c r="I31" i="9"/>
  <c r="C45" i="9"/>
  <c r="M85" i="8"/>
  <c r="I35" i="9"/>
  <c r="H53" i="9"/>
  <c r="D39" i="9"/>
  <c r="M39" i="8"/>
  <c r="H56" i="9"/>
  <c r="I19" i="9"/>
  <c r="D13" i="9"/>
  <c r="B60" i="9"/>
  <c r="D24" i="9"/>
  <c r="C54" i="9"/>
  <c r="D31" i="9"/>
  <c r="D9" i="9"/>
  <c r="B45" i="9"/>
  <c r="M86" i="8"/>
  <c r="I36" i="9"/>
  <c r="I26" i="9"/>
  <c r="H62" i="9"/>
  <c r="H63" i="9"/>
  <c r="N90" i="8"/>
  <c r="H58" i="9"/>
  <c r="N86" i="8"/>
  <c r="H45" i="9"/>
  <c r="C51" i="9"/>
  <c r="I38" i="9"/>
  <c r="M88" i="8"/>
  <c r="N88" i="8"/>
  <c r="C65" i="9"/>
  <c r="C62" i="9"/>
  <c r="D19" i="9"/>
  <c r="B55" i="9"/>
  <c r="C52" i="9"/>
  <c r="N89" i="8"/>
  <c r="C41" i="9"/>
  <c r="M37" i="8"/>
  <c r="D37" i="9"/>
  <c r="I24" i="9"/>
  <c r="B58" i="9"/>
  <c r="D22" i="9"/>
  <c r="D35" i="9"/>
  <c r="M35" i="8"/>
  <c r="N87" i="8"/>
  <c r="D27" i="9"/>
  <c r="H41" i="9"/>
  <c r="C60" i="9"/>
  <c r="N35" i="8"/>
  <c r="B52" i="9"/>
  <c r="D16" i="9"/>
  <c r="C55" i="9"/>
  <c r="N85" i="8"/>
  <c r="C64" i="9"/>
  <c r="I37" i="9"/>
  <c r="M87" i="8"/>
  <c r="D10" i="9"/>
  <c r="B46" i="9"/>
  <c r="C50" i="9"/>
  <c r="G41" i="9"/>
  <c r="F27" i="10" s="1"/>
  <c r="D26" i="9"/>
  <c r="B62" i="9"/>
  <c r="H52" i="9"/>
  <c r="M89" i="8"/>
  <c r="I39" i="9"/>
  <c r="H55" i="9"/>
  <c r="D17" i="9"/>
  <c r="B53" i="9"/>
  <c r="H64" i="9"/>
  <c r="C53" i="9"/>
  <c r="M90" i="8"/>
  <c r="I40" i="9"/>
  <c r="M36" i="8"/>
  <c r="D36" i="9"/>
  <c r="D25" i="9"/>
  <c r="B51" i="9"/>
  <c r="D15" i="9"/>
  <c r="I13" i="9"/>
  <c r="I27" i="9"/>
  <c r="I16" i="9"/>
  <c r="C58" i="9"/>
  <c r="J109" i="4"/>
  <c r="J117" i="4"/>
  <c r="J125" i="4"/>
  <c r="J124" i="4"/>
  <c r="J120" i="4"/>
  <c r="J8" i="4"/>
  <c r="J112" i="4"/>
  <c r="J78" i="4"/>
  <c r="J9" i="4"/>
  <c r="J67" i="4"/>
  <c r="J86" i="4"/>
  <c r="J113" i="4"/>
  <c r="J88" i="4"/>
  <c r="J99" i="4"/>
  <c r="J100" i="4"/>
  <c r="J121" i="4"/>
  <c r="J77" i="4"/>
  <c r="J79" i="4"/>
  <c r="J98" i="4"/>
  <c r="K21" i="10"/>
  <c r="H75" i="4"/>
  <c r="H25" i="10"/>
  <c r="G55" i="10"/>
  <c r="H136" i="4"/>
  <c r="H96" i="4"/>
  <c r="K42" i="10"/>
  <c r="G53" i="10"/>
  <c r="H29" i="4"/>
  <c r="H89" i="4"/>
  <c r="K12" i="10"/>
  <c r="K14" i="10"/>
  <c r="K23" i="10"/>
  <c r="H87" i="4"/>
  <c r="H111" i="4"/>
  <c r="K44" i="10"/>
  <c r="K24" i="10"/>
  <c r="G46" i="10"/>
  <c r="H43" i="10"/>
  <c r="H31" i="4"/>
  <c r="J31" i="4" s="1"/>
  <c r="H32" i="4"/>
  <c r="J32" i="4" s="1"/>
  <c r="J10" i="10"/>
  <c r="D10" i="10"/>
  <c r="J24" i="10"/>
  <c r="D24" i="10"/>
  <c r="I25" i="4"/>
  <c r="B60" i="10"/>
  <c r="D38" i="10"/>
  <c r="J38" i="10"/>
  <c r="I37" i="4"/>
  <c r="F55" i="10"/>
  <c r="H33" i="10"/>
  <c r="D23" i="10"/>
  <c r="J23" i="10"/>
  <c r="H34" i="4"/>
  <c r="H134" i="4"/>
  <c r="J14" i="10"/>
  <c r="D14" i="10"/>
  <c r="I87" i="4"/>
  <c r="J11" i="10"/>
  <c r="L11" i="10" s="1"/>
  <c r="D11" i="10"/>
  <c r="K32" i="10"/>
  <c r="C54" i="10"/>
  <c r="K15" i="10"/>
  <c r="H41" i="10"/>
  <c r="F46" i="10"/>
  <c r="D42" i="10"/>
  <c r="J42" i="10"/>
  <c r="C52" i="10"/>
  <c r="C35" i="10"/>
  <c r="K30" i="10"/>
  <c r="H23" i="10"/>
  <c r="K25" i="10"/>
  <c r="D33" i="10"/>
  <c r="B55" i="10"/>
  <c r="J33" i="10"/>
  <c r="D45" i="10"/>
  <c r="J45" i="10"/>
  <c r="L45" i="10" s="1"/>
  <c r="J16" i="10"/>
  <c r="L16" i="10" s="1"/>
  <c r="D16" i="10"/>
  <c r="I75" i="4"/>
  <c r="I137" i="4"/>
  <c r="D22" i="10"/>
  <c r="J22" i="10"/>
  <c r="G54" i="10"/>
  <c r="J31" i="10"/>
  <c r="B53" i="10"/>
  <c r="D31" i="10"/>
  <c r="J15" i="10"/>
  <c r="D15" i="10"/>
  <c r="I96" i="4"/>
  <c r="H20" i="10"/>
  <c r="K22" i="10"/>
  <c r="K10" i="10"/>
  <c r="D44" i="10"/>
  <c r="J44" i="10"/>
  <c r="I111" i="4"/>
  <c r="C55" i="10"/>
  <c r="K33" i="10"/>
  <c r="J13" i="10"/>
  <c r="D13" i="10"/>
  <c r="K13" i="10"/>
  <c r="H35" i="4"/>
  <c r="C56" i="10"/>
  <c r="K56" i="10" s="1"/>
  <c r="K34" i="10"/>
  <c r="I119" i="4"/>
  <c r="F35" i="10"/>
  <c r="F52" i="10"/>
  <c r="H30" i="10"/>
  <c r="I135" i="4"/>
  <c r="I29" i="4"/>
  <c r="H31" i="10"/>
  <c r="F53" i="10"/>
  <c r="I89" i="4"/>
  <c r="J32" i="10"/>
  <c r="D32" i="10"/>
  <c r="B54" i="10"/>
  <c r="I66" i="4"/>
  <c r="J20" i="10"/>
  <c r="D20" i="10"/>
  <c r="B56" i="10"/>
  <c r="J34" i="10"/>
  <c r="H66" i="4"/>
  <c r="H32" i="10"/>
  <c r="F54" i="10"/>
  <c r="I22" i="4"/>
  <c r="K41" i="10"/>
  <c r="C46" i="10"/>
  <c r="H119" i="4"/>
  <c r="H137" i="4"/>
  <c r="I136" i="4"/>
  <c r="H68" i="4"/>
  <c r="I68" i="4"/>
  <c r="K43" i="10"/>
  <c r="I10" i="4"/>
  <c r="H135" i="4"/>
  <c r="H12" i="4"/>
  <c r="J26" i="10"/>
  <c r="L26" i="10" s="1"/>
  <c r="D26" i="10"/>
  <c r="I34" i="4"/>
  <c r="H9" i="10"/>
  <c r="J9" i="10"/>
  <c r="L9" i="10" s="1"/>
  <c r="J49" i="10"/>
  <c r="L49" i="10" s="1"/>
  <c r="D49" i="10"/>
  <c r="D21" i="10"/>
  <c r="J21" i="10"/>
  <c r="I39" i="4"/>
  <c r="I36" i="4"/>
  <c r="B35" i="10"/>
  <c r="J30" i="10"/>
  <c r="B52" i="10"/>
  <c r="D30" i="10"/>
  <c r="I7" i="4"/>
  <c r="K60" i="10"/>
  <c r="K38" i="10"/>
  <c r="H13" i="10"/>
  <c r="G35" i="10"/>
  <c r="G52" i="10"/>
  <c r="I35" i="4"/>
  <c r="D12" i="10"/>
  <c r="J12" i="10"/>
  <c r="I12" i="4"/>
  <c r="D43" i="10"/>
  <c r="J43" i="10"/>
  <c r="I134" i="4"/>
  <c r="I11" i="4"/>
  <c r="K20" i="10"/>
  <c r="D25" i="10"/>
  <c r="J25" i="10"/>
  <c r="D41" i="10"/>
  <c r="J41" i="10"/>
  <c r="B46" i="10"/>
  <c r="K31" i="10"/>
  <c r="C53" i="10"/>
  <c r="L37" i="9"/>
  <c r="B68" i="9" l="1"/>
  <c r="H68" i="9"/>
  <c r="M119" i="79"/>
  <c r="M111" i="79"/>
  <c r="M37" i="79"/>
  <c r="M36" i="79"/>
  <c r="M22" i="79"/>
  <c r="M29" i="79"/>
  <c r="M10" i="79"/>
  <c r="M66" i="79"/>
  <c r="M7" i="79"/>
  <c r="M87" i="79"/>
  <c r="J66" i="9"/>
  <c r="B17" i="10"/>
  <c r="L15" i="9"/>
  <c r="M27" i="9"/>
  <c r="J57" i="9" l="1"/>
  <c r="J59" i="9"/>
  <c r="J47" i="9"/>
  <c r="M7" i="72"/>
  <c r="M7" i="74"/>
  <c r="J37" i="9"/>
  <c r="O16" i="9"/>
  <c r="N27" i="9"/>
  <c r="M14" i="9"/>
  <c r="M38" i="9"/>
  <c r="O20" i="9"/>
  <c r="N20" i="9"/>
  <c r="N16" i="9"/>
  <c r="O28" i="9"/>
  <c r="L27" i="9"/>
  <c r="M29" i="9"/>
  <c r="L18" i="9"/>
  <c r="O18" i="9"/>
  <c r="L16" i="9"/>
  <c r="L26" i="9"/>
  <c r="O9" i="9"/>
  <c r="M26" i="9"/>
  <c r="O24" i="9"/>
  <c r="M28" i="9"/>
  <c r="N39" i="9"/>
  <c r="O38" i="9"/>
  <c r="M39" i="9"/>
  <c r="L39" i="9"/>
  <c r="M9" i="9"/>
  <c r="N40" i="9"/>
  <c r="M35" i="9"/>
  <c r="O26" i="9"/>
  <c r="O36" i="9"/>
  <c r="N35" i="9"/>
  <c r="M22" i="9"/>
  <c r="L38" i="9"/>
  <c r="L20" i="9"/>
  <c r="M10" i="9"/>
  <c r="L40" i="9"/>
  <c r="O14" i="9"/>
  <c r="O27" i="9"/>
  <c r="L24" i="9"/>
  <c r="N15" i="9"/>
  <c r="O25" i="9"/>
  <c r="L17" i="9"/>
  <c r="M36" i="9"/>
  <c r="N24" i="9"/>
  <c r="M17" i="9"/>
  <c r="N31" i="9"/>
  <c r="M37" i="9"/>
  <c r="O12" i="9"/>
  <c r="M12" i="9"/>
  <c r="M19" i="9"/>
  <c r="N38" i="9"/>
  <c r="O17" i="9"/>
  <c r="N30" i="9"/>
  <c r="O29" i="9"/>
  <c r="O31" i="9"/>
  <c r="O35" i="9"/>
  <c r="L35" i="9"/>
  <c r="M24" i="9"/>
  <c r="L29" i="9"/>
  <c r="L36" i="9"/>
  <c r="N18" i="9"/>
  <c r="O22" i="9"/>
  <c r="O40" i="9"/>
  <c r="M40" i="9"/>
  <c r="O19" i="9"/>
  <c r="M25" i="9"/>
  <c r="L31" i="9"/>
  <c r="N19" i="9"/>
  <c r="L28" i="9"/>
  <c r="L9" i="9"/>
  <c r="O15" i="9"/>
  <c r="M18" i="9"/>
  <c r="L12" i="9"/>
  <c r="M30" i="9"/>
  <c r="N12" i="9"/>
  <c r="L19" i="9"/>
  <c r="O10" i="9"/>
  <c r="M16" i="9"/>
  <c r="L10" i="9"/>
  <c r="L22" i="9"/>
  <c r="N26" i="9"/>
  <c r="O30" i="9"/>
  <c r="N9" i="9"/>
  <c r="N29" i="9"/>
  <c r="L14" i="9"/>
  <c r="N37" i="9"/>
  <c r="M15" i="9"/>
  <c r="M20" i="9"/>
  <c r="L25" i="9"/>
  <c r="N10" i="9"/>
  <c r="M31" i="9"/>
  <c r="O37" i="9"/>
  <c r="N36" i="9"/>
  <c r="N14" i="9"/>
  <c r="N17" i="9"/>
  <c r="N25" i="9"/>
  <c r="N22" i="9"/>
  <c r="N28" i="9"/>
  <c r="O39" i="9"/>
  <c r="J25" i="4" l="1"/>
  <c r="M35" i="37"/>
  <c r="M22" i="37"/>
  <c r="M29" i="37"/>
  <c r="M135" i="37"/>
  <c r="M37" i="37"/>
  <c r="M137" i="37"/>
  <c r="M66" i="37"/>
  <c r="M111" i="37"/>
  <c r="M10" i="37"/>
  <c r="M136" i="37"/>
  <c r="M75" i="37"/>
  <c r="M134" i="37"/>
  <c r="M36" i="37"/>
  <c r="M12" i="37"/>
  <c r="M89" i="37"/>
  <c r="M87" i="37"/>
  <c r="M25" i="37"/>
  <c r="M11" i="37"/>
  <c r="M7" i="37"/>
  <c r="M34" i="37"/>
  <c r="M119" i="37"/>
  <c r="M68" i="37"/>
  <c r="M96" i="37"/>
  <c r="L24" i="10"/>
  <c r="L14" i="10"/>
  <c r="J39" i="4"/>
  <c r="J75" i="4"/>
  <c r="J96" i="4"/>
  <c r="L15" i="10"/>
  <c r="L45" i="9"/>
  <c r="M41" i="9"/>
  <c r="M63" i="9"/>
  <c r="O62" i="9"/>
  <c r="L50" i="9"/>
  <c r="M45" i="9"/>
  <c r="M52" i="9"/>
  <c r="O52" i="9"/>
  <c r="N55" i="9"/>
  <c r="O65" i="9"/>
  <c r="O51" i="9"/>
  <c r="M55" i="9"/>
  <c r="N52" i="9"/>
  <c r="N49" i="9"/>
  <c r="O64" i="9"/>
  <c r="M62" i="9"/>
  <c r="L60" i="9"/>
  <c r="L53" i="9"/>
  <c r="L58" i="9"/>
  <c r="M67" i="9"/>
  <c r="L64" i="9"/>
  <c r="M32" i="9"/>
  <c r="O50" i="9"/>
  <c r="L41" i="9"/>
  <c r="L49" i="9"/>
  <c r="M65" i="9"/>
  <c r="N32" i="9"/>
  <c r="M56" i="9"/>
  <c r="O41" i="9"/>
  <c r="N51" i="9"/>
  <c r="O45" i="9"/>
  <c r="L55" i="9"/>
  <c r="N65" i="9"/>
  <c r="M58" i="9"/>
  <c r="O58" i="9"/>
  <c r="N63" i="9"/>
  <c r="O54" i="9"/>
  <c r="L56" i="9"/>
  <c r="L63" i="9"/>
  <c r="N60" i="9"/>
  <c r="N50" i="9"/>
  <c r="O55" i="9"/>
  <c r="O67" i="9"/>
  <c r="O63" i="9"/>
  <c r="L54" i="9"/>
  <c r="O60" i="9"/>
  <c r="N45" i="9"/>
  <c r="L67" i="9"/>
  <c r="M64" i="9"/>
  <c r="N58" i="9"/>
  <c r="M50" i="9"/>
  <c r="O32" i="9"/>
  <c r="M53" i="9"/>
  <c r="M54" i="9"/>
  <c r="N64" i="9"/>
  <c r="N46" i="9"/>
  <c r="L62" i="9"/>
  <c r="M49" i="9"/>
  <c r="M51" i="9"/>
  <c r="N41" i="9"/>
  <c r="N56" i="9"/>
  <c r="M46" i="9"/>
  <c r="N67" i="9"/>
  <c r="N54" i="9"/>
  <c r="L32" i="9"/>
  <c r="M60" i="9"/>
  <c r="L51" i="9"/>
  <c r="O53" i="9"/>
  <c r="O49" i="9"/>
  <c r="O46" i="9"/>
  <c r="N62" i="9"/>
  <c r="O56" i="9"/>
  <c r="L46" i="9"/>
  <c r="L42" i="10"/>
  <c r="J11" i="4"/>
  <c r="M11" i="13"/>
  <c r="M11" i="33"/>
  <c r="M11" i="23"/>
  <c r="M11" i="29"/>
  <c r="J10" i="4"/>
  <c r="M10" i="20"/>
  <c r="M10" i="23"/>
  <c r="M10" i="13"/>
  <c r="M10" i="51"/>
  <c r="M10" i="16"/>
  <c r="M10" i="29"/>
  <c r="M10" i="33"/>
  <c r="M68" i="13"/>
  <c r="M68" i="23"/>
  <c r="M68" i="29"/>
  <c r="M68" i="33"/>
  <c r="M136" i="26"/>
  <c r="M119" i="23"/>
  <c r="M119" i="13"/>
  <c r="M119" i="29"/>
  <c r="M119" i="33"/>
  <c r="M111" i="23"/>
  <c r="M111" i="29"/>
  <c r="M111" i="13"/>
  <c r="M111" i="33"/>
  <c r="J7" i="4"/>
  <c r="M7" i="19"/>
  <c r="M7" i="13"/>
  <c r="M7" i="23"/>
  <c r="M7" i="22"/>
  <c r="M7" i="25"/>
  <c r="M7" i="20"/>
  <c r="M7" i="29"/>
  <c r="M7" i="16"/>
  <c r="M7" i="51"/>
  <c r="M7" i="33"/>
  <c r="J22" i="4"/>
  <c r="M22" i="20"/>
  <c r="M22" i="13"/>
  <c r="M22" i="51"/>
  <c r="M22" i="23"/>
  <c r="M22" i="29"/>
  <c r="M22" i="33"/>
  <c r="M22" i="16"/>
  <c r="M29" i="23"/>
  <c r="M29" i="13"/>
  <c r="M29" i="29"/>
  <c r="M29" i="51"/>
  <c r="M29" i="16"/>
  <c r="M29" i="20"/>
  <c r="M29" i="33"/>
  <c r="M137" i="26"/>
  <c r="M137" i="34"/>
  <c r="M87" i="13"/>
  <c r="M87" i="23"/>
  <c r="M87" i="33"/>
  <c r="M87" i="29"/>
  <c r="M35" i="13"/>
  <c r="M35" i="23"/>
  <c r="M35" i="29"/>
  <c r="M35" i="33"/>
  <c r="M39" i="13"/>
  <c r="M34" i="13"/>
  <c r="M34" i="23"/>
  <c r="M34" i="29"/>
  <c r="M34" i="33"/>
  <c r="M66" i="13"/>
  <c r="M66" i="33"/>
  <c r="M66" i="23"/>
  <c r="M66" i="29"/>
  <c r="M89" i="13"/>
  <c r="M89" i="23"/>
  <c r="M89" i="29"/>
  <c r="M89" i="33"/>
  <c r="M96" i="33"/>
  <c r="M75" i="33"/>
  <c r="J37" i="4"/>
  <c r="M37" i="13"/>
  <c r="I63" i="9"/>
  <c r="M134" i="26"/>
  <c r="M134" i="34"/>
  <c r="M12" i="13"/>
  <c r="M12" i="23"/>
  <c r="M12" i="29"/>
  <c r="M12" i="33"/>
  <c r="J36" i="4"/>
  <c r="M36" i="13"/>
  <c r="L21" i="10"/>
  <c r="H53" i="10"/>
  <c r="M135" i="26"/>
  <c r="M135" i="34"/>
  <c r="M25" i="13"/>
  <c r="M25" i="29"/>
  <c r="M25" i="33"/>
  <c r="L31" i="10"/>
  <c r="L22" i="10"/>
  <c r="L12" i="10"/>
  <c r="L10" i="10"/>
  <c r="I58" i="9"/>
  <c r="I67" i="9"/>
  <c r="I52" i="9"/>
  <c r="I49" i="9"/>
  <c r="I32" i="9"/>
  <c r="D41" i="9"/>
  <c r="G17" i="10"/>
  <c r="E36" i="9"/>
  <c r="E35" i="9"/>
  <c r="E40" i="9"/>
  <c r="E39" i="9"/>
  <c r="E38" i="9"/>
  <c r="F17" i="10"/>
  <c r="J17" i="10" s="1"/>
  <c r="E37" i="9"/>
  <c r="B27" i="10"/>
  <c r="J27" i="10" s="1"/>
  <c r="J38" i="9"/>
  <c r="G27" i="10"/>
  <c r="H27" i="10" s="1"/>
  <c r="J48" i="9"/>
  <c r="C27" i="10"/>
  <c r="J39" i="9"/>
  <c r="J35" i="9"/>
  <c r="I41" i="9"/>
  <c r="J36" i="9"/>
  <c r="J40" i="9"/>
  <c r="J119" i="4"/>
  <c r="J137" i="4"/>
  <c r="J135" i="4"/>
  <c r="J111" i="4"/>
  <c r="J12" i="4"/>
  <c r="J66" i="4"/>
  <c r="J35" i="4"/>
  <c r="J134" i="4"/>
  <c r="J34" i="4"/>
  <c r="J136" i="4"/>
  <c r="J68" i="4"/>
  <c r="J89" i="4"/>
  <c r="J87" i="4"/>
  <c r="J29" i="4"/>
  <c r="K53" i="10"/>
  <c r="K55" i="10"/>
  <c r="L44" i="10"/>
  <c r="L23" i="10"/>
  <c r="H55" i="10"/>
  <c r="L30" i="10"/>
  <c r="G57" i="10"/>
  <c r="L32" i="10"/>
  <c r="H54" i="10"/>
  <c r="L43" i="10"/>
  <c r="K46" i="10"/>
  <c r="H46" i="10"/>
  <c r="L41" i="10"/>
  <c r="L13" i="10"/>
  <c r="L25" i="10"/>
  <c r="H30" i="4"/>
  <c r="J30" i="4" s="1"/>
  <c r="K54" i="10"/>
  <c r="L38" i="10"/>
  <c r="D46" i="10"/>
  <c r="J46" i="10"/>
  <c r="D52" i="10"/>
  <c r="J52" i="10"/>
  <c r="B57" i="10"/>
  <c r="J54" i="10"/>
  <c r="D54" i="10"/>
  <c r="F57" i="10"/>
  <c r="H52" i="10"/>
  <c r="L33" i="10"/>
  <c r="K35" i="10"/>
  <c r="L20" i="10"/>
  <c r="H35" i="10"/>
  <c r="J53" i="10"/>
  <c r="D53" i="10"/>
  <c r="D55" i="10"/>
  <c r="J55" i="10"/>
  <c r="K52" i="10"/>
  <c r="C57" i="10"/>
  <c r="J60" i="10"/>
  <c r="L60" i="10" s="1"/>
  <c r="D60" i="10"/>
  <c r="J35" i="10"/>
  <c r="D35" i="10"/>
  <c r="D56" i="10"/>
  <c r="J56" i="10"/>
  <c r="L56" i="10" s="1"/>
  <c r="L30" i="9"/>
  <c r="N53" i="9" l="1"/>
  <c r="L52" i="9"/>
  <c r="L68" i="9" s="1"/>
  <c r="L65" i="9"/>
  <c r="J65" i="9"/>
  <c r="J61" i="9"/>
  <c r="L55" i="10"/>
  <c r="M68" i="9"/>
  <c r="O68" i="9"/>
  <c r="N68" i="9"/>
  <c r="L53" i="10"/>
  <c r="J41" i="9"/>
  <c r="I68" i="9"/>
  <c r="E41" i="9"/>
  <c r="H17" i="10"/>
  <c r="J52" i="9"/>
  <c r="J51" i="9"/>
  <c r="D27" i="10"/>
  <c r="K27" i="10"/>
  <c r="L27" i="10" s="1"/>
  <c r="J46" i="9"/>
  <c r="J54" i="9"/>
  <c r="I54" i="9" s="1"/>
  <c r="J56" i="9"/>
  <c r="J45" i="9"/>
  <c r="I45" i="9" s="1"/>
  <c r="J58" i="9"/>
  <c r="J53" i="9"/>
  <c r="J60" i="9"/>
  <c r="I60" i="9" s="1"/>
  <c r="J49" i="9"/>
  <c r="J67" i="9"/>
  <c r="J64" i="9"/>
  <c r="J55" i="9"/>
  <c r="I55" i="9" s="1"/>
  <c r="J50" i="9"/>
  <c r="J62" i="9"/>
  <c r="I62" i="9" s="1"/>
  <c r="J63" i="9"/>
  <c r="K57" i="10"/>
  <c r="H57" i="10"/>
  <c r="L46" i="10"/>
  <c r="L35" i="10"/>
  <c r="L54" i="10"/>
  <c r="J57" i="10"/>
  <c r="D57" i="10"/>
  <c r="L52" i="10"/>
  <c r="J68" i="9" l="1"/>
  <c r="L57" i="10"/>
  <c r="D30" i="9" l="1"/>
  <c r="N29" i="8" l="1"/>
  <c r="C66" i="9"/>
  <c r="D66" i="9" l="1"/>
  <c r="C68" i="9"/>
  <c r="E59" i="9" s="1"/>
  <c r="E11" i="9"/>
  <c r="E25" i="9"/>
  <c r="D32" i="9"/>
  <c r="E22" i="9"/>
  <c r="E13" i="9"/>
  <c r="E31" i="9"/>
  <c r="E19" i="9"/>
  <c r="E28" i="9"/>
  <c r="E14" i="9"/>
  <c r="E9" i="9"/>
  <c r="E24" i="9"/>
  <c r="E12" i="9"/>
  <c r="C17" i="10"/>
  <c r="K17" i="10" s="1"/>
  <c r="L17" i="10" s="1"/>
  <c r="E26" i="9"/>
  <c r="E30" i="9"/>
  <c r="E17" i="9"/>
  <c r="E20" i="9"/>
  <c r="E16" i="9"/>
  <c r="E10" i="9"/>
  <c r="E27" i="9"/>
  <c r="E29" i="9"/>
  <c r="E15" i="9"/>
  <c r="E18" i="9"/>
  <c r="E66" i="9"/>
  <c r="E32" i="9" l="1"/>
  <c r="E47" i="9"/>
  <c r="E57" i="9"/>
  <c r="D68" i="9"/>
  <c r="D17" i="10"/>
  <c r="E48" i="9"/>
  <c r="E56" i="9"/>
  <c r="D56" i="9" s="1"/>
  <c r="E67" i="9"/>
  <c r="D67" i="9" s="1"/>
  <c r="E60" i="9"/>
  <c r="D60" i="9" s="1"/>
  <c r="E62" i="9"/>
  <c r="D62" i="9" s="1"/>
  <c r="E51" i="9"/>
  <c r="D51" i="9" s="1"/>
  <c r="E54" i="9"/>
  <c r="D54" i="9" s="1"/>
  <c r="E46" i="9"/>
  <c r="D46" i="9" s="1"/>
  <c r="E55" i="9"/>
  <c r="D55" i="9" s="1"/>
  <c r="E45" i="9"/>
  <c r="D45" i="9" s="1"/>
  <c r="E52" i="9"/>
  <c r="D52" i="9" s="1"/>
  <c r="E63" i="9"/>
  <c r="D63" i="9" s="1"/>
  <c r="E61" i="9"/>
  <c r="E49" i="9"/>
  <c r="D49" i="9" s="1"/>
  <c r="E65" i="9"/>
  <c r="D65" i="9" s="1"/>
  <c r="E53" i="9"/>
  <c r="D53" i="9" s="1"/>
  <c r="E64" i="9"/>
  <c r="D64" i="9" s="1"/>
  <c r="E50" i="9"/>
  <c r="D50" i="9" s="1"/>
  <c r="E58" i="9"/>
  <c r="D58" i="9" s="1"/>
  <c r="E68"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Spørring - Data" description="Tilkobling til spørringen Data i arbeidsboken." type="5" refreshedVersion="8" background="1" refreshOnLoad="1">
    <dbPr connection="Provider=Microsoft.Mashup.OleDb.1;Data Source=$Workbook$;Location=Data;Extended Properties=&quot;&quot;" command="SELECT * FROM [Data]"/>
  </connection>
</connections>
</file>

<file path=xl/sharedStrings.xml><?xml version="1.0" encoding="utf-8"?>
<sst xmlns="http://schemas.openxmlformats.org/spreadsheetml/2006/main" count="5433" uniqueCount="420">
  <si>
    <t>Produkter uten investeringsvalg</t>
  </si>
  <si>
    <t>Produkter med investeringsvalg</t>
  </si>
  <si>
    <t>Totalt</t>
  </si>
  <si>
    <t>Endring</t>
  </si>
  <si>
    <t>i %</t>
  </si>
  <si>
    <t xml:space="preserve">                     </t>
  </si>
  <si>
    <t xml:space="preserve">      Gjeldsgruppeliv</t>
  </si>
  <si>
    <t xml:space="preserve">      Foreningsgruppeliv</t>
  </si>
  <si>
    <t xml:space="preserve">      Andre grupper</t>
  </si>
  <si>
    <t xml:space="preserve">   Ytelsesbasert</t>
  </si>
  <si>
    <t xml:space="preserve">   Innskuddsbasert</t>
  </si>
  <si>
    <t xml:space="preserve">      herav kapitaliseringsprodukt IPA+IPS</t>
  </si>
  <si>
    <t xml:space="preserve">        Inv.valg foretak</t>
  </si>
  <si>
    <t xml:space="preserve">        Inv.valg kontohaver</t>
  </si>
  <si>
    <t xml:space="preserve">    Til pensjonskasser</t>
  </si>
  <si>
    <t xml:space="preserve">    Fra pensjonskasser</t>
  </si>
  <si>
    <t>Noter til tabellene</t>
  </si>
  <si>
    <t>Gruppeliv bedrift tilsvarer tjenestegruppeliv.</t>
  </si>
  <si>
    <t>Gruppeliv privat består av foreningsgruppeliv, gjeldsgruppeliv og annet.</t>
  </si>
  <si>
    <t xml:space="preserve">Engangsbetalt alderspensjon er innskuddsbasert pensjon med dødelighetsarv. </t>
  </si>
  <si>
    <t>LOF/LOI betyr lov om foretakspensjon og lov om innskuddspensjon.</t>
  </si>
  <si>
    <t>Overførte reserver fra andre tilsvarer post 1.3 i resultatregnskapet samt overførte tilleggsavsetninger som tilsvarer post 6.6 i  resultatregnskapet.</t>
  </si>
  <si>
    <t>Flytting av en gruppelivsordning fra andre eller til andre måles i brutto årlig premie (ikke brutto forfalt premie).</t>
  </si>
  <si>
    <r>
      <t xml:space="preserve">Brutto forfalt premie </t>
    </r>
    <r>
      <rPr>
        <b/>
        <vertAlign val="superscript"/>
        <sz val="10"/>
        <rFont val="Times New Roman"/>
        <family val="1"/>
      </rPr>
      <t>1</t>
    </r>
  </si>
  <si>
    <r>
      <t xml:space="preserve">    Herav brutto risikopremie uførekapital </t>
    </r>
    <r>
      <rPr>
        <vertAlign val="superscript"/>
        <sz val="10"/>
        <rFont val="Times New Roman"/>
        <family val="1"/>
      </rPr>
      <t>2</t>
    </r>
  </si>
  <si>
    <r>
      <t xml:space="preserve">    Herav brutto risikopremie død </t>
    </r>
    <r>
      <rPr>
        <vertAlign val="superscript"/>
        <sz val="10"/>
        <rFont val="Times New Roman"/>
        <family val="1"/>
      </rPr>
      <t>2</t>
    </r>
  </si>
  <si>
    <t xml:space="preserve">   Etter tjenestepensjonsloven</t>
  </si>
  <si>
    <t>Tabell 5: Kommunale ordninger</t>
  </si>
  <si>
    <t>Tabell 1 : Individuell kapitalforsikring*</t>
  </si>
  <si>
    <t>Markeds-</t>
  </si>
  <si>
    <t>andel</t>
  </si>
  <si>
    <t>INNHOLDSFORTEGNELSE</t>
  </si>
  <si>
    <t>FIGURER</t>
  </si>
  <si>
    <t>Figur 1</t>
  </si>
  <si>
    <t>Brutto forfalt premie livprodukter - produkter uten investeringsvalg</t>
  </si>
  <si>
    <t>Figur 2</t>
  </si>
  <si>
    <t>Brutto forfalt premie livprodukter - produkter med investeringsvalg</t>
  </si>
  <si>
    <t>Figur 3</t>
  </si>
  <si>
    <t>Figur 4</t>
  </si>
  <si>
    <t>Figur 5</t>
  </si>
  <si>
    <t>Forsikringsforpliktelser livprodukter - produkter uten investeringsvalg</t>
  </si>
  <si>
    <t>Figur 6</t>
  </si>
  <si>
    <t>Forsikringsforpliktelser livprodukter - produkter med investeringsvalg</t>
  </si>
  <si>
    <t>Netto tilflytting livprodukter - produkter uten investeringsvalg</t>
  </si>
  <si>
    <t>Netto tilflytting livprodukter - produkter med investeringsvalg</t>
  </si>
  <si>
    <t>TABELLER</t>
  </si>
  <si>
    <t>MARKEDSDEL</t>
  </si>
  <si>
    <t>Tabell 1.1</t>
  </si>
  <si>
    <t>Hovedtall - produkter uten  og med investeringsvalg</t>
  </si>
  <si>
    <t>Tabell 1.2</t>
  </si>
  <si>
    <t>Hovedtall - fordelt på bransjer</t>
  </si>
  <si>
    <t>NOTER OG KOMMENTARER</t>
  </si>
  <si>
    <t>Tilbake</t>
  </si>
  <si>
    <t xml:space="preserve">Brutto forfalt premie livprodukter </t>
  </si>
  <si>
    <t>DNB Liv</t>
  </si>
  <si>
    <t>Eika Forsikring</t>
  </si>
  <si>
    <t>Frende Livsfors</t>
  </si>
  <si>
    <t>Frende Skade</t>
  </si>
  <si>
    <t>Gjensidige Fors</t>
  </si>
  <si>
    <t>Gjensidige Pensj</t>
  </si>
  <si>
    <t>If Skadefors</t>
  </si>
  <si>
    <t>KLP</t>
  </si>
  <si>
    <t>KLP Skadef</t>
  </si>
  <si>
    <t>Nordea Liv</t>
  </si>
  <si>
    <t>OPF</t>
  </si>
  <si>
    <t>SpareBank 1</t>
  </si>
  <si>
    <t>Telenor Fors</t>
  </si>
  <si>
    <t>Tryg Fors</t>
  </si>
  <si>
    <t>Storebrand</t>
  </si>
  <si>
    <t>Forsikringsforpliktelser i livsforsikring</t>
  </si>
  <si>
    <t xml:space="preserve">Netto tilflytting </t>
  </si>
  <si>
    <t>Netto tilflytting</t>
  </si>
  <si>
    <t>Markedsdel, endelig år</t>
  </si>
  <si>
    <t>Tabell 1.1 Hovedtall</t>
  </si>
  <si>
    <t>Produkter med og uten investeringsvalg</t>
  </si>
  <si>
    <r>
      <t>Brutto forfalt premie</t>
    </r>
    <r>
      <rPr>
        <sz val="14"/>
        <rFont val="Times New Roman"/>
        <family val="1"/>
      </rPr>
      <t xml:space="preserve"> </t>
    </r>
    <r>
      <rPr>
        <vertAlign val="superscript"/>
        <sz val="14"/>
        <rFont val="Times New Roman"/>
        <family val="1"/>
      </rPr>
      <t>1)</t>
    </r>
  </si>
  <si>
    <t>%-</t>
  </si>
  <si>
    <t>Beløp i 1000  kroner</t>
  </si>
  <si>
    <t>endring</t>
  </si>
  <si>
    <t>DNB Livsforsikring</t>
  </si>
  <si>
    <t>Eika Forsikring AS</t>
  </si>
  <si>
    <t>Frende Livsforsikring</t>
  </si>
  <si>
    <t>Frende Skadeforsikring</t>
  </si>
  <si>
    <t>Gjensidige Forsikring</t>
  </si>
  <si>
    <t>Gjensidige Pensjon</t>
  </si>
  <si>
    <t>If Skadeforsikring NUF</t>
  </si>
  <si>
    <t>KLP Skadeforsikring AS</t>
  </si>
  <si>
    <t xml:space="preserve">Nordea Liv </t>
  </si>
  <si>
    <t>Oslo Pensjonsforsikring</t>
  </si>
  <si>
    <t>Storebrand Livsforsikring</t>
  </si>
  <si>
    <t>Telenor Forsikring</t>
  </si>
  <si>
    <t>Tryg Forsikring</t>
  </si>
  <si>
    <t>Totalt uten investeringsvalg</t>
  </si>
  <si>
    <t>Totalt med investeringsvalg</t>
  </si>
  <si>
    <t>Alle produkter</t>
  </si>
  <si>
    <t>Noter : Se "Noter og kommentarer"</t>
  </si>
  <si>
    <t>Tabell 1.2 Hovedtall</t>
  </si>
  <si>
    <t>Fordelt på bransjer</t>
  </si>
  <si>
    <t>Totalt alle produkter</t>
  </si>
  <si>
    <t>%</t>
  </si>
  <si>
    <t>Beløp i 1000 kr.</t>
  </si>
  <si>
    <r>
      <t xml:space="preserve">Brutto forfalt premie </t>
    </r>
    <r>
      <rPr>
        <vertAlign val="superscript"/>
        <sz val="14"/>
        <rFont val="Times New Roman"/>
        <family val="1"/>
      </rPr>
      <t>1)</t>
    </r>
  </si>
  <si>
    <t xml:space="preserve">   Individuell kapitalforsikring</t>
  </si>
  <si>
    <t xml:space="preserve">   Individuell pensjonsforsikring</t>
  </si>
  <si>
    <t xml:space="preserve">   Gruppeliv</t>
  </si>
  <si>
    <t xml:space="preserve">   Privat kollektiv pensjon</t>
  </si>
  <si>
    <t xml:space="preserve">     - herav innskuddsbasert *</t>
  </si>
  <si>
    <t xml:space="preserve">     - herav etter tjenestepensjonsloven</t>
  </si>
  <si>
    <t xml:space="preserve">   Foreningskollektiv</t>
  </si>
  <si>
    <t>Totalt brutto forfalt premie</t>
  </si>
  <si>
    <r>
      <t xml:space="preserve">     - herav innskuddsbasert </t>
    </r>
    <r>
      <rPr>
        <vertAlign val="superscript"/>
        <sz val="14"/>
        <rFont val="Times New Roman"/>
        <family val="1"/>
      </rPr>
      <t>*</t>
    </r>
  </si>
  <si>
    <t>Totalt forsikringsforpliktelser</t>
  </si>
  <si>
    <t>Totalt overførte reserver fra andre</t>
  </si>
  <si>
    <t>Totalt overførte reserver til andre</t>
  </si>
  <si>
    <t>Totalt netto overførte reserver fra andre</t>
  </si>
  <si>
    <t xml:space="preserve">* "Innskuddsbasert" er summen av "Engangsbetalt" og "Innskuddspensjon". </t>
  </si>
  <si>
    <t>DNB Livsforsikring ASA</t>
  </si>
  <si>
    <t>Frende Livsforsikring AS</t>
  </si>
  <si>
    <t>Frende Skadeforsikring AS</t>
  </si>
  <si>
    <t>If Skadeforsikring nuf</t>
  </si>
  <si>
    <t>Livsforsikringsselskapet Nordea Liv Norge AS</t>
  </si>
  <si>
    <t>Telenor Forsikring AS</t>
  </si>
  <si>
    <t>KLP Skadeforsikring</t>
  </si>
  <si>
    <t>Selskap</t>
  </si>
  <si>
    <t>Flytting fra andre</t>
  </si>
  <si>
    <t>Flytting til andre</t>
  </si>
  <si>
    <t>Q8</t>
  </si>
  <si>
    <t>Q9</t>
  </si>
  <si>
    <t>Q10</t>
  </si>
  <si>
    <t>Q16</t>
  </si>
  <si>
    <t>R7</t>
  </si>
  <si>
    <t>R8</t>
  </si>
  <si>
    <t>R9</t>
  </si>
  <si>
    <t>R10</t>
  </si>
  <si>
    <t>R14</t>
  </si>
  <si>
    <t>R15</t>
  </si>
  <si>
    <t>Q17</t>
  </si>
  <si>
    <t>Q18</t>
  </si>
  <si>
    <t>R11</t>
  </si>
  <si>
    <t>Tabell 1.3 Hovedtall</t>
  </si>
  <si>
    <t>Aktivaposter (aggregert)</t>
  </si>
  <si>
    <t>i mill. kr</t>
  </si>
  <si>
    <t>prosentvis andel</t>
  </si>
  <si>
    <t>Selskapsporteføljen</t>
  </si>
  <si>
    <t xml:space="preserve">   Aksjer</t>
  </si>
  <si>
    <t xml:space="preserve">   Eiendom</t>
  </si>
  <si>
    <t xml:space="preserve">   Datterforetak m.m.</t>
  </si>
  <si>
    <t xml:space="preserve">   Utlån</t>
  </si>
  <si>
    <t xml:space="preserve">   Annet</t>
  </si>
  <si>
    <t>Kollektivporteføljen</t>
  </si>
  <si>
    <t>Investeringsvalgporteføljen</t>
  </si>
  <si>
    <t>Tallene er hentet fra tabell 6 Balanse.</t>
  </si>
  <si>
    <t>Regnskapsdel, endelig år</t>
  </si>
  <si>
    <t>Tabell 6</t>
  </si>
  <si>
    <t>Balanse</t>
  </si>
  <si>
    <t>DNB</t>
  </si>
  <si>
    <t>Frende</t>
  </si>
  <si>
    <t>Gjensidige</t>
  </si>
  <si>
    <t xml:space="preserve"> </t>
  </si>
  <si>
    <t>Oslo</t>
  </si>
  <si>
    <t>Pensjonsforsikring</t>
  </si>
  <si>
    <t>Livsforsikring</t>
  </si>
  <si>
    <t>Pensjon</t>
  </si>
  <si>
    <r>
      <t>alle livselskaper</t>
    </r>
    <r>
      <rPr>
        <b/>
        <vertAlign val="superscript"/>
        <sz val="14"/>
        <rFont val="Times New Roman"/>
        <family val="1"/>
      </rPr>
      <t xml:space="preserve"> </t>
    </r>
  </si>
  <si>
    <t>Beløp i millioner kroner</t>
  </si>
  <si>
    <t>EIENDELER</t>
  </si>
  <si>
    <t>EIENDELER I SELSKAPSPORTEFØLJEN</t>
  </si>
  <si>
    <t>2. Investeringer i selskapsporteføljen</t>
  </si>
  <si>
    <t xml:space="preserve">    2.1 Bygninger og andre faste eiendommer</t>
  </si>
  <si>
    <t xml:space="preserve">    2.2 Datterforetak, tilknyttede foretak og felleskontrollerte foretak</t>
  </si>
  <si>
    <t xml:space="preserve">    2.3 Finansielle eiendeler som måles til amortisert kost</t>
  </si>
  <si>
    <t xml:space="preserve">            - Obligasjoner</t>
  </si>
  <si>
    <t xml:space="preserve">         2.3.2 Utlån og fordringer</t>
  </si>
  <si>
    <t xml:space="preserve">    2.4 Finansielle eiendeler som måles til virkelig verdi</t>
  </si>
  <si>
    <t xml:space="preserve">         2.4.1 Aksjer og andeler (inkl. aksjer og andeler målt til kost)</t>
  </si>
  <si>
    <t xml:space="preserve">         2.4.3 Utlån og fordringer</t>
  </si>
  <si>
    <t xml:space="preserve">         2.4.4 Finansielle derivater</t>
  </si>
  <si>
    <t xml:space="preserve">         2.4.5 Andre finansielle eiendeler</t>
  </si>
  <si>
    <t xml:space="preserve">    2.5 Gjenforsikringsdepoter</t>
  </si>
  <si>
    <t xml:space="preserve">    Sum investeringer i selskapsporteføljen</t>
  </si>
  <si>
    <t>Annet - postene 1, 3, 4 og 5</t>
  </si>
  <si>
    <t>Sum eiendeler i selskapsporteføljen</t>
  </si>
  <si>
    <t>EIENDELER I KUNDEPORTEFØLJENE</t>
  </si>
  <si>
    <t>6. Investeringer i kollektivporteføljen</t>
  </si>
  <si>
    <t xml:space="preserve">    6.1 Bygninger og andre faste eiendommer</t>
  </si>
  <si>
    <t xml:space="preserve">    6.2 Datterforetak, tilknyttede foretak og felleskontrollerte foretak</t>
  </si>
  <si>
    <t xml:space="preserve">    6.3 Finansielle eiendeler som måles til amortisert kost</t>
  </si>
  <si>
    <t xml:space="preserve">         6.3.2 Utlån og fordringer</t>
  </si>
  <si>
    <t xml:space="preserve">    6.4 Finansielle eiendeler som måles til virkelig verdi</t>
  </si>
  <si>
    <t xml:space="preserve">         6.4.1 Aksjer og andeler (inkl. aksjer og andeler målt til kost)</t>
  </si>
  <si>
    <t xml:space="preserve">         6.4.3 Utlån og fordringer</t>
  </si>
  <si>
    <t xml:space="preserve">         6.4.4 Finansielle derivater</t>
  </si>
  <si>
    <t xml:space="preserve">         6.4.5 Andre finansielle eiendeler</t>
  </si>
  <si>
    <t xml:space="preserve">    Sum investeringer i kollektivporteføljen</t>
  </si>
  <si>
    <t>8. Investeringer i investeringsvalgporteføljen</t>
  </si>
  <si>
    <t xml:space="preserve">    8.1 Bygninger og andre faste eiendommer</t>
  </si>
  <si>
    <t xml:space="preserve">    8.2 Datterforetak, tilknyttede foretak og felleskontrollerte foretak</t>
  </si>
  <si>
    <t xml:space="preserve">    8.3 Finansielle eiendeler som måles til amortisert kost</t>
  </si>
  <si>
    <t xml:space="preserve">         8.3.2 Utlån og fordringer</t>
  </si>
  <si>
    <t xml:space="preserve">    8.4 Finansielle eiendeler som måles til virkelig verdi</t>
  </si>
  <si>
    <t xml:space="preserve">         8.4.1 Aksjer og andeler (inkl. aksjer og andeler målt til kost)</t>
  </si>
  <si>
    <t xml:space="preserve">         8.4.3 Utlån og fordringer</t>
  </si>
  <si>
    <t xml:space="preserve">         8.4.4 Finansielle derivater</t>
  </si>
  <si>
    <t xml:space="preserve">         8.4.5 Andre finansielle eiendeler</t>
  </si>
  <si>
    <t xml:space="preserve">    Sum investeringer i investeringsvalgsporteføljen</t>
  </si>
  <si>
    <t>Sum eiendeler i kundeporteføljene</t>
  </si>
  <si>
    <t>SUM EIENDELER</t>
  </si>
  <si>
    <t>EGENKAPITAL OG FORPLIKTELSER</t>
  </si>
  <si>
    <t>10. Innskutt egenkapital</t>
  </si>
  <si>
    <t>11. Opptjent egenkapital</t>
  </si>
  <si>
    <t xml:space="preserve">    11.1 Risikoutjevningsfond</t>
  </si>
  <si>
    <t>12. Ansvarlig lånekapital mv.</t>
  </si>
  <si>
    <t>13. Forsikringsforpliktelser i livsforsikring - KF</t>
  </si>
  <si>
    <t xml:space="preserve">    Ufordelte overskuddsmidler til forsikringskontraktene</t>
  </si>
  <si>
    <t>Sum forsikringsforpliktelser i livsforsikring - KF</t>
  </si>
  <si>
    <t>14. Forsikringsforpliktelser i livsforsikring - SI</t>
  </si>
  <si>
    <t>Sum forsikringsforpliktelser i livsforsikring - SI</t>
  </si>
  <si>
    <t>15. Avsetninger for forpliktelser</t>
  </si>
  <si>
    <t>16. Premiedepot fra gjenforsikringsselskaper</t>
  </si>
  <si>
    <t>17. Forpliktelser</t>
  </si>
  <si>
    <t>18. Påløpte kostnader og mottatte ikke opptjente inntekter</t>
  </si>
  <si>
    <t>SUM EGENKAPTAL OG FORPLIKTELSER</t>
  </si>
  <si>
    <t>Noter: Se "Noter og kommentarer"</t>
  </si>
  <si>
    <t>KF=Kontraktsfastsatte forpliktelser</t>
  </si>
  <si>
    <t>SI=Særskilt investeringsportefølje</t>
  </si>
  <si>
    <t>REGNSKAPSDEL</t>
  </si>
  <si>
    <t>Tabell 4</t>
  </si>
  <si>
    <t>Resultatregnskap - alle produkter</t>
  </si>
  <si>
    <t>Tabell 5.1</t>
  </si>
  <si>
    <t>Resultatanalyse - Individuell kapital og individuell pensjon - alle produkter</t>
  </si>
  <si>
    <t>Tabell 5.2</t>
  </si>
  <si>
    <t>Resultatanalyse - Kollektiv pensjon - alle produkter</t>
  </si>
  <si>
    <t>Tabell 5.3</t>
  </si>
  <si>
    <t>Resultatanalyse - Gruppeliv, ulykke o.a. og total - alle produkter</t>
  </si>
  <si>
    <t>Balanse - alle produkter</t>
  </si>
  <si>
    <t>Tabell 7a</t>
  </si>
  <si>
    <t>Spesifikasjon av post 12 - forsikringsforpliktelser - produkter uten investeringsvalg</t>
  </si>
  <si>
    <t>Tabell 7b</t>
  </si>
  <si>
    <t>Spesifikasjon post 13 forsikringsforpliktelser - produkter med investeringsvalg</t>
  </si>
  <si>
    <t>Tabell 8</t>
  </si>
  <si>
    <t>Diverse nøkkeltall - produkter uten investeringsvalg</t>
  </si>
  <si>
    <t>Totalt - alle produkter</t>
  </si>
  <si>
    <t>Tabell 2: Individuell  pensjonsforsikring, herunder foreningskollektiv</t>
  </si>
  <si>
    <t>Tabell 3: Gruppelivsforsikring</t>
  </si>
  <si>
    <t>Tabell 4: Privat kollektiv pensjonsforsikring, herunder fripoliser, pensjonskapitalbevis og pensjonsbevis</t>
  </si>
  <si>
    <t>* Brutto risiokopremie for invidiuell uførepensjon fremkommer i tabell 2.</t>
  </si>
  <si>
    <r>
      <t xml:space="preserve">Brutto risikopremie for individuell uførepensjon </t>
    </r>
    <r>
      <rPr>
        <vertAlign val="superscript"/>
        <sz val="10"/>
        <rFont val="Times New Roman"/>
        <family val="1"/>
      </rPr>
      <t>3</t>
    </r>
  </si>
  <si>
    <t>Brutto risikopremie rapporteres for produkter både med og uten sparing. Risikopremie for tilknyttede dekninger, som kritisk sykdom, ulykke m.m. skal ikke tas med. For Brutto risikopremie for individuell uførepensjon, se note 3.</t>
  </si>
  <si>
    <t xml:space="preserve">Risikopremie for individuell uførepensjon blir i noen selskap regnskapsført under Individuell kapital, mens den for de fleste regnskapsføres under Individuell pensjon. Brutto risikopremie for uførepensjon er derfor ikke en heravpost for verken Individuell kapital eller Individuell pensjon, men gjelder som en heravpost samlet for disse. </t>
  </si>
  <si>
    <t xml:space="preserve">Forsikringsforpliktelser i livsforsikring tilsvarer post 13 i balansen, ekskl. post 13.3 Kursreguleringsfond for produkter uten investeringsvalg og post 14 i balansen for produkter med investeringsvalg. Gjenforsikringsandel skal ikke tas hensyn til i markedsdelen. </t>
  </si>
  <si>
    <t>Herav fripoliser med investeringsvalg betraktes som innskuddsbasert.</t>
  </si>
  <si>
    <t>Innskuddspensjon er innskuddsbasert pensjon uten dødelighetsarv.</t>
  </si>
  <si>
    <t>Herav fripoliser, herav pensjonskapitalbevis og herav pensjonsbevis omfatter også fortsettelsesforsikringer. Herav-postene er uttrekk fra hovedpostene i tabellen Privat kollektiv pensjonsforsikring, uansett om det er Innenfor LOF/LOI eller Utenfor LOF/LOI - Livrenter.</t>
  </si>
  <si>
    <t>Gjelder ikke ordninger etter lov om tjenestepensjon</t>
  </si>
  <si>
    <r>
      <t xml:space="preserve">Brutto forfalt premie - Foreningskollektiv </t>
    </r>
    <r>
      <rPr>
        <b/>
        <vertAlign val="superscript"/>
        <sz val="10"/>
        <rFont val="Times New Roman"/>
        <family val="1"/>
      </rPr>
      <t>1</t>
    </r>
  </si>
  <si>
    <t>Regnskapsdel, endelig kvartal</t>
  </si>
  <si>
    <t>Resultatregnskap</t>
  </si>
  <si>
    <t xml:space="preserve">Totalt </t>
  </si>
  <si>
    <t>norske livselskaper</t>
  </si>
  <si>
    <t>alle livselskaper</t>
  </si>
  <si>
    <t xml:space="preserve">Beløp i millioner kroner </t>
  </si>
  <si>
    <t>TEKNISK REGNSKAP FOR LIVSFORSIKRING</t>
  </si>
  <si>
    <t xml:space="preserve">    1.1 Forfalt premier, brutto</t>
  </si>
  <si>
    <t xml:space="preserve">    1.2 - Avgitte gjenforsikringspremier</t>
  </si>
  <si>
    <t xml:space="preserve">    Sum premieinntekter f.e.r.</t>
  </si>
  <si>
    <t>2. Netto inntekter fra investeringer i kollektivporteføljen</t>
  </si>
  <si>
    <t>3. Netto inntekter fra investeringer i investeringsvalgporteføljen</t>
  </si>
  <si>
    <t>4. Andre forsikringsrelaterte inntekter</t>
  </si>
  <si>
    <t>5. Erstatninger</t>
  </si>
  <si>
    <t xml:space="preserve">    5.1 Utbetalte erstatninger</t>
  </si>
  <si>
    <t>Sum erstatninger f.e.r.</t>
  </si>
  <si>
    <t>6. Resultatførte endringer i forsikringsforpliktelser - KF</t>
  </si>
  <si>
    <t>Sum resultatførte endringer i forsikringsforpliktelser - KF</t>
  </si>
  <si>
    <t>7. Resultatførte endringer i forsikringsforpliktelser - SI</t>
  </si>
  <si>
    <t>8. Midler tilordnet forsikringskontrakter -KF</t>
  </si>
  <si>
    <t>9. Forsikringsrelaterte driftskostnader</t>
  </si>
  <si>
    <t>10. Andre forsikringsrelaterte kostnader</t>
  </si>
  <si>
    <t>11.Resultat av teknisk regnskap</t>
  </si>
  <si>
    <t>IKKE-TEKNISK REGNSKAP FOR LIVSFORSIKRING</t>
  </si>
  <si>
    <t>12. Netto inntekter fra investeringer i selskapsporteføljen</t>
  </si>
  <si>
    <t>13. Andre inntekter</t>
  </si>
  <si>
    <t>14. Forvaltningskostnader og andre kostnader knyttet til selskapsporteføljen</t>
  </si>
  <si>
    <t>15. Resultat av ikke-teknisk regnskap</t>
  </si>
  <si>
    <t>16. Resultat før skattekostnad</t>
  </si>
  <si>
    <t>17. Skattekostnader</t>
  </si>
  <si>
    <t>20. TOTALRESULTAT</t>
  </si>
  <si>
    <t>Overføringer og disponeringer</t>
  </si>
  <si>
    <t xml:space="preserve">    Overføringer</t>
  </si>
  <si>
    <t xml:space="preserve">        Mottatt konsernbidrag</t>
  </si>
  <si>
    <t xml:space="preserve">        Overført fra annen egenkapital</t>
  </si>
  <si>
    <t xml:space="preserve">    Sum overføringer</t>
  </si>
  <si>
    <t xml:space="preserve">    Disponeringer</t>
  </si>
  <si>
    <t xml:space="preserve">        Utbytte</t>
  </si>
  <si>
    <t xml:space="preserve">        Avgitt konsernbidrag</t>
  </si>
  <si>
    <t xml:space="preserve">        Overført til annen egenkapital</t>
  </si>
  <si>
    <t xml:space="preserve">    Sum disponeringer</t>
  </si>
  <si>
    <t>Sum overføringer og disponeringer</t>
  </si>
  <si>
    <t>Diverse nøkkeltall</t>
  </si>
  <si>
    <t>7. Gjenforsikringsandel av forsikringsforpliktelser i kollektivporteføljen</t>
  </si>
  <si>
    <t>9. Gjenforsikringsandel av forsikringsforpliktelser i investeringsvalgporteføljen</t>
  </si>
  <si>
    <t xml:space="preserve">Med kommunal kollektiv pensjon menes kollektive pensjonsordninger som definert i lov om forsikringsvirksomhet § 4-1 og § 4-2.   </t>
  </si>
  <si>
    <t>Tabell 1.3</t>
  </si>
  <si>
    <t>Hovedtall - aktivaposter</t>
  </si>
  <si>
    <t>Skjema total MA</t>
  </si>
  <si>
    <t>Tall pr. selskap - alle produkter</t>
  </si>
  <si>
    <t>Selskapsnavn</t>
  </si>
  <si>
    <t xml:space="preserve">   Etter tjenestepensjonsloven - Uførepensjon</t>
  </si>
  <si>
    <t xml:space="preserve">   Etter tjenestepensjonsloven - Alderspensjon</t>
  </si>
  <si>
    <t xml:space="preserve">  Etter tjenestepensjonsloven - Uførepensjon</t>
  </si>
  <si>
    <t xml:space="preserve">  Etter tjenestepensjonsloven - Alderspensjon</t>
  </si>
  <si>
    <t>Brutto forfalt premie tilsvarer post 1.1 i resultatregnskapet, jf. forskrift til årsregnskap for livsforsikringsfortak.</t>
  </si>
  <si>
    <t>Overførte reserver til andre tilsvarer post 5.2 i resultatregnskapet.</t>
  </si>
  <si>
    <r>
      <t xml:space="preserve">   Kommunal kollektiv pensjon </t>
    </r>
    <r>
      <rPr>
        <vertAlign val="superscript"/>
        <sz val="14"/>
        <rFont val="Times New Roman"/>
        <family val="1"/>
      </rPr>
      <t>15)</t>
    </r>
  </si>
  <si>
    <r>
      <t xml:space="preserve">Forsikringsforpliktelser </t>
    </r>
    <r>
      <rPr>
        <vertAlign val="superscript"/>
        <sz val="14"/>
        <rFont val="Times New Roman"/>
        <family val="1"/>
      </rPr>
      <t>4)</t>
    </r>
  </si>
  <si>
    <r>
      <t xml:space="preserve">Overførte reserver fra andre </t>
    </r>
    <r>
      <rPr>
        <vertAlign val="superscript"/>
        <sz val="14"/>
        <rFont val="Times New Roman"/>
        <family val="1"/>
      </rPr>
      <t>5)</t>
    </r>
  </si>
  <si>
    <r>
      <t xml:space="preserve">Flytting fra andre </t>
    </r>
    <r>
      <rPr>
        <vertAlign val="superscript"/>
        <sz val="14"/>
        <rFont val="Times New Roman"/>
        <family val="1"/>
      </rPr>
      <t>9)</t>
    </r>
  </si>
  <si>
    <r>
      <t xml:space="preserve">Overførte reserver til andre </t>
    </r>
    <r>
      <rPr>
        <vertAlign val="superscript"/>
        <sz val="14"/>
        <rFont val="Times New Roman"/>
        <family val="1"/>
      </rPr>
      <t>6)</t>
    </r>
  </si>
  <si>
    <r>
      <t xml:space="preserve">Flytting til andre </t>
    </r>
    <r>
      <rPr>
        <vertAlign val="superscript"/>
        <sz val="14"/>
        <rFont val="Times New Roman"/>
        <family val="1"/>
      </rPr>
      <t>9)</t>
    </r>
  </si>
  <si>
    <r>
      <t xml:space="preserve">Netto overførte reserver fra andre </t>
    </r>
    <r>
      <rPr>
        <b/>
        <vertAlign val="superscript"/>
        <sz val="14"/>
        <rFont val="Times New Roman"/>
        <family val="1"/>
      </rPr>
      <t>9)</t>
    </r>
  </si>
  <si>
    <r>
      <t xml:space="preserve">Netto flytting fra andre </t>
    </r>
    <r>
      <rPr>
        <vertAlign val="superscript"/>
        <sz val="14"/>
        <rFont val="Times New Roman"/>
        <family val="1"/>
      </rPr>
      <t>9)</t>
    </r>
  </si>
  <si>
    <t>Livrenter, IPA og IPS er individuelle pensjonsspareavtaler etter skattereglene (kun i årsstatistikken / 4.kvartal). IPS forsikring etablert før 1.11.2017 defineres som IPS forsikring 2008, etter lov om individuell pensjonsordning vedtatt i 2008. Nye ordningen for skattefavorisert individuell pensjonssparing fra 1. november 2017 defineres som IPS forsikring.</t>
  </si>
  <si>
    <t>Protector Forsikring</t>
  </si>
  <si>
    <r>
      <t xml:space="preserve">Forsikringsforpliktelser </t>
    </r>
    <r>
      <rPr>
        <b/>
        <vertAlign val="superscript"/>
        <sz val="10"/>
        <rFont val="Times New Roman"/>
        <family val="1"/>
      </rPr>
      <t>4</t>
    </r>
  </si>
  <si>
    <r>
      <t xml:space="preserve">Overførte reserver fra andre </t>
    </r>
    <r>
      <rPr>
        <b/>
        <vertAlign val="superscript"/>
        <sz val="10"/>
        <rFont val="Times New Roman"/>
        <family val="1"/>
      </rPr>
      <t>5</t>
    </r>
  </si>
  <si>
    <r>
      <t>Overførte reserver til andre</t>
    </r>
    <r>
      <rPr>
        <b/>
        <vertAlign val="superscript"/>
        <sz val="10"/>
        <rFont val="Times New Roman"/>
        <family val="1"/>
      </rPr>
      <t xml:space="preserve"> 6</t>
    </r>
  </si>
  <si>
    <r>
      <t xml:space="preserve">    Livrenter </t>
    </r>
    <r>
      <rPr>
        <vertAlign val="superscript"/>
        <sz val="10"/>
        <rFont val="Times New Roman"/>
        <family val="1"/>
      </rPr>
      <t>10</t>
    </r>
  </si>
  <si>
    <r>
      <t xml:space="preserve">    IPA </t>
    </r>
    <r>
      <rPr>
        <vertAlign val="superscript"/>
        <sz val="10"/>
        <rFont val="Times New Roman"/>
        <family val="1"/>
      </rPr>
      <t>10</t>
    </r>
  </si>
  <si>
    <r>
      <t xml:space="preserve">    IPS 2008 </t>
    </r>
    <r>
      <rPr>
        <vertAlign val="superscript"/>
        <sz val="10"/>
        <rFont val="Times New Roman"/>
        <family val="1"/>
      </rPr>
      <t>10</t>
    </r>
  </si>
  <si>
    <r>
      <t xml:space="preserve">    IPS </t>
    </r>
    <r>
      <rPr>
        <vertAlign val="superscript"/>
        <sz val="10"/>
        <rFont val="Times New Roman"/>
        <family val="1"/>
      </rPr>
      <t>10</t>
    </r>
  </si>
  <si>
    <r>
      <t xml:space="preserve">Forsikringsforpliktelser </t>
    </r>
    <r>
      <rPr>
        <b/>
        <vertAlign val="superscript"/>
        <sz val="10"/>
        <rFont val="Times New Roman"/>
        <family val="1"/>
      </rPr>
      <t>6</t>
    </r>
  </si>
  <si>
    <r>
      <t xml:space="preserve">Forsikringsforpliktelser  - Foreningskollektiv </t>
    </r>
    <r>
      <rPr>
        <b/>
        <vertAlign val="superscript"/>
        <sz val="10"/>
        <rFont val="Times New Roman"/>
        <family val="1"/>
      </rPr>
      <t>4</t>
    </r>
  </si>
  <si>
    <r>
      <t xml:space="preserve">Overførte reserver fra andre - Foreningskollektiv </t>
    </r>
    <r>
      <rPr>
        <b/>
        <vertAlign val="superscript"/>
        <sz val="10"/>
        <rFont val="Times New Roman"/>
        <family val="1"/>
      </rPr>
      <t>5</t>
    </r>
  </si>
  <si>
    <r>
      <t xml:space="preserve">Overførte reserver til andre - Foreningskollektiv </t>
    </r>
    <r>
      <rPr>
        <b/>
        <vertAlign val="superscript"/>
        <sz val="10"/>
        <rFont val="Times New Roman"/>
        <family val="1"/>
      </rPr>
      <t>6</t>
    </r>
  </si>
  <si>
    <r>
      <t xml:space="preserve">    Bedrift </t>
    </r>
    <r>
      <rPr>
        <vertAlign val="superscript"/>
        <sz val="10"/>
        <rFont val="Times New Roman"/>
        <family val="1"/>
      </rPr>
      <t>7</t>
    </r>
  </si>
  <si>
    <r>
      <t xml:space="preserve">    Privat </t>
    </r>
    <r>
      <rPr>
        <vertAlign val="superscript"/>
        <sz val="10"/>
        <rFont val="Times New Roman"/>
        <family val="1"/>
      </rPr>
      <t>8</t>
    </r>
  </si>
  <si>
    <r>
      <t xml:space="preserve">Flytting fra andre </t>
    </r>
    <r>
      <rPr>
        <b/>
        <vertAlign val="superscript"/>
        <sz val="10"/>
        <rFont val="Times New Roman"/>
        <family val="1"/>
      </rPr>
      <t>9</t>
    </r>
  </si>
  <si>
    <r>
      <t xml:space="preserve">Flytting til andre </t>
    </r>
    <r>
      <rPr>
        <b/>
        <vertAlign val="superscript"/>
        <sz val="10"/>
        <rFont val="Times New Roman"/>
        <family val="1"/>
      </rPr>
      <t>9</t>
    </r>
  </si>
  <si>
    <r>
      <t xml:space="preserve">      Engangsbetalt </t>
    </r>
    <r>
      <rPr>
        <vertAlign val="superscript"/>
        <sz val="10"/>
        <rFont val="Times New Roman"/>
        <family val="1"/>
      </rPr>
      <t>11</t>
    </r>
  </si>
  <si>
    <r>
      <t xml:space="preserve">      Innskuddspensjon </t>
    </r>
    <r>
      <rPr>
        <vertAlign val="superscript"/>
        <sz val="10"/>
        <rFont val="Times New Roman"/>
        <family val="1"/>
      </rPr>
      <t>12</t>
    </r>
  </si>
  <si>
    <r>
      <t xml:space="preserve">  Innenfor LOF/LOI </t>
    </r>
    <r>
      <rPr>
        <vertAlign val="superscript"/>
        <sz val="10"/>
        <rFont val="Times New Roman"/>
        <family val="1"/>
      </rPr>
      <t>13</t>
    </r>
  </si>
  <si>
    <r>
      <t xml:space="preserve">  Utenfor LOF/LOI - Livrenter </t>
    </r>
    <r>
      <rPr>
        <vertAlign val="superscript"/>
        <sz val="10"/>
        <rFont val="Times New Roman"/>
        <family val="1"/>
      </rPr>
      <t>13,17</t>
    </r>
  </si>
  <si>
    <r>
      <t xml:space="preserve">  Herav fripoliser </t>
    </r>
    <r>
      <rPr>
        <vertAlign val="superscript"/>
        <sz val="10"/>
        <rFont val="Times New Roman"/>
        <family val="1"/>
      </rPr>
      <t>14,16</t>
    </r>
  </si>
  <si>
    <r>
      <t xml:space="preserve">  Herav pensjonsbevis</t>
    </r>
    <r>
      <rPr>
        <vertAlign val="superscript"/>
        <sz val="10"/>
        <rFont val="Times New Roman"/>
        <family val="1"/>
      </rPr>
      <t>14</t>
    </r>
  </si>
  <si>
    <r>
      <t xml:space="preserve">   Herav fripoliser </t>
    </r>
    <r>
      <rPr>
        <vertAlign val="superscript"/>
        <sz val="10"/>
        <rFont val="Times New Roman"/>
        <family val="1"/>
      </rPr>
      <t>14,16</t>
    </r>
  </si>
  <si>
    <r>
      <t xml:space="preserve">Brutto forfalt premie </t>
    </r>
    <r>
      <rPr>
        <b/>
        <vertAlign val="superscript"/>
        <sz val="10"/>
        <rFont val="Times New Roman"/>
        <family val="1"/>
      </rPr>
      <t>1, 15</t>
    </r>
  </si>
  <si>
    <r>
      <t xml:space="preserve">Forsikringsforpliktelser </t>
    </r>
    <r>
      <rPr>
        <b/>
        <vertAlign val="superscript"/>
        <sz val="10"/>
        <rFont val="Times New Roman"/>
        <family val="1"/>
      </rPr>
      <t>4, 15</t>
    </r>
  </si>
  <si>
    <r>
      <t xml:space="preserve">Overførte reserver fra andre </t>
    </r>
    <r>
      <rPr>
        <b/>
        <vertAlign val="superscript"/>
        <sz val="10"/>
        <rFont val="Times New Roman"/>
        <family val="1"/>
      </rPr>
      <t>5, 15</t>
    </r>
  </si>
  <si>
    <r>
      <t>Overførte reserver til andre</t>
    </r>
    <r>
      <rPr>
        <b/>
        <vertAlign val="superscript"/>
        <sz val="10"/>
        <rFont val="Times New Roman"/>
        <family val="1"/>
      </rPr>
      <t xml:space="preserve"> 6, 15</t>
    </r>
  </si>
  <si>
    <r>
      <t xml:space="preserve">  Herav fripoliser </t>
    </r>
    <r>
      <rPr>
        <vertAlign val="superscript"/>
        <sz val="10"/>
        <rFont val="Times New Roman"/>
        <family val="1"/>
      </rPr>
      <t>14</t>
    </r>
  </si>
  <si>
    <r>
      <t xml:space="preserve">Forsikringsforpliktelser </t>
    </r>
    <r>
      <rPr>
        <b/>
        <vertAlign val="superscript"/>
        <sz val="10"/>
        <rFont val="Times New Roman"/>
        <family val="1"/>
      </rPr>
      <t>5, 15</t>
    </r>
  </si>
  <si>
    <r>
      <t>Forsikringsforpliktelser</t>
    </r>
    <r>
      <rPr>
        <sz val="14"/>
        <rFont val="Times New Roman"/>
        <family val="1"/>
      </rPr>
      <t xml:space="preserve"> </t>
    </r>
    <r>
      <rPr>
        <vertAlign val="superscript"/>
        <sz val="14"/>
        <rFont val="Times New Roman"/>
        <family val="1"/>
      </rPr>
      <t>4)</t>
    </r>
  </si>
  <si>
    <t>Protector Fors</t>
  </si>
  <si>
    <t xml:space="preserve">    13.1 Premiereserve mv.</t>
  </si>
  <si>
    <t>Fremtind Livsforsikring</t>
  </si>
  <si>
    <t>WaterCircle Forsikring</t>
  </si>
  <si>
    <t>Fremtind Livsfors</t>
  </si>
  <si>
    <t>Landkreditt Fors.</t>
  </si>
  <si>
    <t>Fremtind Liv</t>
  </si>
  <si>
    <t>Avkastningstall (%)</t>
  </si>
  <si>
    <r>
      <t xml:space="preserve">Soliditetskapital </t>
    </r>
    <r>
      <rPr>
        <sz val="14"/>
        <rFont val="Times New Roman"/>
        <family val="1"/>
      </rPr>
      <t>(%)</t>
    </r>
  </si>
  <si>
    <t>Mer/mindre-verdier</t>
  </si>
  <si>
    <t>Landkreditt Forsikring</t>
  </si>
  <si>
    <t>WaterCircles Fors.</t>
  </si>
  <si>
    <t>WaterCicles Fors.</t>
  </si>
  <si>
    <t>30.06.</t>
  </si>
  <si>
    <t>WaterCircles Forsikring</t>
  </si>
  <si>
    <t>Landkreditt Fors</t>
  </si>
  <si>
    <t>Euro Accident</t>
  </si>
  <si>
    <t xml:space="preserve">   Innskuddsbasert (inkl. EPK)</t>
  </si>
  <si>
    <t>Forsikring</t>
  </si>
  <si>
    <t>SpareBank 1 Forsikring</t>
  </si>
  <si>
    <t>Ly Forsikring</t>
  </si>
  <si>
    <t>Youplus Livsforsikring</t>
  </si>
  <si>
    <t>Youplus</t>
  </si>
  <si>
    <t>Youplus Livsf</t>
  </si>
  <si>
    <t>Figur 1  Brutto forfalt premie livprodukter  -  produkter uten investeringsvalg pr. 30.06.</t>
  </si>
  <si>
    <t>Figur 2  Brutto forfalt premie livprodukter  -  produkter med investeringsvalg pr. 30.06.</t>
  </si>
  <si>
    <t>Figur 3  Forsikringsforpliktelser i livsforsikring  -  produkter uten investeringsvalg pr. 30.06.</t>
  </si>
  <si>
    <t>Figur 4  Forsikringsforpliktelser i livsforsikring -  produkter med investeringsvalg pr. 30.06.</t>
  </si>
  <si>
    <t>Figur 5  Netto tilflytting livprodukter  -  produkter uten investeringsvalg pr. 30.06.</t>
  </si>
  <si>
    <t>Figur 6  Netto tilflytting livprodukter  -  produkter med investeringsvalg pr. 30.06.</t>
  </si>
  <si>
    <t>Postene Herav pensjonskapitalbevis omfatter pensjonskapitalbevis innenfor og utenfor Egen pensjonskonto. Med pensjonskapitalbevis innenfor Egen pensjonskonto menes passiv kapital. Se for øvrig note 14.</t>
  </si>
  <si>
    <r>
      <t xml:space="preserve">  Herav pensjonskapitalbevis innenfor og utenfor EPK</t>
    </r>
    <r>
      <rPr>
        <vertAlign val="superscript"/>
        <sz val="10"/>
        <rFont val="Times New Roman"/>
        <family val="1"/>
      </rPr>
      <t>14) 18)</t>
    </r>
  </si>
  <si>
    <t xml:space="preserve">    6.1 Endring i premiereserve mv.</t>
  </si>
  <si>
    <t>18. Resultat før andre inntekter og kostnader</t>
  </si>
  <si>
    <t>19. Andre inntekter og kostnader</t>
  </si>
  <si>
    <t>Bufferfond</t>
  </si>
  <si>
    <t>Storebrand Liv</t>
  </si>
  <si>
    <t>1. Premieinntekter f.e.r.</t>
  </si>
  <si>
    <t xml:space="preserve">    1.3 Overføring av premiereserve og pensjonskapital mv. fra andre f.selskap/p.kasser</t>
  </si>
  <si>
    <t xml:space="preserve">    6.2 Endring i bufferfond</t>
  </si>
  <si>
    <t xml:space="preserve">    6.3 Endring i premiefond, innskuddsfond og fond for regulering av pensjoner mv.</t>
  </si>
  <si>
    <t xml:space="preserve">    6.4 Endring i tekniske avsetninger for skadeforsikringsvirksomhet</t>
  </si>
  <si>
    <r>
      <t>norske livselskaper</t>
    </r>
    <r>
      <rPr>
        <b/>
        <vertAlign val="superscript"/>
        <sz val="14"/>
        <rFont val="Times New Roman"/>
        <family val="1"/>
      </rPr>
      <t xml:space="preserve"> </t>
    </r>
  </si>
  <si>
    <t xml:space="preserve">    13.2 Bufferfond</t>
  </si>
  <si>
    <t xml:space="preserve">    13.3 Premiefond, innskuddsfond og ford for regulering av pensjoner mv.</t>
  </si>
  <si>
    <t xml:space="preserve">    13.4 Andre tekniske avsetninger for skadeforsikringsvirksomheten</t>
  </si>
  <si>
    <t xml:space="preserve">    14.1 Pensjonskapital mv.</t>
  </si>
  <si>
    <t xml:space="preserve">    14.2 Bufferfond</t>
  </si>
  <si>
    <t xml:space="preserve">    14.3 Premiefond, innskuddsfond og fond for regulering av pensjoner mv.</t>
  </si>
  <si>
    <t>Kursreguleringsfond (2023)</t>
  </si>
  <si>
    <t>Kapitalavkastning II hittil i år (2023)</t>
  </si>
  <si>
    <t xml:space="preserve">         2.3.1 Rentebærende verdipapirer</t>
  </si>
  <si>
    <t xml:space="preserve">         2.4.2 Rentebærende verdipapirer</t>
  </si>
  <si>
    <t xml:space="preserve">         6.3.1 Rentebærende verdipapirer</t>
  </si>
  <si>
    <t xml:space="preserve">         6.4.2 Rentebærende verdipapirer</t>
  </si>
  <si>
    <t xml:space="preserve">         8.3.1 Rentebærende verdipapirer</t>
  </si>
  <si>
    <t xml:space="preserve">         8.4.2 Rentebærende verdipapirer</t>
  </si>
  <si>
    <t xml:space="preserve">   Rentebærende verdipapirer</t>
  </si>
  <si>
    <t>Oslo Forsikring</t>
  </si>
  <si>
    <r>
      <t xml:space="preserve">Kapitalavkastning hittil i år </t>
    </r>
    <r>
      <rPr>
        <i/>
        <sz val="14"/>
        <rFont val="Times New Roman"/>
        <family val="1"/>
      </rPr>
      <t>/ Kapitalavkastning I hittil i år (2023)</t>
    </r>
  </si>
  <si>
    <t xml:space="preserve">    5.2 Overføring av premiereserve, pensjonskapital mv. og bufferfond til andre f.selskap/p.kasser</t>
  </si>
  <si>
    <t xml:space="preserve">    6.5 Overføring av bufferfond fra andre fors.selskap/pensj.kasser</t>
  </si>
  <si>
    <t>Fra og med 2024 inngår mye av kursreserven i bufferfondet og er dermed rapportert i egen post.</t>
  </si>
  <si>
    <t>30.6.2023</t>
  </si>
  <si>
    <t>30.6.2024</t>
  </si>
  <si>
    <t xml:space="preserve">    Tilleggsavsetninger (2023)</t>
  </si>
  <si>
    <r>
      <t xml:space="preserve">    Kursreguleringsfond</t>
    </r>
    <r>
      <rPr>
        <i/>
        <vertAlign val="superscript"/>
        <sz val="14"/>
        <rFont val="Times New Roman"/>
        <family val="1"/>
      </rPr>
      <t>19</t>
    </r>
  </si>
  <si>
    <t xml:space="preserve">    Endring i tilleggsavsetninger (2023)</t>
  </si>
  <si>
    <r>
      <t xml:space="preserve">    Endring i kursreguleringsfond</t>
    </r>
    <r>
      <rPr>
        <i/>
        <vertAlign val="superscript"/>
        <sz val="14"/>
        <rFont val="Times New Roman"/>
        <family val="1"/>
      </rPr>
      <t>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</si>
</sst>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_ * #,##0_ ;_ * \-#,##0_ ;_ * &quot;-&quot;??_ ;_ @_ "/>
    <numFmt numFmtId="167" formatCode="dd/mm/yy;@"/>
    <numFmt numFmtId="168" formatCode="0;\-0;;@"/>
    <numFmt numFmtId="169" formatCode="0.0"/>
    <numFmt numFmtId="170" formatCode="#,##0_ ;\-#,##0\ "/>
    <numFmt numFmtId="171" formatCode="_ * #,##0_ ;_ * \-#,##0_ ;_ * &quot;&quot;??_ ;_ @_ "/>
    <numFmt numFmtId="172" formatCode="_ * #,##0.0_ ;_ * \-#,##0.0_ ;_ * &quot;&quot;??_ ;_ @_ "/>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12"/>
      <name val="Times New Roman"/>
      <family val="1"/>
    </font>
    <font>
      <b/>
      <sz val="10"/>
      <name val="Times New Roman"/>
      <family val="1"/>
    </font>
    <font>
      <b/>
      <sz val="9"/>
      <name val="Times New Roman"/>
      <family val="1"/>
    </font>
    <font>
      <sz val="10"/>
      <name val="Times New Roman"/>
      <family val="1"/>
    </font>
    <font>
      <sz val="10"/>
      <color rgb="FFFF0000"/>
      <name val="Times New Roman"/>
      <family val="1"/>
    </font>
    <font>
      <sz val="10"/>
      <name val="Arial"/>
      <family val="2"/>
    </font>
    <font>
      <b/>
      <vertAlign val="superscript"/>
      <sz val="10"/>
      <name val="Times New Roman"/>
      <family val="1"/>
    </font>
    <font>
      <sz val="12"/>
      <color rgb="FFFF0000"/>
      <name val="Times New Roman"/>
      <family val="1"/>
    </font>
    <font>
      <sz val="10"/>
      <color theme="1"/>
      <name val="Times New Roman"/>
      <family val="1"/>
    </font>
    <font>
      <i/>
      <sz val="10"/>
      <name val="Times New Roman"/>
      <family val="1"/>
    </font>
    <font>
      <vertAlign val="superscript"/>
      <sz val="10"/>
      <name val="Times New Roman"/>
      <family val="1"/>
    </font>
    <font>
      <sz val="10"/>
      <name val="Arial"/>
      <family val="2"/>
    </font>
    <font>
      <sz val="10"/>
      <color indexed="23"/>
      <name val="Arial"/>
      <family val="2"/>
    </font>
    <font>
      <sz val="18"/>
      <color indexed="23"/>
      <name val="Times New Roman"/>
      <family val="1"/>
    </font>
    <font>
      <b/>
      <sz val="28"/>
      <color rgb="FF3B6E8F"/>
      <name val="Cambria"/>
      <family val="1"/>
      <scheme val="major"/>
    </font>
    <font>
      <b/>
      <sz val="26"/>
      <color rgb="FF3B6E8F"/>
      <name val="Cambria"/>
      <family val="1"/>
      <scheme val="major"/>
    </font>
    <font>
      <sz val="14"/>
      <name val="Times New Roman"/>
      <family val="1"/>
    </font>
    <font>
      <sz val="12"/>
      <name val="Arial"/>
      <family val="2"/>
    </font>
    <font>
      <sz val="20"/>
      <color theme="1"/>
      <name val="Calibri"/>
      <family val="2"/>
      <scheme val="minor"/>
    </font>
    <font>
      <sz val="14"/>
      <color theme="1"/>
      <name val="Calibri"/>
      <family val="2"/>
      <scheme val="minor"/>
    </font>
    <font>
      <b/>
      <sz val="28"/>
      <color rgb="FF54758C"/>
      <name val="Arial"/>
      <family val="2"/>
    </font>
    <font>
      <sz val="26"/>
      <color rgb="FF54758C"/>
      <name val="Arial"/>
      <family val="2"/>
    </font>
    <font>
      <sz val="14"/>
      <name val="Arial"/>
      <family val="2"/>
    </font>
    <font>
      <sz val="20"/>
      <name val="Arial"/>
      <family val="2"/>
    </font>
    <font>
      <sz val="18"/>
      <name val="Times New Roman"/>
      <family val="1"/>
    </font>
    <font>
      <sz val="18"/>
      <name val="Arial"/>
      <family val="2"/>
    </font>
    <font>
      <b/>
      <sz val="16"/>
      <name val="Times New Roman"/>
      <family val="1"/>
    </font>
    <font>
      <sz val="16"/>
      <name val="Times New Roman"/>
      <family val="1"/>
    </font>
    <font>
      <u/>
      <sz val="10"/>
      <color indexed="12"/>
      <name val="Arial"/>
      <family val="2"/>
    </font>
    <font>
      <sz val="20"/>
      <name val="Times New Roman"/>
      <family val="1"/>
    </font>
    <font>
      <b/>
      <sz val="14"/>
      <name val="Times New Roman"/>
      <family val="1"/>
    </font>
    <font>
      <sz val="14"/>
      <color rgb="FFFF0000"/>
      <name val="Times New Roman"/>
      <family val="1"/>
    </font>
    <font>
      <vertAlign val="superscript"/>
      <sz val="14"/>
      <name val="Times New Roman"/>
      <family val="1"/>
    </font>
    <font>
      <b/>
      <i/>
      <sz val="12"/>
      <color indexed="63"/>
      <name val="Times New Roman"/>
      <family val="1"/>
    </font>
    <font>
      <b/>
      <sz val="10"/>
      <name val="Arial"/>
      <family val="2"/>
    </font>
    <font>
      <b/>
      <i/>
      <sz val="12"/>
      <name val="Times New Roman"/>
      <family val="1"/>
    </font>
    <font>
      <sz val="14"/>
      <color theme="1"/>
      <name val="Times New Roman"/>
      <family val="1"/>
    </font>
    <font>
      <sz val="14"/>
      <color rgb="FFFF0000"/>
      <name val="Arial"/>
      <family val="2"/>
    </font>
    <font>
      <b/>
      <sz val="14"/>
      <name val="Arial"/>
      <family val="2"/>
    </font>
    <font>
      <b/>
      <vertAlign val="superscript"/>
      <sz val="14"/>
      <name val="Times New Roman"/>
      <family val="1"/>
    </font>
    <font>
      <sz val="11"/>
      <name val="Calibri"/>
      <family val="2"/>
      <scheme val="minor"/>
    </font>
    <font>
      <b/>
      <sz val="10"/>
      <color rgb="FFFF0000"/>
      <name val="Times New Roman"/>
      <family val="1"/>
    </font>
    <font>
      <b/>
      <sz val="16"/>
      <color indexed="10"/>
      <name val="Times New Roman"/>
      <family val="1"/>
    </font>
    <font>
      <b/>
      <sz val="14"/>
      <color indexed="8"/>
      <name val="Times New Roman"/>
      <family val="1"/>
    </font>
    <font>
      <b/>
      <sz val="10"/>
      <color indexed="8"/>
      <name val="Times New Roman"/>
      <family val="1"/>
    </font>
    <font>
      <b/>
      <sz val="14"/>
      <color indexed="63"/>
      <name val="Times New Roman"/>
      <family val="1"/>
    </font>
    <font>
      <sz val="14"/>
      <color indexed="10"/>
      <name val="Times New Roman"/>
      <family val="1"/>
    </font>
    <font>
      <b/>
      <sz val="14"/>
      <color indexed="10"/>
      <name val="Times New Roman"/>
      <family val="1"/>
    </font>
    <font>
      <sz val="12"/>
      <color indexed="10"/>
      <name val="Times New Roman"/>
      <family val="1"/>
    </font>
    <font>
      <sz val="20"/>
      <color rgb="FFFF0000"/>
      <name val="Times New Roman"/>
      <family val="1"/>
    </font>
    <font>
      <sz val="20"/>
      <color rgb="FFFF0000"/>
      <name val="Arial"/>
      <family val="2"/>
    </font>
    <font>
      <sz val="16"/>
      <color theme="1"/>
      <name val="Times New Roman"/>
      <family val="1"/>
    </font>
    <font>
      <b/>
      <sz val="10"/>
      <color theme="1"/>
      <name val="Times New Roman"/>
      <family val="1"/>
    </font>
    <font>
      <sz val="12"/>
      <color theme="1"/>
      <name val="Times New Roman"/>
      <family val="1"/>
    </font>
    <font>
      <b/>
      <sz val="14"/>
      <color rgb="FFFF0000"/>
      <name val="Times New Roman"/>
      <family val="1"/>
    </font>
    <font>
      <u/>
      <sz val="12"/>
      <name val="Times New Roman"/>
      <family val="1"/>
    </font>
    <font>
      <b/>
      <sz val="12"/>
      <color rgb="FFFF0000"/>
      <name val="Times New Roman"/>
      <family val="1"/>
    </font>
    <font>
      <sz val="10"/>
      <color theme="0"/>
      <name val="Times New Roman"/>
      <family val="1"/>
    </font>
    <font>
      <b/>
      <sz val="10"/>
      <color rgb="FFFF0000"/>
      <name val="Arial"/>
      <family val="2"/>
    </font>
    <font>
      <b/>
      <sz val="15"/>
      <name val="Arial"/>
      <family val="2"/>
    </font>
    <font>
      <i/>
      <sz val="14"/>
      <name val="Times New Roman"/>
      <family val="1"/>
    </font>
    <font>
      <b/>
      <i/>
      <sz val="16"/>
      <color rgb="FFFF0000"/>
      <name val="Times New Roman"/>
      <family val="1"/>
    </font>
    <font>
      <i/>
      <vertAlign val="superscript"/>
      <sz val="14"/>
      <name val="Times New Roman"/>
      <family val="1"/>
    </font>
    <font>
      <b/>
      <u/>
      <sz val="10"/>
      <name val="Times New Roman"/>
      <family val="1"/>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rgb="FFFFFFCC"/>
      </patternFill>
    </fill>
    <fill>
      <patternFill patternType="solid">
        <fgColor theme="7" tint="0.59999389629810485"/>
        <bgColor indexed="65"/>
      </patternFill>
    </fill>
    <fill>
      <patternFill patternType="solid">
        <fgColor theme="5" tint="0.79998168889431442"/>
        <bgColor indexed="65"/>
      </patternFill>
    </fill>
    <fill>
      <patternFill patternType="solid">
        <fgColor theme="2"/>
        <bgColor indexed="64"/>
      </patternFill>
    </fill>
    <fill>
      <patternFill patternType="solid">
        <fgColor rgb="FFFFFF00"/>
        <bgColor indexed="64"/>
      </patternFill>
    </fill>
    <fill>
      <patternFill patternType="solid">
        <fgColor indexed="9"/>
        <bgColor indexed="9"/>
      </patternFill>
    </fill>
  </fills>
  <borders count="17">
    <border>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854">
    <xf numFmtId="0" fontId="0" fillId="0" borderId="0"/>
    <xf numFmtId="0" fontId="20" fillId="0" borderId="0"/>
    <xf numFmtId="164" fontId="26" fillId="0" borderId="0" applyFont="0" applyFill="0" applyBorder="0" applyAlignment="0" applyProtection="0"/>
    <xf numFmtId="0" fontId="43" fillId="0" borderId="0" applyNumberFormat="0" applyFill="0" applyBorder="0" applyAlignment="0" applyProtection="0">
      <alignment vertical="top"/>
      <protection locked="0"/>
    </xf>
    <xf numFmtId="0" fontId="13" fillId="0" borderId="0"/>
    <xf numFmtId="0" fontId="20" fillId="0" borderId="0"/>
    <xf numFmtId="0" fontId="12" fillId="0" borderId="0"/>
    <xf numFmtId="0" fontId="20" fillId="0" borderId="0"/>
    <xf numFmtId="0" fontId="11" fillId="0" borderId="0"/>
    <xf numFmtId="0" fontId="20" fillId="0" borderId="0"/>
    <xf numFmtId="0" fontId="26" fillId="0" borderId="0"/>
    <xf numFmtId="0" fontId="11" fillId="0" borderId="0"/>
    <xf numFmtId="0" fontId="20" fillId="0" borderId="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11" fillId="0" borderId="0" applyFont="0" applyFill="0" applyBorder="0" applyAlignment="0" applyProtection="0"/>
    <xf numFmtId="164" fontId="20" fillId="0" borderId="0" applyFont="0" applyFill="0" applyBorder="0" applyAlignment="0" applyProtection="0"/>
    <xf numFmtId="0" fontId="11" fillId="0" borderId="0"/>
    <xf numFmtId="0" fontId="20" fillId="0" borderId="0"/>
    <xf numFmtId="0" fontId="20" fillId="0" borderId="0"/>
    <xf numFmtId="164" fontId="20"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20"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6" borderId="0" applyNumberFormat="0" applyBorder="0" applyAlignment="0" applyProtection="0"/>
    <xf numFmtId="0" fontId="20" fillId="0" borderId="0"/>
    <xf numFmtId="164" fontId="20"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20"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20" fillId="0" borderId="0"/>
    <xf numFmtId="164" fontId="20"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6" borderId="0" applyNumberFormat="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20" fillId="5" borderId="16" applyNumberFormat="0" applyFont="0" applyAlignment="0" applyProtection="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0" fontId="11" fillId="0" borderId="0"/>
    <xf numFmtId="0" fontId="11" fillId="0" borderId="0"/>
    <xf numFmtId="164" fontId="11" fillId="0" borderId="0" applyFont="0" applyFill="0" applyBorder="0" applyAlignment="0" applyProtection="0"/>
    <xf numFmtId="164" fontId="26" fillId="0" borderId="0" applyFont="0" applyFill="0" applyBorder="0" applyAlignment="0" applyProtection="0"/>
    <xf numFmtId="0" fontId="11" fillId="0" borderId="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6"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6"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6"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6"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6"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6"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6"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6"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6"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6"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6"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6"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6"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6"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3" fillId="0" borderId="0"/>
    <xf numFmtId="0" fontId="3" fillId="0" borderId="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3" fillId="0" borderId="0" applyFont="0" applyFill="0" applyBorder="0" applyAlignment="0" applyProtection="0"/>
    <xf numFmtId="164" fontId="20" fillId="0" borderId="0" applyFont="0" applyFill="0" applyBorder="0" applyAlignment="0" applyProtection="0"/>
    <xf numFmtId="0" fontId="3" fillId="0" borderId="0"/>
    <xf numFmtId="164" fontId="20"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6" borderId="0" applyNumberFormat="0" applyBorder="0" applyAlignment="0" applyProtection="0"/>
    <xf numFmtId="164" fontId="20"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164" fontId="20"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6"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2" fillId="7" borderId="0" applyNumberFormat="0" applyBorder="0" applyAlignment="0" applyProtection="0"/>
    <xf numFmtId="0" fontId="15" fillId="0" borderId="0"/>
    <xf numFmtId="171" fontId="16" fillId="0" borderId="7" applyFont="0" applyFill="0" applyBorder="0" applyAlignment="0" applyProtection="0">
      <alignment horizontal="right"/>
    </xf>
    <xf numFmtId="164" fontId="20" fillId="0" borderId="0" applyFont="0" applyFill="0" applyBorder="0" applyAlignment="0" applyProtection="0"/>
    <xf numFmtId="0" fontId="15" fillId="0" borderId="0"/>
    <xf numFmtId="164" fontId="20" fillId="0" borderId="0" applyFont="0" applyFill="0" applyBorder="0" applyAlignment="0" applyProtection="0"/>
    <xf numFmtId="164" fontId="20" fillId="0" borderId="0" applyFont="0" applyFill="0" applyBorder="0" applyAlignment="0" applyProtection="0"/>
    <xf numFmtId="0" fontId="1" fillId="0" borderId="0"/>
    <xf numFmtId="0" fontId="20" fillId="0" borderId="0"/>
    <xf numFmtId="0" fontId="20" fillId="0" borderId="0"/>
  </cellStyleXfs>
  <cellXfs count="748">
    <xf numFmtId="0" fontId="0" fillId="0" borderId="0" xfId="0"/>
    <xf numFmtId="0" fontId="18" fillId="0" borderId="0" xfId="1" applyFont="1"/>
    <xf numFmtId="0" fontId="24" fillId="0" borderId="0" xfId="1" applyFont="1"/>
    <xf numFmtId="0" fontId="18" fillId="0" borderId="0" xfId="1" applyFont="1" applyFill="1"/>
    <xf numFmtId="0" fontId="18" fillId="0" borderId="0" xfId="1" applyFont="1" applyBorder="1"/>
    <xf numFmtId="49" fontId="18" fillId="0" borderId="0" xfId="1" applyNumberFormat="1" applyFont="1" applyFill="1" applyBorder="1" applyAlignment="1">
      <alignment horizontal="center"/>
    </xf>
    <xf numFmtId="165" fontId="18" fillId="0" borderId="0" xfId="1" applyNumberFormat="1" applyFont="1" applyFill="1" applyBorder="1"/>
    <xf numFmtId="0" fontId="18" fillId="0" borderId="0" xfId="1" applyFont="1" applyFill="1" applyBorder="1"/>
    <xf numFmtId="0" fontId="18" fillId="0" borderId="0" xfId="1" applyFont="1" applyFill="1" applyAlignment="1">
      <alignment horizontal="left"/>
    </xf>
    <xf numFmtId="165" fontId="16" fillId="3" borderId="5" xfId="1" applyNumberFormat="1" applyFont="1" applyFill="1" applyBorder="1" applyAlignment="1">
      <alignment horizontal="right"/>
    </xf>
    <xf numFmtId="0" fontId="18" fillId="0" borderId="6" xfId="1" applyFont="1" applyBorder="1"/>
    <xf numFmtId="165" fontId="16" fillId="3" borderId="2" xfId="1" applyNumberFormat="1" applyFont="1" applyFill="1" applyBorder="1" applyAlignment="1">
      <alignment horizontal="right"/>
    </xf>
    <xf numFmtId="0" fontId="16" fillId="0" borderId="4" xfId="1" applyFont="1" applyBorder="1"/>
    <xf numFmtId="0" fontId="16" fillId="0" borderId="3" xfId="1" applyFont="1" applyBorder="1"/>
    <xf numFmtId="0" fontId="16" fillId="0" borderId="7" xfId="1" applyFont="1" applyBorder="1"/>
    <xf numFmtId="0" fontId="16" fillId="0" borderId="6" xfId="1" applyFont="1" applyBorder="1" applyAlignment="1">
      <alignment horizontal="center"/>
    </xf>
    <xf numFmtId="0" fontId="16" fillId="0" borderId="11" xfId="1" applyFont="1" applyBorder="1" applyAlignment="1">
      <alignment horizontal="center"/>
    </xf>
    <xf numFmtId="0" fontId="16" fillId="0" borderId="5" xfId="1" applyFont="1" applyBorder="1" applyAlignment="1">
      <alignment horizontal="center"/>
    </xf>
    <xf numFmtId="0" fontId="16" fillId="0" borderId="11" xfId="1" applyFont="1" applyBorder="1"/>
    <xf numFmtId="0" fontId="16" fillId="0" borderId="7" xfId="1" applyFont="1" applyBorder="1" applyAlignment="1">
      <alignment horizontal="center"/>
    </xf>
    <xf numFmtId="14" fontId="17" fillId="0" borderId="4" xfId="1" applyNumberFormat="1" applyFont="1" applyBorder="1" applyAlignment="1">
      <alignment horizontal="center"/>
    </xf>
    <xf numFmtId="0" fontId="18" fillId="0" borderId="3" xfId="1" applyFont="1" applyBorder="1"/>
    <xf numFmtId="165" fontId="18" fillId="3" borderId="6" xfId="1" applyNumberFormat="1" applyFont="1" applyFill="1" applyBorder="1" applyAlignment="1">
      <alignment horizontal="right"/>
    </xf>
    <xf numFmtId="165" fontId="18" fillId="3" borderId="3" xfId="1" applyNumberFormat="1" applyFont="1" applyFill="1" applyBorder="1" applyAlignment="1">
      <alignment horizontal="right"/>
    </xf>
    <xf numFmtId="165" fontId="16" fillId="3" borderId="3" xfId="1" applyNumberFormat="1" applyFont="1" applyFill="1" applyBorder="1" applyAlignment="1">
      <alignment horizontal="right"/>
    </xf>
    <xf numFmtId="165" fontId="18" fillId="0" borderId="0" xfId="1" applyNumberFormat="1" applyFont="1" applyBorder="1"/>
    <xf numFmtId="3" fontId="18" fillId="0" borderId="0" xfId="1" applyNumberFormat="1" applyFont="1" applyBorder="1"/>
    <xf numFmtId="165" fontId="18" fillId="3" borderId="2" xfId="1" applyNumberFormat="1" applyFont="1" applyFill="1" applyBorder="1" applyAlignment="1">
      <alignment horizontal="right"/>
    </xf>
    <xf numFmtId="0" fontId="15" fillId="0" borderId="0" xfId="1" applyFont="1"/>
    <xf numFmtId="0" fontId="22" fillId="0" borderId="0" xfId="1" applyFont="1"/>
    <xf numFmtId="0" fontId="15" fillId="0" borderId="0" xfId="1" applyFont="1" applyFill="1"/>
    <xf numFmtId="0" fontId="15" fillId="0" borderId="0" xfId="1" applyFont="1" applyFill="1" applyBorder="1"/>
    <xf numFmtId="165" fontId="16" fillId="0" borderId="0" xfId="1" applyNumberFormat="1" applyFont="1" applyFill="1" applyBorder="1" applyAlignment="1">
      <alignment horizontal="right"/>
    </xf>
    <xf numFmtId="3" fontId="18" fillId="0" borderId="0" xfId="1" applyNumberFormat="1" applyFont="1" applyFill="1" applyBorder="1" applyAlignment="1">
      <alignment horizontal="center"/>
    </xf>
    <xf numFmtId="165" fontId="18" fillId="0" borderId="0" xfId="1" applyNumberFormat="1" applyFont="1" applyFill="1" applyBorder="1" applyAlignment="1">
      <alignment horizontal="right"/>
    </xf>
    <xf numFmtId="49" fontId="18" fillId="0" borderId="0" xfId="1" applyNumberFormat="1" applyFont="1" applyFill="1" applyBorder="1" applyAlignment="1">
      <alignment horizontal="right"/>
    </xf>
    <xf numFmtId="165" fontId="16" fillId="3" borderId="6" xfId="1" applyNumberFormat="1" applyFont="1" applyFill="1" applyBorder="1" applyAlignment="1">
      <alignment horizontal="right"/>
    </xf>
    <xf numFmtId="3" fontId="18" fillId="0" borderId="0" xfId="1" quotePrefix="1" applyNumberFormat="1" applyFont="1" applyFill="1" applyBorder="1" applyAlignment="1">
      <alignment horizontal="center"/>
    </xf>
    <xf numFmtId="0" fontId="18" fillId="0" borderId="3" xfId="1" applyFont="1" applyFill="1" applyBorder="1"/>
    <xf numFmtId="0" fontId="16" fillId="0" borderId="3" xfId="1" applyFont="1" applyFill="1" applyBorder="1"/>
    <xf numFmtId="0" fontId="16" fillId="0" borderId="0" xfId="1" applyFont="1" applyFill="1" applyBorder="1" applyAlignment="1">
      <alignment horizontal="center"/>
    </xf>
    <xf numFmtId="0" fontId="16" fillId="0" borderId="6" xfId="1" applyFont="1" applyBorder="1"/>
    <xf numFmtId="14" fontId="17" fillId="0" borderId="0" xfId="1" applyNumberFormat="1" applyFont="1" applyFill="1" applyBorder="1" applyAlignment="1">
      <alignment horizontal="center"/>
    </xf>
    <xf numFmtId="0" fontId="16" fillId="0" borderId="0" xfId="1" applyFont="1"/>
    <xf numFmtId="3" fontId="18" fillId="0" borderId="3" xfId="1" applyNumberFormat="1" applyFont="1" applyFill="1" applyBorder="1" applyAlignment="1">
      <alignment horizontal="right"/>
    </xf>
    <xf numFmtId="3" fontId="18" fillId="0" borderId="6" xfId="1" applyNumberFormat="1" applyFont="1" applyFill="1" applyBorder="1" applyAlignment="1">
      <alignment horizontal="right"/>
    </xf>
    <xf numFmtId="0" fontId="18" fillId="0" borderId="6" xfId="1" applyFont="1" applyFill="1" applyBorder="1"/>
    <xf numFmtId="0" fontId="16" fillId="0" borderId="0" xfId="1" applyFont="1" applyBorder="1"/>
    <xf numFmtId="3" fontId="19" fillId="0" borderId="0" xfId="1" applyNumberFormat="1" applyFont="1" applyFill="1" applyBorder="1" applyAlignment="1">
      <alignment horizontal="right"/>
    </xf>
    <xf numFmtId="0" fontId="18" fillId="0" borderId="4" xfId="1" applyFont="1" applyFill="1" applyBorder="1"/>
    <xf numFmtId="0" fontId="18" fillId="0" borderId="0" xfId="1" applyFont="1" applyFill="1" applyAlignment="1">
      <alignment horizontal="right"/>
    </xf>
    <xf numFmtId="0" fontId="38" fillId="0" borderId="0" xfId="0" applyFont="1"/>
    <xf numFmtId="0" fontId="39" fillId="0" borderId="0" xfId="0" applyFont="1"/>
    <xf numFmtId="0" fontId="40" fillId="0" borderId="0" xfId="0" applyFont="1"/>
    <xf numFmtId="0" fontId="42" fillId="0" borderId="0" xfId="0" applyFont="1"/>
    <xf numFmtId="0" fontId="42" fillId="0" borderId="0" xfId="3" applyFont="1" applyAlignment="1" applyProtection="1"/>
    <xf numFmtId="0" fontId="44" fillId="0" borderId="0" xfId="0" applyFont="1"/>
    <xf numFmtId="0" fontId="18" fillId="0" borderId="0" xfId="3" applyFont="1" applyFill="1" applyAlignment="1" applyProtection="1"/>
    <xf numFmtId="0" fontId="31" fillId="0" borderId="0" xfId="0" applyFont="1"/>
    <xf numFmtId="0" fontId="45" fillId="0" borderId="0" xfId="0" applyFont="1"/>
    <xf numFmtId="0" fontId="46" fillId="0" borderId="0" xfId="0" applyFont="1"/>
    <xf numFmtId="3" fontId="31" fillId="0" borderId="0" xfId="0" applyNumberFormat="1" applyFont="1"/>
    <xf numFmtId="3" fontId="31" fillId="0" borderId="0" xfId="0" applyNumberFormat="1" applyFont="1" applyFill="1"/>
    <xf numFmtId="0" fontId="31" fillId="0" borderId="0" xfId="0" applyFont="1" applyFill="1"/>
    <xf numFmtId="0" fontId="41" fillId="0" borderId="0" xfId="0" applyFont="1"/>
    <xf numFmtId="0" fontId="37" fillId="0" borderId="0" xfId="0" applyFont="1"/>
    <xf numFmtId="14" fontId="14" fillId="0" borderId="13" xfId="0" applyNumberFormat="1" applyFont="1" applyFill="1" applyBorder="1" applyAlignment="1">
      <alignment horizontal="left"/>
    </xf>
    <xf numFmtId="0" fontId="31" fillId="0" borderId="10" xfId="0" applyFont="1" applyBorder="1"/>
    <xf numFmtId="0" fontId="31" fillId="0" borderId="8" xfId="0" applyFont="1" applyBorder="1"/>
    <xf numFmtId="0" fontId="31" fillId="0" borderId="9" xfId="0" applyFont="1" applyBorder="1"/>
    <xf numFmtId="0" fontId="31" fillId="0" borderId="3" xfId="0" applyFont="1" applyBorder="1"/>
    <xf numFmtId="0" fontId="18" fillId="0" borderId="0" xfId="0" applyFont="1"/>
    <xf numFmtId="3" fontId="45" fillId="0" borderId="7" xfId="0" applyNumberFormat="1" applyFont="1" applyFill="1" applyBorder="1"/>
    <xf numFmtId="0" fontId="45" fillId="0" borderId="0" xfId="0" applyFont="1" applyBorder="1" applyAlignment="1">
      <alignment horizontal="center"/>
    </xf>
    <xf numFmtId="0" fontId="45" fillId="0" borderId="3" xfId="0" applyFont="1" applyBorder="1" applyAlignment="1">
      <alignment horizontal="center"/>
    </xf>
    <xf numFmtId="3" fontId="45" fillId="0" borderId="3" xfId="0" applyNumberFormat="1" applyFont="1" applyFill="1" applyBorder="1"/>
    <xf numFmtId="0" fontId="16" fillId="0" borderId="4" xfId="0" applyFont="1" applyBorder="1" applyAlignment="1">
      <alignment horizontal="center"/>
    </xf>
    <xf numFmtId="0" fontId="16" fillId="0" borderId="1" xfId="0" applyFont="1" applyBorder="1" applyAlignment="1">
      <alignment horizontal="center"/>
    </xf>
    <xf numFmtId="0" fontId="16" fillId="0" borderId="7" xfId="0" applyFont="1" applyBorder="1" applyAlignment="1">
      <alignment horizontal="center"/>
    </xf>
    <xf numFmtId="0" fontId="16" fillId="0" borderId="3" xfId="0" applyFont="1" applyBorder="1" applyAlignment="1">
      <alignment horizontal="center"/>
    </xf>
    <xf numFmtId="3" fontId="48" fillId="4" borderId="6" xfId="0" applyNumberFormat="1" applyFont="1" applyFill="1" applyBorder="1"/>
    <xf numFmtId="0" fontId="14" fillId="0" borderId="11" xfId="0" applyFont="1" applyBorder="1" applyAlignment="1">
      <alignment horizontal="center"/>
    </xf>
    <xf numFmtId="0" fontId="16" fillId="0" borderId="11" xfId="0" applyFont="1" applyBorder="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45" fillId="0" borderId="3" xfId="0" applyFont="1" applyBorder="1"/>
    <xf numFmtId="0" fontId="31" fillId="0" borderId="1" xfId="0" applyFont="1" applyBorder="1"/>
    <xf numFmtId="3" fontId="31" fillId="0" borderId="4" xfId="0" applyNumberFormat="1" applyFont="1" applyBorder="1"/>
    <xf numFmtId="3" fontId="31" fillId="0" borderId="4" xfId="0" applyNumberFormat="1" applyFont="1" applyBorder="1" applyAlignment="1">
      <alignment horizontal="right"/>
    </xf>
    <xf numFmtId="0" fontId="20" fillId="0" borderId="0" xfId="0" applyFont="1"/>
    <xf numFmtId="3" fontId="31" fillId="0" borderId="4" xfId="0" applyNumberFormat="1" applyFont="1" applyFill="1" applyBorder="1"/>
    <xf numFmtId="3" fontId="31" fillId="0" borderId="4" xfId="0" applyNumberFormat="1" applyFont="1" applyFill="1" applyBorder="1" applyAlignment="1">
      <alignment horizontal="right"/>
    </xf>
    <xf numFmtId="0" fontId="31" fillId="0" borderId="3" xfId="0" applyFont="1" applyFill="1" applyBorder="1"/>
    <xf numFmtId="0" fontId="31" fillId="0" borderId="4" xfId="0" applyFont="1" applyFill="1" applyBorder="1"/>
    <xf numFmtId="3" fontId="45" fillId="0" borderId="4" xfId="0" applyNumberFormat="1" applyFont="1" applyBorder="1"/>
    <xf numFmtId="3" fontId="45" fillId="0" borderId="4" xfId="0" applyNumberFormat="1" applyFont="1" applyBorder="1" applyAlignment="1">
      <alignment horizontal="right"/>
    </xf>
    <xf numFmtId="0" fontId="16" fillId="0" borderId="0" xfId="0" applyFont="1"/>
    <xf numFmtId="0" fontId="31" fillId="0" borderId="0" xfId="0" applyFont="1" applyBorder="1"/>
    <xf numFmtId="0" fontId="45" fillId="0" borderId="6" xfId="0" applyFont="1" applyBorder="1"/>
    <xf numFmtId="3" fontId="45" fillId="0" borderId="11" xfId="0" applyNumberFormat="1" applyFont="1" applyBorder="1"/>
    <xf numFmtId="3" fontId="45" fillId="0" borderId="11" xfId="0" applyNumberFormat="1" applyFont="1" applyBorder="1" applyAlignment="1">
      <alignment horizontal="right"/>
    </xf>
    <xf numFmtId="0" fontId="31" fillId="0" borderId="0" xfId="0" applyFont="1" applyAlignment="1">
      <alignment horizontal="left"/>
    </xf>
    <xf numFmtId="0" fontId="45" fillId="0" borderId="0" xfId="0" applyFont="1" applyAlignment="1">
      <alignment horizontal="left"/>
    </xf>
    <xf numFmtId="0" fontId="31" fillId="0" borderId="14" xfId="0" applyFont="1" applyBorder="1"/>
    <xf numFmtId="0" fontId="31" fillId="0" borderId="15" xfId="0" applyFont="1" applyBorder="1"/>
    <xf numFmtId="167" fontId="45" fillId="0" borderId="7" xfId="0" applyNumberFormat="1" applyFont="1" applyBorder="1" applyAlignment="1">
      <alignment horizontal="left"/>
    </xf>
    <xf numFmtId="0" fontId="45" fillId="0" borderId="2" xfId="0" applyFont="1" applyBorder="1" applyAlignment="1">
      <alignment horizontal="center"/>
    </xf>
    <xf numFmtId="167" fontId="45" fillId="0" borderId="3" xfId="0" applyNumberFormat="1" applyFont="1" applyBorder="1" applyAlignment="1">
      <alignment horizontal="left"/>
    </xf>
    <xf numFmtId="0" fontId="45" fillId="0" borderId="4" xfId="0" applyFont="1" applyBorder="1" applyAlignment="1">
      <alignment horizontal="center"/>
    </xf>
    <xf numFmtId="0" fontId="45" fillId="0" borderId="1" xfId="0" applyFont="1" applyBorder="1" applyAlignment="1">
      <alignment horizontal="center"/>
    </xf>
    <xf numFmtId="0" fontId="16" fillId="0" borderId="2" xfId="0" applyFont="1" applyBorder="1" applyAlignment="1">
      <alignment horizontal="center"/>
    </xf>
    <xf numFmtId="167" fontId="50" fillId="0" borderId="6" xfId="0" applyNumberFormat="1" applyFont="1" applyBorder="1" applyAlignment="1">
      <alignment horizontal="left"/>
    </xf>
    <xf numFmtId="0" fontId="14" fillId="0" borderId="6" xfId="0" applyFont="1" applyBorder="1" applyAlignment="1">
      <alignment horizontal="center"/>
    </xf>
    <xf numFmtId="0" fontId="16" fillId="0" borderId="12" xfId="0" applyFont="1" applyBorder="1" applyAlignment="1">
      <alignment horizontal="center"/>
    </xf>
    <xf numFmtId="3" fontId="31" fillId="0" borderId="1" xfId="0" applyNumberFormat="1" applyFont="1" applyBorder="1"/>
    <xf numFmtId="3" fontId="31" fillId="0" borderId="2" xfId="0" applyNumberFormat="1" applyFont="1" applyBorder="1"/>
    <xf numFmtId="3" fontId="51" fillId="0" borderId="4" xfId="0" applyNumberFormat="1" applyFont="1" applyFill="1" applyBorder="1" applyAlignment="1">
      <alignment horizontal="right"/>
    </xf>
    <xf numFmtId="0" fontId="46" fillId="0" borderId="0" xfId="0" applyFont="1" applyFill="1"/>
    <xf numFmtId="0" fontId="52" fillId="0" borderId="0" xfId="0" applyFont="1" applyFill="1"/>
    <xf numFmtId="3" fontId="53" fillId="0" borderId="0" xfId="0" applyNumberFormat="1" applyFont="1"/>
    <xf numFmtId="0" fontId="53" fillId="0" borderId="0" xfId="0" applyFont="1"/>
    <xf numFmtId="0" fontId="53" fillId="0" borderId="0" xfId="0" applyFont="1" applyFill="1"/>
    <xf numFmtId="0" fontId="45" fillId="0" borderId="4" xfId="0" applyFont="1" applyBorder="1"/>
    <xf numFmtId="3" fontId="45" fillId="0" borderId="0" xfId="0" applyNumberFormat="1" applyFont="1" applyBorder="1" applyAlignment="1">
      <alignment horizontal="right"/>
    </xf>
    <xf numFmtId="3" fontId="31" fillId="0" borderId="0" xfId="0" applyNumberFormat="1" applyFont="1" applyBorder="1"/>
    <xf numFmtId="3" fontId="16" fillId="0" borderId="4" xfId="1" applyNumberFormat="1" applyFont="1" applyBorder="1"/>
    <xf numFmtId="0" fontId="0" fillId="0" borderId="0" xfId="0"/>
    <xf numFmtId="3" fontId="15" fillId="0" borderId="0" xfId="1" applyNumberFormat="1" applyFont="1" applyFill="1" applyBorder="1"/>
    <xf numFmtId="3" fontId="16" fillId="0" borderId="0" xfId="1" applyNumberFormat="1" applyFont="1"/>
    <xf numFmtId="3" fontId="16" fillId="0" borderId="1" xfId="1" applyNumberFormat="1" applyFont="1" applyBorder="1"/>
    <xf numFmtId="3" fontId="18" fillId="0" borderId="0" xfId="1" applyNumberFormat="1" applyFont="1" applyFill="1" applyBorder="1" applyAlignment="1">
      <alignment horizontal="right"/>
    </xf>
    <xf numFmtId="3" fontId="18" fillId="0" borderId="0" xfId="1" applyNumberFormat="1" applyFont="1" applyFill="1" applyBorder="1"/>
    <xf numFmtId="3" fontId="14" fillId="0" borderId="0" xfId="1" applyNumberFormat="1" applyFont="1"/>
    <xf numFmtId="3" fontId="18" fillId="0" borderId="0" xfId="1" applyNumberFormat="1" applyFont="1" applyFill="1"/>
    <xf numFmtId="3" fontId="18" fillId="0" borderId="0" xfId="1" applyNumberFormat="1" applyFont="1"/>
    <xf numFmtId="3" fontId="16" fillId="0" borderId="5" xfId="1" applyNumberFormat="1" applyFont="1" applyBorder="1" applyAlignment="1">
      <alignment horizontal="center"/>
    </xf>
    <xf numFmtId="3" fontId="22" fillId="0" borderId="0" xfId="1" applyNumberFormat="1" applyFont="1"/>
    <xf numFmtId="3" fontId="17" fillId="0" borderId="4" xfId="1" applyNumberFormat="1" applyFont="1" applyBorder="1" applyAlignment="1">
      <alignment horizontal="center"/>
    </xf>
    <xf numFmtId="3" fontId="18" fillId="0" borderId="4" xfId="1" applyNumberFormat="1" applyFont="1" applyFill="1" applyBorder="1"/>
    <xf numFmtId="3" fontId="15" fillId="0" borderId="0" xfId="1" applyNumberFormat="1" applyFont="1" applyFill="1"/>
    <xf numFmtId="3" fontId="18" fillId="0" borderId="0" xfId="1" applyNumberFormat="1" applyFont="1" applyAlignment="1">
      <alignment horizontal="left"/>
    </xf>
    <xf numFmtId="3" fontId="16" fillId="0" borderId="6" xfId="1" applyNumberFormat="1" applyFont="1" applyBorder="1" applyAlignment="1">
      <alignment horizontal="center"/>
    </xf>
    <xf numFmtId="3" fontId="15" fillId="0" borderId="0" xfId="1" applyNumberFormat="1" applyFont="1"/>
    <xf numFmtId="3" fontId="16" fillId="0" borderId="3" xfId="1" applyNumberFormat="1" applyFont="1" applyBorder="1"/>
    <xf numFmtId="3" fontId="16" fillId="0" borderId="0" xfId="1" applyNumberFormat="1" applyFont="1" applyFill="1" applyBorder="1" applyAlignment="1">
      <alignment horizontal="right"/>
    </xf>
    <xf numFmtId="3" fontId="16" fillId="3" borderId="2" xfId="1" applyNumberFormat="1" applyFont="1" applyFill="1" applyBorder="1" applyAlignment="1">
      <alignment horizontal="right"/>
    </xf>
    <xf numFmtId="3" fontId="16" fillId="0" borderId="11" xfId="1" applyNumberFormat="1" applyFont="1" applyBorder="1" applyAlignment="1">
      <alignment horizontal="center"/>
    </xf>
    <xf numFmtId="3" fontId="16" fillId="0" borderId="7" xfId="1" applyNumberFormat="1" applyFont="1" applyBorder="1" applyAlignment="1">
      <alignment horizontal="center"/>
    </xf>
    <xf numFmtId="3" fontId="14" fillId="0" borderId="12" xfId="1" applyNumberFormat="1" applyFont="1" applyBorder="1"/>
    <xf numFmtId="3" fontId="18" fillId="0" borderId="0" xfId="1" applyNumberFormat="1" applyFont="1" applyFill="1" applyAlignment="1">
      <alignment horizontal="left"/>
    </xf>
    <xf numFmtId="3" fontId="14" fillId="0" borderId="0" xfId="1" applyNumberFormat="1" applyFont="1" applyBorder="1"/>
    <xf numFmtId="3" fontId="18" fillId="3" borderId="3" xfId="1" applyNumberFormat="1" applyFont="1" applyFill="1" applyBorder="1" applyAlignment="1">
      <alignment horizontal="right"/>
    </xf>
    <xf numFmtId="3" fontId="18" fillId="3" borderId="6" xfId="1" applyNumberFormat="1" applyFont="1" applyFill="1" applyBorder="1" applyAlignment="1">
      <alignment horizontal="right"/>
    </xf>
    <xf numFmtId="3" fontId="16" fillId="0" borderId="0" xfId="1" applyNumberFormat="1" applyFont="1" applyBorder="1"/>
    <xf numFmtId="3" fontId="16" fillId="3" borderId="6" xfId="1" applyNumberFormat="1" applyFont="1" applyFill="1" applyBorder="1" applyAlignment="1">
      <alignment horizontal="right"/>
    </xf>
    <xf numFmtId="3" fontId="16" fillId="3" borderId="5" xfId="1" applyNumberFormat="1" applyFont="1" applyFill="1" applyBorder="1" applyAlignment="1">
      <alignment horizontal="right"/>
    </xf>
    <xf numFmtId="3" fontId="16" fillId="3" borderId="3" xfId="1" applyNumberFormat="1" applyFont="1" applyFill="1" applyBorder="1" applyAlignment="1">
      <alignment horizontal="right"/>
    </xf>
    <xf numFmtId="3" fontId="18" fillId="0" borderId="10" xfId="1" applyNumberFormat="1" applyFont="1" applyBorder="1" applyAlignment="1">
      <alignment horizontal="left"/>
    </xf>
    <xf numFmtId="3" fontId="17" fillId="0" borderId="7" xfId="1" applyNumberFormat="1" applyFont="1" applyBorder="1" applyAlignment="1">
      <alignment horizontal="center"/>
    </xf>
    <xf numFmtId="3" fontId="16" fillId="0" borderId="0" xfId="1" applyNumberFormat="1" applyFont="1" applyFill="1" applyBorder="1" applyAlignment="1">
      <alignment horizontal="center"/>
    </xf>
    <xf numFmtId="3" fontId="17" fillId="0" borderId="0" xfId="1" applyNumberFormat="1" applyFont="1" applyFill="1" applyBorder="1" applyAlignment="1">
      <alignment horizontal="center"/>
    </xf>
    <xf numFmtId="3" fontId="18" fillId="3" borderId="2" xfId="1" applyNumberFormat="1" applyFont="1" applyFill="1" applyBorder="1" applyAlignment="1">
      <alignment horizontal="right"/>
    </xf>
    <xf numFmtId="3" fontId="31" fillId="0" borderId="3" xfId="0" applyNumberFormat="1" applyFont="1" applyBorder="1"/>
    <xf numFmtId="3" fontId="31" fillId="0" borderId="3" xfId="0" applyNumberFormat="1" applyFont="1" applyFill="1" applyBorder="1"/>
    <xf numFmtId="3" fontId="45" fillId="0" borderId="3" xfId="0" applyNumberFormat="1" applyFont="1" applyBorder="1"/>
    <xf numFmtId="3" fontId="45" fillId="0" borderId="0" xfId="0" applyNumberFormat="1" applyFont="1" applyBorder="1"/>
    <xf numFmtId="3" fontId="45" fillId="0" borderId="6" xfId="0" applyNumberFormat="1" applyFont="1" applyBorder="1"/>
    <xf numFmtId="3" fontId="31" fillId="0" borderId="0" xfId="0" applyNumberFormat="1" applyFont="1" applyBorder="1" applyAlignment="1">
      <alignment horizontal="right"/>
    </xf>
    <xf numFmtId="3" fontId="51" fillId="0" borderId="0" xfId="0" applyNumberFormat="1" applyFont="1" applyFill="1" applyBorder="1" applyAlignment="1">
      <alignment horizontal="right"/>
    </xf>
    <xf numFmtId="0" fontId="14" fillId="0" borderId="4" xfId="0" applyFont="1" applyBorder="1" applyAlignment="1">
      <alignment horizontal="center"/>
    </xf>
    <xf numFmtId="0" fontId="14" fillId="0" borderId="3" xfId="0" applyFont="1" applyBorder="1" applyAlignment="1">
      <alignment horizontal="center"/>
    </xf>
    <xf numFmtId="0" fontId="31" fillId="0" borderId="0" xfId="0" applyFont="1" applyFill="1" applyBorder="1"/>
    <xf numFmtId="3" fontId="18" fillId="2" borderId="3" xfId="1" applyNumberFormat="1" applyFont="1" applyFill="1" applyBorder="1" applyAlignment="1">
      <alignment horizontal="right"/>
    </xf>
    <xf numFmtId="0" fontId="18" fillId="0" borderId="0" xfId="0" applyFont="1" applyFill="1" applyBorder="1"/>
    <xf numFmtId="3" fontId="23" fillId="0" borderId="4" xfId="1" applyNumberFormat="1" applyFont="1" applyFill="1" applyBorder="1" applyAlignment="1">
      <alignment horizontal="right"/>
    </xf>
    <xf numFmtId="3" fontId="23" fillId="0" borderId="3" xfId="1" applyNumberFormat="1" applyFont="1" applyFill="1" applyBorder="1" applyAlignment="1">
      <alignment horizontal="right"/>
    </xf>
    <xf numFmtId="3" fontId="18" fillId="0" borderId="4" xfId="1" quotePrefix="1" applyNumberFormat="1" applyFont="1" applyFill="1" applyBorder="1" applyAlignment="1">
      <alignment horizontal="right"/>
    </xf>
    <xf numFmtId="167" fontId="45" fillId="0" borderId="4" xfId="0" applyNumberFormat="1" applyFont="1" applyBorder="1" applyAlignment="1">
      <alignment horizontal="left"/>
    </xf>
    <xf numFmtId="0" fontId="31" fillId="0" borderId="4" xfId="0" applyFont="1" applyBorder="1"/>
    <xf numFmtId="0" fontId="51" fillId="0" borderId="4" xfId="0" applyFont="1" applyFill="1" applyBorder="1"/>
    <xf numFmtId="0" fontId="45" fillId="0" borderId="11" xfId="0" applyFont="1" applyBorder="1"/>
    <xf numFmtId="3" fontId="31" fillId="0" borderId="3" xfId="0" applyNumberFormat="1" applyFont="1" applyBorder="1" applyAlignment="1">
      <alignment horizontal="right"/>
    </xf>
    <xf numFmtId="3" fontId="51" fillId="0" borderId="3" xfId="0" applyNumberFormat="1" applyFont="1" applyFill="1" applyBorder="1" applyAlignment="1">
      <alignment horizontal="right"/>
    </xf>
    <xf numFmtId="3" fontId="45" fillId="0" borderId="3" xfId="0" applyNumberFormat="1" applyFont="1" applyBorder="1" applyAlignment="1">
      <alignment horizontal="right"/>
    </xf>
    <xf numFmtId="3" fontId="45" fillId="0" borderId="6" xfId="0" applyNumberFormat="1" applyFont="1" applyBorder="1" applyAlignment="1">
      <alignment horizontal="right"/>
    </xf>
    <xf numFmtId="0" fontId="37" fillId="0" borderId="4" xfId="0" applyFont="1" applyBorder="1" applyAlignment="1">
      <alignment horizontal="right"/>
    </xf>
    <xf numFmtId="3" fontId="31" fillId="0" borderId="7" xfId="0" applyNumberFormat="1" applyFont="1" applyBorder="1" applyAlignment="1">
      <alignment horizontal="right"/>
    </xf>
    <xf numFmtId="3" fontId="31" fillId="0" borderId="14" xfId="0" applyNumberFormat="1" applyFont="1" applyBorder="1" applyAlignment="1">
      <alignment horizontal="right"/>
    </xf>
    <xf numFmtId="0" fontId="37" fillId="0" borderId="3" xfId="0" applyFont="1" applyBorder="1" applyAlignment="1">
      <alignment horizontal="right"/>
    </xf>
    <xf numFmtId="3" fontId="31" fillId="0" borderId="6" xfId="0" applyNumberFormat="1" applyFont="1" applyBorder="1" applyAlignment="1">
      <alignment horizontal="right"/>
    </xf>
    <xf numFmtId="3" fontId="16" fillId="0" borderId="0" xfId="0" applyNumberFormat="1" applyFont="1"/>
    <xf numFmtId="3" fontId="16" fillId="0" borderId="4" xfId="1" applyNumberFormat="1" applyFont="1" applyBorder="1" applyAlignment="1">
      <alignment horizontal="center"/>
    </xf>
    <xf numFmtId="3" fontId="18" fillId="0" borderId="0" xfId="0" applyNumberFormat="1" applyFont="1" applyBorder="1"/>
    <xf numFmtId="3" fontId="18" fillId="0" borderId="0" xfId="0" applyNumberFormat="1" applyFont="1"/>
    <xf numFmtId="3" fontId="16" fillId="0" borderId="0" xfId="0" applyNumberFormat="1" applyFont="1" applyBorder="1"/>
    <xf numFmtId="3" fontId="18" fillId="0" borderId="0" xfId="0" applyNumberFormat="1" applyFont="1" applyFill="1" applyBorder="1"/>
    <xf numFmtId="0" fontId="18" fillId="8" borderId="1" xfId="0" applyFont="1" applyFill="1" applyBorder="1"/>
    <xf numFmtId="0" fontId="18" fillId="8" borderId="15" xfId="0" applyFont="1" applyFill="1" applyBorder="1"/>
    <xf numFmtId="0" fontId="18" fillId="8" borderId="14" xfId="0" applyFont="1" applyFill="1" applyBorder="1"/>
    <xf numFmtId="0" fontId="16" fillId="8" borderId="1" xfId="0" applyFont="1" applyFill="1" applyBorder="1" applyAlignment="1">
      <alignment horizontal="center"/>
    </xf>
    <xf numFmtId="0" fontId="16" fillId="8" borderId="15" xfId="0" applyFont="1" applyFill="1" applyBorder="1" applyAlignment="1">
      <alignment horizontal="center"/>
    </xf>
    <xf numFmtId="0" fontId="16" fillId="8" borderId="14" xfId="0" applyFont="1" applyFill="1" applyBorder="1" applyAlignment="1">
      <alignment horizontal="center"/>
    </xf>
    <xf numFmtId="0" fontId="16" fillId="8" borderId="11" xfId="0" applyFont="1" applyFill="1" applyBorder="1" applyAlignment="1">
      <alignment horizontal="center"/>
    </xf>
    <xf numFmtId="0" fontId="16" fillId="8" borderId="5" xfId="0" applyFont="1" applyFill="1" applyBorder="1" applyAlignment="1">
      <alignment horizontal="center"/>
    </xf>
    <xf numFmtId="0" fontId="16" fillId="8" borderId="12" xfId="0" applyFont="1" applyFill="1" applyBorder="1" applyAlignment="1">
      <alignment horizontal="center"/>
    </xf>
    <xf numFmtId="0" fontId="16" fillId="8" borderId="3" xfId="0" applyFont="1" applyFill="1" applyBorder="1"/>
    <xf numFmtId="3" fontId="18" fillId="8" borderId="2" xfId="0" applyNumberFormat="1" applyFont="1" applyFill="1" applyBorder="1"/>
    <xf numFmtId="3" fontId="18" fillId="8" borderId="7" xfId="0" applyNumberFormat="1" applyFont="1" applyFill="1" applyBorder="1"/>
    <xf numFmtId="3" fontId="18" fillId="8" borderId="3" xfId="0" applyNumberFormat="1" applyFont="1" applyFill="1" applyBorder="1"/>
    <xf numFmtId="0" fontId="16" fillId="8" borderId="3" xfId="0" applyFont="1" applyFill="1" applyBorder="1" applyAlignment="1">
      <alignment horizontal="center"/>
    </xf>
    <xf numFmtId="0" fontId="16" fillId="8" borderId="2" xfId="0" applyFont="1" applyFill="1" applyBorder="1" applyAlignment="1">
      <alignment horizontal="center"/>
    </xf>
    <xf numFmtId="0" fontId="18" fillId="8" borderId="2" xfId="0" applyFont="1" applyFill="1" applyBorder="1"/>
    <xf numFmtId="0" fontId="18" fillId="8" borderId="3" xfId="0" applyFont="1" applyFill="1" applyBorder="1"/>
    <xf numFmtId="3" fontId="16" fillId="8" borderId="6" xfId="0" applyNumberFormat="1" applyFont="1" applyFill="1" applyBorder="1"/>
    <xf numFmtId="3" fontId="16" fillId="8" borderId="5" xfId="0" applyNumberFormat="1" applyFont="1" applyFill="1" applyBorder="1"/>
    <xf numFmtId="3" fontId="31" fillId="0" borderId="2" xfId="0" quotePrefix="1" applyNumberFormat="1" applyFont="1" applyBorder="1" applyAlignment="1">
      <alignment horizontal="right"/>
    </xf>
    <xf numFmtId="0" fontId="37" fillId="0" borderId="1" xfId="0" applyFont="1" applyBorder="1" applyAlignment="1">
      <alignment horizontal="right"/>
    </xf>
    <xf numFmtId="3" fontId="31" fillId="0" borderId="3" xfId="0" quotePrefix="1" applyNumberFormat="1" applyFont="1" applyBorder="1" applyAlignment="1">
      <alignment horizontal="right"/>
    </xf>
    <xf numFmtId="3" fontId="18" fillId="0" borderId="2" xfId="1" applyNumberFormat="1" applyFont="1" applyFill="1" applyBorder="1" applyAlignment="1">
      <alignment horizontal="right"/>
    </xf>
    <xf numFmtId="3" fontId="18" fillId="2" borderId="2" xfId="1" applyNumberFormat="1" applyFont="1" applyFill="1" applyBorder="1" applyAlignment="1">
      <alignment horizontal="right"/>
    </xf>
    <xf numFmtId="3" fontId="16" fillId="0" borderId="3" xfId="1" applyNumberFormat="1" applyFont="1" applyFill="1" applyBorder="1" applyAlignment="1">
      <alignment horizontal="right"/>
    </xf>
    <xf numFmtId="3" fontId="18" fillId="0" borderId="2" xfId="1" quotePrefix="1" applyNumberFormat="1" applyFont="1" applyFill="1" applyBorder="1" applyAlignment="1">
      <alignment horizontal="right"/>
    </xf>
    <xf numFmtId="3" fontId="18" fillId="0" borderId="6" xfId="1" quotePrefix="1" applyNumberFormat="1" applyFont="1" applyFill="1" applyBorder="1" applyAlignment="1">
      <alignment horizontal="right"/>
    </xf>
    <xf numFmtId="3" fontId="18" fillId="0" borderId="5" xfId="1" quotePrefix="1" applyNumberFormat="1" applyFont="1" applyFill="1" applyBorder="1" applyAlignment="1">
      <alignment horizontal="right"/>
    </xf>
    <xf numFmtId="3" fontId="18" fillId="3" borderId="0" xfId="1" applyNumberFormat="1" applyFont="1" applyFill="1" applyBorder="1" applyAlignment="1">
      <alignment horizontal="right"/>
    </xf>
    <xf numFmtId="165" fontId="55" fillId="7" borderId="3" xfId="844" applyNumberFormat="1" applyFont="1" applyBorder="1" applyAlignment="1">
      <alignment horizontal="right"/>
    </xf>
    <xf numFmtId="3" fontId="45" fillId="0" borderId="2" xfId="0" applyNumberFormat="1" applyFont="1" applyBorder="1"/>
    <xf numFmtId="3" fontId="17" fillId="0" borderId="1" xfId="1" applyNumberFormat="1" applyFont="1" applyBorder="1" applyAlignment="1">
      <alignment horizontal="center"/>
    </xf>
    <xf numFmtId="3" fontId="14" fillId="0" borderId="9" xfId="1" applyNumberFormat="1" applyFont="1" applyBorder="1" applyAlignment="1">
      <alignment horizontal="center"/>
    </xf>
    <xf numFmtId="3" fontId="17" fillId="0" borderId="6" xfId="1" applyNumberFormat="1" applyFont="1" applyBorder="1" applyAlignment="1">
      <alignment horizontal="center"/>
    </xf>
    <xf numFmtId="3" fontId="16" fillId="0" borderId="3" xfId="1" applyNumberFormat="1" applyFont="1" applyBorder="1" applyAlignment="1">
      <alignment horizontal="center"/>
    </xf>
    <xf numFmtId="3" fontId="16" fillId="0" borderId="2" xfId="1" applyNumberFormat="1" applyFont="1" applyBorder="1" applyAlignment="1">
      <alignment horizontal="center"/>
    </xf>
    <xf numFmtId="3" fontId="14" fillId="0" borderId="1" xfId="1" applyNumberFormat="1" applyFont="1" applyBorder="1"/>
    <xf numFmtId="0" fontId="18" fillId="0" borderId="6" xfId="0" applyFont="1" applyBorder="1"/>
    <xf numFmtId="0" fontId="16" fillId="0" borderId="3" xfId="1" applyFont="1" applyBorder="1" applyAlignment="1">
      <alignment horizontal="center"/>
    </xf>
    <xf numFmtId="0" fontId="16" fillId="0" borderId="15" xfId="1" applyFont="1" applyBorder="1" applyAlignment="1">
      <alignment horizontal="center"/>
    </xf>
    <xf numFmtId="14" fontId="17" fillId="0" borderId="1" xfId="1" applyNumberFormat="1" applyFont="1" applyBorder="1" applyAlignment="1">
      <alignment horizontal="center"/>
    </xf>
    <xf numFmtId="14" fontId="17" fillId="0" borderId="7" xfId="1" applyNumberFormat="1" applyFont="1" applyBorder="1" applyAlignment="1">
      <alignment horizontal="center"/>
    </xf>
    <xf numFmtId="14" fontId="17" fillId="0" borderId="15" xfId="1" applyNumberFormat="1" applyFont="1" applyBorder="1" applyAlignment="1">
      <alignment horizontal="center"/>
    </xf>
    <xf numFmtId="0" fontId="18" fillId="0" borderId="5" xfId="1" applyFont="1" applyFill="1" applyBorder="1"/>
    <xf numFmtId="0" fontId="18" fillId="0" borderId="9" xfId="1" applyFont="1" applyFill="1" applyBorder="1"/>
    <xf numFmtId="168" fontId="18" fillId="0" borderId="0" xfId="1" applyNumberFormat="1" applyFont="1" applyFill="1" applyBorder="1" applyAlignment="1">
      <alignment horizontal="center"/>
    </xf>
    <xf numFmtId="168" fontId="18" fillId="3" borderId="3" xfId="1" applyNumberFormat="1" applyFont="1" applyFill="1" applyBorder="1" applyAlignment="1">
      <alignment horizontal="right"/>
    </xf>
    <xf numFmtId="168" fontId="18" fillId="3" borderId="6" xfId="1" applyNumberFormat="1" applyFont="1" applyFill="1" applyBorder="1" applyAlignment="1">
      <alignment horizontal="right"/>
    </xf>
    <xf numFmtId="0" fontId="45" fillId="0" borderId="7" xfId="0" applyFont="1" applyBorder="1"/>
    <xf numFmtId="167" fontId="16" fillId="0" borderId="4" xfId="0" applyNumberFormat="1" applyFont="1" applyBorder="1" applyAlignment="1">
      <alignment horizontal="center"/>
    </xf>
    <xf numFmtId="167" fontId="16" fillId="0" borderId="11" xfId="0" applyNumberFormat="1" applyFont="1" applyBorder="1" applyAlignment="1">
      <alignment horizontal="center"/>
    </xf>
    <xf numFmtId="0" fontId="16" fillId="0" borderId="5" xfId="0" applyFont="1" applyBorder="1" applyAlignment="1">
      <alignment horizontal="center"/>
    </xf>
    <xf numFmtId="165" fontId="45" fillId="0" borderId="4" xfId="0" applyNumberFormat="1" applyFont="1" applyBorder="1" applyAlignment="1">
      <alignment horizontal="right"/>
    </xf>
    <xf numFmtId="165" fontId="45" fillId="0" borderId="3" xfId="0" applyNumberFormat="1" applyFont="1" applyBorder="1" applyAlignment="1">
      <alignment horizontal="right"/>
    </xf>
    <xf numFmtId="165" fontId="31" fillId="0" borderId="4" xfId="0" applyNumberFormat="1" applyFont="1" applyBorder="1" applyAlignment="1">
      <alignment horizontal="right"/>
    </xf>
    <xf numFmtId="165" fontId="31" fillId="0" borderId="3" xfId="0" applyNumberFormat="1" applyFont="1" applyBorder="1" applyAlignment="1">
      <alignment horizontal="right"/>
    </xf>
    <xf numFmtId="165" fontId="31" fillId="0" borderId="4" xfId="0" applyNumberFormat="1" applyFont="1" applyFill="1" applyBorder="1" applyAlignment="1">
      <alignment horizontal="right"/>
    </xf>
    <xf numFmtId="0" fontId="31" fillId="0" borderId="11" xfId="0" applyFont="1" applyBorder="1"/>
    <xf numFmtId="3" fontId="31" fillId="0" borderId="11" xfId="0" applyNumberFormat="1" applyFont="1" applyBorder="1"/>
    <xf numFmtId="165" fontId="31" fillId="0" borderId="11" xfId="0" applyNumberFormat="1" applyFont="1" applyBorder="1" applyAlignment="1">
      <alignment horizontal="right"/>
    </xf>
    <xf numFmtId="165" fontId="31" fillId="0" borderId="6" xfId="0" applyNumberFormat="1" applyFont="1" applyBorder="1" applyAlignment="1">
      <alignment horizontal="right"/>
    </xf>
    <xf numFmtId="3" fontId="45" fillId="0" borderId="3" xfId="0" applyNumberFormat="1" applyFont="1" applyFill="1" applyBorder="1" applyAlignment="1">
      <alignment horizontal="right"/>
    </xf>
    <xf numFmtId="0" fontId="42" fillId="9" borderId="0" xfId="0" applyFont="1" applyFill="1"/>
    <xf numFmtId="0" fontId="66" fillId="0" borderId="0" xfId="3" applyFont="1" applyAlignment="1" applyProtection="1"/>
    <xf numFmtId="0" fontId="41" fillId="0" borderId="0" xfId="0" applyFont="1" applyFill="1" applyAlignment="1">
      <alignment horizontal="center"/>
    </xf>
    <xf numFmtId="3" fontId="16" fillId="0" borderId="6" xfId="1" applyNumberFormat="1" applyFont="1" applyFill="1" applyBorder="1" applyAlignment="1">
      <alignment horizontal="right"/>
    </xf>
    <xf numFmtId="3" fontId="67" fillId="0" borderId="4" xfId="1" applyNumberFormat="1" applyFont="1" applyFill="1" applyBorder="1" applyAlignment="1">
      <alignment horizontal="right"/>
    </xf>
    <xf numFmtId="3" fontId="67" fillId="0" borderId="3" xfId="1" applyNumberFormat="1" applyFont="1" applyFill="1" applyBorder="1" applyAlignment="1">
      <alignment horizontal="right"/>
    </xf>
    <xf numFmtId="3" fontId="67" fillId="0" borderId="11" xfId="1" applyNumberFormat="1" applyFont="1" applyFill="1" applyBorder="1" applyAlignment="1">
      <alignment horizontal="right"/>
    </xf>
    <xf numFmtId="3" fontId="67" fillId="0" borderId="6" xfId="1" applyNumberFormat="1" applyFont="1" applyFill="1" applyBorder="1" applyAlignment="1">
      <alignment horizontal="right"/>
    </xf>
    <xf numFmtId="3" fontId="18" fillId="0" borderId="3" xfId="2" applyNumberFormat="1" applyFont="1" applyFill="1" applyBorder="1" applyAlignment="1">
      <alignment horizontal="right"/>
    </xf>
    <xf numFmtId="3" fontId="18" fillId="0" borderId="4" xfId="2" applyNumberFormat="1" applyFont="1" applyFill="1" applyBorder="1" applyAlignment="1">
      <alignment horizontal="right"/>
    </xf>
    <xf numFmtId="3" fontId="18" fillId="0" borderId="6" xfId="2" applyNumberFormat="1" applyFont="1" applyFill="1" applyBorder="1" applyAlignment="1">
      <alignment horizontal="right"/>
    </xf>
    <xf numFmtId="3" fontId="18" fillId="0" borderId="11" xfId="2" applyNumberFormat="1" applyFont="1" applyFill="1" applyBorder="1" applyAlignment="1">
      <alignment horizontal="right"/>
    </xf>
    <xf numFmtId="3" fontId="18" fillId="2" borderId="3" xfId="2" applyNumberFormat="1" applyFont="1" applyFill="1" applyBorder="1" applyAlignment="1">
      <alignment horizontal="right"/>
    </xf>
    <xf numFmtId="3" fontId="18" fillId="2" borderId="4" xfId="2" applyNumberFormat="1" applyFont="1" applyFill="1" applyBorder="1" applyAlignment="1">
      <alignment horizontal="right"/>
    </xf>
    <xf numFmtId="3" fontId="18" fillId="0" borderId="4" xfId="1" applyNumberFormat="1" applyFont="1" applyFill="1" applyBorder="1" applyAlignment="1">
      <alignment horizontal="right"/>
    </xf>
    <xf numFmtId="3" fontId="18" fillId="0" borderId="11" xfId="1" applyNumberFormat="1" applyFont="1" applyFill="1" applyBorder="1" applyAlignment="1">
      <alignment horizontal="right"/>
    </xf>
    <xf numFmtId="3" fontId="18" fillId="2" borderId="0" xfId="1" applyNumberFormat="1" applyFont="1" applyFill="1" applyBorder="1" applyAlignment="1">
      <alignment horizontal="right"/>
    </xf>
    <xf numFmtId="3" fontId="18" fillId="0" borderId="3" xfId="2" applyNumberFormat="1" applyFont="1" applyBorder="1" applyAlignment="1">
      <alignment horizontal="right"/>
    </xf>
    <xf numFmtId="3" fontId="18" fillId="0" borderId="4" xfId="2" applyNumberFormat="1" applyFont="1" applyBorder="1" applyAlignment="1">
      <alignment horizontal="right"/>
    </xf>
    <xf numFmtId="3" fontId="23" fillId="0" borderId="2" xfId="1" applyNumberFormat="1" applyFont="1" applyFill="1" applyBorder="1" applyAlignment="1">
      <alignment horizontal="right"/>
    </xf>
    <xf numFmtId="3" fontId="23" fillId="0" borderId="0" xfId="1" applyNumberFormat="1" applyFont="1" applyFill="1" applyBorder="1" applyAlignment="1">
      <alignment horizontal="right"/>
    </xf>
    <xf numFmtId="3" fontId="19" fillId="2" borderId="2" xfId="1" applyNumberFormat="1" applyFont="1" applyFill="1" applyBorder="1" applyAlignment="1">
      <alignment horizontal="right"/>
    </xf>
    <xf numFmtId="3" fontId="19" fillId="2" borderId="0" xfId="1" applyNumberFormat="1" applyFont="1" applyFill="1" applyBorder="1" applyAlignment="1">
      <alignment horizontal="right"/>
    </xf>
    <xf numFmtId="3" fontId="18" fillId="0" borderId="3" xfId="2" applyNumberFormat="1" applyFont="1" applyBorder="1" applyAlignment="1">
      <alignment horizontal="left"/>
    </xf>
    <xf numFmtId="0" fontId="14" fillId="0" borderId="0" xfId="1" applyFont="1" applyBorder="1" applyAlignment="1">
      <alignment horizontal="center"/>
    </xf>
    <xf numFmtId="0" fontId="14" fillId="0" borderId="0" xfId="1" applyFont="1" applyFill="1" applyBorder="1" applyAlignment="1">
      <alignment horizontal="center"/>
    </xf>
    <xf numFmtId="3" fontId="14" fillId="0" borderId="0" xfId="1" applyNumberFormat="1" applyFont="1" applyBorder="1" applyAlignment="1">
      <alignment horizontal="center"/>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4" fillId="0" borderId="0" xfId="1" applyNumberFormat="1" applyFont="1" applyFill="1" applyBorder="1" applyAlignment="1">
      <alignment horizontal="center"/>
    </xf>
    <xf numFmtId="3" fontId="14" fillId="0" borderId="12" xfId="1" applyNumberFormat="1" applyFont="1" applyBorder="1" applyAlignment="1">
      <alignment horizontal="center"/>
    </xf>
    <xf numFmtId="3" fontId="16" fillId="0" borderId="9" xfId="1" applyNumberFormat="1" applyFont="1" applyBorder="1" applyAlignment="1">
      <alignment horizontal="center"/>
    </xf>
    <xf numFmtId="3" fontId="16" fillId="0" borderId="1" xfId="1" applyNumberFormat="1" applyFont="1" applyBorder="1" applyAlignment="1">
      <alignment horizontal="center"/>
    </xf>
    <xf numFmtId="3" fontId="16" fillId="0" borderId="7" xfId="2" applyNumberFormat="1" applyFont="1" applyFill="1" applyBorder="1" applyAlignment="1">
      <alignment horizontal="right"/>
    </xf>
    <xf numFmtId="3" fontId="16" fillId="0" borderId="1" xfId="2" applyNumberFormat="1" applyFont="1" applyFill="1" applyBorder="1" applyAlignment="1">
      <alignment horizontal="right"/>
    </xf>
    <xf numFmtId="3" fontId="16" fillId="0" borderId="2" xfId="1" applyNumberFormat="1" applyFont="1" applyFill="1" applyBorder="1" applyAlignment="1">
      <alignment horizontal="right"/>
    </xf>
    <xf numFmtId="3" fontId="16" fillId="0" borderId="4" xfId="1" applyNumberFormat="1" applyFont="1" applyFill="1" applyBorder="1" applyAlignment="1">
      <alignment horizontal="right"/>
    </xf>
    <xf numFmtId="3" fontId="16" fillId="0" borderId="3" xfId="2" applyNumberFormat="1" applyFont="1" applyFill="1" applyBorder="1" applyAlignment="1">
      <alignment horizontal="right"/>
    </xf>
    <xf numFmtId="3" fontId="16" fillId="0" borderId="4" xfId="2" applyNumberFormat="1" applyFont="1" applyFill="1" applyBorder="1" applyAlignment="1">
      <alignment horizontal="right"/>
    </xf>
    <xf numFmtId="3" fontId="16" fillId="0" borderId="6" xfId="2" applyNumberFormat="1" applyFont="1" applyFill="1" applyBorder="1" applyAlignment="1">
      <alignment horizontal="right"/>
    </xf>
    <xf numFmtId="3" fontId="16" fillId="0" borderId="11" xfId="2" applyNumberFormat="1" applyFont="1" applyFill="1" applyBorder="1" applyAlignment="1">
      <alignment horizontal="right"/>
    </xf>
    <xf numFmtId="3" fontId="16" fillId="0" borderId="5" xfId="1" applyNumberFormat="1" applyFont="1" applyFill="1" applyBorder="1" applyAlignment="1">
      <alignment horizontal="right"/>
    </xf>
    <xf numFmtId="3" fontId="16" fillId="0" borderId="11" xfId="1" applyNumberFormat="1" applyFont="1" applyFill="1" applyBorder="1" applyAlignment="1">
      <alignment horizontal="right"/>
    </xf>
    <xf numFmtId="3" fontId="16" fillId="0" borderId="7" xfId="1" applyNumberFormat="1" applyFont="1" applyFill="1" applyBorder="1" applyAlignment="1">
      <alignment horizontal="right"/>
    </xf>
    <xf numFmtId="3" fontId="16" fillId="0" borderId="1" xfId="1" applyNumberFormat="1" applyFont="1" applyFill="1" applyBorder="1" applyAlignment="1">
      <alignment horizontal="right"/>
    </xf>
    <xf numFmtId="3" fontId="16" fillId="0" borderId="15" xfId="1" applyNumberFormat="1" applyFont="1" applyFill="1" applyBorder="1" applyAlignment="1">
      <alignment horizontal="right"/>
    </xf>
    <xf numFmtId="3" fontId="16" fillId="2" borderId="2" xfId="1" applyNumberFormat="1" applyFont="1" applyFill="1" applyBorder="1" applyAlignment="1">
      <alignment horizontal="right"/>
    </xf>
    <xf numFmtId="3" fontId="16" fillId="2" borderId="0" xfId="1" applyNumberFormat="1" applyFont="1" applyFill="1" applyBorder="1" applyAlignment="1">
      <alignment horizontal="right"/>
    </xf>
    <xf numFmtId="3" fontId="16" fillId="2" borderId="4" xfId="1" applyNumberFormat="1" applyFont="1" applyFill="1" applyBorder="1" applyAlignment="1">
      <alignment horizontal="right"/>
    </xf>
    <xf numFmtId="3" fontId="16" fillId="2" borderId="5" xfId="1" applyNumberFormat="1" applyFont="1" applyFill="1" applyBorder="1" applyAlignment="1">
      <alignment horizontal="right"/>
    </xf>
    <xf numFmtId="3" fontId="16" fillId="2" borderId="11" xfId="1" applyNumberFormat="1" applyFont="1" applyFill="1" applyBorder="1" applyAlignment="1">
      <alignment horizontal="right"/>
    </xf>
    <xf numFmtId="3" fontId="16" fillId="2" borderId="3" xfId="1" applyNumberFormat="1" applyFont="1" applyFill="1" applyBorder="1" applyAlignment="1">
      <alignment horizontal="right"/>
    </xf>
    <xf numFmtId="3" fontId="16" fillId="2" borderId="6" xfId="1" applyNumberFormat="1" applyFont="1" applyFill="1" applyBorder="1" applyAlignment="1">
      <alignment horizontal="right"/>
    </xf>
    <xf numFmtId="14" fontId="17" fillId="0" borderId="10" xfId="1" applyNumberFormat="1" applyFont="1" applyBorder="1" applyAlignment="1"/>
    <xf numFmtId="0" fontId="0" fillId="0" borderId="8" xfId="0" applyBorder="1" applyAlignment="1"/>
    <xf numFmtId="3" fontId="16" fillId="0" borderId="2" xfId="1" quotePrefix="1" applyNumberFormat="1" applyFont="1" applyFill="1" applyBorder="1" applyAlignment="1">
      <alignment horizontal="right"/>
    </xf>
    <xf numFmtId="0" fontId="56" fillId="0" borderId="0" xfId="1" applyFont="1" applyFill="1"/>
    <xf numFmtId="0" fontId="15" fillId="0" borderId="0" xfId="1" applyFont="1" applyFill="1" applyAlignment="1">
      <alignment horizontal="right" vertical="top"/>
    </xf>
    <xf numFmtId="0" fontId="15" fillId="0" borderId="0" xfId="1" applyFont="1" applyAlignment="1">
      <alignment vertical="top" wrapText="1"/>
    </xf>
    <xf numFmtId="0" fontId="15" fillId="0" borderId="0" xfId="1" applyFont="1" applyFill="1" applyAlignment="1">
      <alignment horizontal="right"/>
    </xf>
    <xf numFmtId="0" fontId="15" fillId="0" borderId="0" xfId="1" applyFont="1" applyFill="1" applyAlignment="1">
      <alignment vertical="top" wrapText="1"/>
    </xf>
    <xf numFmtId="0" fontId="24" fillId="0" borderId="0" xfId="1" applyFont="1" applyFill="1"/>
    <xf numFmtId="0" fontId="15" fillId="0" borderId="0" xfId="1" applyFont="1" applyFill="1" applyAlignment="1">
      <alignment wrapText="1"/>
    </xf>
    <xf numFmtId="0" fontId="14" fillId="0" borderId="0" xfId="1" applyFont="1" applyFill="1" applyAlignment="1">
      <alignment horizontal="left"/>
    </xf>
    <xf numFmtId="3" fontId="31" fillId="4" borderId="3" xfId="0" applyNumberFormat="1" applyFont="1" applyFill="1" applyBorder="1" applyAlignment="1" applyProtection="1">
      <alignment horizontal="right"/>
      <protection locked="0"/>
    </xf>
    <xf numFmtId="0" fontId="68" fillId="0" borderId="0" xfId="0" applyFont="1" applyAlignment="1">
      <alignment horizontal="left" vertical="center" readingOrder="1"/>
    </xf>
    <xf numFmtId="0" fontId="18" fillId="0" borderId="0" xfId="1" applyFont="1" applyFill="1" applyBorder="1" applyAlignment="1">
      <alignment horizontal="left"/>
    </xf>
    <xf numFmtId="0" fontId="70" fillId="0" borderId="0" xfId="1" applyFont="1" applyFill="1" applyAlignment="1">
      <alignment horizontal="left"/>
    </xf>
    <xf numFmtId="0" fontId="19" fillId="0" borderId="0" xfId="1" applyFont="1" applyFill="1"/>
    <xf numFmtId="0" fontId="42" fillId="9" borderId="0" xfId="3" applyFont="1" applyFill="1" applyAlignment="1" applyProtection="1"/>
    <xf numFmtId="0" fontId="64" fillId="0" borderId="0" xfId="0" applyFont="1" applyFill="1"/>
    <xf numFmtId="0" fontId="65" fillId="0" borderId="0" xfId="0" applyFont="1" applyFill="1"/>
    <xf numFmtId="0" fontId="42" fillId="0" borderId="0" xfId="0" applyFont="1" applyFill="1"/>
    <xf numFmtId="0" fontId="40" fillId="0" borderId="0" xfId="0" applyFont="1" applyFill="1"/>
    <xf numFmtId="0" fontId="38" fillId="0" borderId="0" xfId="0" applyFont="1" applyFill="1"/>
    <xf numFmtId="0" fontId="42" fillId="0" borderId="0" xfId="3" applyFont="1" applyFill="1" applyAlignment="1" applyProtection="1"/>
    <xf numFmtId="3" fontId="16" fillId="3" borderId="7" xfId="1" applyNumberFormat="1" applyFont="1" applyFill="1" applyBorder="1" applyAlignment="1">
      <alignment horizontal="right"/>
    </xf>
    <xf numFmtId="0" fontId="72" fillId="0" borderId="0" xfId="1" applyFont="1" applyBorder="1" applyAlignment="1">
      <alignment horizontal="left"/>
    </xf>
    <xf numFmtId="3" fontId="67" fillId="0" borderId="2" xfId="1" applyNumberFormat="1" applyFont="1" applyFill="1" applyBorder="1" applyAlignment="1">
      <alignment horizontal="right"/>
    </xf>
    <xf numFmtId="3" fontId="59" fillId="0" borderId="2" xfId="1" applyNumberFormat="1" applyFont="1" applyFill="1" applyBorder="1" applyAlignment="1">
      <alignment horizontal="right"/>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6" fillId="0" borderId="9" xfId="1" applyNumberFormat="1" applyFont="1" applyBorder="1" applyAlignment="1">
      <alignment horizontal="center"/>
    </xf>
    <xf numFmtId="3" fontId="14" fillId="0" borderId="12" xfId="1" applyNumberFormat="1" applyFont="1" applyBorder="1" applyAlignment="1">
      <alignment horizontal="center"/>
    </xf>
    <xf numFmtId="3" fontId="14" fillId="0" borderId="0" xfId="1" applyNumberFormat="1" applyFont="1" applyBorder="1" applyAlignment="1">
      <alignment horizontal="center"/>
    </xf>
    <xf numFmtId="3" fontId="14" fillId="0" borderId="0" xfId="1" applyNumberFormat="1" applyFont="1" applyFill="1" applyBorder="1" applyAlignment="1">
      <alignment horizontal="center"/>
    </xf>
    <xf numFmtId="3" fontId="14" fillId="0" borderId="14" xfId="1" applyNumberFormat="1" applyFont="1" applyFill="1" applyBorder="1" applyAlignment="1">
      <alignment horizontal="center"/>
    </xf>
    <xf numFmtId="171" fontId="16" fillId="0" borderId="7" xfId="846" applyFont="1" applyFill="1" applyBorder="1" applyAlignment="1">
      <alignment horizontal="right"/>
    </xf>
    <xf numFmtId="171" fontId="16" fillId="0" borderId="1" xfId="846" applyFont="1" applyFill="1" applyBorder="1" applyAlignment="1">
      <alignment horizontal="right"/>
    </xf>
    <xf numFmtId="171" fontId="18" fillId="0" borderId="3" xfId="846" applyFont="1" applyBorder="1" applyAlignment="1">
      <alignment horizontal="right"/>
    </xf>
    <xf numFmtId="171" fontId="18" fillId="0" borderId="3" xfId="846" applyFont="1" applyFill="1" applyBorder="1" applyAlignment="1">
      <alignment horizontal="right"/>
    </xf>
    <xf numFmtId="171" fontId="18" fillId="0" borderId="4" xfId="846" applyFont="1" applyFill="1" applyBorder="1" applyAlignment="1">
      <alignment horizontal="right"/>
    </xf>
    <xf numFmtId="171" fontId="16" fillId="0" borderId="3" xfId="846" applyFont="1" applyFill="1" applyBorder="1" applyAlignment="1">
      <alignment horizontal="right"/>
    </xf>
    <xf numFmtId="171" fontId="16" fillId="0" borderId="4" xfId="846" applyFont="1" applyFill="1" applyBorder="1" applyAlignment="1">
      <alignment horizontal="right"/>
    </xf>
    <xf numFmtId="171" fontId="16" fillId="0" borderId="6" xfId="846" applyFont="1" applyFill="1" applyBorder="1" applyAlignment="1">
      <alignment horizontal="right"/>
    </xf>
    <xf numFmtId="171" fontId="16" fillId="0" borderId="11" xfId="846" applyFont="1" applyFill="1" applyBorder="1" applyAlignment="1">
      <alignment horizontal="right"/>
    </xf>
    <xf numFmtId="171" fontId="18" fillId="3" borderId="7" xfId="846" applyFont="1" applyFill="1" applyBorder="1" applyAlignment="1">
      <alignment horizontal="right"/>
    </xf>
    <xf numFmtId="171" fontId="18" fillId="3" borderId="2" xfId="846" applyFont="1" applyFill="1" applyBorder="1" applyAlignment="1">
      <alignment horizontal="right"/>
    </xf>
    <xf numFmtId="171" fontId="16" fillId="0" borderId="2" xfId="846" applyFont="1" applyFill="1" applyBorder="1" applyAlignment="1">
      <alignment horizontal="right"/>
    </xf>
    <xf numFmtId="171" fontId="18" fillId="3" borderId="3" xfId="846" applyFont="1" applyFill="1" applyBorder="1" applyAlignment="1">
      <alignment horizontal="right"/>
    </xf>
    <xf numFmtId="171" fontId="18" fillId="2" borderId="3" xfId="846" applyFont="1" applyFill="1" applyBorder="1" applyAlignment="1">
      <alignment horizontal="right"/>
    </xf>
    <xf numFmtId="171" fontId="18" fillId="2" borderId="4" xfId="846" applyFont="1" applyFill="1" applyBorder="1" applyAlignment="1">
      <alignment horizontal="right"/>
    </xf>
    <xf numFmtId="171" fontId="18" fillId="0" borderId="2" xfId="846" applyFont="1" applyFill="1" applyBorder="1" applyAlignment="1">
      <alignment horizontal="right"/>
    </xf>
    <xf numFmtId="171" fontId="18" fillId="3" borderId="6" xfId="846" applyFont="1" applyFill="1" applyBorder="1" applyAlignment="1">
      <alignment horizontal="right"/>
    </xf>
    <xf numFmtId="171" fontId="16" fillId="0" borderId="5" xfId="846" applyFont="1" applyFill="1" applyBorder="1" applyAlignment="1">
      <alignment horizontal="right"/>
    </xf>
    <xf numFmtId="171" fontId="16" fillId="0" borderId="15" xfId="846" applyFont="1" applyFill="1" applyBorder="1" applyAlignment="1">
      <alignment horizontal="right"/>
    </xf>
    <xf numFmtId="171" fontId="16" fillId="2" borderId="2" xfId="846" applyFont="1" applyFill="1" applyBorder="1" applyAlignment="1">
      <alignment horizontal="right"/>
    </xf>
    <xf numFmtId="171" fontId="16" fillId="2" borderId="0" xfId="846" applyFont="1" applyFill="1" applyBorder="1" applyAlignment="1">
      <alignment horizontal="right"/>
    </xf>
    <xf numFmtId="171" fontId="16" fillId="2" borderId="4" xfId="846" applyFont="1" applyFill="1" applyBorder="1" applyAlignment="1">
      <alignment horizontal="right"/>
    </xf>
    <xf numFmtId="171" fontId="16" fillId="2" borderId="5" xfId="846" applyFont="1" applyFill="1" applyBorder="1" applyAlignment="1">
      <alignment horizontal="right"/>
    </xf>
    <xf numFmtId="171" fontId="16" fillId="2" borderId="11" xfId="846" applyFont="1" applyFill="1" applyBorder="1" applyAlignment="1">
      <alignment horizontal="right"/>
    </xf>
    <xf numFmtId="171" fontId="18" fillId="0" borderId="4" xfId="846" applyFont="1" applyBorder="1" applyAlignment="1">
      <alignment horizontal="right"/>
    </xf>
    <xf numFmtId="171" fontId="18" fillId="0" borderId="6" xfId="846" applyFont="1" applyFill="1" applyBorder="1" applyAlignment="1">
      <alignment horizontal="right"/>
    </xf>
    <xf numFmtId="171" fontId="18" fillId="0" borderId="11" xfId="846" applyFont="1" applyFill="1" applyBorder="1" applyAlignment="1">
      <alignment horizontal="right"/>
    </xf>
    <xf numFmtId="171" fontId="67" fillId="0" borderId="2" xfId="846" applyFont="1" applyFill="1" applyBorder="1" applyAlignment="1">
      <alignment horizontal="right"/>
    </xf>
    <xf numFmtId="171" fontId="18" fillId="0" borderId="0" xfId="846" applyFont="1" applyFill="1" applyBorder="1" applyAlignment="1">
      <alignment horizontal="right"/>
    </xf>
    <xf numFmtId="171" fontId="23" fillId="0" borderId="2" xfId="846" applyFont="1" applyFill="1" applyBorder="1" applyAlignment="1">
      <alignment horizontal="right"/>
    </xf>
    <xf numFmtId="171" fontId="23" fillId="0" borderId="0" xfId="846" applyFont="1" applyFill="1" applyBorder="1" applyAlignment="1">
      <alignment horizontal="right"/>
    </xf>
    <xf numFmtId="171" fontId="19" fillId="2" borderId="2" xfId="846" applyFont="1" applyFill="1" applyBorder="1" applyAlignment="1">
      <alignment horizontal="right"/>
    </xf>
    <xf numFmtId="171" fontId="19" fillId="2" borderId="0" xfId="846" applyFont="1" applyFill="1" applyBorder="1" applyAlignment="1">
      <alignment horizontal="right"/>
    </xf>
    <xf numFmtId="171" fontId="18" fillId="2" borderId="2" xfId="846" applyFont="1" applyFill="1" applyBorder="1" applyAlignment="1">
      <alignment horizontal="right"/>
    </xf>
    <xf numFmtId="171" fontId="18" fillId="2" borderId="0" xfId="846" applyFont="1" applyFill="1" applyBorder="1" applyAlignment="1">
      <alignment horizontal="right"/>
    </xf>
    <xf numFmtId="171" fontId="16" fillId="0" borderId="0" xfId="846" applyFont="1" applyFill="1" applyBorder="1" applyAlignment="1">
      <alignment horizontal="right"/>
    </xf>
    <xf numFmtId="171" fontId="18" fillId="3" borderId="5" xfId="846" applyFont="1" applyFill="1" applyBorder="1" applyAlignment="1">
      <alignment horizontal="right"/>
    </xf>
    <xf numFmtId="171" fontId="18" fillId="3" borderId="0" xfId="846" applyFont="1" applyFill="1" applyBorder="1" applyAlignment="1">
      <alignment horizontal="right"/>
    </xf>
    <xf numFmtId="171" fontId="18" fillId="3" borderId="1" xfId="846" applyFont="1" applyFill="1" applyBorder="1" applyAlignment="1">
      <alignment horizontal="right"/>
    </xf>
    <xf numFmtId="171" fontId="18" fillId="3" borderId="4" xfId="846" applyFont="1" applyFill="1" applyBorder="1" applyAlignment="1">
      <alignment horizontal="right"/>
    </xf>
    <xf numFmtId="171" fontId="18" fillId="3" borderId="11" xfId="846" applyFont="1" applyFill="1" applyBorder="1" applyAlignment="1">
      <alignment horizontal="right"/>
    </xf>
    <xf numFmtId="165" fontId="31" fillId="0" borderId="3" xfId="0" applyNumberFormat="1" applyFont="1" applyBorder="1"/>
    <xf numFmtId="165" fontId="45" fillId="0" borderId="3" xfId="0" applyNumberFormat="1" applyFont="1" applyBorder="1"/>
    <xf numFmtId="165" fontId="31" fillId="0" borderId="3" xfId="0" applyNumberFormat="1" applyFont="1" applyFill="1" applyBorder="1"/>
    <xf numFmtId="165" fontId="45" fillId="0" borderId="6" xfId="0" applyNumberFormat="1" applyFont="1" applyBorder="1"/>
    <xf numFmtId="172" fontId="18" fillId="3" borderId="2" xfId="846" applyNumberFormat="1" applyFont="1" applyFill="1" applyBorder="1" applyAlignment="1">
      <alignment horizontal="right"/>
    </xf>
    <xf numFmtId="172" fontId="18" fillId="3" borderId="3" xfId="846" applyNumberFormat="1" applyFont="1" applyFill="1" applyBorder="1" applyAlignment="1">
      <alignment horizontal="right"/>
    </xf>
    <xf numFmtId="172" fontId="18" fillId="3" borderId="6" xfId="846" applyNumberFormat="1" applyFont="1" applyFill="1" applyBorder="1" applyAlignment="1">
      <alignment horizontal="right"/>
    </xf>
    <xf numFmtId="165" fontId="16" fillId="0" borderId="6" xfId="1" applyNumberFormat="1" applyFont="1" applyBorder="1" applyAlignment="1">
      <alignment horizontal="center"/>
    </xf>
    <xf numFmtId="165" fontId="18" fillId="3" borderId="0" xfId="1" applyNumberFormat="1" applyFont="1" applyFill="1" applyBorder="1" applyAlignment="1">
      <alignment horizontal="right"/>
    </xf>
    <xf numFmtId="165" fontId="18" fillId="3" borderId="5" xfId="1" applyNumberFormat="1" applyFont="1" applyFill="1" applyBorder="1" applyAlignment="1">
      <alignment horizontal="right"/>
    </xf>
    <xf numFmtId="0" fontId="18" fillId="0" borderId="4" xfId="1" applyFont="1" applyBorder="1"/>
    <xf numFmtId="0" fontId="16" fillId="0" borderId="0" xfId="1" applyFont="1" applyFill="1"/>
    <xf numFmtId="49" fontId="16" fillId="0" borderId="0" xfId="1" applyNumberFormat="1" applyFont="1" applyFill="1" applyBorder="1" applyAlignment="1">
      <alignment horizontal="right"/>
    </xf>
    <xf numFmtId="49" fontId="16" fillId="0" borderId="0" xfId="1" applyNumberFormat="1" applyFont="1" applyFill="1" applyBorder="1" applyAlignment="1">
      <alignment horizontal="center"/>
    </xf>
    <xf numFmtId="3" fontId="16" fillId="0" borderId="0" xfId="1" quotePrefix="1" applyNumberFormat="1" applyFont="1" applyFill="1" applyBorder="1" applyAlignment="1">
      <alignment horizontal="center"/>
    </xf>
    <xf numFmtId="171" fontId="16" fillId="3" borderId="7" xfId="846" applyFont="1" applyFill="1" applyBorder="1" applyAlignment="1">
      <alignment horizontal="right"/>
    </xf>
    <xf numFmtId="172" fontId="16" fillId="3" borderId="2" xfId="846" applyNumberFormat="1" applyFont="1" applyFill="1" applyBorder="1" applyAlignment="1">
      <alignment horizontal="right"/>
    </xf>
    <xf numFmtId="3" fontId="16" fillId="0" borderId="0" xfId="1" applyNumberFormat="1" applyFont="1" applyFill="1"/>
    <xf numFmtId="168" fontId="16" fillId="3" borderId="7" xfId="1" applyNumberFormat="1" applyFont="1" applyFill="1" applyBorder="1" applyAlignment="1">
      <alignment horizontal="right"/>
    </xf>
    <xf numFmtId="168" fontId="16" fillId="3" borderId="3" xfId="1" applyNumberFormat="1" applyFont="1" applyFill="1" applyBorder="1" applyAlignment="1">
      <alignment horizontal="right"/>
    </xf>
    <xf numFmtId="168" fontId="16" fillId="3" borderId="6" xfId="1" applyNumberFormat="1" applyFont="1" applyFill="1" applyBorder="1" applyAlignment="1">
      <alignment horizontal="right"/>
    </xf>
    <xf numFmtId="3" fontId="16" fillId="3" borderId="0" xfId="1" applyNumberFormat="1" applyFont="1" applyFill="1" applyBorder="1" applyAlignment="1">
      <alignment horizontal="right"/>
    </xf>
    <xf numFmtId="3" fontId="16" fillId="3" borderId="1" xfId="1" applyNumberFormat="1" applyFont="1" applyFill="1" applyBorder="1" applyAlignment="1">
      <alignment horizontal="right"/>
    </xf>
    <xf numFmtId="3" fontId="16" fillId="3" borderId="4" xfId="1" applyNumberFormat="1" applyFont="1" applyFill="1" applyBorder="1" applyAlignment="1">
      <alignment horizontal="right"/>
    </xf>
    <xf numFmtId="3" fontId="16" fillId="3" borderId="11" xfId="1" applyNumberFormat="1" applyFont="1" applyFill="1" applyBorder="1" applyAlignment="1">
      <alignment horizontal="right"/>
    </xf>
    <xf numFmtId="165" fontId="16" fillId="3" borderId="0" xfId="1" applyNumberFormat="1" applyFont="1" applyFill="1" applyBorder="1" applyAlignment="1">
      <alignment horizontal="right"/>
    </xf>
    <xf numFmtId="0" fontId="14" fillId="0" borderId="0" xfId="1" applyFont="1" applyBorder="1" applyAlignment="1">
      <alignment horizontal="center"/>
    </xf>
    <xf numFmtId="3" fontId="60" fillId="4" borderId="3" xfId="0" applyNumberFormat="1" applyFont="1" applyFill="1" applyBorder="1" applyAlignment="1" applyProtection="1">
      <alignment horizontal="right"/>
      <protection locked="0"/>
    </xf>
    <xf numFmtId="3" fontId="31" fillId="4" borderId="4" xfId="0" applyNumberFormat="1" applyFont="1" applyFill="1" applyBorder="1" applyAlignment="1" applyProtection="1">
      <alignment horizontal="right"/>
      <protection locked="0"/>
    </xf>
    <xf numFmtId="3" fontId="45" fillId="4" borderId="3" xfId="0" applyNumberFormat="1" applyFont="1" applyFill="1" applyBorder="1" applyAlignment="1" applyProtection="1">
      <alignment horizontal="right"/>
      <protection locked="0"/>
    </xf>
    <xf numFmtId="3" fontId="45" fillId="0" borderId="3" xfId="0" applyNumberFormat="1" applyFont="1" applyBorder="1" applyAlignment="1" applyProtection="1">
      <alignment horizontal="right"/>
      <protection locked="0"/>
    </xf>
    <xf numFmtId="3" fontId="31" fillId="0" borderId="3" xfId="0" applyNumberFormat="1" applyFont="1" applyBorder="1" applyAlignment="1" applyProtection="1">
      <alignment horizontal="right"/>
      <protection locked="0"/>
    </xf>
    <xf numFmtId="3" fontId="31" fillId="4" borderId="3" xfId="845" applyNumberFormat="1" applyFont="1" applyFill="1" applyBorder="1" applyAlignment="1" applyProtection="1">
      <alignment horizontal="right"/>
      <protection locked="0"/>
    </xf>
    <xf numFmtId="3" fontId="45" fillId="4" borderId="4" xfId="0" applyNumberFormat="1" applyFont="1" applyFill="1" applyBorder="1" applyAlignment="1" applyProtection="1">
      <alignment horizontal="right"/>
      <protection locked="0"/>
    </xf>
    <xf numFmtId="3" fontId="45" fillId="4" borderId="3" xfId="845" applyNumberFormat="1" applyFont="1" applyFill="1" applyBorder="1" applyAlignment="1" applyProtection="1">
      <alignment horizontal="right"/>
      <protection locked="0"/>
    </xf>
    <xf numFmtId="3" fontId="45" fillId="0" borderId="6" xfId="0" applyNumberFormat="1" applyFont="1" applyBorder="1" applyAlignment="1" applyProtection="1">
      <alignment horizontal="right"/>
      <protection locked="0"/>
    </xf>
    <xf numFmtId="3" fontId="45" fillId="4" borderId="6" xfId="0" applyNumberFormat="1" applyFont="1" applyFill="1" applyBorder="1" applyAlignment="1" applyProtection="1">
      <alignment horizontal="right"/>
      <protection locked="0"/>
    </xf>
    <xf numFmtId="3" fontId="45" fillId="4" borderId="6" xfId="845" applyNumberFormat="1" applyFont="1" applyFill="1" applyBorder="1" applyAlignment="1" applyProtection="1">
      <alignment horizontal="right"/>
      <protection locked="0"/>
    </xf>
    <xf numFmtId="3" fontId="50" fillId="4" borderId="11" xfId="0" applyNumberFormat="1" applyFont="1" applyFill="1" applyBorder="1" applyProtection="1">
      <protection locked="0"/>
    </xf>
    <xf numFmtId="3" fontId="60" fillId="4" borderId="4" xfId="0" applyNumberFormat="1" applyFont="1" applyFill="1" applyBorder="1" applyProtection="1">
      <protection locked="0"/>
    </xf>
    <xf numFmtId="3" fontId="45" fillId="4" borderId="4" xfId="0" applyNumberFormat="1" applyFont="1" applyFill="1" applyBorder="1" applyProtection="1">
      <protection locked="0"/>
    </xf>
    <xf numFmtId="0" fontId="31" fillId="0" borderId="0" xfId="0" applyFont="1" applyProtection="1">
      <protection locked="0"/>
    </xf>
    <xf numFmtId="0" fontId="0" fillId="0" borderId="0" xfId="0" applyProtection="1">
      <protection locked="0"/>
    </xf>
    <xf numFmtId="0" fontId="20" fillId="0" borderId="0" xfId="0" applyFont="1" applyProtection="1">
      <protection locked="0"/>
    </xf>
    <xf numFmtId="0" fontId="61" fillId="0" borderId="0" xfId="0" applyFont="1" applyProtection="1">
      <protection locked="0"/>
    </xf>
    <xf numFmtId="0" fontId="41" fillId="0" borderId="0" xfId="0" applyFont="1" applyProtection="1">
      <protection locked="0"/>
    </xf>
    <xf numFmtId="0" fontId="57" fillId="0" borderId="0" xfId="0" applyFont="1" applyProtection="1">
      <protection locked="0"/>
    </xf>
    <xf numFmtId="3" fontId="58" fillId="4" borderId="12" xfId="0" applyNumberFormat="1" applyFont="1" applyFill="1" applyBorder="1" applyProtection="1">
      <protection locked="0"/>
    </xf>
    <xf numFmtId="0" fontId="18" fillId="0" borderId="8" xfId="0" applyFont="1" applyBorder="1" applyProtection="1">
      <protection locked="0"/>
    </xf>
    <xf numFmtId="0" fontId="18" fillId="0" borderId="10" xfId="0" applyFont="1" applyBorder="1" applyProtection="1">
      <protection locked="0"/>
    </xf>
    <xf numFmtId="0" fontId="18" fillId="0" borderId="9" xfId="0" applyFont="1" applyBorder="1" applyProtection="1">
      <protection locked="0"/>
    </xf>
    <xf numFmtId="0" fontId="49" fillId="0" borderId="0" xfId="0" applyFont="1" applyProtection="1">
      <protection locked="0"/>
    </xf>
    <xf numFmtId="0" fontId="63" fillId="0" borderId="0" xfId="0" applyFont="1" applyProtection="1">
      <protection locked="0"/>
    </xf>
    <xf numFmtId="3" fontId="31" fillId="4" borderId="4" xfId="15" applyNumberFormat="1" applyFont="1" applyFill="1" applyBorder="1" applyAlignment="1" applyProtection="1">
      <alignment horizontal="right"/>
      <protection locked="0"/>
    </xf>
    <xf numFmtId="166" fontId="31" fillId="0" borderId="3" xfId="847" applyNumberFormat="1" applyFont="1" applyBorder="1" applyAlignment="1" applyProtection="1">
      <alignment horizontal="right"/>
      <protection locked="0"/>
    </xf>
    <xf numFmtId="170" fontId="31" fillId="0" borderId="3" xfId="847" applyNumberFormat="1" applyFont="1" applyBorder="1" applyAlignment="1" applyProtection="1">
      <alignment horizontal="right"/>
      <protection locked="0"/>
    </xf>
    <xf numFmtId="166" fontId="31" fillId="4" borderId="4" xfId="847" applyNumberFormat="1" applyFont="1" applyFill="1" applyBorder="1" applyAlignment="1" applyProtection="1">
      <alignment horizontal="right"/>
      <protection locked="0"/>
    </xf>
    <xf numFmtId="166" fontId="31" fillId="4" borderId="3" xfId="847" applyNumberFormat="1" applyFont="1" applyFill="1" applyBorder="1" applyAlignment="1" applyProtection="1">
      <alignment horizontal="right"/>
      <protection locked="0"/>
    </xf>
    <xf numFmtId="3" fontId="45" fillId="4" borderId="4" xfId="15" applyNumberFormat="1" applyFont="1" applyFill="1" applyBorder="1" applyAlignment="1" applyProtection="1">
      <alignment horizontal="right"/>
      <protection locked="0"/>
    </xf>
    <xf numFmtId="3" fontId="45" fillId="4" borderId="11" xfId="15" applyNumberFormat="1" applyFont="1" applyFill="1" applyBorder="1" applyAlignment="1" applyProtection="1">
      <alignment horizontal="right"/>
      <protection locked="0"/>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6" fillId="0" borderId="9" xfId="1" applyNumberFormat="1" applyFont="1" applyBorder="1" applyAlignment="1">
      <alignment horizontal="center"/>
    </xf>
    <xf numFmtId="3" fontId="14" fillId="0" borderId="0" xfId="1" applyNumberFormat="1" applyFont="1" applyBorder="1" applyAlignment="1">
      <alignment horizontal="center"/>
    </xf>
    <xf numFmtId="3" fontId="14" fillId="0" borderId="12" xfId="1" applyNumberFormat="1" applyFont="1" applyBorder="1" applyAlignment="1">
      <alignment horizontal="center"/>
    </xf>
    <xf numFmtId="3" fontId="14" fillId="0" borderId="0" xfId="1" applyNumberFormat="1" applyFont="1" applyFill="1" applyBorder="1" applyAlignment="1">
      <alignment horizontal="center"/>
    </xf>
    <xf numFmtId="0" fontId="18" fillId="0" borderId="6" xfId="0" applyFont="1" applyFill="1" applyBorder="1"/>
    <xf numFmtId="3" fontId="18" fillId="0" borderId="3" xfId="847" applyNumberFormat="1" applyFont="1" applyBorder="1" applyAlignment="1">
      <alignment horizontal="left"/>
    </xf>
    <xf numFmtId="0" fontId="16" fillId="0" borderId="6" xfId="1" applyFont="1" applyFill="1" applyBorder="1"/>
    <xf numFmtId="3" fontId="18" fillId="0" borderId="3" xfId="847" applyNumberFormat="1" applyFont="1" applyFill="1" applyBorder="1" applyAlignment="1">
      <alignment horizontal="left"/>
    </xf>
    <xf numFmtId="0" fontId="16" fillId="0" borderId="4" xfId="1" applyFont="1" applyFill="1" applyBorder="1"/>
    <xf numFmtId="0" fontId="16" fillId="0" borderId="11" xfId="1" applyFont="1" applyFill="1" applyBorder="1"/>
    <xf numFmtId="0" fontId="45" fillId="2" borderId="3" xfId="0" applyFont="1" applyFill="1" applyBorder="1" applyProtection="1">
      <protection locked="0"/>
    </xf>
    <xf numFmtId="0" fontId="45" fillId="2" borderId="6" xfId="0" applyFont="1" applyFill="1" applyBorder="1" applyProtection="1">
      <protection locked="0"/>
    </xf>
    <xf numFmtId="3" fontId="31" fillId="4" borderId="1" xfId="0" applyNumberFormat="1" applyFont="1" applyFill="1" applyBorder="1" applyAlignment="1" applyProtection="1">
      <alignment horizontal="right"/>
      <protection locked="0"/>
    </xf>
    <xf numFmtId="0" fontId="31" fillId="0" borderId="3" xfId="0" applyFont="1" applyBorder="1" applyAlignment="1" applyProtection="1">
      <alignment horizontal="right"/>
      <protection locked="0"/>
    </xf>
    <xf numFmtId="3" fontId="31" fillId="4" borderId="7" xfId="0" applyNumberFormat="1" applyFont="1" applyFill="1" applyBorder="1" applyAlignment="1" applyProtection="1">
      <alignment horizontal="right"/>
      <protection locked="0"/>
    </xf>
    <xf numFmtId="1" fontId="31" fillId="0" borderId="3" xfId="0" applyNumberFormat="1" applyFont="1" applyBorder="1" applyAlignment="1" applyProtection="1">
      <alignment horizontal="right"/>
      <protection locked="0"/>
    </xf>
    <xf numFmtId="0" fontId="31" fillId="0" borderId="0" xfId="7" applyFont="1" applyProtection="1">
      <protection locked="0"/>
    </xf>
    <xf numFmtId="4" fontId="31" fillId="4" borderId="4" xfId="7" applyNumberFormat="1" applyFont="1" applyFill="1" applyBorder="1" applyAlignment="1" applyProtection="1">
      <alignment horizontal="right"/>
      <protection locked="0"/>
    </xf>
    <xf numFmtId="3" fontId="31" fillId="4" borderId="4" xfId="7" applyNumberFormat="1" applyFont="1" applyFill="1" applyBorder="1" applyAlignment="1" applyProtection="1">
      <alignment horizontal="right"/>
      <protection locked="0"/>
    </xf>
    <xf numFmtId="3" fontId="31" fillId="4" borderId="11" xfId="7" applyNumberFormat="1" applyFont="1" applyFill="1" applyBorder="1" applyAlignment="1" applyProtection="1">
      <alignment horizontal="right"/>
      <protection locked="0"/>
    </xf>
    <xf numFmtId="171" fontId="16" fillId="0" borderId="3" xfId="846" applyFont="1" applyBorder="1" applyAlignment="1">
      <alignment horizontal="right"/>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6" fillId="0" borderId="9" xfId="1" applyNumberFormat="1" applyFont="1" applyBorder="1" applyAlignment="1">
      <alignment horizontal="center"/>
    </xf>
    <xf numFmtId="3" fontId="14" fillId="0" borderId="12" xfId="1" applyNumberFormat="1" applyFont="1" applyBorder="1" applyAlignment="1">
      <alignment horizontal="center"/>
    </xf>
    <xf numFmtId="3" fontId="14" fillId="0" borderId="0" xfId="1" applyNumberFormat="1" applyFont="1" applyBorder="1" applyAlignment="1">
      <alignment horizontal="center"/>
    </xf>
    <xf numFmtId="3" fontId="14" fillId="0" borderId="0" xfId="1" applyNumberFormat="1" applyFont="1" applyFill="1" applyBorder="1" applyAlignment="1">
      <alignment horizontal="center"/>
    </xf>
    <xf numFmtId="3" fontId="31" fillId="0" borderId="4" xfId="0" applyNumberFormat="1" applyFont="1" applyBorder="1" applyAlignment="1" applyProtection="1">
      <alignment horizontal="right"/>
      <protection locked="0"/>
    </xf>
    <xf numFmtId="0" fontId="41" fillId="0" borderId="0" xfId="7" applyFont="1" applyProtection="1">
      <protection locked="0"/>
    </xf>
    <xf numFmtId="0" fontId="20" fillId="0" borderId="0" xfId="7" applyProtection="1">
      <protection locked="0"/>
    </xf>
    <xf numFmtId="3" fontId="58" fillId="4" borderId="0" xfId="7" applyNumberFormat="1" applyFont="1" applyFill="1" applyProtection="1">
      <protection locked="0"/>
    </xf>
    <xf numFmtId="14" fontId="14" fillId="0" borderId="7" xfId="7" applyNumberFormat="1" applyFont="1" applyBorder="1" applyAlignment="1" applyProtection="1">
      <alignment horizontal="left"/>
      <protection locked="0"/>
    </xf>
    <xf numFmtId="0" fontId="18" fillId="0" borderId="10" xfId="7" applyFont="1" applyBorder="1" applyProtection="1">
      <protection locked="0"/>
    </xf>
    <xf numFmtId="0" fontId="18" fillId="0" borderId="8" xfId="7" applyFont="1" applyBorder="1" applyProtection="1">
      <protection locked="0"/>
    </xf>
    <xf numFmtId="0" fontId="18" fillId="0" borderId="9" xfId="7" applyFont="1" applyBorder="1" applyProtection="1">
      <protection locked="0"/>
    </xf>
    <xf numFmtId="0" fontId="69" fillId="0" borderId="8" xfId="7" applyFont="1" applyBorder="1" applyAlignment="1" applyProtection="1">
      <alignment horizontal="center"/>
      <protection locked="0"/>
    </xf>
    <xf numFmtId="0" fontId="18" fillId="4" borderId="0" xfId="7" applyFont="1" applyFill="1" applyProtection="1">
      <protection locked="0"/>
    </xf>
    <xf numFmtId="3" fontId="45" fillId="0" borderId="1" xfId="7" applyNumberFormat="1" applyFont="1" applyBorder="1" applyProtection="1">
      <protection locked="0"/>
    </xf>
    <xf numFmtId="3" fontId="45" fillId="0" borderId="4" xfId="7" applyNumberFormat="1" applyFont="1" applyBorder="1" applyProtection="1">
      <protection locked="0"/>
    </xf>
    <xf numFmtId="0" fontId="16" fillId="0" borderId="1" xfId="7" applyFont="1" applyBorder="1" applyAlignment="1" applyProtection="1">
      <alignment horizontal="center"/>
      <protection locked="0"/>
    </xf>
    <xf numFmtId="0" fontId="16" fillId="0" borderId="7" xfId="7" applyFont="1" applyBorder="1" applyAlignment="1" applyProtection="1">
      <alignment horizontal="center"/>
      <protection locked="0"/>
    </xf>
    <xf numFmtId="3" fontId="50" fillId="4" borderId="11" xfId="7" applyNumberFormat="1" applyFont="1" applyFill="1" applyBorder="1" applyProtection="1">
      <protection locked="0"/>
    </xf>
    <xf numFmtId="0" fontId="14" fillId="0" borderId="6" xfId="7" applyFont="1" applyBorder="1" applyAlignment="1" applyProtection="1">
      <alignment horizontal="center"/>
      <protection locked="0"/>
    </xf>
    <xf numFmtId="169" fontId="16" fillId="0" borderId="6" xfId="7" applyNumberFormat="1" applyFont="1" applyBorder="1" applyAlignment="1" applyProtection="1">
      <alignment horizontal="center"/>
      <protection locked="0"/>
    </xf>
    <xf numFmtId="169" fontId="14" fillId="4" borderId="0" xfId="7" applyNumberFormat="1" applyFont="1" applyFill="1" applyAlignment="1" applyProtection="1">
      <alignment horizontal="center"/>
      <protection locked="0"/>
    </xf>
    <xf numFmtId="0" fontId="14" fillId="4" borderId="0" xfId="7" applyFont="1" applyFill="1" applyAlignment="1" applyProtection="1">
      <alignment horizontal="center"/>
      <protection locked="0"/>
    </xf>
    <xf numFmtId="0" fontId="45" fillId="0" borderId="7" xfId="7" applyFont="1" applyBorder="1" applyProtection="1">
      <protection locked="0"/>
    </xf>
    <xf numFmtId="4" fontId="31" fillId="4" borderId="7" xfId="7" applyNumberFormat="1" applyFont="1" applyFill="1" applyBorder="1" applyAlignment="1" applyProtection="1">
      <alignment horizontal="right"/>
      <protection locked="0"/>
    </xf>
    <xf numFmtId="4" fontId="31" fillId="4" borderId="3" xfId="7" applyNumberFormat="1" applyFont="1" applyFill="1" applyBorder="1" applyAlignment="1">
      <alignment horizontal="right"/>
    </xf>
    <xf numFmtId="0" fontId="31" fillId="0" borderId="3" xfId="7" applyFont="1" applyBorder="1" applyProtection="1">
      <protection locked="0"/>
    </xf>
    <xf numFmtId="3" fontId="31" fillId="4" borderId="3" xfId="7" applyNumberFormat="1" applyFont="1" applyFill="1" applyBorder="1" applyAlignment="1">
      <alignment horizontal="right"/>
    </xf>
    <xf numFmtId="0" fontId="31" fillId="0" borderId="6" xfId="7" applyFont="1" applyBorder="1" applyProtection="1">
      <protection locked="0"/>
    </xf>
    <xf numFmtId="3" fontId="31" fillId="4" borderId="6" xfId="7" applyNumberFormat="1" applyFont="1" applyFill="1" applyBorder="1" applyAlignment="1">
      <alignment horizontal="right"/>
    </xf>
    <xf numFmtId="0" fontId="14" fillId="0" borderId="6" xfId="0" applyFont="1" applyBorder="1" applyAlignment="1" applyProtection="1">
      <alignment horizontal="center"/>
      <protection locked="0"/>
    </xf>
    <xf numFmtId="0" fontId="14" fillId="0" borderId="11" xfId="0" applyFont="1" applyBorder="1" applyAlignment="1" applyProtection="1">
      <alignment horizontal="center"/>
      <protection locked="0"/>
    </xf>
    <xf numFmtId="4" fontId="31" fillId="4" borderId="3" xfId="7" applyNumberFormat="1" applyFont="1" applyFill="1" applyBorder="1" applyAlignment="1" applyProtection="1">
      <alignment horizontal="right"/>
      <protection locked="0"/>
    </xf>
    <xf numFmtId="3" fontId="31" fillId="4" borderId="3" xfId="7" applyNumberFormat="1" applyFont="1" applyFill="1" applyBorder="1" applyAlignment="1" applyProtection="1">
      <alignment horizontal="right"/>
      <protection locked="0"/>
    </xf>
    <xf numFmtId="3" fontId="31" fillId="4" borderId="6" xfId="7" applyNumberFormat="1" applyFont="1" applyFill="1" applyBorder="1" applyAlignment="1" applyProtection="1">
      <alignment horizontal="right"/>
      <protection locked="0"/>
    </xf>
    <xf numFmtId="165" fontId="31" fillId="4" borderId="6" xfId="7" applyNumberFormat="1" applyFont="1" applyFill="1" applyBorder="1" applyAlignment="1" applyProtection="1">
      <alignment horizontal="right"/>
      <protection locked="0"/>
    </xf>
    <xf numFmtId="0" fontId="56" fillId="0" borderId="0" xfId="0" applyFont="1" applyFill="1"/>
    <xf numFmtId="3" fontId="31" fillId="0" borderId="4" xfId="7" applyNumberFormat="1" applyFont="1" applyBorder="1" applyAlignment="1">
      <alignment horizontal="right"/>
    </xf>
    <xf numFmtId="3" fontId="14" fillId="0" borderId="12" xfId="1" applyNumberFormat="1" applyFont="1" applyBorder="1" applyAlignment="1">
      <alignment horizontal="center"/>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6" fillId="0" borderId="9" xfId="1" applyNumberFormat="1" applyFont="1" applyBorder="1" applyAlignment="1">
      <alignment horizontal="center"/>
    </xf>
    <xf numFmtId="3" fontId="14" fillId="0" borderId="0" xfId="1" applyNumberFormat="1" applyFont="1" applyBorder="1" applyAlignment="1">
      <alignment horizontal="center"/>
    </xf>
    <xf numFmtId="3" fontId="14" fillId="0" borderId="0" xfId="1" applyNumberFormat="1" applyFont="1" applyFill="1" applyBorder="1" applyAlignment="1">
      <alignment horizontal="center"/>
    </xf>
    <xf numFmtId="3" fontId="14" fillId="0" borderId="12" xfId="1" applyNumberFormat="1" applyFont="1" applyBorder="1" applyAlignment="1">
      <alignment horizontal="center"/>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6" fillId="0" borderId="9" xfId="1" applyNumberFormat="1" applyFont="1" applyBorder="1" applyAlignment="1">
      <alignment horizontal="center"/>
    </xf>
    <xf numFmtId="3" fontId="14" fillId="0" borderId="0" xfId="1" applyNumberFormat="1" applyFont="1" applyBorder="1" applyAlignment="1">
      <alignment horizontal="center"/>
    </xf>
    <xf numFmtId="3" fontId="14" fillId="0" borderId="0" xfId="1" applyNumberFormat="1" applyFont="1" applyFill="1" applyBorder="1" applyAlignment="1">
      <alignment horizontal="center"/>
    </xf>
    <xf numFmtId="3" fontId="14" fillId="0" borderId="12" xfId="1" applyNumberFormat="1" applyFont="1" applyBorder="1" applyAlignment="1">
      <alignment horizontal="center"/>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6" fillId="0" borderId="9" xfId="1" applyNumberFormat="1" applyFont="1" applyBorder="1" applyAlignment="1">
      <alignment horizontal="center"/>
    </xf>
    <xf numFmtId="3" fontId="14" fillId="0" borderId="0" xfId="1" applyNumberFormat="1" applyFont="1" applyBorder="1" applyAlignment="1">
      <alignment horizontal="center"/>
    </xf>
    <xf numFmtId="3" fontId="14" fillId="0" borderId="0" xfId="1" applyNumberFormat="1" applyFont="1" applyFill="1" applyBorder="1" applyAlignment="1">
      <alignment horizontal="center"/>
    </xf>
    <xf numFmtId="0" fontId="15" fillId="0" borderId="0" xfId="7" applyFont="1" applyAlignment="1">
      <alignment horizontal="right" vertical="top"/>
    </xf>
    <xf numFmtId="0" fontId="15" fillId="0" borderId="0" xfId="7" applyFont="1" applyAlignment="1">
      <alignment horizontal="right"/>
    </xf>
    <xf numFmtId="0" fontId="31" fillId="0" borderId="4" xfId="0" applyFont="1" applyBorder="1" applyProtection="1">
      <protection locked="0"/>
    </xf>
    <xf numFmtId="3" fontId="45" fillId="0" borderId="1" xfId="0" applyNumberFormat="1" applyFont="1" applyBorder="1" applyProtection="1">
      <protection locked="0"/>
    </xf>
    <xf numFmtId="3" fontId="45" fillId="0" borderId="4" xfId="0" applyNumberFormat="1" applyFont="1" applyBorder="1" applyProtection="1">
      <protection locked="0"/>
    </xf>
    <xf numFmtId="0" fontId="16" fillId="0" borderId="7" xfId="0" applyFont="1" applyBorder="1" applyAlignment="1" applyProtection="1">
      <alignment horizontal="center"/>
      <protection locked="0"/>
    </xf>
    <xf numFmtId="3" fontId="50" fillId="4" borderId="6" xfId="0" applyNumberFormat="1" applyFont="1" applyFill="1" applyBorder="1" applyProtection="1">
      <protection locked="0"/>
    </xf>
    <xf numFmtId="169" fontId="16" fillId="0" borderId="6" xfId="0" applyNumberFormat="1" applyFont="1" applyBorder="1" applyAlignment="1" applyProtection="1">
      <alignment horizontal="center"/>
      <protection locked="0"/>
    </xf>
    <xf numFmtId="0" fontId="31" fillId="4" borderId="7" xfId="0" applyFont="1" applyFill="1" applyBorder="1" applyAlignment="1" applyProtection="1">
      <alignment horizontal="right"/>
      <protection locked="0"/>
    </xf>
    <xf numFmtId="3" fontId="31" fillId="4" borderId="4" xfId="0" applyNumberFormat="1" applyFont="1" applyFill="1" applyBorder="1" applyAlignment="1">
      <alignment horizontal="right"/>
    </xf>
    <xf numFmtId="3" fontId="31" fillId="4" borderId="3" xfId="0" applyNumberFormat="1" applyFont="1" applyFill="1" applyBorder="1" applyAlignment="1">
      <alignment horizontal="right"/>
    </xf>
    <xf numFmtId="0" fontId="31" fillId="4" borderId="3" xfId="0" applyFont="1" applyFill="1" applyBorder="1" applyAlignment="1" applyProtection="1">
      <alignment horizontal="right"/>
      <protection locked="0"/>
    </xf>
    <xf numFmtId="3" fontId="31" fillId="10" borderId="3" xfId="0" applyNumberFormat="1" applyFont="1" applyFill="1" applyBorder="1" applyAlignment="1" applyProtection="1">
      <alignment horizontal="right"/>
      <protection locked="0"/>
    </xf>
    <xf numFmtId="0" fontId="45" fillId="0" borderId="11" xfId="0" applyFont="1" applyBorder="1" applyProtection="1">
      <protection locked="0"/>
    </xf>
    <xf numFmtId="0" fontId="45" fillId="0" borderId="4" xfId="0" applyFont="1" applyBorder="1" applyProtection="1">
      <protection locked="0"/>
    </xf>
    <xf numFmtId="3" fontId="45" fillId="4" borderId="7" xfId="0" applyNumberFormat="1" applyFont="1" applyFill="1" applyBorder="1" applyAlignment="1" applyProtection="1">
      <alignment horizontal="right"/>
      <protection locked="0"/>
    </xf>
    <xf numFmtId="0" fontId="45" fillId="4" borderId="7" xfId="0" applyFont="1" applyFill="1" applyBorder="1" applyAlignment="1" applyProtection="1">
      <alignment horizontal="right"/>
      <protection locked="0"/>
    </xf>
    <xf numFmtId="0" fontId="45" fillId="4" borderId="15" xfId="0" applyFont="1" applyFill="1" applyBorder="1" applyAlignment="1" applyProtection="1">
      <alignment horizontal="right"/>
      <protection locked="0"/>
    </xf>
    <xf numFmtId="0" fontId="49" fillId="0" borderId="7" xfId="0" applyFont="1" applyBorder="1" applyAlignment="1" applyProtection="1">
      <alignment horizontal="right"/>
      <protection locked="0"/>
    </xf>
    <xf numFmtId="0" fontId="45" fillId="4" borderId="3" xfId="0" applyFont="1" applyFill="1" applyBorder="1" applyAlignment="1" applyProtection="1">
      <alignment horizontal="right"/>
      <protection locked="0"/>
    </xf>
    <xf numFmtId="0" fontId="45" fillId="4" borderId="2" xfId="0" applyFont="1" applyFill="1" applyBorder="1" applyAlignment="1" applyProtection="1">
      <alignment horizontal="right"/>
      <protection locked="0"/>
    </xf>
    <xf numFmtId="0" fontId="49" fillId="0" borderId="3" xfId="0" applyFont="1" applyBorder="1" applyAlignment="1" applyProtection="1">
      <alignment horizontal="right"/>
      <protection locked="0"/>
    </xf>
    <xf numFmtId="0" fontId="31" fillId="4" borderId="2" xfId="0" applyFont="1" applyFill="1" applyBorder="1" applyAlignment="1" applyProtection="1">
      <alignment horizontal="right"/>
      <protection locked="0"/>
    </xf>
    <xf numFmtId="3" fontId="31" fillId="4" borderId="2" xfId="0" applyNumberFormat="1" applyFont="1" applyFill="1" applyBorder="1" applyAlignment="1" applyProtection="1">
      <alignment horizontal="right"/>
      <protection locked="0"/>
    </xf>
    <xf numFmtId="3" fontId="45" fillId="4" borderId="2" xfId="0" applyNumberFormat="1" applyFont="1" applyFill="1" applyBorder="1" applyAlignment="1" applyProtection="1">
      <alignment horizontal="right"/>
      <protection locked="0"/>
    </xf>
    <xf numFmtId="0" fontId="45" fillId="0" borderId="0" xfId="0" applyFont="1" applyProtection="1">
      <protection locked="0"/>
    </xf>
    <xf numFmtId="0" fontId="45" fillId="4" borderId="6" xfId="0" applyFont="1" applyFill="1" applyBorder="1" applyAlignment="1" applyProtection="1">
      <alignment horizontal="right"/>
      <protection locked="0"/>
    </xf>
    <xf numFmtId="0" fontId="45" fillId="4" borderId="5" xfId="0" applyFont="1" applyFill="1" applyBorder="1" applyAlignment="1" applyProtection="1">
      <alignment horizontal="right"/>
      <protection locked="0"/>
    </xf>
    <xf numFmtId="0" fontId="45" fillId="0" borderId="6" xfId="0" applyFont="1" applyBorder="1" applyAlignment="1" applyProtection="1">
      <alignment horizontal="right"/>
      <protection locked="0"/>
    </xf>
    <xf numFmtId="0" fontId="45" fillId="0" borderId="7" xfId="0" applyFont="1" applyBorder="1" applyProtection="1">
      <protection locked="0"/>
    </xf>
    <xf numFmtId="3" fontId="45" fillId="4" borderId="1" xfId="15" applyNumberFormat="1" applyFont="1" applyFill="1" applyBorder="1" applyAlignment="1" applyProtection="1">
      <alignment horizontal="right"/>
      <protection locked="0"/>
    </xf>
    <xf numFmtId="3" fontId="45" fillId="4" borderId="1" xfId="0" applyNumberFormat="1" applyFont="1" applyFill="1" applyBorder="1" applyAlignment="1" applyProtection="1">
      <alignment horizontal="right"/>
      <protection locked="0"/>
    </xf>
    <xf numFmtId="0" fontId="45" fillId="4" borderId="1" xfId="0" applyFont="1" applyFill="1" applyBorder="1" applyAlignment="1" applyProtection="1">
      <alignment horizontal="right"/>
      <protection locked="0"/>
    </xf>
    <xf numFmtId="0" fontId="45" fillId="0" borderId="7" xfId="0" applyFont="1" applyBorder="1" applyAlignment="1" applyProtection="1">
      <alignment horizontal="right"/>
      <protection locked="0"/>
    </xf>
    <xf numFmtId="0" fontId="31" fillId="2" borderId="3" xfId="0" applyFont="1" applyFill="1" applyBorder="1" applyProtection="1">
      <protection locked="0"/>
    </xf>
    <xf numFmtId="0" fontId="31" fillId="2" borderId="6" xfId="0" applyFont="1" applyFill="1" applyBorder="1" applyProtection="1">
      <protection locked="0"/>
    </xf>
    <xf numFmtId="3" fontId="60" fillId="4" borderId="3" xfId="0" applyNumberFormat="1" applyFont="1" applyFill="1" applyBorder="1" applyAlignment="1">
      <alignment horizontal="right"/>
    </xf>
    <xf numFmtId="3" fontId="45" fillId="4" borderId="3" xfId="0" applyNumberFormat="1" applyFont="1" applyFill="1" applyBorder="1" applyAlignment="1">
      <alignment horizontal="right"/>
    </xf>
    <xf numFmtId="0" fontId="31" fillId="0" borderId="3" xfId="0" applyFont="1" applyBorder="1" applyProtection="1">
      <protection locked="0"/>
    </xf>
    <xf numFmtId="3" fontId="31" fillId="0" borderId="3" xfId="845" applyNumberFormat="1" applyFont="1" applyBorder="1" applyAlignment="1" applyProtection="1">
      <alignment horizontal="right"/>
      <protection locked="0"/>
    </xf>
    <xf numFmtId="0" fontId="20" fillId="0" borderId="3" xfId="0" applyFont="1" applyBorder="1" applyProtection="1">
      <protection locked="0"/>
    </xf>
    <xf numFmtId="3" fontId="45" fillId="0" borderId="4" xfId="0" applyNumberFormat="1" applyFont="1" applyBorder="1" applyAlignment="1" applyProtection="1">
      <alignment horizontal="right"/>
      <protection locked="0"/>
    </xf>
    <xf numFmtId="3" fontId="31" fillId="0" borderId="0" xfId="0" applyNumberFormat="1" applyFont="1" applyProtection="1">
      <protection locked="0"/>
    </xf>
    <xf numFmtId="3" fontId="62" fillId="0" borderId="0" xfId="0" applyNumberFormat="1" applyFont="1" applyProtection="1">
      <protection locked="0"/>
    </xf>
    <xf numFmtId="0" fontId="20" fillId="0" borderId="0" xfId="852"/>
    <xf numFmtId="0" fontId="27" fillId="0" borderId="0" xfId="852" applyFont="1"/>
    <xf numFmtId="0" fontId="0" fillId="0" borderId="0" xfId="852" applyFont="1"/>
    <xf numFmtId="0" fontId="28" fillId="0" borderId="0" xfId="852" applyFont="1" applyAlignment="1">
      <alignment horizontal="right"/>
    </xf>
    <xf numFmtId="0" fontId="20" fillId="0" borderId="0" xfId="20"/>
    <xf numFmtId="0" fontId="29" fillId="0" borderId="0" xfId="852" applyFont="1" applyAlignment="1">
      <alignment horizontal="left"/>
    </xf>
    <xf numFmtId="0" fontId="30" fillId="0" borderId="0" xfId="852" applyFont="1" applyAlignment="1">
      <alignment horizontal="left"/>
    </xf>
    <xf numFmtId="0" fontId="31" fillId="0" borderId="0" xfId="20" applyFont="1" applyAlignment="1">
      <alignment horizontal="left"/>
    </xf>
    <xf numFmtId="0" fontId="32" fillId="0" borderId="0" xfId="852" applyFont="1" applyAlignment="1">
      <alignment horizontal="right"/>
    </xf>
    <xf numFmtId="0" fontId="20" fillId="0" borderId="0" xfId="852" applyAlignment="1">
      <alignment horizontal="right"/>
    </xf>
    <xf numFmtId="0" fontId="33" fillId="0" borderId="0" xfId="852" applyFont="1" applyAlignment="1">
      <alignment horizontal="left"/>
    </xf>
    <xf numFmtId="14" fontId="34" fillId="0" borderId="0" xfId="852" applyNumberFormat="1" applyFont="1" applyAlignment="1">
      <alignment horizontal="left"/>
    </xf>
    <xf numFmtId="0" fontId="34" fillId="0" borderId="0" xfId="852" applyFont="1" applyAlignment="1">
      <alignment horizontal="left"/>
    </xf>
    <xf numFmtId="0" fontId="35" fillId="0" borderId="0" xfId="20" applyFont="1" applyAlignment="1">
      <alignment vertical="center"/>
    </xf>
    <xf numFmtId="0" fontId="36" fillId="0" borderId="0" xfId="20" applyFont="1" applyAlignment="1">
      <alignment vertical="center"/>
    </xf>
    <xf numFmtId="0" fontId="45" fillId="0" borderId="1" xfId="0" applyFont="1" applyBorder="1" applyAlignment="1">
      <alignment horizontal="center"/>
    </xf>
    <xf numFmtId="0" fontId="74" fillId="0" borderId="0" xfId="0" applyFont="1" applyProtection="1">
      <protection locked="0"/>
    </xf>
    <xf numFmtId="0" fontId="71" fillId="0" borderId="0" xfId="848" applyFont="1" applyProtection="1">
      <protection locked="0"/>
    </xf>
    <xf numFmtId="0" fontId="22" fillId="0" borderId="0" xfId="848" applyFont="1" applyProtection="1">
      <protection locked="0"/>
    </xf>
    <xf numFmtId="0" fontId="73" fillId="0" borderId="0" xfId="0" applyFont="1" applyProtection="1">
      <protection locked="0"/>
    </xf>
    <xf numFmtId="3" fontId="45" fillId="4" borderId="0" xfId="0" applyNumberFormat="1" applyFont="1" applyFill="1" applyProtection="1">
      <protection locked="0"/>
    </xf>
    <xf numFmtId="3" fontId="16" fillId="4" borderId="0" xfId="0" applyNumberFormat="1" applyFont="1" applyFill="1" applyProtection="1">
      <protection locked="0"/>
    </xf>
    <xf numFmtId="14" fontId="14" fillId="0" borderId="7" xfId="0" applyNumberFormat="1" applyFont="1" applyBorder="1" applyAlignment="1" applyProtection="1">
      <alignment horizontal="left"/>
      <protection locked="0"/>
    </xf>
    <xf numFmtId="3" fontId="14" fillId="0" borderId="10" xfId="0" quotePrefix="1" applyNumberFormat="1" applyFont="1" applyBorder="1" applyAlignment="1" applyProtection="1">
      <alignment horizontal="center"/>
      <protection locked="0"/>
    </xf>
    <xf numFmtId="3" fontId="14" fillId="0" borderId="8" xfId="0" quotePrefix="1" applyNumberFormat="1" applyFont="1" applyBorder="1" applyAlignment="1" applyProtection="1">
      <alignment horizontal="center"/>
      <protection locked="0"/>
    </xf>
    <xf numFmtId="3" fontId="14" fillId="0" borderId="9" xfId="0" quotePrefix="1" applyNumberFormat="1" applyFont="1" applyBorder="1" applyAlignment="1" applyProtection="1">
      <alignment horizontal="center"/>
      <protection locked="0"/>
    </xf>
    <xf numFmtId="0" fontId="18" fillId="4" borderId="10" xfId="0" applyFont="1" applyFill="1" applyBorder="1" applyProtection="1">
      <protection locked="0"/>
    </xf>
    <xf numFmtId="0" fontId="18" fillId="4" borderId="8" xfId="0" applyFont="1" applyFill="1" applyBorder="1" applyProtection="1">
      <protection locked="0"/>
    </xf>
    <xf numFmtId="0" fontId="18" fillId="4" borderId="9" xfId="0" applyFont="1" applyFill="1" applyBorder="1" applyProtection="1">
      <protection locked="0"/>
    </xf>
    <xf numFmtId="0" fontId="20" fillId="0" borderId="9" xfId="0" applyFont="1" applyBorder="1" applyProtection="1">
      <protection locked="0"/>
    </xf>
    <xf numFmtId="3" fontId="59" fillId="4" borderId="0" xfId="0" applyNumberFormat="1" applyFont="1" applyFill="1" applyProtection="1">
      <protection locked="0"/>
    </xf>
    <xf numFmtId="3" fontId="14" fillId="0" borderId="8" xfId="0" quotePrefix="1" applyNumberFormat="1" applyFont="1" applyBorder="1" applyProtection="1">
      <protection locked="0"/>
    </xf>
    <xf numFmtId="3" fontId="14" fillId="0" borderId="9" xfId="0" quotePrefix="1" applyNumberFormat="1" applyFont="1" applyBorder="1" applyProtection="1">
      <protection locked="0"/>
    </xf>
    <xf numFmtId="3" fontId="14" fillId="0" borderId="10" xfId="0" quotePrefix="1" applyNumberFormat="1" applyFont="1" applyBorder="1" applyProtection="1">
      <protection locked="0"/>
    </xf>
    <xf numFmtId="0" fontId="18" fillId="4" borderId="0" xfId="0" applyFont="1" applyFill="1" applyProtection="1">
      <protection locked="0"/>
    </xf>
    <xf numFmtId="0" fontId="16" fillId="0" borderId="1" xfId="0" applyFont="1" applyBorder="1" applyAlignment="1" applyProtection="1">
      <alignment horizontal="center"/>
      <protection locked="0"/>
    </xf>
    <xf numFmtId="0" fontId="14" fillId="4" borderId="0" xfId="0" applyFont="1" applyFill="1" applyAlignment="1" applyProtection="1">
      <alignment horizontal="center"/>
      <protection locked="0"/>
    </xf>
    <xf numFmtId="169" fontId="14" fillId="4" borderId="0" xfId="0" applyNumberFormat="1" applyFont="1" applyFill="1" applyAlignment="1" applyProtection="1">
      <alignment horizontal="center"/>
      <protection locked="0"/>
    </xf>
    <xf numFmtId="3" fontId="45" fillId="4" borderId="11" xfId="0" applyNumberFormat="1" applyFont="1" applyFill="1" applyBorder="1" applyAlignment="1" applyProtection="1">
      <alignment horizontal="right"/>
      <protection locked="0"/>
    </xf>
    <xf numFmtId="3" fontId="31" fillId="0" borderId="3" xfId="7" applyNumberFormat="1" applyFont="1" applyBorder="1" applyAlignment="1">
      <alignment horizontal="right"/>
    </xf>
    <xf numFmtId="3" fontId="31" fillId="0" borderId="6" xfId="7" applyNumberFormat="1" applyFont="1" applyBorder="1" applyAlignment="1">
      <alignment horizontal="right"/>
    </xf>
    <xf numFmtId="4" fontId="31" fillId="4" borderId="4" xfId="7" applyNumberFormat="1" applyFont="1" applyFill="1" applyBorder="1" applyAlignment="1">
      <alignment horizontal="right"/>
    </xf>
    <xf numFmtId="4" fontId="31" fillId="0" borderId="3" xfId="7" applyNumberFormat="1" applyFont="1" applyBorder="1" applyAlignment="1">
      <alignment horizontal="right"/>
    </xf>
    <xf numFmtId="3" fontId="31" fillId="4" borderId="4" xfId="7" applyNumberFormat="1" applyFont="1" applyFill="1" applyBorder="1" applyAlignment="1">
      <alignment horizontal="right"/>
    </xf>
    <xf numFmtId="3" fontId="31" fillId="4" borderId="11" xfId="7" applyNumberFormat="1" applyFont="1" applyFill="1" applyBorder="1" applyAlignment="1">
      <alignment horizontal="right"/>
    </xf>
    <xf numFmtId="0" fontId="76" fillId="0" borderId="0" xfId="0" applyFont="1"/>
    <xf numFmtId="0" fontId="45" fillId="0" borderId="0" xfId="0" applyFont="1" applyAlignment="1">
      <alignment horizontal="center"/>
    </xf>
    <xf numFmtId="14" fontId="14" fillId="0" borderId="6" xfId="0" applyNumberFormat="1" applyFont="1" applyBorder="1" applyAlignment="1">
      <alignment horizontal="left"/>
    </xf>
    <xf numFmtId="14" fontId="14" fillId="0" borderId="3" xfId="0" applyNumberFormat="1" applyFont="1" applyBorder="1" applyAlignment="1">
      <alignment horizontal="center"/>
    </xf>
    <xf numFmtId="0" fontId="16" fillId="0" borderId="0" xfId="0" applyFont="1" applyAlignment="1">
      <alignment horizontal="center"/>
    </xf>
    <xf numFmtId="3" fontId="31" fillId="0" borderId="0" xfId="0" applyNumberFormat="1" applyFont="1" applyAlignment="1">
      <alignment horizontal="right"/>
    </xf>
    <xf numFmtId="165" fontId="31" fillId="0" borderId="3" xfId="0" applyNumberFormat="1" applyFont="1" applyFill="1" applyBorder="1" applyAlignment="1">
      <alignment horizontal="right"/>
    </xf>
    <xf numFmtId="3" fontId="45" fillId="0" borderId="4" xfId="0" applyNumberFormat="1" applyFont="1" applyFill="1" applyBorder="1"/>
    <xf numFmtId="165" fontId="45" fillId="0" borderId="4" xfId="0" applyNumberFormat="1" applyFont="1" applyFill="1" applyBorder="1" applyAlignment="1">
      <alignment horizontal="right"/>
    </xf>
    <xf numFmtId="165" fontId="45" fillId="0" borderId="3" xfId="0" applyNumberFormat="1" applyFont="1" applyFill="1" applyBorder="1" applyAlignment="1">
      <alignment horizontal="right"/>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6" fillId="0" borderId="9" xfId="1" applyNumberFormat="1" applyFont="1" applyBorder="1" applyAlignment="1">
      <alignment horizontal="center"/>
    </xf>
    <xf numFmtId="3" fontId="14" fillId="0" borderId="12" xfId="1" applyNumberFormat="1" applyFont="1" applyBorder="1" applyAlignment="1">
      <alignment horizontal="center"/>
    </xf>
    <xf numFmtId="3" fontId="14" fillId="0" borderId="0" xfId="1" applyNumberFormat="1" applyFont="1" applyBorder="1" applyAlignment="1">
      <alignment horizontal="center"/>
    </xf>
    <xf numFmtId="3" fontId="14" fillId="0" borderId="0" xfId="1" applyNumberFormat="1" applyFont="1" applyFill="1" applyBorder="1" applyAlignment="1">
      <alignment horizontal="center"/>
    </xf>
    <xf numFmtId="0" fontId="45" fillId="4" borderId="0" xfId="0" applyFont="1" applyFill="1" applyAlignment="1" applyProtection="1">
      <alignment horizontal="center"/>
      <protection locked="0"/>
    </xf>
    <xf numFmtId="0" fontId="45" fillId="4" borderId="0" xfId="7" applyFont="1" applyFill="1" applyAlignment="1" applyProtection="1">
      <alignment horizontal="center"/>
      <protection locked="0"/>
    </xf>
    <xf numFmtId="0" fontId="69" fillId="0" borderId="0" xfId="0" applyFont="1" applyFill="1"/>
    <xf numFmtId="0" fontId="19" fillId="0" borderId="0" xfId="0" applyFont="1" applyFill="1" applyBorder="1"/>
    <xf numFmtId="0" fontId="19" fillId="0" borderId="0" xfId="0" applyFont="1" applyFill="1"/>
    <xf numFmtId="3" fontId="31" fillId="4" borderId="1" xfId="0" applyNumberFormat="1" applyFont="1" applyFill="1" applyBorder="1" applyAlignment="1">
      <alignment horizontal="right"/>
    </xf>
    <xf numFmtId="3" fontId="45" fillId="4" borderId="4" xfId="15" applyNumberFormat="1" applyFont="1" applyFill="1" applyBorder="1" applyAlignment="1" applyProtection="1">
      <alignment horizontal="right"/>
    </xf>
    <xf numFmtId="3" fontId="31" fillId="4" borderId="4" xfId="15" applyNumberFormat="1" applyFont="1" applyFill="1" applyBorder="1" applyAlignment="1" applyProtection="1">
      <alignment horizontal="right"/>
    </xf>
    <xf numFmtId="3" fontId="45" fillId="4" borderId="11" xfId="15" applyNumberFormat="1" applyFont="1" applyFill="1" applyBorder="1" applyAlignment="1" applyProtection="1">
      <alignment horizontal="right"/>
    </xf>
    <xf numFmtId="0" fontId="45" fillId="0" borderId="14" xfId="7" applyFont="1" applyFill="1" applyBorder="1" applyAlignment="1" applyProtection="1">
      <alignment horizontal="center"/>
      <protection locked="0"/>
    </xf>
    <xf numFmtId="0" fontId="45" fillId="0" borderId="15" xfId="7" applyFont="1" applyFill="1" applyBorder="1" applyAlignment="1" applyProtection="1">
      <alignment horizontal="center"/>
      <protection locked="0"/>
    </xf>
    <xf numFmtId="170" fontId="31" fillId="0" borderId="3" xfId="847" applyNumberFormat="1" applyFont="1" applyBorder="1" applyAlignment="1" applyProtection="1">
      <alignment horizontal="right"/>
    </xf>
    <xf numFmtId="166" fontId="31" fillId="4" borderId="3" xfId="847" applyNumberFormat="1" applyFont="1" applyFill="1" applyBorder="1" applyAlignment="1" applyProtection="1">
      <alignment horizontal="right"/>
    </xf>
    <xf numFmtId="0" fontId="31" fillId="0" borderId="3" xfId="0" applyFont="1" applyBorder="1" applyAlignment="1">
      <alignment horizontal="right"/>
    </xf>
    <xf numFmtId="3" fontId="31" fillId="4" borderId="1" xfId="10" applyNumberFormat="1" applyFont="1" applyFill="1" applyBorder="1" applyAlignment="1">
      <alignment horizontal="right"/>
    </xf>
    <xf numFmtId="3" fontId="31" fillId="4" borderId="4" xfId="10" applyNumberFormat="1" applyFont="1" applyFill="1" applyBorder="1" applyAlignment="1">
      <alignment horizontal="right"/>
    </xf>
    <xf numFmtId="3" fontId="31" fillId="4" borderId="3" xfId="10" applyNumberFormat="1" applyFont="1" applyFill="1" applyBorder="1" applyAlignment="1">
      <alignment horizontal="right"/>
    </xf>
    <xf numFmtId="3" fontId="31" fillId="0" borderId="3" xfId="10" applyNumberFormat="1" applyFont="1" applyBorder="1" applyAlignment="1">
      <alignment horizontal="right"/>
    </xf>
    <xf numFmtId="3" fontId="31" fillId="0" borderId="4" xfId="10" applyNumberFormat="1" applyFont="1" applyBorder="1" applyAlignment="1">
      <alignment horizontal="right"/>
    </xf>
    <xf numFmtId="3" fontId="45" fillId="0" borderId="3" xfId="10" applyNumberFormat="1" applyFont="1" applyBorder="1" applyAlignment="1">
      <alignment horizontal="right"/>
    </xf>
    <xf numFmtId="3" fontId="45" fillId="0" borderId="6" xfId="10" applyNumberFormat="1" applyFont="1" applyBorder="1" applyAlignment="1">
      <alignment horizontal="right"/>
    </xf>
    <xf numFmtId="4" fontId="31" fillId="0" borderId="4" xfId="7" applyNumberFormat="1" applyFont="1" applyBorder="1" applyAlignment="1">
      <alignment horizontal="right"/>
    </xf>
    <xf numFmtId="3" fontId="31" fillId="0" borderId="11" xfId="7" applyNumberFormat="1" applyFont="1" applyBorder="1" applyAlignment="1">
      <alignment horizontal="right"/>
    </xf>
    <xf numFmtId="166" fontId="31" fillId="0" borderId="3" xfId="847" applyNumberFormat="1" applyFont="1" applyBorder="1" applyAlignment="1" applyProtection="1">
      <alignment horizontal="right"/>
    </xf>
    <xf numFmtId="165" fontId="31" fillId="0" borderId="3" xfId="853" applyNumberFormat="1" applyFont="1" applyBorder="1" applyProtection="1">
      <protection locked="0"/>
    </xf>
    <xf numFmtId="166" fontId="31" fillId="4" borderId="4" xfId="847" applyNumberFormat="1" applyFont="1" applyFill="1" applyBorder="1" applyAlignment="1" applyProtection="1">
      <alignment horizontal="right"/>
    </xf>
    <xf numFmtId="1" fontId="31" fillId="0" borderId="3" xfId="0" applyNumberFormat="1" applyFont="1" applyBorder="1" applyAlignment="1">
      <alignment horizontal="right"/>
    </xf>
    <xf numFmtId="165" fontId="31" fillId="4" borderId="6" xfId="7" applyNumberFormat="1" applyFont="1" applyFill="1" applyBorder="1" applyAlignment="1">
      <alignment horizontal="right"/>
    </xf>
    <xf numFmtId="0" fontId="45" fillId="0" borderId="1" xfId="0" applyFont="1" applyFill="1" applyBorder="1" applyAlignment="1" applyProtection="1">
      <alignment horizontal="center"/>
      <protection locked="0"/>
    </xf>
    <xf numFmtId="0" fontId="45" fillId="0" borderId="14" xfId="0" applyFont="1" applyFill="1" applyBorder="1" applyAlignment="1" applyProtection="1">
      <alignment horizontal="center"/>
      <protection locked="0"/>
    </xf>
    <xf numFmtId="0" fontId="45" fillId="0" borderId="15" xfId="0" applyFont="1" applyFill="1" applyBorder="1" applyAlignment="1" applyProtection="1">
      <alignment horizontal="center"/>
      <protection locked="0"/>
    </xf>
    <xf numFmtId="0" fontId="45" fillId="0" borderId="1" xfId="7" applyFont="1" applyFill="1" applyBorder="1" applyAlignment="1" applyProtection="1">
      <alignment horizontal="center"/>
      <protection locked="0"/>
    </xf>
    <xf numFmtId="0" fontId="45" fillId="0" borderId="14" xfId="7" applyFont="1" applyFill="1" applyBorder="1" applyAlignment="1" applyProtection="1">
      <alignment horizontal="center"/>
      <protection locked="0"/>
    </xf>
    <xf numFmtId="0" fontId="45" fillId="0" borderId="15" xfId="7" applyFont="1" applyFill="1" applyBorder="1" applyAlignment="1" applyProtection="1">
      <alignment horizontal="center"/>
      <protection locked="0"/>
    </xf>
    <xf numFmtId="3" fontId="78" fillId="0" borderId="3" xfId="1" applyNumberFormat="1" applyFont="1" applyFill="1" applyBorder="1" applyAlignment="1">
      <alignment horizontal="right"/>
    </xf>
    <xf numFmtId="3" fontId="78" fillId="0" borderId="6" xfId="1" applyNumberFormat="1" applyFont="1" applyFill="1" applyBorder="1" applyAlignment="1">
      <alignment horizontal="right"/>
    </xf>
    <xf numFmtId="3" fontId="31" fillId="4" borderId="7" xfId="0" applyNumberFormat="1" applyFont="1" applyFill="1" applyBorder="1" applyAlignment="1">
      <alignment horizontal="right"/>
    </xf>
    <xf numFmtId="165" fontId="31" fillId="0" borderId="4" xfId="0" applyNumberFormat="1" applyFont="1" applyBorder="1" applyAlignment="1" applyProtection="1">
      <alignment horizontal="right"/>
      <protection locked="0"/>
    </xf>
    <xf numFmtId="0" fontId="49" fillId="0" borderId="0" xfId="7" applyFont="1" applyFill="1" applyProtection="1">
      <protection locked="0"/>
    </xf>
    <xf numFmtId="3" fontId="31" fillId="0" borderId="3" xfId="0" applyNumberFormat="1" applyFont="1" applyFill="1" applyBorder="1" applyAlignment="1" applyProtection="1">
      <alignment horizontal="right"/>
      <protection locked="0"/>
    </xf>
    <xf numFmtId="0" fontId="45" fillId="0" borderId="1" xfId="7" applyFont="1" applyFill="1" applyBorder="1" applyAlignment="1" applyProtection="1">
      <alignment horizontal="center"/>
      <protection locked="0"/>
    </xf>
    <xf numFmtId="0" fontId="45" fillId="0" borderId="14" xfId="7" applyFont="1" applyFill="1" applyBorder="1" applyAlignment="1" applyProtection="1">
      <alignment horizontal="center"/>
      <protection locked="0"/>
    </xf>
    <xf numFmtId="0" fontId="45" fillId="0" borderId="15" xfId="7" applyFont="1" applyFill="1" applyBorder="1" applyAlignment="1" applyProtection="1">
      <alignment horizontal="center"/>
      <protection locked="0"/>
    </xf>
    <xf numFmtId="0" fontId="49" fillId="0" borderId="0" xfId="7" applyFont="1" applyProtection="1">
      <protection locked="0"/>
    </xf>
    <xf numFmtId="165" fontId="31" fillId="0" borderId="0" xfId="0" applyNumberFormat="1" applyFont="1"/>
    <xf numFmtId="4" fontId="31" fillId="0" borderId="4" xfId="0" applyNumberFormat="1" applyFont="1" applyBorder="1" applyAlignment="1" applyProtection="1">
      <alignment horizontal="right"/>
      <protection locked="0"/>
    </xf>
    <xf numFmtId="0" fontId="75" fillId="0" borderId="4" xfId="0" applyFont="1" applyFill="1" applyBorder="1" applyProtection="1">
      <protection locked="0"/>
    </xf>
    <xf numFmtId="3" fontId="31" fillId="0" borderId="3" xfId="0" applyNumberFormat="1" applyFont="1" applyFill="1" applyBorder="1" applyAlignment="1">
      <alignment horizontal="right"/>
    </xf>
    <xf numFmtId="0" fontId="18" fillId="0" borderId="3" xfId="0" applyFont="1" applyBorder="1"/>
    <xf numFmtId="3" fontId="18" fillId="0" borderId="8" xfId="1" applyNumberFormat="1" applyFont="1" applyFill="1" applyBorder="1"/>
    <xf numFmtId="3" fontId="16" fillId="0" borderId="6" xfId="1" applyNumberFormat="1" applyFont="1" applyFill="1" applyBorder="1"/>
    <xf numFmtId="3" fontId="16" fillId="0" borderId="11" xfId="1" applyNumberFormat="1" applyFont="1" applyFill="1" applyBorder="1"/>
    <xf numFmtId="0" fontId="31" fillId="0" borderId="4" xfId="0" applyFont="1" applyFill="1" applyBorder="1" applyAlignment="1" applyProtection="1">
      <alignment wrapText="1"/>
      <protection locked="0"/>
    </xf>
    <xf numFmtId="0" fontId="14" fillId="0" borderId="7" xfId="0" applyFont="1" applyBorder="1" applyAlignment="1" applyProtection="1">
      <alignment horizontal="center"/>
      <protection locked="0"/>
    </xf>
    <xf numFmtId="3" fontId="31" fillId="0" borderId="4" xfId="0" applyNumberFormat="1" applyFont="1" applyFill="1" applyBorder="1" applyAlignment="1" applyProtection="1">
      <alignment horizontal="right"/>
      <protection locked="0"/>
    </xf>
    <xf numFmtId="4" fontId="31" fillId="0" borderId="4" xfId="7" applyNumberFormat="1" applyFont="1" applyFill="1" applyBorder="1" applyAlignment="1" applyProtection="1">
      <alignment horizontal="right"/>
      <protection locked="0"/>
    </xf>
    <xf numFmtId="0" fontId="31" fillId="0" borderId="3" xfId="7" applyFont="1" applyFill="1" applyBorder="1" applyAlignment="1" applyProtection="1">
      <alignment wrapText="1"/>
      <protection locked="0"/>
    </xf>
    <xf numFmtId="0" fontId="75" fillId="0" borderId="3" xfId="7" applyFont="1" applyFill="1" applyBorder="1" applyProtection="1">
      <protection locked="0"/>
    </xf>
    <xf numFmtId="3" fontId="19" fillId="2" borderId="3" xfId="1" applyNumberFormat="1" applyFont="1" applyFill="1" applyBorder="1" applyAlignment="1">
      <alignment horizontal="right"/>
    </xf>
    <xf numFmtId="171" fontId="19" fillId="2" borderId="3" xfId="846" applyFont="1" applyFill="1" applyBorder="1" applyAlignment="1">
      <alignment horizontal="right"/>
    </xf>
    <xf numFmtId="0" fontId="31" fillId="0" borderId="4" xfId="0" applyFont="1" applyFill="1" applyBorder="1" applyProtection="1">
      <protection locked="0"/>
    </xf>
    <xf numFmtId="0" fontId="16" fillId="8" borderId="0" xfId="0" applyFont="1" applyFill="1" applyBorder="1" applyAlignment="1">
      <alignment horizontal="center"/>
    </xf>
    <xf numFmtId="0" fontId="16" fillId="8" borderId="2" xfId="0" applyFont="1" applyFill="1" applyBorder="1" applyAlignment="1">
      <alignment horizontal="center"/>
    </xf>
    <xf numFmtId="0" fontId="45" fillId="0" borderId="12" xfId="0" applyFont="1" applyBorder="1" applyAlignment="1">
      <alignment horizontal="left"/>
    </xf>
    <xf numFmtId="0" fontId="45" fillId="0" borderId="10" xfId="0" applyFont="1" applyBorder="1" applyAlignment="1">
      <alignment horizontal="center"/>
    </xf>
    <xf numFmtId="0" fontId="45" fillId="0" borderId="8" xfId="0" applyFont="1" applyBorder="1" applyAlignment="1">
      <alignment horizontal="center"/>
    </xf>
    <xf numFmtId="0" fontId="45" fillId="0" borderId="9" xfId="0" applyFont="1" applyBorder="1" applyAlignment="1">
      <alignment horizontal="center"/>
    </xf>
    <xf numFmtId="0" fontId="16" fillId="8" borderId="4" xfId="0" applyFont="1" applyFill="1" applyBorder="1" applyAlignment="1">
      <alignment horizontal="center"/>
    </xf>
    <xf numFmtId="0" fontId="45" fillId="0" borderId="14" xfId="0" applyFont="1" applyBorder="1" applyAlignment="1">
      <alignment horizontal="center"/>
    </xf>
    <xf numFmtId="0" fontId="45" fillId="0" borderId="15" xfId="0" applyFont="1" applyBorder="1" applyAlignment="1">
      <alignment horizontal="center"/>
    </xf>
    <xf numFmtId="0" fontId="45" fillId="0" borderId="1" xfId="0" applyFont="1" applyBorder="1" applyAlignment="1">
      <alignment horizontal="center"/>
    </xf>
    <xf numFmtId="14" fontId="14" fillId="0" borderId="11" xfId="0" applyNumberFormat="1" applyFont="1" applyBorder="1" applyAlignment="1">
      <alignment horizontal="center"/>
    </xf>
    <xf numFmtId="14" fontId="14" fillId="0" borderId="12" xfId="0" applyNumberFormat="1" applyFont="1" applyBorder="1" applyAlignment="1">
      <alignment horizontal="center"/>
    </xf>
    <xf numFmtId="14" fontId="14" fillId="0" borderId="5" xfId="0" applyNumberFormat="1" applyFont="1" applyBorder="1" applyAlignment="1">
      <alignment horizontal="center"/>
    </xf>
    <xf numFmtId="3" fontId="45" fillId="0" borderId="11" xfId="0" applyNumberFormat="1" applyFont="1" applyBorder="1" applyAlignment="1">
      <alignment horizontal="center"/>
    </xf>
    <xf numFmtId="3" fontId="45" fillId="0" borderId="12" xfId="0" applyNumberFormat="1" applyFont="1" applyBorder="1" applyAlignment="1">
      <alignment horizontal="center"/>
    </xf>
    <xf numFmtId="3" fontId="45" fillId="0" borderId="5" xfId="0" applyNumberFormat="1" applyFont="1" applyBorder="1" applyAlignment="1">
      <alignment horizontal="center"/>
    </xf>
    <xf numFmtId="0" fontId="14" fillId="0" borderId="0" xfId="1" applyFont="1" applyBorder="1" applyAlignment="1">
      <alignment horizontal="center"/>
    </xf>
    <xf numFmtId="0" fontId="16" fillId="0" borderId="10" xfId="1" applyFont="1" applyBorder="1" applyAlignment="1">
      <alignment horizontal="center"/>
    </xf>
    <xf numFmtId="0" fontId="16" fillId="0" borderId="8" xfId="1" applyFont="1" applyBorder="1" applyAlignment="1">
      <alignment horizontal="center"/>
    </xf>
    <xf numFmtId="0" fontId="16" fillId="0" borderId="9" xfId="1" applyFont="1" applyBorder="1" applyAlignment="1">
      <alignment horizontal="center"/>
    </xf>
    <xf numFmtId="0" fontId="14" fillId="0" borderId="0" xfId="1" applyFont="1" applyFill="1" applyBorder="1" applyAlignment="1">
      <alignment horizontal="center"/>
    </xf>
    <xf numFmtId="3" fontId="14" fillId="0" borderId="12" xfId="1" applyNumberFormat="1" applyFont="1" applyBorder="1" applyAlignment="1">
      <alignment horizontal="center"/>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4" fillId="0" borderId="0" xfId="1" applyNumberFormat="1" applyFont="1" applyBorder="1" applyAlignment="1">
      <alignment horizontal="center"/>
    </xf>
    <xf numFmtId="3" fontId="14" fillId="0" borderId="14" xfId="1" applyNumberFormat="1" applyFont="1" applyFill="1" applyBorder="1" applyAlignment="1">
      <alignment horizontal="center"/>
    </xf>
    <xf numFmtId="3" fontId="14" fillId="0" borderId="0" xfId="1" applyNumberFormat="1" applyFont="1" applyFill="1" applyBorder="1" applyAlignment="1">
      <alignment horizontal="center"/>
    </xf>
    <xf numFmtId="3" fontId="16" fillId="0" borderId="9" xfId="1" applyNumberFormat="1" applyFont="1" applyBorder="1" applyAlignment="1">
      <alignment horizontal="center"/>
    </xf>
    <xf numFmtId="0" fontId="45" fillId="0" borderId="11" xfId="0" applyFont="1" applyBorder="1" applyAlignment="1" applyProtection="1">
      <alignment horizontal="center"/>
      <protection locked="0"/>
    </xf>
    <xf numFmtId="0" fontId="45" fillId="0" borderId="12" xfId="0" applyFont="1" applyBorder="1" applyAlignment="1" applyProtection="1">
      <alignment horizontal="center"/>
      <protection locked="0"/>
    </xf>
    <xf numFmtId="0" fontId="45" fillId="0" borderId="5" xfId="0" applyFont="1" applyBorder="1" applyAlignment="1" applyProtection="1">
      <alignment horizontal="center"/>
      <protection locked="0"/>
    </xf>
    <xf numFmtId="0" fontId="45" fillId="0" borderId="11" xfId="0" applyFont="1" applyFill="1" applyBorder="1" applyAlignment="1" applyProtection="1">
      <alignment horizontal="center"/>
      <protection locked="0"/>
    </xf>
    <xf numFmtId="0" fontId="45" fillId="0" borderId="12" xfId="0" applyFont="1" applyFill="1" applyBorder="1" applyAlignment="1" applyProtection="1">
      <alignment horizontal="center"/>
      <protection locked="0"/>
    </xf>
    <xf numFmtId="0" fontId="45" fillId="0" borderId="5" xfId="0" applyFont="1" applyFill="1" applyBorder="1" applyAlignment="1" applyProtection="1">
      <alignment horizontal="center"/>
      <protection locked="0"/>
    </xf>
    <xf numFmtId="0" fontId="45" fillId="0" borderId="1" xfId="0" applyFont="1" applyFill="1" applyBorder="1" applyAlignment="1" applyProtection="1">
      <alignment horizontal="center"/>
      <protection locked="0"/>
    </xf>
    <xf numFmtId="0" fontId="45" fillId="0" borderId="14" xfId="0" applyFont="1" applyFill="1" applyBorder="1" applyAlignment="1" applyProtection="1">
      <alignment horizontal="center"/>
      <protection locked="0"/>
    </xf>
    <xf numFmtId="0" fontId="45" fillId="0" borderId="15" xfId="0" applyFont="1" applyFill="1" applyBorder="1" applyAlignment="1" applyProtection="1">
      <alignment horizontal="center"/>
      <protection locked="0"/>
    </xf>
    <xf numFmtId="0" fontId="45" fillId="0" borderId="1" xfId="0" applyFont="1" applyBorder="1" applyAlignment="1" applyProtection="1">
      <alignment horizontal="center"/>
      <protection locked="0"/>
    </xf>
    <xf numFmtId="0" fontId="45" fillId="0" borderId="14" xfId="0" applyFont="1" applyBorder="1" applyAlignment="1" applyProtection="1">
      <alignment horizontal="center"/>
      <protection locked="0"/>
    </xf>
    <xf numFmtId="0" fontId="45" fillId="0" borderId="15" xfId="0" applyFont="1" applyBorder="1" applyAlignment="1" applyProtection="1">
      <alignment horizontal="center"/>
      <protection locked="0"/>
    </xf>
    <xf numFmtId="0" fontId="45" fillId="4" borderId="0" xfId="0" applyFont="1" applyFill="1" applyAlignment="1" applyProtection="1">
      <alignment horizontal="center"/>
      <protection locked="0"/>
    </xf>
    <xf numFmtId="0" fontId="45" fillId="4" borderId="0" xfId="7" applyFont="1" applyFill="1" applyAlignment="1" applyProtection="1">
      <alignment horizontal="center"/>
      <protection locked="0"/>
    </xf>
    <xf numFmtId="0" fontId="45" fillId="0" borderId="11" xfId="7" applyFont="1" applyFill="1" applyBorder="1" applyAlignment="1" applyProtection="1">
      <alignment horizontal="center"/>
      <protection locked="0"/>
    </xf>
    <xf numFmtId="0" fontId="45" fillId="0" borderId="12" xfId="7" applyFont="1" applyFill="1" applyBorder="1" applyAlignment="1" applyProtection="1">
      <alignment horizontal="center"/>
      <protection locked="0"/>
    </xf>
    <xf numFmtId="0" fontId="45" fillId="0" borderId="5" xfId="7" applyFont="1" applyFill="1" applyBorder="1" applyAlignment="1" applyProtection="1">
      <alignment horizontal="center"/>
      <protection locked="0"/>
    </xf>
    <xf numFmtId="0" fontId="45" fillId="0" borderId="11" xfId="7" applyFont="1" applyBorder="1" applyAlignment="1" applyProtection="1">
      <alignment horizontal="center"/>
      <protection locked="0"/>
    </xf>
    <xf numFmtId="0" fontId="45" fillId="0" borderId="12" xfId="7" applyFont="1" applyBorder="1" applyAlignment="1" applyProtection="1">
      <alignment horizontal="center"/>
      <protection locked="0"/>
    </xf>
    <xf numFmtId="0" fontId="45" fillId="0" borderId="5" xfId="7" applyFont="1" applyBorder="1" applyAlignment="1" applyProtection="1">
      <alignment horizontal="center"/>
      <protection locked="0"/>
    </xf>
    <xf numFmtId="0" fontId="45" fillId="0" borderId="1" xfId="7" applyFont="1" applyBorder="1" applyAlignment="1" applyProtection="1">
      <alignment horizontal="center"/>
      <protection locked="0"/>
    </xf>
    <xf numFmtId="0" fontId="45" fillId="0" borderId="14" xfId="7" applyFont="1" applyBorder="1" applyAlignment="1" applyProtection="1">
      <alignment horizontal="center"/>
      <protection locked="0"/>
    </xf>
    <xf numFmtId="0" fontId="45" fillId="0" borderId="15" xfId="7" applyFont="1" applyBorder="1" applyAlignment="1" applyProtection="1">
      <alignment horizontal="center"/>
      <protection locked="0"/>
    </xf>
    <xf numFmtId="0" fontId="45" fillId="0" borderId="1" xfId="7" applyFont="1" applyFill="1" applyBorder="1" applyAlignment="1" applyProtection="1">
      <alignment horizontal="center"/>
      <protection locked="0"/>
    </xf>
    <xf numFmtId="0" fontId="45" fillId="0" borderId="14" xfId="7" applyFont="1" applyFill="1" applyBorder="1" applyAlignment="1" applyProtection="1">
      <alignment horizontal="center"/>
      <protection locked="0"/>
    </xf>
    <xf numFmtId="0" fontId="45" fillId="0" borderId="15" xfId="7" applyFont="1" applyFill="1" applyBorder="1" applyAlignment="1" applyProtection="1">
      <alignment horizontal="center"/>
      <protection locked="0"/>
    </xf>
    <xf numFmtId="0" fontId="68" fillId="0" borderId="0" xfId="0" applyFont="1" applyAlignment="1">
      <alignment horizontal="left" vertical="top" wrapText="1" readingOrder="1"/>
    </xf>
  </cellXfs>
  <cellStyles count="854">
    <cellStyle name="20 % – uthevingsfarge 2" xfId="844" builtinId="34"/>
    <cellStyle name="40% - uthevingsfarge 4 2" xfId="38" xr:uid="{00000000-0005-0000-0000-000001000000}"/>
    <cellStyle name="40% - uthevingsfarge 4 2 10" xfId="771" xr:uid="{00000000-0005-0000-0000-000002000000}"/>
    <cellStyle name="40% - uthevingsfarge 4 2 2" xfId="80" xr:uid="{00000000-0005-0000-0000-000003000000}"/>
    <cellStyle name="40% - uthevingsfarge 4 2 2 2" xfId="173" xr:uid="{00000000-0005-0000-0000-000004000000}"/>
    <cellStyle name="40% - uthevingsfarge 4 2 2 3" xfId="263" xr:uid="{00000000-0005-0000-0000-000005000000}"/>
    <cellStyle name="40% - uthevingsfarge 4 2 2 4" xfId="353" xr:uid="{00000000-0005-0000-0000-000006000000}"/>
    <cellStyle name="40% - uthevingsfarge 4 2 2 5" xfId="443" xr:uid="{00000000-0005-0000-0000-000007000000}"/>
    <cellStyle name="40% - uthevingsfarge 4 2 2 6" xfId="533" xr:uid="{00000000-0005-0000-0000-000008000000}"/>
    <cellStyle name="40% - uthevingsfarge 4 2 2 7" xfId="623" xr:uid="{00000000-0005-0000-0000-000009000000}"/>
    <cellStyle name="40% - uthevingsfarge 4 2 2 8" xfId="713" xr:uid="{00000000-0005-0000-0000-00000A000000}"/>
    <cellStyle name="40% - uthevingsfarge 4 2 2 9" xfId="810" xr:uid="{00000000-0005-0000-0000-00000B000000}"/>
    <cellStyle name="40% - uthevingsfarge 4 2 3" xfId="136" xr:uid="{00000000-0005-0000-0000-00000C000000}"/>
    <cellStyle name="40% - uthevingsfarge 4 2 4" xfId="226" xr:uid="{00000000-0005-0000-0000-00000D000000}"/>
    <cellStyle name="40% - uthevingsfarge 4 2 5" xfId="316" xr:uid="{00000000-0005-0000-0000-00000E000000}"/>
    <cellStyle name="40% - uthevingsfarge 4 2 6" xfId="406" xr:uid="{00000000-0005-0000-0000-00000F000000}"/>
    <cellStyle name="40% - uthevingsfarge 4 2 7" xfId="496" xr:uid="{00000000-0005-0000-0000-000010000000}"/>
    <cellStyle name="40% - uthevingsfarge 4 2 8" xfId="586" xr:uid="{00000000-0005-0000-0000-000011000000}"/>
    <cellStyle name="40% - uthevingsfarge 4 2 9" xfId="676" xr:uid="{00000000-0005-0000-0000-000012000000}"/>
    <cellStyle name="Hyperkobling" xfId="3" builtinId="8"/>
    <cellStyle name="Komma" xfId="2" builtinId="3"/>
    <cellStyle name="Komma 2" xfId="847" xr:uid="{00000000-0005-0000-0000-000015000000}"/>
    <cellStyle name="Komma 2 3" xfId="850" xr:uid="{0D7BB789-C0BC-4F58-B366-11FD845789ED}"/>
    <cellStyle name="Merknad 2" xfId="94" xr:uid="{00000000-0005-0000-0000-000016000000}"/>
    <cellStyle name="Normal" xfId="0" builtinId="0"/>
    <cellStyle name="Normal 10" xfId="31" xr:uid="{00000000-0005-0000-0000-000018000000}"/>
    <cellStyle name="Normal 10 10" xfId="670" xr:uid="{00000000-0005-0000-0000-000019000000}"/>
    <cellStyle name="Normal 10 11" xfId="765" xr:uid="{00000000-0005-0000-0000-00001A000000}"/>
    <cellStyle name="Normal 10 2" xfId="53" xr:uid="{00000000-0005-0000-0000-00001B000000}"/>
    <cellStyle name="Normal 10 2 10" xfId="785" xr:uid="{00000000-0005-0000-0000-00001C000000}"/>
    <cellStyle name="Normal 10 2 2" xfId="93" xr:uid="{00000000-0005-0000-0000-00001D000000}"/>
    <cellStyle name="Normal 10 2 2 10" xfId="823" xr:uid="{00000000-0005-0000-0000-00001E000000}"/>
    <cellStyle name="Normal 10 2 2 2" xfId="6" xr:uid="{00000000-0005-0000-0000-00001F000000}"/>
    <cellStyle name="Normal 10 2 2 2 2" xfId="116" xr:uid="{00000000-0005-0000-0000-000020000000}"/>
    <cellStyle name="Normal 10 2 2 3" xfId="186" xr:uid="{00000000-0005-0000-0000-000021000000}"/>
    <cellStyle name="Normal 10 2 2 4" xfId="276" xr:uid="{00000000-0005-0000-0000-000022000000}"/>
    <cellStyle name="Normal 10 2 2 5" xfId="366" xr:uid="{00000000-0005-0000-0000-000023000000}"/>
    <cellStyle name="Normal 10 2 2 6" xfId="456" xr:uid="{00000000-0005-0000-0000-000024000000}"/>
    <cellStyle name="Normal 10 2 2 7" xfId="546" xr:uid="{00000000-0005-0000-0000-000025000000}"/>
    <cellStyle name="Normal 10 2 2 8" xfId="636" xr:uid="{00000000-0005-0000-0000-000026000000}"/>
    <cellStyle name="Normal 10 2 2 9" xfId="726" xr:uid="{00000000-0005-0000-0000-000027000000}"/>
    <cellStyle name="Normal 10 2 3" xfId="149" xr:uid="{00000000-0005-0000-0000-000028000000}"/>
    <cellStyle name="Normal 10 2 4" xfId="239" xr:uid="{00000000-0005-0000-0000-000029000000}"/>
    <cellStyle name="Normal 10 2 5" xfId="329" xr:uid="{00000000-0005-0000-0000-00002A000000}"/>
    <cellStyle name="Normal 10 2 6" xfId="419" xr:uid="{00000000-0005-0000-0000-00002B000000}"/>
    <cellStyle name="Normal 10 2 7" xfId="509" xr:uid="{00000000-0005-0000-0000-00002C000000}"/>
    <cellStyle name="Normal 10 2 8" xfId="599" xr:uid="{00000000-0005-0000-0000-00002D000000}"/>
    <cellStyle name="Normal 10 2 9" xfId="689" xr:uid="{00000000-0005-0000-0000-00002E000000}"/>
    <cellStyle name="Normal 10 3" xfId="74" xr:uid="{00000000-0005-0000-0000-00002F000000}"/>
    <cellStyle name="Normal 10 3 2" xfId="167" xr:uid="{00000000-0005-0000-0000-000030000000}"/>
    <cellStyle name="Normal 10 3 3" xfId="257" xr:uid="{00000000-0005-0000-0000-000031000000}"/>
    <cellStyle name="Normal 10 3 4" xfId="347" xr:uid="{00000000-0005-0000-0000-000032000000}"/>
    <cellStyle name="Normal 10 3 5" xfId="437" xr:uid="{00000000-0005-0000-0000-000033000000}"/>
    <cellStyle name="Normal 10 3 6" xfId="527" xr:uid="{00000000-0005-0000-0000-000034000000}"/>
    <cellStyle name="Normal 10 3 7" xfId="617" xr:uid="{00000000-0005-0000-0000-000035000000}"/>
    <cellStyle name="Normal 10 3 8" xfId="707" xr:uid="{00000000-0005-0000-0000-000036000000}"/>
    <cellStyle name="Normal 10 3 9" xfId="804" xr:uid="{00000000-0005-0000-0000-000037000000}"/>
    <cellStyle name="Normal 10 4" xfId="130" xr:uid="{00000000-0005-0000-0000-000038000000}"/>
    <cellStyle name="Normal 10 5" xfId="220" xr:uid="{00000000-0005-0000-0000-000039000000}"/>
    <cellStyle name="Normal 10 6" xfId="310" xr:uid="{00000000-0005-0000-0000-00003A000000}"/>
    <cellStyle name="Normal 10 7" xfId="400" xr:uid="{00000000-0005-0000-0000-00003B000000}"/>
    <cellStyle name="Normal 10 8" xfId="490" xr:uid="{00000000-0005-0000-0000-00003C000000}"/>
    <cellStyle name="Normal 10 9" xfId="580" xr:uid="{00000000-0005-0000-0000-00003D000000}"/>
    <cellStyle name="Normal 11" xfId="35" xr:uid="{00000000-0005-0000-0000-00003E000000}"/>
    <cellStyle name="Normal 11 10" xfId="673" xr:uid="{00000000-0005-0000-0000-00003F000000}"/>
    <cellStyle name="Normal 11 11" xfId="768" xr:uid="{00000000-0005-0000-0000-000040000000}"/>
    <cellStyle name="Normal 11 2" xfId="57" xr:uid="{00000000-0005-0000-0000-000041000000}"/>
    <cellStyle name="Normal 11 2 10" xfId="788" xr:uid="{00000000-0005-0000-0000-000042000000}"/>
    <cellStyle name="Normal 11 2 2" xfId="97" xr:uid="{00000000-0005-0000-0000-000043000000}"/>
    <cellStyle name="Normal 11 2 2 2" xfId="189" xr:uid="{00000000-0005-0000-0000-000044000000}"/>
    <cellStyle name="Normal 11 2 2 3" xfId="279" xr:uid="{00000000-0005-0000-0000-000045000000}"/>
    <cellStyle name="Normal 11 2 2 4" xfId="369" xr:uid="{00000000-0005-0000-0000-000046000000}"/>
    <cellStyle name="Normal 11 2 2 5" xfId="459" xr:uid="{00000000-0005-0000-0000-000047000000}"/>
    <cellStyle name="Normal 11 2 2 6" xfId="549" xr:uid="{00000000-0005-0000-0000-000048000000}"/>
    <cellStyle name="Normal 11 2 2 7" xfId="639" xr:uid="{00000000-0005-0000-0000-000049000000}"/>
    <cellStyle name="Normal 11 2 2 8" xfId="729" xr:uid="{00000000-0005-0000-0000-00004A000000}"/>
    <cellStyle name="Normal 11 2 2 9" xfId="826" xr:uid="{00000000-0005-0000-0000-00004B000000}"/>
    <cellStyle name="Normal 11 2 3" xfId="152" xr:uid="{00000000-0005-0000-0000-00004C000000}"/>
    <cellStyle name="Normal 11 2 4" xfId="242" xr:uid="{00000000-0005-0000-0000-00004D000000}"/>
    <cellStyle name="Normal 11 2 5" xfId="332" xr:uid="{00000000-0005-0000-0000-00004E000000}"/>
    <cellStyle name="Normal 11 2 6" xfId="422" xr:uid="{00000000-0005-0000-0000-00004F000000}"/>
    <cellStyle name="Normal 11 2 7" xfId="512" xr:uid="{00000000-0005-0000-0000-000050000000}"/>
    <cellStyle name="Normal 11 2 8" xfId="602" xr:uid="{00000000-0005-0000-0000-000051000000}"/>
    <cellStyle name="Normal 11 2 9" xfId="692" xr:uid="{00000000-0005-0000-0000-000052000000}"/>
    <cellStyle name="Normal 11 3" xfId="77" xr:uid="{00000000-0005-0000-0000-000053000000}"/>
    <cellStyle name="Normal 11 3 2" xfId="170" xr:uid="{00000000-0005-0000-0000-000054000000}"/>
    <cellStyle name="Normal 11 3 3" xfId="260" xr:uid="{00000000-0005-0000-0000-000055000000}"/>
    <cellStyle name="Normal 11 3 4" xfId="350" xr:uid="{00000000-0005-0000-0000-000056000000}"/>
    <cellStyle name="Normal 11 3 5" xfId="440" xr:uid="{00000000-0005-0000-0000-000057000000}"/>
    <cellStyle name="Normal 11 3 6" xfId="530" xr:uid="{00000000-0005-0000-0000-000058000000}"/>
    <cellStyle name="Normal 11 3 7" xfId="620" xr:uid="{00000000-0005-0000-0000-000059000000}"/>
    <cellStyle name="Normal 11 3 8" xfId="710" xr:uid="{00000000-0005-0000-0000-00005A000000}"/>
    <cellStyle name="Normal 11 3 9" xfId="807" xr:uid="{00000000-0005-0000-0000-00005B000000}"/>
    <cellStyle name="Normal 11 4" xfId="133" xr:uid="{00000000-0005-0000-0000-00005C000000}"/>
    <cellStyle name="Normal 11 5" xfId="223" xr:uid="{00000000-0005-0000-0000-00005D000000}"/>
    <cellStyle name="Normal 11 6" xfId="313" xr:uid="{00000000-0005-0000-0000-00005E000000}"/>
    <cellStyle name="Normal 11 7" xfId="403" xr:uid="{00000000-0005-0000-0000-00005F000000}"/>
    <cellStyle name="Normal 11 8" xfId="493" xr:uid="{00000000-0005-0000-0000-000060000000}"/>
    <cellStyle name="Normal 11 9" xfId="583" xr:uid="{00000000-0005-0000-0000-000061000000}"/>
    <cellStyle name="Normal 12" xfId="100" xr:uid="{00000000-0005-0000-0000-000062000000}"/>
    <cellStyle name="Normal 12 2" xfId="192" xr:uid="{00000000-0005-0000-0000-000063000000}"/>
    <cellStyle name="Normal 12 3" xfId="282" xr:uid="{00000000-0005-0000-0000-000064000000}"/>
    <cellStyle name="Normal 12 4" xfId="372" xr:uid="{00000000-0005-0000-0000-000065000000}"/>
    <cellStyle name="Normal 12 5" xfId="462" xr:uid="{00000000-0005-0000-0000-000066000000}"/>
    <cellStyle name="Normal 12 6" xfId="552" xr:uid="{00000000-0005-0000-0000-000067000000}"/>
    <cellStyle name="Normal 12 7" xfId="642" xr:uid="{00000000-0005-0000-0000-000068000000}"/>
    <cellStyle name="Normal 12 8" xfId="732" xr:uid="{00000000-0005-0000-0000-000069000000}"/>
    <cellStyle name="Normal 12 9" xfId="829" xr:uid="{00000000-0005-0000-0000-00006A000000}"/>
    <cellStyle name="Normal 13" xfId="103" xr:uid="{00000000-0005-0000-0000-00006B000000}"/>
    <cellStyle name="Normal 13 2" xfId="195" xr:uid="{00000000-0005-0000-0000-00006C000000}"/>
    <cellStyle name="Normal 13 3" xfId="285" xr:uid="{00000000-0005-0000-0000-00006D000000}"/>
    <cellStyle name="Normal 13 4" xfId="375" xr:uid="{00000000-0005-0000-0000-00006E000000}"/>
    <cellStyle name="Normal 13 5" xfId="465" xr:uid="{00000000-0005-0000-0000-00006F000000}"/>
    <cellStyle name="Normal 13 6" xfId="555" xr:uid="{00000000-0005-0000-0000-000070000000}"/>
    <cellStyle name="Normal 13 7" xfId="645" xr:uid="{00000000-0005-0000-0000-000071000000}"/>
    <cellStyle name="Normal 13 8" xfId="735" xr:uid="{00000000-0005-0000-0000-000072000000}"/>
    <cellStyle name="Normal 13 9" xfId="832" xr:uid="{00000000-0005-0000-0000-000073000000}"/>
    <cellStyle name="Normal 14" xfId="106" xr:uid="{00000000-0005-0000-0000-000074000000}"/>
    <cellStyle name="Normal 14 2" xfId="198" xr:uid="{00000000-0005-0000-0000-000075000000}"/>
    <cellStyle name="Normal 14 2 2 2" xfId="853" xr:uid="{67885F2A-FCA6-4EAC-8F43-CE298F7F057D}"/>
    <cellStyle name="Normal 14 3" xfId="288" xr:uid="{00000000-0005-0000-0000-000076000000}"/>
    <cellStyle name="Normal 14 4" xfId="378" xr:uid="{00000000-0005-0000-0000-000077000000}"/>
    <cellStyle name="Normal 14 5" xfId="468" xr:uid="{00000000-0005-0000-0000-000078000000}"/>
    <cellStyle name="Normal 14 6" xfId="558" xr:uid="{00000000-0005-0000-0000-000079000000}"/>
    <cellStyle name="Normal 14 7" xfId="648" xr:uid="{00000000-0005-0000-0000-00007A000000}"/>
    <cellStyle name="Normal 14 8" xfId="738" xr:uid="{00000000-0005-0000-0000-00007B000000}"/>
    <cellStyle name="Normal 14 9" xfId="835" xr:uid="{00000000-0005-0000-0000-00007C000000}"/>
    <cellStyle name="Normal 15" xfId="109" xr:uid="{00000000-0005-0000-0000-00007D000000}"/>
    <cellStyle name="Normal 15 2" xfId="201" xr:uid="{00000000-0005-0000-0000-00007E000000}"/>
    <cellStyle name="Normal 15 3" xfId="291" xr:uid="{00000000-0005-0000-0000-00007F000000}"/>
    <cellStyle name="Normal 15 4" xfId="381" xr:uid="{00000000-0005-0000-0000-000080000000}"/>
    <cellStyle name="Normal 15 5" xfId="471" xr:uid="{00000000-0005-0000-0000-000081000000}"/>
    <cellStyle name="Normal 15 6" xfId="561" xr:uid="{00000000-0005-0000-0000-000082000000}"/>
    <cellStyle name="Normal 15 7" xfId="651" xr:uid="{00000000-0005-0000-0000-000083000000}"/>
    <cellStyle name="Normal 15 8" xfId="741" xr:uid="{00000000-0005-0000-0000-000084000000}"/>
    <cellStyle name="Normal 15 9" xfId="838" xr:uid="{00000000-0005-0000-0000-000085000000}"/>
    <cellStyle name="Normal 16" xfId="112" xr:uid="{00000000-0005-0000-0000-000086000000}"/>
    <cellStyle name="Normal 16 2" xfId="204" xr:uid="{00000000-0005-0000-0000-000087000000}"/>
    <cellStyle name="Normal 16 3" xfId="294" xr:uid="{00000000-0005-0000-0000-000088000000}"/>
    <cellStyle name="Normal 16 4" xfId="384" xr:uid="{00000000-0005-0000-0000-000089000000}"/>
    <cellStyle name="Normal 16 5" xfId="474" xr:uid="{00000000-0005-0000-0000-00008A000000}"/>
    <cellStyle name="Normal 16 6" xfId="564" xr:uid="{00000000-0005-0000-0000-00008B000000}"/>
    <cellStyle name="Normal 16 7" xfId="654" xr:uid="{00000000-0005-0000-0000-00008C000000}"/>
    <cellStyle name="Normal 16 8" xfId="744" xr:uid="{00000000-0005-0000-0000-00008D000000}"/>
    <cellStyle name="Normal 16 9" xfId="841" xr:uid="{00000000-0005-0000-0000-00008E000000}"/>
    <cellStyle name="Normal 17" xfId="8" xr:uid="{00000000-0005-0000-0000-00008F000000}"/>
    <cellStyle name="Normal 18" xfId="10" xr:uid="{00000000-0005-0000-0000-000090000000}"/>
    <cellStyle name="Normal 19" xfId="117" xr:uid="{00000000-0005-0000-0000-000091000000}"/>
    <cellStyle name="Normal 2" xfId="1" xr:uid="{00000000-0005-0000-0000-000092000000}"/>
    <cellStyle name="Normal 2 2" xfId="7" xr:uid="{00000000-0005-0000-0000-000093000000}"/>
    <cellStyle name="Normal 2 2 2" xfId="852" xr:uid="{1C7488BD-D0A7-4BD6-89BE-682016A3202E}"/>
    <cellStyle name="Normal 2 3" xfId="20" xr:uid="{00000000-0005-0000-0000-000094000000}"/>
    <cellStyle name="Normal 2 4" xfId="39" xr:uid="{00000000-0005-0000-0000-000095000000}"/>
    <cellStyle name="Normal 2 5" xfId="60" xr:uid="{00000000-0005-0000-0000-000096000000}"/>
    <cellStyle name="Normal 20" xfId="207" xr:uid="{00000000-0005-0000-0000-000097000000}"/>
    <cellStyle name="Normal 21" xfId="297" xr:uid="{00000000-0005-0000-0000-000098000000}"/>
    <cellStyle name="Normal 22" xfId="387" xr:uid="{00000000-0005-0000-0000-000099000000}"/>
    <cellStyle name="Normal 23" xfId="477" xr:uid="{00000000-0005-0000-0000-00009A000000}"/>
    <cellStyle name="Normal 24" xfId="567" xr:uid="{00000000-0005-0000-0000-00009B000000}"/>
    <cellStyle name="Normal 25" xfId="657" xr:uid="{00000000-0005-0000-0000-00009C000000}"/>
    <cellStyle name="Normal 26" xfId="747" xr:uid="{00000000-0005-0000-0000-00009D000000}"/>
    <cellStyle name="Normal 27" xfId="851" xr:uid="{ED50C316-25E5-4ED7-8355-A3104735F1B2}"/>
    <cellStyle name="Normal 3" xfId="4" xr:uid="{00000000-0005-0000-0000-00009E000000}"/>
    <cellStyle name="Normal 3 10" xfId="104" xr:uid="{00000000-0005-0000-0000-00009F000000}"/>
    <cellStyle name="Normal 3 10 2" xfId="196" xr:uid="{00000000-0005-0000-0000-0000A0000000}"/>
    <cellStyle name="Normal 3 10 3" xfId="286" xr:uid="{00000000-0005-0000-0000-0000A1000000}"/>
    <cellStyle name="Normal 3 10 4" xfId="376" xr:uid="{00000000-0005-0000-0000-0000A2000000}"/>
    <cellStyle name="Normal 3 10 5" xfId="466" xr:uid="{00000000-0005-0000-0000-0000A3000000}"/>
    <cellStyle name="Normal 3 10 6" xfId="556" xr:uid="{00000000-0005-0000-0000-0000A4000000}"/>
    <cellStyle name="Normal 3 10 7" xfId="646" xr:uid="{00000000-0005-0000-0000-0000A5000000}"/>
    <cellStyle name="Normal 3 10 8" xfId="736" xr:uid="{00000000-0005-0000-0000-0000A6000000}"/>
    <cellStyle name="Normal 3 10 9" xfId="833" xr:uid="{00000000-0005-0000-0000-0000A7000000}"/>
    <cellStyle name="Normal 3 11" xfId="107" xr:uid="{00000000-0005-0000-0000-0000A8000000}"/>
    <cellStyle name="Normal 3 11 2" xfId="199" xr:uid="{00000000-0005-0000-0000-0000A9000000}"/>
    <cellStyle name="Normal 3 11 3" xfId="289" xr:uid="{00000000-0005-0000-0000-0000AA000000}"/>
    <cellStyle name="Normal 3 11 4" xfId="379" xr:uid="{00000000-0005-0000-0000-0000AB000000}"/>
    <cellStyle name="Normal 3 11 5" xfId="469" xr:uid="{00000000-0005-0000-0000-0000AC000000}"/>
    <cellStyle name="Normal 3 11 6" xfId="559" xr:uid="{00000000-0005-0000-0000-0000AD000000}"/>
    <cellStyle name="Normal 3 11 7" xfId="649" xr:uid="{00000000-0005-0000-0000-0000AE000000}"/>
    <cellStyle name="Normal 3 11 8" xfId="739" xr:uid="{00000000-0005-0000-0000-0000AF000000}"/>
    <cellStyle name="Normal 3 11 9" xfId="836" xr:uid="{00000000-0005-0000-0000-0000B0000000}"/>
    <cellStyle name="Normal 3 12" xfId="110" xr:uid="{00000000-0005-0000-0000-0000B1000000}"/>
    <cellStyle name="Normal 3 12 2" xfId="202" xr:uid="{00000000-0005-0000-0000-0000B2000000}"/>
    <cellStyle name="Normal 3 12 3" xfId="292" xr:uid="{00000000-0005-0000-0000-0000B3000000}"/>
    <cellStyle name="Normal 3 12 4" xfId="382" xr:uid="{00000000-0005-0000-0000-0000B4000000}"/>
    <cellStyle name="Normal 3 12 5" xfId="472" xr:uid="{00000000-0005-0000-0000-0000B5000000}"/>
    <cellStyle name="Normal 3 12 6" xfId="562" xr:uid="{00000000-0005-0000-0000-0000B6000000}"/>
    <cellStyle name="Normal 3 12 7" xfId="652" xr:uid="{00000000-0005-0000-0000-0000B7000000}"/>
    <cellStyle name="Normal 3 12 8" xfId="742" xr:uid="{00000000-0005-0000-0000-0000B8000000}"/>
    <cellStyle name="Normal 3 12 9" xfId="839" xr:uid="{00000000-0005-0000-0000-0000B9000000}"/>
    <cellStyle name="Normal 3 13" xfId="113" xr:uid="{00000000-0005-0000-0000-0000BA000000}"/>
    <cellStyle name="Normal 3 13 2" xfId="205" xr:uid="{00000000-0005-0000-0000-0000BB000000}"/>
    <cellStyle name="Normal 3 13 3" xfId="295" xr:uid="{00000000-0005-0000-0000-0000BC000000}"/>
    <cellStyle name="Normal 3 13 4" xfId="385" xr:uid="{00000000-0005-0000-0000-0000BD000000}"/>
    <cellStyle name="Normal 3 13 5" xfId="475" xr:uid="{00000000-0005-0000-0000-0000BE000000}"/>
    <cellStyle name="Normal 3 13 6" xfId="565" xr:uid="{00000000-0005-0000-0000-0000BF000000}"/>
    <cellStyle name="Normal 3 13 7" xfId="655" xr:uid="{00000000-0005-0000-0000-0000C0000000}"/>
    <cellStyle name="Normal 3 13 8" xfId="745" xr:uid="{00000000-0005-0000-0000-0000C1000000}"/>
    <cellStyle name="Normal 3 13 9" xfId="842" xr:uid="{00000000-0005-0000-0000-0000C2000000}"/>
    <cellStyle name="Normal 3 14" xfId="11" xr:uid="{00000000-0005-0000-0000-0000C3000000}"/>
    <cellStyle name="Normal 3 15" xfId="118" xr:uid="{00000000-0005-0000-0000-0000C4000000}"/>
    <cellStyle name="Normal 3 16" xfId="208" xr:uid="{00000000-0005-0000-0000-0000C5000000}"/>
    <cellStyle name="Normal 3 17" xfId="298" xr:uid="{00000000-0005-0000-0000-0000C6000000}"/>
    <cellStyle name="Normal 3 18" xfId="388" xr:uid="{00000000-0005-0000-0000-0000C7000000}"/>
    <cellStyle name="Normal 3 19" xfId="478" xr:uid="{00000000-0005-0000-0000-0000C8000000}"/>
    <cellStyle name="Normal 3 2" xfId="23" xr:uid="{00000000-0005-0000-0000-0000C9000000}"/>
    <cellStyle name="Normal 3 2 10" xfId="662" xr:uid="{00000000-0005-0000-0000-0000CA000000}"/>
    <cellStyle name="Normal 3 2 11" xfId="757" xr:uid="{00000000-0005-0000-0000-0000CB000000}"/>
    <cellStyle name="Normal 3 2 2" xfId="45" xr:uid="{00000000-0005-0000-0000-0000CC000000}"/>
    <cellStyle name="Normal 3 2 2 10" xfId="777" xr:uid="{00000000-0005-0000-0000-0000CD000000}"/>
    <cellStyle name="Normal 3 2 2 2" xfId="85" xr:uid="{00000000-0005-0000-0000-0000CE000000}"/>
    <cellStyle name="Normal 3 2 2 2 2" xfId="178" xr:uid="{00000000-0005-0000-0000-0000CF000000}"/>
    <cellStyle name="Normal 3 2 2 2 3" xfId="268" xr:uid="{00000000-0005-0000-0000-0000D0000000}"/>
    <cellStyle name="Normal 3 2 2 2 4" xfId="358" xr:uid="{00000000-0005-0000-0000-0000D1000000}"/>
    <cellStyle name="Normal 3 2 2 2 5" xfId="448" xr:uid="{00000000-0005-0000-0000-0000D2000000}"/>
    <cellStyle name="Normal 3 2 2 2 6" xfId="538" xr:uid="{00000000-0005-0000-0000-0000D3000000}"/>
    <cellStyle name="Normal 3 2 2 2 7" xfId="628" xr:uid="{00000000-0005-0000-0000-0000D4000000}"/>
    <cellStyle name="Normal 3 2 2 2 8" xfId="718" xr:uid="{00000000-0005-0000-0000-0000D5000000}"/>
    <cellStyle name="Normal 3 2 2 2 9" xfId="815" xr:uid="{00000000-0005-0000-0000-0000D6000000}"/>
    <cellStyle name="Normal 3 2 2 3" xfId="141" xr:uid="{00000000-0005-0000-0000-0000D7000000}"/>
    <cellStyle name="Normal 3 2 2 4" xfId="231" xr:uid="{00000000-0005-0000-0000-0000D8000000}"/>
    <cellStyle name="Normal 3 2 2 5" xfId="321" xr:uid="{00000000-0005-0000-0000-0000D9000000}"/>
    <cellStyle name="Normal 3 2 2 6" xfId="411" xr:uid="{00000000-0005-0000-0000-0000DA000000}"/>
    <cellStyle name="Normal 3 2 2 7" xfId="501" xr:uid="{00000000-0005-0000-0000-0000DB000000}"/>
    <cellStyle name="Normal 3 2 2 8" xfId="591" xr:uid="{00000000-0005-0000-0000-0000DC000000}"/>
    <cellStyle name="Normal 3 2 2 9" xfId="681" xr:uid="{00000000-0005-0000-0000-0000DD000000}"/>
    <cellStyle name="Normal 3 2 3" xfId="66" xr:uid="{00000000-0005-0000-0000-0000DE000000}"/>
    <cellStyle name="Normal 3 2 3 2" xfId="159" xr:uid="{00000000-0005-0000-0000-0000DF000000}"/>
    <cellStyle name="Normal 3 2 3 3" xfId="249" xr:uid="{00000000-0005-0000-0000-0000E0000000}"/>
    <cellStyle name="Normal 3 2 3 4" xfId="339" xr:uid="{00000000-0005-0000-0000-0000E1000000}"/>
    <cellStyle name="Normal 3 2 3 5" xfId="429" xr:uid="{00000000-0005-0000-0000-0000E2000000}"/>
    <cellStyle name="Normal 3 2 3 6" xfId="519" xr:uid="{00000000-0005-0000-0000-0000E3000000}"/>
    <cellStyle name="Normal 3 2 3 7" xfId="609" xr:uid="{00000000-0005-0000-0000-0000E4000000}"/>
    <cellStyle name="Normal 3 2 3 8" xfId="699" xr:uid="{00000000-0005-0000-0000-0000E5000000}"/>
    <cellStyle name="Normal 3 2 3 9" xfId="796" xr:uid="{00000000-0005-0000-0000-0000E6000000}"/>
    <cellStyle name="Normal 3 2 4" xfId="122" xr:uid="{00000000-0005-0000-0000-0000E7000000}"/>
    <cellStyle name="Normal 3 2 5" xfId="212" xr:uid="{00000000-0005-0000-0000-0000E8000000}"/>
    <cellStyle name="Normal 3 2 6" xfId="302" xr:uid="{00000000-0005-0000-0000-0000E9000000}"/>
    <cellStyle name="Normal 3 2 7" xfId="392" xr:uid="{00000000-0005-0000-0000-0000EA000000}"/>
    <cellStyle name="Normal 3 2 8" xfId="482" xr:uid="{00000000-0005-0000-0000-0000EB000000}"/>
    <cellStyle name="Normal 3 2 9" xfId="572" xr:uid="{00000000-0005-0000-0000-0000EC000000}"/>
    <cellStyle name="Normal 3 20" xfId="568" xr:uid="{00000000-0005-0000-0000-0000ED000000}"/>
    <cellStyle name="Normal 3 21" xfId="658" xr:uid="{00000000-0005-0000-0000-0000EE000000}"/>
    <cellStyle name="Normal 3 22" xfId="748" xr:uid="{00000000-0005-0000-0000-0000EF000000}"/>
    <cellStyle name="Normal 3 3" xfId="26" xr:uid="{00000000-0005-0000-0000-0000F0000000}"/>
    <cellStyle name="Normal 3 3 10" xfId="665" xr:uid="{00000000-0005-0000-0000-0000F1000000}"/>
    <cellStyle name="Normal 3 3 11" xfId="760" xr:uid="{00000000-0005-0000-0000-0000F2000000}"/>
    <cellStyle name="Normal 3 3 2" xfId="48" xr:uid="{00000000-0005-0000-0000-0000F3000000}"/>
    <cellStyle name="Normal 3 3 2 10" xfId="780" xr:uid="{00000000-0005-0000-0000-0000F4000000}"/>
    <cellStyle name="Normal 3 3 2 2" xfId="88" xr:uid="{00000000-0005-0000-0000-0000F5000000}"/>
    <cellStyle name="Normal 3 3 2 2 2" xfId="181" xr:uid="{00000000-0005-0000-0000-0000F6000000}"/>
    <cellStyle name="Normal 3 3 2 2 3" xfId="271" xr:uid="{00000000-0005-0000-0000-0000F7000000}"/>
    <cellStyle name="Normal 3 3 2 2 4" xfId="361" xr:uid="{00000000-0005-0000-0000-0000F8000000}"/>
    <cellStyle name="Normal 3 3 2 2 5" xfId="451" xr:uid="{00000000-0005-0000-0000-0000F9000000}"/>
    <cellStyle name="Normal 3 3 2 2 6" xfId="541" xr:uid="{00000000-0005-0000-0000-0000FA000000}"/>
    <cellStyle name="Normal 3 3 2 2 7" xfId="631" xr:uid="{00000000-0005-0000-0000-0000FB000000}"/>
    <cellStyle name="Normal 3 3 2 2 8" xfId="721" xr:uid="{00000000-0005-0000-0000-0000FC000000}"/>
    <cellStyle name="Normal 3 3 2 2 9" xfId="818" xr:uid="{00000000-0005-0000-0000-0000FD000000}"/>
    <cellStyle name="Normal 3 3 2 3" xfId="144" xr:uid="{00000000-0005-0000-0000-0000FE000000}"/>
    <cellStyle name="Normal 3 3 2 4" xfId="234" xr:uid="{00000000-0005-0000-0000-0000FF000000}"/>
    <cellStyle name="Normal 3 3 2 5" xfId="324" xr:uid="{00000000-0005-0000-0000-000000010000}"/>
    <cellStyle name="Normal 3 3 2 6" xfId="414" xr:uid="{00000000-0005-0000-0000-000001010000}"/>
    <cellStyle name="Normal 3 3 2 7" xfId="504" xr:uid="{00000000-0005-0000-0000-000002010000}"/>
    <cellStyle name="Normal 3 3 2 8" xfId="594" xr:uid="{00000000-0005-0000-0000-000003010000}"/>
    <cellStyle name="Normal 3 3 2 9" xfId="684" xr:uid="{00000000-0005-0000-0000-000004010000}"/>
    <cellStyle name="Normal 3 3 3" xfId="69" xr:uid="{00000000-0005-0000-0000-000005010000}"/>
    <cellStyle name="Normal 3 3 3 2" xfId="162" xr:uid="{00000000-0005-0000-0000-000006010000}"/>
    <cellStyle name="Normal 3 3 3 3" xfId="252" xr:uid="{00000000-0005-0000-0000-000007010000}"/>
    <cellStyle name="Normal 3 3 3 4" xfId="342" xr:uid="{00000000-0005-0000-0000-000008010000}"/>
    <cellStyle name="Normal 3 3 3 5" xfId="432" xr:uid="{00000000-0005-0000-0000-000009010000}"/>
    <cellStyle name="Normal 3 3 3 6" xfId="522" xr:uid="{00000000-0005-0000-0000-00000A010000}"/>
    <cellStyle name="Normal 3 3 3 7" xfId="612" xr:uid="{00000000-0005-0000-0000-00000B010000}"/>
    <cellStyle name="Normal 3 3 3 8" xfId="702" xr:uid="{00000000-0005-0000-0000-00000C010000}"/>
    <cellStyle name="Normal 3 3 3 9" xfId="799" xr:uid="{00000000-0005-0000-0000-00000D010000}"/>
    <cellStyle name="Normal 3 3 4" xfId="125" xr:uid="{00000000-0005-0000-0000-00000E010000}"/>
    <cellStyle name="Normal 3 3 5" xfId="215" xr:uid="{00000000-0005-0000-0000-00000F010000}"/>
    <cellStyle name="Normal 3 3 6" xfId="305" xr:uid="{00000000-0005-0000-0000-000010010000}"/>
    <cellStyle name="Normal 3 3 7" xfId="395" xr:uid="{00000000-0005-0000-0000-000011010000}"/>
    <cellStyle name="Normal 3 3 8" xfId="485" xr:uid="{00000000-0005-0000-0000-000012010000}"/>
    <cellStyle name="Normal 3 3 9" xfId="575" xr:uid="{00000000-0005-0000-0000-000013010000}"/>
    <cellStyle name="Normal 3 4" xfId="29" xr:uid="{00000000-0005-0000-0000-000014010000}"/>
    <cellStyle name="Normal 3 4 10" xfId="668" xr:uid="{00000000-0005-0000-0000-000015010000}"/>
    <cellStyle name="Normal 3 4 11" xfId="763" xr:uid="{00000000-0005-0000-0000-000016010000}"/>
    <cellStyle name="Normal 3 4 2" xfId="51" xr:uid="{00000000-0005-0000-0000-000017010000}"/>
    <cellStyle name="Normal 3 4 2 10" xfId="783" xr:uid="{00000000-0005-0000-0000-000018010000}"/>
    <cellStyle name="Normal 3 4 2 2" xfId="91" xr:uid="{00000000-0005-0000-0000-000019010000}"/>
    <cellStyle name="Normal 3 4 2 2 2" xfId="184" xr:uid="{00000000-0005-0000-0000-00001A010000}"/>
    <cellStyle name="Normal 3 4 2 2 3" xfId="274" xr:uid="{00000000-0005-0000-0000-00001B010000}"/>
    <cellStyle name="Normal 3 4 2 2 4" xfId="364" xr:uid="{00000000-0005-0000-0000-00001C010000}"/>
    <cellStyle name="Normal 3 4 2 2 5" xfId="454" xr:uid="{00000000-0005-0000-0000-00001D010000}"/>
    <cellStyle name="Normal 3 4 2 2 6" xfId="544" xr:uid="{00000000-0005-0000-0000-00001E010000}"/>
    <cellStyle name="Normal 3 4 2 2 7" xfId="634" xr:uid="{00000000-0005-0000-0000-00001F010000}"/>
    <cellStyle name="Normal 3 4 2 2 8" xfId="724" xr:uid="{00000000-0005-0000-0000-000020010000}"/>
    <cellStyle name="Normal 3 4 2 2 9" xfId="821" xr:uid="{00000000-0005-0000-0000-000021010000}"/>
    <cellStyle name="Normal 3 4 2 3" xfId="147" xr:uid="{00000000-0005-0000-0000-000022010000}"/>
    <cellStyle name="Normal 3 4 2 4" xfId="237" xr:uid="{00000000-0005-0000-0000-000023010000}"/>
    <cellStyle name="Normal 3 4 2 5" xfId="327" xr:uid="{00000000-0005-0000-0000-000024010000}"/>
    <cellStyle name="Normal 3 4 2 6" xfId="417" xr:uid="{00000000-0005-0000-0000-000025010000}"/>
    <cellStyle name="Normal 3 4 2 7" xfId="507" xr:uid="{00000000-0005-0000-0000-000026010000}"/>
    <cellStyle name="Normal 3 4 2 8" xfId="597" xr:uid="{00000000-0005-0000-0000-000027010000}"/>
    <cellStyle name="Normal 3 4 2 9" xfId="687" xr:uid="{00000000-0005-0000-0000-000028010000}"/>
    <cellStyle name="Normal 3 4 3" xfId="72" xr:uid="{00000000-0005-0000-0000-000029010000}"/>
    <cellStyle name="Normal 3 4 3 2" xfId="165" xr:uid="{00000000-0005-0000-0000-00002A010000}"/>
    <cellStyle name="Normal 3 4 3 3" xfId="255" xr:uid="{00000000-0005-0000-0000-00002B010000}"/>
    <cellStyle name="Normal 3 4 3 4" xfId="345" xr:uid="{00000000-0005-0000-0000-00002C010000}"/>
    <cellStyle name="Normal 3 4 3 5" xfId="435" xr:uid="{00000000-0005-0000-0000-00002D010000}"/>
    <cellStyle name="Normal 3 4 3 6" xfId="525" xr:uid="{00000000-0005-0000-0000-00002E010000}"/>
    <cellStyle name="Normal 3 4 3 7" xfId="615" xr:uid="{00000000-0005-0000-0000-00002F010000}"/>
    <cellStyle name="Normal 3 4 3 8" xfId="705" xr:uid="{00000000-0005-0000-0000-000030010000}"/>
    <cellStyle name="Normal 3 4 3 9" xfId="802" xr:uid="{00000000-0005-0000-0000-000031010000}"/>
    <cellStyle name="Normal 3 4 4" xfId="128" xr:uid="{00000000-0005-0000-0000-000032010000}"/>
    <cellStyle name="Normal 3 4 5" xfId="218" xr:uid="{00000000-0005-0000-0000-000033010000}"/>
    <cellStyle name="Normal 3 4 6" xfId="308" xr:uid="{00000000-0005-0000-0000-000034010000}"/>
    <cellStyle name="Normal 3 4 7" xfId="398" xr:uid="{00000000-0005-0000-0000-000035010000}"/>
    <cellStyle name="Normal 3 4 8" xfId="488" xr:uid="{00000000-0005-0000-0000-000036010000}"/>
    <cellStyle name="Normal 3 4 9" xfId="578" xr:uid="{00000000-0005-0000-0000-000037010000}"/>
    <cellStyle name="Normal 3 5" xfId="33" xr:uid="{00000000-0005-0000-0000-000038010000}"/>
    <cellStyle name="Normal 3 5 10" xfId="671" xr:uid="{00000000-0005-0000-0000-000039010000}"/>
    <cellStyle name="Normal 3 5 11" xfId="766" xr:uid="{00000000-0005-0000-0000-00003A010000}"/>
    <cellStyle name="Normal 3 5 2" xfId="55" xr:uid="{00000000-0005-0000-0000-00003B010000}"/>
    <cellStyle name="Normal 3 5 2 10" xfId="786" xr:uid="{00000000-0005-0000-0000-00003C010000}"/>
    <cellStyle name="Normal 3 5 2 2" xfId="95" xr:uid="{00000000-0005-0000-0000-00003D010000}"/>
    <cellStyle name="Normal 3 5 2 2 2" xfId="187" xr:uid="{00000000-0005-0000-0000-00003E010000}"/>
    <cellStyle name="Normal 3 5 2 2 3" xfId="277" xr:uid="{00000000-0005-0000-0000-00003F010000}"/>
    <cellStyle name="Normal 3 5 2 2 4" xfId="367" xr:uid="{00000000-0005-0000-0000-000040010000}"/>
    <cellStyle name="Normal 3 5 2 2 5" xfId="457" xr:uid="{00000000-0005-0000-0000-000041010000}"/>
    <cellStyle name="Normal 3 5 2 2 6" xfId="547" xr:uid="{00000000-0005-0000-0000-000042010000}"/>
    <cellStyle name="Normal 3 5 2 2 7" xfId="637" xr:uid="{00000000-0005-0000-0000-000043010000}"/>
    <cellStyle name="Normal 3 5 2 2 8" xfId="727" xr:uid="{00000000-0005-0000-0000-000044010000}"/>
    <cellStyle name="Normal 3 5 2 2 9" xfId="824" xr:uid="{00000000-0005-0000-0000-000045010000}"/>
    <cellStyle name="Normal 3 5 2 3" xfId="150" xr:uid="{00000000-0005-0000-0000-000046010000}"/>
    <cellStyle name="Normal 3 5 2 4" xfId="240" xr:uid="{00000000-0005-0000-0000-000047010000}"/>
    <cellStyle name="Normal 3 5 2 5" xfId="330" xr:uid="{00000000-0005-0000-0000-000048010000}"/>
    <cellStyle name="Normal 3 5 2 6" xfId="420" xr:uid="{00000000-0005-0000-0000-000049010000}"/>
    <cellStyle name="Normal 3 5 2 7" xfId="510" xr:uid="{00000000-0005-0000-0000-00004A010000}"/>
    <cellStyle name="Normal 3 5 2 8" xfId="600" xr:uid="{00000000-0005-0000-0000-00004B010000}"/>
    <cellStyle name="Normal 3 5 2 9" xfId="690" xr:uid="{00000000-0005-0000-0000-00004C010000}"/>
    <cellStyle name="Normal 3 5 3" xfId="75" xr:uid="{00000000-0005-0000-0000-00004D010000}"/>
    <cellStyle name="Normal 3 5 3 2" xfId="168" xr:uid="{00000000-0005-0000-0000-00004E010000}"/>
    <cellStyle name="Normal 3 5 3 3" xfId="258" xr:uid="{00000000-0005-0000-0000-00004F010000}"/>
    <cellStyle name="Normal 3 5 3 4" xfId="348" xr:uid="{00000000-0005-0000-0000-000050010000}"/>
    <cellStyle name="Normal 3 5 3 5" xfId="438" xr:uid="{00000000-0005-0000-0000-000051010000}"/>
    <cellStyle name="Normal 3 5 3 6" xfId="528" xr:uid="{00000000-0005-0000-0000-000052010000}"/>
    <cellStyle name="Normal 3 5 3 7" xfId="618" xr:uid="{00000000-0005-0000-0000-000053010000}"/>
    <cellStyle name="Normal 3 5 3 8" xfId="708" xr:uid="{00000000-0005-0000-0000-000054010000}"/>
    <cellStyle name="Normal 3 5 3 9" xfId="805" xr:uid="{00000000-0005-0000-0000-000055010000}"/>
    <cellStyle name="Normal 3 5 4" xfId="131" xr:uid="{00000000-0005-0000-0000-000056010000}"/>
    <cellStyle name="Normal 3 5 5" xfId="221" xr:uid="{00000000-0005-0000-0000-000057010000}"/>
    <cellStyle name="Normal 3 5 6" xfId="311" xr:uid="{00000000-0005-0000-0000-000058010000}"/>
    <cellStyle name="Normal 3 5 7" xfId="401" xr:uid="{00000000-0005-0000-0000-000059010000}"/>
    <cellStyle name="Normal 3 5 8" xfId="491" xr:uid="{00000000-0005-0000-0000-00005A010000}"/>
    <cellStyle name="Normal 3 5 9" xfId="581" xr:uid="{00000000-0005-0000-0000-00005B010000}"/>
    <cellStyle name="Normal 3 6" xfId="36" xr:uid="{00000000-0005-0000-0000-00005C010000}"/>
    <cellStyle name="Normal 3 6 10" xfId="674" xr:uid="{00000000-0005-0000-0000-00005D010000}"/>
    <cellStyle name="Normal 3 6 11" xfId="769" xr:uid="{00000000-0005-0000-0000-00005E010000}"/>
    <cellStyle name="Normal 3 6 2" xfId="58" xr:uid="{00000000-0005-0000-0000-00005F010000}"/>
    <cellStyle name="Normal 3 6 2 10" xfId="789" xr:uid="{00000000-0005-0000-0000-000060010000}"/>
    <cellStyle name="Normal 3 6 2 2" xfId="98" xr:uid="{00000000-0005-0000-0000-000061010000}"/>
    <cellStyle name="Normal 3 6 2 2 2" xfId="190" xr:uid="{00000000-0005-0000-0000-000062010000}"/>
    <cellStyle name="Normal 3 6 2 2 3" xfId="280" xr:uid="{00000000-0005-0000-0000-000063010000}"/>
    <cellStyle name="Normal 3 6 2 2 4" xfId="370" xr:uid="{00000000-0005-0000-0000-000064010000}"/>
    <cellStyle name="Normal 3 6 2 2 5" xfId="460" xr:uid="{00000000-0005-0000-0000-000065010000}"/>
    <cellStyle name="Normal 3 6 2 2 6" xfId="550" xr:uid="{00000000-0005-0000-0000-000066010000}"/>
    <cellStyle name="Normal 3 6 2 2 7" xfId="640" xr:uid="{00000000-0005-0000-0000-000067010000}"/>
    <cellStyle name="Normal 3 6 2 2 8" xfId="730" xr:uid="{00000000-0005-0000-0000-000068010000}"/>
    <cellStyle name="Normal 3 6 2 2 9" xfId="827" xr:uid="{00000000-0005-0000-0000-000069010000}"/>
    <cellStyle name="Normal 3 6 2 3" xfId="153" xr:uid="{00000000-0005-0000-0000-00006A010000}"/>
    <cellStyle name="Normal 3 6 2 4" xfId="243" xr:uid="{00000000-0005-0000-0000-00006B010000}"/>
    <cellStyle name="Normal 3 6 2 5" xfId="333" xr:uid="{00000000-0005-0000-0000-00006C010000}"/>
    <cellStyle name="Normal 3 6 2 6" xfId="423" xr:uid="{00000000-0005-0000-0000-00006D010000}"/>
    <cellStyle name="Normal 3 6 2 7" xfId="513" xr:uid="{00000000-0005-0000-0000-00006E010000}"/>
    <cellStyle name="Normal 3 6 2 8" xfId="603" xr:uid="{00000000-0005-0000-0000-00006F010000}"/>
    <cellStyle name="Normal 3 6 2 9" xfId="693" xr:uid="{00000000-0005-0000-0000-000070010000}"/>
    <cellStyle name="Normal 3 6 3" xfId="78" xr:uid="{00000000-0005-0000-0000-000071010000}"/>
    <cellStyle name="Normal 3 6 3 2" xfId="171" xr:uid="{00000000-0005-0000-0000-000072010000}"/>
    <cellStyle name="Normal 3 6 3 3" xfId="261" xr:uid="{00000000-0005-0000-0000-000073010000}"/>
    <cellStyle name="Normal 3 6 3 4" xfId="351" xr:uid="{00000000-0005-0000-0000-000074010000}"/>
    <cellStyle name="Normal 3 6 3 5" xfId="441" xr:uid="{00000000-0005-0000-0000-000075010000}"/>
    <cellStyle name="Normal 3 6 3 6" xfId="531" xr:uid="{00000000-0005-0000-0000-000076010000}"/>
    <cellStyle name="Normal 3 6 3 7" xfId="621" xr:uid="{00000000-0005-0000-0000-000077010000}"/>
    <cellStyle name="Normal 3 6 3 8" xfId="711" xr:uid="{00000000-0005-0000-0000-000078010000}"/>
    <cellStyle name="Normal 3 6 3 9" xfId="808" xr:uid="{00000000-0005-0000-0000-000079010000}"/>
    <cellStyle name="Normal 3 6 4" xfId="134" xr:uid="{00000000-0005-0000-0000-00007A010000}"/>
    <cellStyle name="Normal 3 6 5" xfId="224" xr:uid="{00000000-0005-0000-0000-00007B010000}"/>
    <cellStyle name="Normal 3 6 6" xfId="314" xr:uid="{00000000-0005-0000-0000-00007C010000}"/>
    <cellStyle name="Normal 3 6 7" xfId="404" xr:uid="{00000000-0005-0000-0000-00007D010000}"/>
    <cellStyle name="Normal 3 6 8" xfId="494" xr:uid="{00000000-0005-0000-0000-00007E010000}"/>
    <cellStyle name="Normal 3 6 9" xfId="584" xr:uid="{00000000-0005-0000-0000-00007F010000}"/>
    <cellStyle name="Normal 3 7" xfId="42" xr:uid="{00000000-0005-0000-0000-000080010000}"/>
    <cellStyle name="Normal 3 7 10" xfId="774" xr:uid="{00000000-0005-0000-0000-000081010000}"/>
    <cellStyle name="Normal 3 7 2" xfId="82" xr:uid="{00000000-0005-0000-0000-000082010000}"/>
    <cellStyle name="Normal 3 7 2 2" xfId="175" xr:uid="{00000000-0005-0000-0000-000083010000}"/>
    <cellStyle name="Normal 3 7 2 3" xfId="265" xr:uid="{00000000-0005-0000-0000-000084010000}"/>
    <cellStyle name="Normal 3 7 2 4" xfId="355" xr:uid="{00000000-0005-0000-0000-000085010000}"/>
    <cellStyle name="Normal 3 7 2 5" xfId="445" xr:uid="{00000000-0005-0000-0000-000086010000}"/>
    <cellStyle name="Normal 3 7 2 6" xfId="535" xr:uid="{00000000-0005-0000-0000-000087010000}"/>
    <cellStyle name="Normal 3 7 2 7" xfId="625" xr:uid="{00000000-0005-0000-0000-000088010000}"/>
    <cellStyle name="Normal 3 7 2 8" xfId="715" xr:uid="{00000000-0005-0000-0000-000089010000}"/>
    <cellStyle name="Normal 3 7 2 9" xfId="812" xr:uid="{00000000-0005-0000-0000-00008A010000}"/>
    <cellStyle name="Normal 3 7 3" xfId="138" xr:uid="{00000000-0005-0000-0000-00008B010000}"/>
    <cellStyle name="Normal 3 7 4" xfId="228" xr:uid="{00000000-0005-0000-0000-00008C010000}"/>
    <cellStyle name="Normal 3 7 5" xfId="318" xr:uid="{00000000-0005-0000-0000-00008D010000}"/>
    <cellStyle name="Normal 3 7 6" xfId="408" xr:uid="{00000000-0005-0000-0000-00008E010000}"/>
    <cellStyle name="Normal 3 7 7" xfId="498" xr:uid="{00000000-0005-0000-0000-00008F010000}"/>
    <cellStyle name="Normal 3 7 8" xfId="588" xr:uid="{00000000-0005-0000-0000-000090010000}"/>
    <cellStyle name="Normal 3 7 9" xfId="678" xr:uid="{00000000-0005-0000-0000-000091010000}"/>
    <cellStyle name="Normal 3 8" xfId="63" xr:uid="{00000000-0005-0000-0000-000092010000}"/>
    <cellStyle name="Normal 3 8 2" xfId="156" xr:uid="{00000000-0005-0000-0000-000093010000}"/>
    <cellStyle name="Normal 3 8 3" xfId="246" xr:uid="{00000000-0005-0000-0000-000094010000}"/>
    <cellStyle name="Normal 3 8 4" xfId="336" xr:uid="{00000000-0005-0000-0000-000095010000}"/>
    <cellStyle name="Normal 3 8 5" xfId="426" xr:uid="{00000000-0005-0000-0000-000096010000}"/>
    <cellStyle name="Normal 3 8 6" xfId="516" xr:uid="{00000000-0005-0000-0000-000097010000}"/>
    <cellStyle name="Normal 3 8 7" xfId="606" xr:uid="{00000000-0005-0000-0000-000098010000}"/>
    <cellStyle name="Normal 3 8 8" xfId="696" xr:uid="{00000000-0005-0000-0000-000099010000}"/>
    <cellStyle name="Normal 3 8 9" xfId="793" xr:uid="{00000000-0005-0000-0000-00009A010000}"/>
    <cellStyle name="Normal 3 9" xfId="101" xr:uid="{00000000-0005-0000-0000-00009B010000}"/>
    <cellStyle name="Normal 3 9 2" xfId="193" xr:uid="{00000000-0005-0000-0000-00009C010000}"/>
    <cellStyle name="Normal 3 9 3" xfId="283" xr:uid="{00000000-0005-0000-0000-00009D010000}"/>
    <cellStyle name="Normal 3 9 4" xfId="373" xr:uid="{00000000-0005-0000-0000-00009E010000}"/>
    <cellStyle name="Normal 3 9 5" xfId="463" xr:uid="{00000000-0005-0000-0000-00009F010000}"/>
    <cellStyle name="Normal 3 9 6" xfId="553" xr:uid="{00000000-0005-0000-0000-0000A0010000}"/>
    <cellStyle name="Normal 3 9 7" xfId="643" xr:uid="{00000000-0005-0000-0000-0000A1010000}"/>
    <cellStyle name="Normal 3 9 8" xfId="733" xr:uid="{00000000-0005-0000-0000-0000A2010000}"/>
    <cellStyle name="Normal 3 9 9" xfId="830" xr:uid="{00000000-0005-0000-0000-0000A3010000}"/>
    <cellStyle name="Normal 4" xfId="12" xr:uid="{00000000-0005-0000-0000-0000A4010000}"/>
    <cellStyle name="Normal 5" xfId="9" xr:uid="{00000000-0005-0000-0000-0000A5010000}"/>
    <cellStyle name="Normal 5 2" xfId="5" xr:uid="{00000000-0005-0000-0000-0000A6010000}"/>
    <cellStyle name="Normal 5 3" xfId="32" xr:uid="{00000000-0005-0000-0000-0000A7010000}"/>
    <cellStyle name="Normal 5 3 2" xfId="54" xr:uid="{00000000-0005-0000-0000-0000A8010000}"/>
    <cellStyle name="Normal 5 4" xfId="19" xr:uid="{00000000-0005-0000-0000-0000A9010000}"/>
    <cellStyle name="Normal 6" xfId="18" xr:uid="{00000000-0005-0000-0000-0000AA010000}"/>
    <cellStyle name="Normal 6 10" xfId="660" xr:uid="{00000000-0005-0000-0000-0000AB010000}"/>
    <cellStyle name="Normal 6 11" xfId="754" xr:uid="{00000000-0005-0000-0000-0000AC010000}"/>
    <cellStyle name="Normal 6 2" xfId="41" xr:uid="{00000000-0005-0000-0000-0000AD010000}"/>
    <cellStyle name="Normal 6 2 10" xfId="773" xr:uid="{00000000-0005-0000-0000-0000AE010000}"/>
    <cellStyle name="Normal 6 2 2" xfId="81" xr:uid="{00000000-0005-0000-0000-0000AF010000}"/>
    <cellStyle name="Normal 6 2 2 2" xfId="174" xr:uid="{00000000-0005-0000-0000-0000B0010000}"/>
    <cellStyle name="Normal 6 2 2 3" xfId="264" xr:uid="{00000000-0005-0000-0000-0000B1010000}"/>
    <cellStyle name="Normal 6 2 2 4" xfId="354" xr:uid="{00000000-0005-0000-0000-0000B2010000}"/>
    <cellStyle name="Normal 6 2 2 5" xfId="444" xr:uid="{00000000-0005-0000-0000-0000B3010000}"/>
    <cellStyle name="Normal 6 2 2 6" xfId="534" xr:uid="{00000000-0005-0000-0000-0000B4010000}"/>
    <cellStyle name="Normal 6 2 2 7" xfId="624" xr:uid="{00000000-0005-0000-0000-0000B5010000}"/>
    <cellStyle name="Normal 6 2 2 8" xfId="714" xr:uid="{00000000-0005-0000-0000-0000B6010000}"/>
    <cellStyle name="Normal 6 2 2 9" xfId="811" xr:uid="{00000000-0005-0000-0000-0000B7010000}"/>
    <cellStyle name="Normal 6 2 3" xfId="137" xr:uid="{00000000-0005-0000-0000-0000B8010000}"/>
    <cellStyle name="Normal 6 2 4" xfId="227" xr:uid="{00000000-0005-0000-0000-0000B9010000}"/>
    <cellStyle name="Normal 6 2 5" xfId="317" xr:uid="{00000000-0005-0000-0000-0000BA010000}"/>
    <cellStyle name="Normal 6 2 6" xfId="407" xr:uid="{00000000-0005-0000-0000-0000BB010000}"/>
    <cellStyle name="Normal 6 2 7" xfId="497" xr:uid="{00000000-0005-0000-0000-0000BC010000}"/>
    <cellStyle name="Normal 6 2 8" xfId="587" xr:uid="{00000000-0005-0000-0000-0000BD010000}"/>
    <cellStyle name="Normal 6 2 9" xfId="677" xr:uid="{00000000-0005-0000-0000-0000BE010000}"/>
    <cellStyle name="Normal 6 3" xfId="62" xr:uid="{00000000-0005-0000-0000-0000BF010000}"/>
    <cellStyle name="Normal 6 3 2" xfId="155" xr:uid="{00000000-0005-0000-0000-0000C0010000}"/>
    <cellStyle name="Normal 6 3 3" xfId="245" xr:uid="{00000000-0005-0000-0000-0000C1010000}"/>
    <cellStyle name="Normal 6 3 4" xfId="335" xr:uid="{00000000-0005-0000-0000-0000C2010000}"/>
    <cellStyle name="Normal 6 3 5" xfId="425" xr:uid="{00000000-0005-0000-0000-0000C3010000}"/>
    <cellStyle name="Normal 6 3 6" xfId="515" xr:uid="{00000000-0005-0000-0000-0000C4010000}"/>
    <cellStyle name="Normal 6 3 7" xfId="605" xr:uid="{00000000-0005-0000-0000-0000C5010000}"/>
    <cellStyle name="Normal 6 3 8" xfId="695" xr:uid="{00000000-0005-0000-0000-0000C6010000}"/>
    <cellStyle name="Normal 6 3 9" xfId="792" xr:uid="{00000000-0005-0000-0000-0000C7010000}"/>
    <cellStyle name="Normal 6 4" xfId="120" xr:uid="{00000000-0005-0000-0000-0000C8010000}"/>
    <cellStyle name="Normal 6 5" xfId="210" xr:uid="{00000000-0005-0000-0000-0000C9010000}"/>
    <cellStyle name="Normal 6 6" xfId="300" xr:uid="{00000000-0005-0000-0000-0000CA010000}"/>
    <cellStyle name="Normal 6 7" xfId="390" xr:uid="{00000000-0005-0000-0000-0000CB010000}"/>
    <cellStyle name="Normal 6 8" xfId="480" xr:uid="{00000000-0005-0000-0000-0000CC010000}"/>
    <cellStyle name="Normal 6 9" xfId="570" xr:uid="{00000000-0005-0000-0000-0000CD010000}"/>
    <cellStyle name="Normal 7" xfId="22" xr:uid="{00000000-0005-0000-0000-0000CE010000}"/>
    <cellStyle name="Normal 7 10" xfId="661" xr:uid="{00000000-0005-0000-0000-0000CF010000}"/>
    <cellStyle name="Normal 7 11" xfId="756" xr:uid="{00000000-0005-0000-0000-0000D0010000}"/>
    <cellStyle name="Normal 7 2" xfId="44" xr:uid="{00000000-0005-0000-0000-0000D1010000}"/>
    <cellStyle name="Normal 7 2 10" xfId="776" xr:uid="{00000000-0005-0000-0000-0000D2010000}"/>
    <cellStyle name="Normal 7 2 2" xfId="84" xr:uid="{00000000-0005-0000-0000-0000D3010000}"/>
    <cellStyle name="Normal 7 2 2 2" xfId="177" xr:uid="{00000000-0005-0000-0000-0000D4010000}"/>
    <cellStyle name="Normal 7 2 2 3" xfId="267" xr:uid="{00000000-0005-0000-0000-0000D5010000}"/>
    <cellStyle name="Normal 7 2 2 4" xfId="357" xr:uid="{00000000-0005-0000-0000-0000D6010000}"/>
    <cellStyle name="Normal 7 2 2 5" xfId="447" xr:uid="{00000000-0005-0000-0000-0000D7010000}"/>
    <cellStyle name="Normal 7 2 2 6" xfId="537" xr:uid="{00000000-0005-0000-0000-0000D8010000}"/>
    <cellStyle name="Normal 7 2 2 7" xfId="627" xr:uid="{00000000-0005-0000-0000-0000D9010000}"/>
    <cellStyle name="Normal 7 2 2 8" xfId="717" xr:uid="{00000000-0005-0000-0000-0000DA010000}"/>
    <cellStyle name="Normal 7 2 2 9" xfId="814" xr:uid="{00000000-0005-0000-0000-0000DB010000}"/>
    <cellStyle name="Normal 7 2 3" xfId="140" xr:uid="{00000000-0005-0000-0000-0000DC010000}"/>
    <cellStyle name="Normal 7 2 4" xfId="230" xr:uid="{00000000-0005-0000-0000-0000DD010000}"/>
    <cellStyle name="Normal 7 2 5" xfId="320" xr:uid="{00000000-0005-0000-0000-0000DE010000}"/>
    <cellStyle name="Normal 7 2 6" xfId="410" xr:uid="{00000000-0005-0000-0000-0000DF010000}"/>
    <cellStyle name="Normal 7 2 7" xfId="500" xr:uid="{00000000-0005-0000-0000-0000E0010000}"/>
    <cellStyle name="Normal 7 2 8" xfId="590" xr:uid="{00000000-0005-0000-0000-0000E1010000}"/>
    <cellStyle name="Normal 7 2 9" xfId="680" xr:uid="{00000000-0005-0000-0000-0000E2010000}"/>
    <cellStyle name="Normal 7 3" xfId="65" xr:uid="{00000000-0005-0000-0000-0000E3010000}"/>
    <cellStyle name="Normal 7 3 2" xfId="158" xr:uid="{00000000-0005-0000-0000-0000E4010000}"/>
    <cellStyle name="Normal 7 3 3" xfId="248" xr:uid="{00000000-0005-0000-0000-0000E5010000}"/>
    <cellStyle name="Normal 7 3 4" xfId="338" xr:uid="{00000000-0005-0000-0000-0000E6010000}"/>
    <cellStyle name="Normal 7 3 5" xfId="428" xr:uid="{00000000-0005-0000-0000-0000E7010000}"/>
    <cellStyle name="Normal 7 3 6" xfId="518" xr:uid="{00000000-0005-0000-0000-0000E8010000}"/>
    <cellStyle name="Normal 7 3 7" xfId="608" xr:uid="{00000000-0005-0000-0000-0000E9010000}"/>
    <cellStyle name="Normal 7 3 8" xfId="698" xr:uid="{00000000-0005-0000-0000-0000EA010000}"/>
    <cellStyle name="Normal 7 3 9" xfId="795" xr:uid="{00000000-0005-0000-0000-0000EB010000}"/>
    <cellStyle name="Normal 7 4" xfId="121" xr:uid="{00000000-0005-0000-0000-0000EC010000}"/>
    <cellStyle name="Normal 7 5" xfId="211" xr:uid="{00000000-0005-0000-0000-0000ED010000}"/>
    <cellStyle name="Normal 7 6" xfId="301" xr:uid="{00000000-0005-0000-0000-0000EE010000}"/>
    <cellStyle name="Normal 7 7" xfId="391" xr:uid="{00000000-0005-0000-0000-0000EF010000}"/>
    <cellStyle name="Normal 7 8" xfId="481" xr:uid="{00000000-0005-0000-0000-0000F0010000}"/>
    <cellStyle name="Normal 7 9" xfId="571" xr:uid="{00000000-0005-0000-0000-0000F1010000}"/>
    <cellStyle name="Normal 8" xfId="25" xr:uid="{00000000-0005-0000-0000-0000F2010000}"/>
    <cellStyle name="Normal 8 10" xfId="664" xr:uid="{00000000-0005-0000-0000-0000F3010000}"/>
    <cellStyle name="Normal 8 11" xfId="759" xr:uid="{00000000-0005-0000-0000-0000F4010000}"/>
    <cellStyle name="Normal 8 2" xfId="47" xr:uid="{00000000-0005-0000-0000-0000F5010000}"/>
    <cellStyle name="Normal 8 2 10" xfId="779" xr:uid="{00000000-0005-0000-0000-0000F6010000}"/>
    <cellStyle name="Normal 8 2 2" xfId="87" xr:uid="{00000000-0005-0000-0000-0000F7010000}"/>
    <cellStyle name="Normal 8 2 2 2" xfId="180" xr:uid="{00000000-0005-0000-0000-0000F8010000}"/>
    <cellStyle name="Normal 8 2 2 3" xfId="270" xr:uid="{00000000-0005-0000-0000-0000F9010000}"/>
    <cellStyle name="Normal 8 2 2 4" xfId="360" xr:uid="{00000000-0005-0000-0000-0000FA010000}"/>
    <cellStyle name="Normal 8 2 2 5" xfId="450" xr:uid="{00000000-0005-0000-0000-0000FB010000}"/>
    <cellStyle name="Normal 8 2 2 6" xfId="540" xr:uid="{00000000-0005-0000-0000-0000FC010000}"/>
    <cellStyle name="Normal 8 2 2 7" xfId="630" xr:uid="{00000000-0005-0000-0000-0000FD010000}"/>
    <cellStyle name="Normal 8 2 2 8" xfId="720" xr:uid="{00000000-0005-0000-0000-0000FE010000}"/>
    <cellStyle name="Normal 8 2 2 9" xfId="817" xr:uid="{00000000-0005-0000-0000-0000FF010000}"/>
    <cellStyle name="Normal 8 2 3" xfId="143" xr:uid="{00000000-0005-0000-0000-000000020000}"/>
    <cellStyle name="Normal 8 2 4" xfId="233" xr:uid="{00000000-0005-0000-0000-000001020000}"/>
    <cellStyle name="Normal 8 2 5" xfId="323" xr:uid="{00000000-0005-0000-0000-000002020000}"/>
    <cellStyle name="Normal 8 2 6" xfId="413" xr:uid="{00000000-0005-0000-0000-000003020000}"/>
    <cellStyle name="Normal 8 2 7" xfId="503" xr:uid="{00000000-0005-0000-0000-000004020000}"/>
    <cellStyle name="Normal 8 2 8" xfId="593" xr:uid="{00000000-0005-0000-0000-000005020000}"/>
    <cellStyle name="Normal 8 2 9" xfId="683" xr:uid="{00000000-0005-0000-0000-000006020000}"/>
    <cellStyle name="Normal 8 3" xfId="68" xr:uid="{00000000-0005-0000-0000-000007020000}"/>
    <cellStyle name="Normal 8 3 2" xfId="161" xr:uid="{00000000-0005-0000-0000-000008020000}"/>
    <cellStyle name="Normal 8 3 3" xfId="251" xr:uid="{00000000-0005-0000-0000-000009020000}"/>
    <cellStyle name="Normal 8 3 4" xfId="341" xr:uid="{00000000-0005-0000-0000-00000A020000}"/>
    <cellStyle name="Normal 8 3 5" xfId="431" xr:uid="{00000000-0005-0000-0000-00000B020000}"/>
    <cellStyle name="Normal 8 3 6" xfId="521" xr:uid="{00000000-0005-0000-0000-00000C020000}"/>
    <cellStyle name="Normal 8 3 7" xfId="611" xr:uid="{00000000-0005-0000-0000-00000D020000}"/>
    <cellStyle name="Normal 8 3 8" xfId="701" xr:uid="{00000000-0005-0000-0000-00000E020000}"/>
    <cellStyle name="Normal 8 3 9" xfId="798" xr:uid="{00000000-0005-0000-0000-00000F020000}"/>
    <cellStyle name="Normal 8 4" xfId="124" xr:uid="{00000000-0005-0000-0000-000010020000}"/>
    <cellStyle name="Normal 8 5" xfId="214" xr:uid="{00000000-0005-0000-0000-000011020000}"/>
    <cellStyle name="Normal 8 6" xfId="304" xr:uid="{00000000-0005-0000-0000-000012020000}"/>
    <cellStyle name="Normal 8 7" xfId="394" xr:uid="{00000000-0005-0000-0000-000013020000}"/>
    <cellStyle name="Normal 8 8" xfId="484" xr:uid="{00000000-0005-0000-0000-000014020000}"/>
    <cellStyle name="Normal 8 9" xfId="574" xr:uid="{00000000-0005-0000-0000-000015020000}"/>
    <cellStyle name="Normal 9" xfId="28" xr:uid="{00000000-0005-0000-0000-000016020000}"/>
    <cellStyle name="Normal 9 10" xfId="667" xr:uid="{00000000-0005-0000-0000-000017020000}"/>
    <cellStyle name="Normal 9 11" xfId="762" xr:uid="{00000000-0005-0000-0000-000018020000}"/>
    <cellStyle name="Normal 9 2" xfId="50" xr:uid="{00000000-0005-0000-0000-000019020000}"/>
    <cellStyle name="Normal 9 2 10" xfId="782" xr:uid="{00000000-0005-0000-0000-00001A020000}"/>
    <cellStyle name="Normal 9 2 2" xfId="90" xr:uid="{00000000-0005-0000-0000-00001B020000}"/>
    <cellStyle name="Normal 9 2 2 2" xfId="183" xr:uid="{00000000-0005-0000-0000-00001C020000}"/>
    <cellStyle name="Normal 9 2 2 3" xfId="273" xr:uid="{00000000-0005-0000-0000-00001D020000}"/>
    <cellStyle name="Normal 9 2 2 4" xfId="363" xr:uid="{00000000-0005-0000-0000-00001E020000}"/>
    <cellStyle name="Normal 9 2 2 5" xfId="453" xr:uid="{00000000-0005-0000-0000-00001F020000}"/>
    <cellStyle name="Normal 9 2 2 6" xfId="543" xr:uid="{00000000-0005-0000-0000-000020020000}"/>
    <cellStyle name="Normal 9 2 2 7" xfId="633" xr:uid="{00000000-0005-0000-0000-000021020000}"/>
    <cellStyle name="Normal 9 2 2 8" xfId="723" xr:uid="{00000000-0005-0000-0000-000022020000}"/>
    <cellStyle name="Normal 9 2 2 9" xfId="820" xr:uid="{00000000-0005-0000-0000-000023020000}"/>
    <cellStyle name="Normal 9 2 3" xfId="146" xr:uid="{00000000-0005-0000-0000-000024020000}"/>
    <cellStyle name="Normal 9 2 4" xfId="236" xr:uid="{00000000-0005-0000-0000-000025020000}"/>
    <cellStyle name="Normal 9 2 5" xfId="326" xr:uid="{00000000-0005-0000-0000-000026020000}"/>
    <cellStyle name="Normal 9 2 6" xfId="416" xr:uid="{00000000-0005-0000-0000-000027020000}"/>
    <cellStyle name="Normal 9 2 7" xfId="506" xr:uid="{00000000-0005-0000-0000-000028020000}"/>
    <cellStyle name="Normal 9 2 8" xfId="596" xr:uid="{00000000-0005-0000-0000-000029020000}"/>
    <cellStyle name="Normal 9 2 9" xfId="686" xr:uid="{00000000-0005-0000-0000-00002A020000}"/>
    <cellStyle name="Normal 9 3" xfId="71" xr:uid="{00000000-0005-0000-0000-00002B020000}"/>
    <cellStyle name="Normal 9 3 2" xfId="164" xr:uid="{00000000-0005-0000-0000-00002C020000}"/>
    <cellStyle name="Normal 9 3 3" xfId="254" xr:uid="{00000000-0005-0000-0000-00002D020000}"/>
    <cellStyle name="Normal 9 3 4" xfId="344" xr:uid="{00000000-0005-0000-0000-00002E020000}"/>
    <cellStyle name="Normal 9 3 5" xfId="434" xr:uid="{00000000-0005-0000-0000-00002F020000}"/>
    <cellStyle name="Normal 9 3 6" xfId="524" xr:uid="{00000000-0005-0000-0000-000030020000}"/>
    <cellStyle name="Normal 9 3 7" xfId="614" xr:uid="{00000000-0005-0000-0000-000031020000}"/>
    <cellStyle name="Normal 9 3 8" xfId="704" xr:uid="{00000000-0005-0000-0000-000032020000}"/>
    <cellStyle name="Normal 9 3 9" xfId="801" xr:uid="{00000000-0005-0000-0000-000033020000}"/>
    <cellStyle name="Normal 9 4" xfId="127" xr:uid="{00000000-0005-0000-0000-000034020000}"/>
    <cellStyle name="Normal 9 5" xfId="217" xr:uid="{00000000-0005-0000-0000-000035020000}"/>
    <cellStyle name="Normal 9 6" xfId="307" xr:uid="{00000000-0005-0000-0000-000036020000}"/>
    <cellStyle name="Normal 9 7" xfId="397" xr:uid="{00000000-0005-0000-0000-000037020000}"/>
    <cellStyle name="Normal 9 8" xfId="487" xr:uid="{00000000-0005-0000-0000-000038020000}"/>
    <cellStyle name="Normal 9 9" xfId="577" xr:uid="{00000000-0005-0000-0000-000039020000}"/>
    <cellStyle name="Normal_Forslag" xfId="845" xr:uid="{00000000-0005-0000-0000-00003A020000}"/>
    <cellStyle name="Normal_Forslag 2" xfId="848" xr:uid="{00000000-0005-0000-0000-00003B020000}"/>
    <cellStyle name="Tusenskille 2" xfId="14" xr:uid="{00000000-0005-0000-0000-00003C020000}"/>
    <cellStyle name="Tusenskille 2 2" xfId="15" xr:uid="{00000000-0005-0000-0000-00003D020000}"/>
    <cellStyle name="Tusenskille 2 2 2" xfId="751" xr:uid="{00000000-0005-0000-0000-00003E020000}"/>
    <cellStyle name="Tusenskille 2 2 3" xfId="849" xr:uid="{F77FA10F-B946-43D0-BDB2-55CEFCE8EA1F}"/>
    <cellStyle name="Tusenskille 2 3" xfId="21" xr:uid="{00000000-0005-0000-0000-00003F020000}"/>
    <cellStyle name="Tusenskille 2 3 2" xfId="755" xr:uid="{00000000-0005-0000-0000-000040020000}"/>
    <cellStyle name="Tusenskille 2 4" xfId="40" xr:uid="{00000000-0005-0000-0000-000041020000}"/>
    <cellStyle name="Tusenskille 2 4 2" xfId="772" xr:uid="{00000000-0005-0000-0000-000042020000}"/>
    <cellStyle name="Tusenskille 2 5" xfId="61" xr:uid="{00000000-0005-0000-0000-000043020000}"/>
    <cellStyle name="Tusenskille 2 5 2" xfId="791" xr:uid="{00000000-0005-0000-0000-000044020000}"/>
    <cellStyle name="Tusenskille 2 6" xfId="750" xr:uid="{00000000-0005-0000-0000-000045020000}"/>
    <cellStyle name="Tusenskille 3" xfId="16" xr:uid="{00000000-0005-0000-0000-000046020000}"/>
    <cellStyle name="Tusenskille 3 10" xfId="105" xr:uid="{00000000-0005-0000-0000-000047020000}"/>
    <cellStyle name="Tusenskille 3 10 2" xfId="197" xr:uid="{00000000-0005-0000-0000-000048020000}"/>
    <cellStyle name="Tusenskille 3 10 3" xfId="287" xr:uid="{00000000-0005-0000-0000-000049020000}"/>
    <cellStyle name="Tusenskille 3 10 4" xfId="377" xr:uid="{00000000-0005-0000-0000-00004A020000}"/>
    <cellStyle name="Tusenskille 3 10 5" xfId="467" xr:uid="{00000000-0005-0000-0000-00004B020000}"/>
    <cellStyle name="Tusenskille 3 10 6" xfId="557" xr:uid="{00000000-0005-0000-0000-00004C020000}"/>
    <cellStyle name="Tusenskille 3 10 7" xfId="647" xr:uid="{00000000-0005-0000-0000-00004D020000}"/>
    <cellStyle name="Tusenskille 3 10 8" xfId="737" xr:uid="{00000000-0005-0000-0000-00004E020000}"/>
    <cellStyle name="Tusenskille 3 10 9" xfId="834" xr:uid="{00000000-0005-0000-0000-00004F020000}"/>
    <cellStyle name="Tusenskille 3 11" xfId="108" xr:uid="{00000000-0005-0000-0000-000050020000}"/>
    <cellStyle name="Tusenskille 3 11 2" xfId="200" xr:uid="{00000000-0005-0000-0000-000051020000}"/>
    <cellStyle name="Tusenskille 3 11 3" xfId="290" xr:uid="{00000000-0005-0000-0000-000052020000}"/>
    <cellStyle name="Tusenskille 3 11 4" xfId="380" xr:uid="{00000000-0005-0000-0000-000053020000}"/>
    <cellStyle name="Tusenskille 3 11 5" xfId="470" xr:uid="{00000000-0005-0000-0000-000054020000}"/>
    <cellStyle name="Tusenskille 3 11 6" xfId="560" xr:uid="{00000000-0005-0000-0000-000055020000}"/>
    <cellStyle name="Tusenskille 3 11 7" xfId="650" xr:uid="{00000000-0005-0000-0000-000056020000}"/>
    <cellStyle name="Tusenskille 3 11 8" xfId="740" xr:uid="{00000000-0005-0000-0000-000057020000}"/>
    <cellStyle name="Tusenskille 3 11 9" xfId="837" xr:uid="{00000000-0005-0000-0000-000058020000}"/>
    <cellStyle name="Tusenskille 3 12" xfId="111" xr:uid="{00000000-0005-0000-0000-000059020000}"/>
    <cellStyle name="Tusenskille 3 12 2" xfId="203" xr:uid="{00000000-0005-0000-0000-00005A020000}"/>
    <cellStyle name="Tusenskille 3 12 3" xfId="293" xr:uid="{00000000-0005-0000-0000-00005B020000}"/>
    <cellStyle name="Tusenskille 3 12 4" xfId="383" xr:uid="{00000000-0005-0000-0000-00005C020000}"/>
    <cellStyle name="Tusenskille 3 12 5" xfId="473" xr:uid="{00000000-0005-0000-0000-00005D020000}"/>
    <cellStyle name="Tusenskille 3 12 6" xfId="563" xr:uid="{00000000-0005-0000-0000-00005E020000}"/>
    <cellStyle name="Tusenskille 3 12 7" xfId="653" xr:uid="{00000000-0005-0000-0000-00005F020000}"/>
    <cellStyle name="Tusenskille 3 12 8" xfId="743" xr:uid="{00000000-0005-0000-0000-000060020000}"/>
    <cellStyle name="Tusenskille 3 12 9" xfId="840" xr:uid="{00000000-0005-0000-0000-000061020000}"/>
    <cellStyle name="Tusenskille 3 13" xfId="114" xr:uid="{00000000-0005-0000-0000-000062020000}"/>
    <cellStyle name="Tusenskille 3 13 2" xfId="206" xr:uid="{00000000-0005-0000-0000-000063020000}"/>
    <cellStyle name="Tusenskille 3 13 3" xfId="296" xr:uid="{00000000-0005-0000-0000-000064020000}"/>
    <cellStyle name="Tusenskille 3 13 4" xfId="386" xr:uid="{00000000-0005-0000-0000-000065020000}"/>
    <cellStyle name="Tusenskille 3 13 5" xfId="476" xr:uid="{00000000-0005-0000-0000-000066020000}"/>
    <cellStyle name="Tusenskille 3 13 6" xfId="566" xr:uid="{00000000-0005-0000-0000-000067020000}"/>
    <cellStyle name="Tusenskille 3 13 7" xfId="656" xr:uid="{00000000-0005-0000-0000-000068020000}"/>
    <cellStyle name="Tusenskille 3 13 8" xfId="746" xr:uid="{00000000-0005-0000-0000-000069020000}"/>
    <cellStyle name="Tusenskille 3 13 9" xfId="843" xr:uid="{00000000-0005-0000-0000-00006A020000}"/>
    <cellStyle name="Tusenskille 3 14" xfId="119" xr:uid="{00000000-0005-0000-0000-00006B020000}"/>
    <cellStyle name="Tusenskille 3 15" xfId="209" xr:uid="{00000000-0005-0000-0000-00006C020000}"/>
    <cellStyle name="Tusenskille 3 16" xfId="299" xr:uid="{00000000-0005-0000-0000-00006D020000}"/>
    <cellStyle name="Tusenskille 3 17" xfId="389" xr:uid="{00000000-0005-0000-0000-00006E020000}"/>
    <cellStyle name="Tusenskille 3 18" xfId="479" xr:uid="{00000000-0005-0000-0000-00006F020000}"/>
    <cellStyle name="Tusenskille 3 19" xfId="569" xr:uid="{00000000-0005-0000-0000-000070020000}"/>
    <cellStyle name="Tusenskille 3 2" xfId="24" xr:uid="{00000000-0005-0000-0000-000071020000}"/>
    <cellStyle name="Tusenskille 3 2 10" xfId="663" xr:uid="{00000000-0005-0000-0000-000072020000}"/>
    <cellStyle name="Tusenskille 3 2 11" xfId="758" xr:uid="{00000000-0005-0000-0000-000073020000}"/>
    <cellStyle name="Tusenskille 3 2 2" xfId="46" xr:uid="{00000000-0005-0000-0000-000074020000}"/>
    <cellStyle name="Tusenskille 3 2 2 10" xfId="778" xr:uid="{00000000-0005-0000-0000-000075020000}"/>
    <cellStyle name="Tusenskille 3 2 2 2" xfId="86" xr:uid="{00000000-0005-0000-0000-000076020000}"/>
    <cellStyle name="Tusenskille 3 2 2 2 2" xfId="179" xr:uid="{00000000-0005-0000-0000-000077020000}"/>
    <cellStyle name="Tusenskille 3 2 2 2 3" xfId="269" xr:uid="{00000000-0005-0000-0000-000078020000}"/>
    <cellStyle name="Tusenskille 3 2 2 2 4" xfId="359" xr:uid="{00000000-0005-0000-0000-000079020000}"/>
    <cellStyle name="Tusenskille 3 2 2 2 5" xfId="449" xr:uid="{00000000-0005-0000-0000-00007A020000}"/>
    <cellStyle name="Tusenskille 3 2 2 2 6" xfId="539" xr:uid="{00000000-0005-0000-0000-00007B020000}"/>
    <cellStyle name="Tusenskille 3 2 2 2 7" xfId="629" xr:uid="{00000000-0005-0000-0000-00007C020000}"/>
    <cellStyle name="Tusenskille 3 2 2 2 8" xfId="719" xr:uid="{00000000-0005-0000-0000-00007D020000}"/>
    <cellStyle name="Tusenskille 3 2 2 2 9" xfId="816" xr:uid="{00000000-0005-0000-0000-00007E020000}"/>
    <cellStyle name="Tusenskille 3 2 2 3" xfId="142" xr:uid="{00000000-0005-0000-0000-00007F020000}"/>
    <cellStyle name="Tusenskille 3 2 2 4" xfId="232" xr:uid="{00000000-0005-0000-0000-000080020000}"/>
    <cellStyle name="Tusenskille 3 2 2 5" xfId="322" xr:uid="{00000000-0005-0000-0000-000081020000}"/>
    <cellStyle name="Tusenskille 3 2 2 6" xfId="412" xr:uid="{00000000-0005-0000-0000-000082020000}"/>
    <cellStyle name="Tusenskille 3 2 2 7" xfId="502" xr:uid="{00000000-0005-0000-0000-000083020000}"/>
    <cellStyle name="Tusenskille 3 2 2 8" xfId="592" xr:uid="{00000000-0005-0000-0000-000084020000}"/>
    <cellStyle name="Tusenskille 3 2 2 9" xfId="682" xr:uid="{00000000-0005-0000-0000-000085020000}"/>
    <cellStyle name="Tusenskille 3 2 3" xfId="67" xr:uid="{00000000-0005-0000-0000-000086020000}"/>
    <cellStyle name="Tusenskille 3 2 3 2" xfId="160" xr:uid="{00000000-0005-0000-0000-000087020000}"/>
    <cellStyle name="Tusenskille 3 2 3 3" xfId="250" xr:uid="{00000000-0005-0000-0000-000088020000}"/>
    <cellStyle name="Tusenskille 3 2 3 4" xfId="340" xr:uid="{00000000-0005-0000-0000-000089020000}"/>
    <cellStyle name="Tusenskille 3 2 3 5" xfId="430" xr:uid="{00000000-0005-0000-0000-00008A020000}"/>
    <cellStyle name="Tusenskille 3 2 3 6" xfId="520" xr:uid="{00000000-0005-0000-0000-00008B020000}"/>
    <cellStyle name="Tusenskille 3 2 3 7" xfId="610" xr:uid="{00000000-0005-0000-0000-00008C020000}"/>
    <cellStyle name="Tusenskille 3 2 3 8" xfId="700" xr:uid="{00000000-0005-0000-0000-00008D020000}"/>
    <cellStyle name="Tusenskille 3 2 3 9" xfId="797" xr:uid="{00000000-0005-0000-0000-00008E020000}"/>
    <cellStyle name="Tusenskille 3 2 4" xfId="123" xr:uid="{00000000-0005-0000-0000-00008F020000}"/>
    <cellStyle name="Tusenskille 3 2 5" xfId="213" xr:uid="{00000000-0005-0000-0000-000090020000}"/>
    <cellStyle name="Tusenskille 3 2 6" xfId="303" xr:uid="{00000000-0005-0000-0000-000091020000}"/>
    <cellStyle name="Tusenskille 3 2 7" xfId="393" xr:uid="{00000000-0005-0000-0000-000092020000}"/>
    <cellStyle name="Tusenskille 3 2 8" xfId="483" xr:uid="{00000000-0005-0000-0000-000093020000}"/>
    <cellStyle name="Tusenskille 3 2 9" xfId="573" xr:uid="{00000000-0005-0000-0000-000094020000}"/>
    <cellStyle name="Tusenskille 3 20" xfId="659" xr:uid="{00000000-0005-0000-0000-000095020000}"/>
    <cellStyle name="Tusenskille 3 21" xfId="752" xr:uid="{00000000-0005-0000-0000-000096020000}"/>
    <cellStyle name="Tusenskille 3 3" xfId="27" xr:uid="{00000000-0005-0000-0000-000097020000}"/>
    <cellStyle name="Tusenskille 3 3 10" xfId="666" xr:uid="{00000000-0005-0000-0000-000098020000}"/>
    <cellStyle name="Tusenskille 3 3 11" xfId="761" xr:uid="{00000000-0005-0000-0000-000099020000}"/>
    <cellStyle name="Tusenskille 3 3 2" xfId="49" xr:uid="{00000000-0005-0000-0000-00009A020000}"/>
    <cellStyle name="Tusenskille 3 3 2 10" xfId="781" xr:uid="{00000000-0005-0000-0000-00009B020000}"/>
    <cellStyle name="Tusenskille 3 3 2 2" xfId="89" xr:uid="{00000000-0005-0000-0000-00009C020000}"/>
    <cellStyle name="Tusenskille 3 3 2 2 2" xfId="182" xr:uid="{00000000-0005-0000-0000-00009D020000}"/>
    <cellStyle name="Tusenskille 3 3 2 2 3" xfId="272" xr:uid="{00000000-0005-0000-0000-00009E020000}"/>
    <cellStyle name="Tusenskille 3 3 2 2 4" xfId="362" xr:uid="{00000000-0005-0000-0000-00009F020000}"/>
    <cellStyle name="Tusenskille 3 3 2 2 5" xfId="452" xr:uid="{00000000-0005-0000-0000-0000A0020000}"/>
    <cellStyle name="Tusenskille 3 3 2 2 6" xfId="542" xr:uid="{00000000-0005-0000-0000-0000A1020000}"/>
    <cellStyle name="Tusenskille 3 3 2 2 7" xfId="632" xr:uid="{00000000-0005-0000-0000-0000A2020000}"/>
    <cellStyle name="Tusenskille 3 3 2 2 8" xfId="722" xr:uid="{00000000-0005-0000-0000-0000A3020000}"/>
    <cellStyle name="Tusenskille 3 3 2 2 9" xfId="819" xr:uid="{00000000-0005-0000-0000-0000A4020000}"/>
    <cellStyle name="Tusenskille 3 3 2 3" xfId="145" xr:uid="{00000000-0005-0000-0000-0000A5020000}"/>
    <cellStyle name="Tusenskille 3 3 2 4" xfId="235" xr:uid="{00000000-0005-0000-0000-0000A6020000}"/>
    <cellStyle name="Tusenskille 3 3 2 5" xfId="325" xr:uid="{00000000-0005-0000-0000-0000A7020000}"/>
    <cellStyle name="Tusenskille 3 3 2 6" xfId="415" xr:uid="{00000000-0005-0000-0000-0000A8020000}"/>
    <cellStyle name="Tusenskille 3 3 2 7" xfId="505" xr:uid="{00000000-0005-0000-0000-0000A9020000}"/>
    <cellStyle name="Tusenskille 3 3 2 8" xfId="595" xr:uid="{00000000-0005-0000-0000-0000AA020000}"/>
    <cellStyle name="Tusenskille 3 3 2 9" xfId="685" xr:uid="{00000000-0005-0000-0000-0000AB020000}"/>
    <cellStyle name="Tusenskille 3 3 3" xfId="70" xr:uid="{00000000-0005-0000-0000-0000AC020000}"/>
    <cellStyle name="Tusenskille 3 3 3 2" xfId="163" xr:uid="{00000000-0005-0000-0000-0000AD020000}"/>
    <cellStyle name="Tusenskille 3 3 3 3" xfId="253" xr:uid="{00000000-0005-0000-0000-0000AE020000}"/>
    <cellStyle name="Tusenskille 3 3 3 4" xfId="343" xr:uid="{00000000-0005-0000-0000-0000AF020000}"/>
    <cellStyle name="Tusenskille 3 3 3 5" xfId="433" xr:uid="{00000000-0005-0000-0000-0000B0020000}"/>
    <cellStyle name="Tusenskille 3 3 3 6" xfId="523" xr:uid="{00000000-0005-0000-0000-0000B1020000}"/>
    <cellStyle name="Tusenskille 3 3 3 7" xfId="613" xr:uid="{00000000-0005-0000-0000-0000B2020000}"/>
    <cellStyle name="Tusenskille 3 3 3 8" xfId="703" xr:uid="{00000000-0005-0000-0000-0000B3020000}"/>
    <cellStyle name="Tusenskille 3 3 3 9" xfId="800" xr:uid="{00000000-0005-0000-0000-0000B4020000}"/>
    <cellStyle name="Tusenskille 3 3 4" xfId="126" xr:uid="{00000000-0005-0000-0000-0000B5020000}"/>
    <cellStyle name="Tusenskille 3 3 5" xfId="216" xr:uid="{00000000-0005-0000-0000-0000B6020000}"/>
    <cellStyle name="Tusenskille 3 3 6" xfId="306" xr:uid="{00000000-0005-0000-0000-0000B7020000}"/>
    <cellStyle name="Tusenskille 3 3 7" xfId="396" xr:uid="{00000000-0005-0000-0000-0000B8020000}"/>
    <cellStyle name="Tusenskille 3 3 8" xfId="486" xr:uid="{00000000-0005-0000-0000-0000B9020000}"/>
    <cellStyle name="Tusenskille 3 3 9" xfId="576" xr:uid="{00000000-0005-0000-0000-0000BA020000}"/>
    <cellStyle name="Tusenskille 3 4" xfId="30" xr:uid="{00000000-0005-0000-0000-0000BB020000}"/>
    <cellStyle name="Tusenskille 3 4 10" xfId="669" xr:uid="{00000000-0005-0000-0000-0000BC020000}"/>
    <cellStyle name="Tusenskille 3 4 11" xfId="764" xr:uid="{00000000-0005-0000-0000-0000BD020000}"/>
    <cellStyle name="Tusenskille 3 4 2" xfId="52" xr:uid="{00000000-0005-0000-0000-0000BE020000}"/>
    <cellStyle name="Tusenskille 3 4 2 10" xfId="784" xr:uid="{00000000-0005-0000-0000-0000BF020000}"/>
    <cellStyle name="Tusenskille 3 4 2 2" xfId="92" xr:uid="{00000000-0005-0000-0000-0000C0020000}"/>
    <cellStyle name="Tusenskille 3 4 2 2 2" xfId="185" xr:uid="{00000000-0005-0000-0000-0000C1020000}"/>
    <cellStyle name="Tusenskille 3 4 2 2 3" xfId="275" xr:uid="{00000000-0005-0000-0000-0000C2020000}"/>
    <cellStyle name="Tusenskille 3 4 2 2 4" xfId="365" xr:uid="{00000000-0005-0000-0000-0000C3020000}"/>
    <cellStyle name="Tusenskille 3 4 2 2 5" xfId="455" xr:uid="{00000000-0005-0000-0000-0000C4020000}"/>
    <cellStyle name="Tusenskille 3 4 2 2 6" xfId="545" xr:uid="{00000000-0005-0000-0000-0000C5020000}"/>
    <cellStyle name="Tusenskille 3 4 2 2 7" xfId="635" xr:uid="{00000000-0005-0000-0000-0000C6020000}"/>
    <cellStyle name="Tusenskille 3 4 2 2 8" xfId="725" xr:uid="{00000000-0005-0000-0000-0000C7020000}"/>
    <cellStyle name="Tusenskille 3 4 2 2 9" xfId="822" xr:uid="{00000000-0005-0000-0000-0000C8020000}"/>
    <cellStyle name="Tusenskille 3 4 2 3" xfId="148" xr:uid="{00000000-0005-0000-0000-0000C9020000}"/>
    <cellStyle name="Tusenskille 3 4 2 4" xfId="238" xr:uid="{00000000-0005-0000-0000-0000CA020000}"/>
    <cellStyle name="Tusenskille 3 4 2 5" xfId="328" xr:uid="{00000000-0005-0000-0000-0000CB020000}"/>
    <cellStyle name="Tusenskille 3 4 2 6" xfId="418" xr:uid="{00000000-0005-0000-0000-0000CC020000}"/>
    <cellStyle name="Tusenskille 3 4 2 7" xfId="508" xr:uid="{00000000-0005-0000-0000-0000CD020000}"/>
    <cellStyle name="Tusenskille 3 4 2 8" xfId="598" xr:uid="{00000000-0005-0000-0000-0000CE020000}"/>
    <cellStyle name="Tusenskille 3 4 2 9" xfId="688" xr:uid="{00000000-0005-0000-0000-0000CF020000}"/>
    <cellStyle name="Tusenskille 3 4 3" xfId="73" xr:uid="{00000000-0005-0000-0000-0000D0020000}"/>
    <cellStyle name="Tusenskille 3 4 3 2" xfId="166" xr:uid="{00000000-0005-0000-0000-0000D1020000}"/>
    <cellStyle name="Tusenskille 3 4 3 3" xfId="256" xr:uid="{00000000-0005-0000-0000-0000D2020000}"/>
    <cellStyle name="Tusenskille 3 4 3 4" xfId="346" xr:uid="{00000000-0005-0000-0000-0000D3020000}"/>
    <cellStyle name="Tusenskille 3 4 3 5" xfId="436" xr:uid="{00000000-0005-0000-0000-0000D4020000}"/>
    <cellStyle name="Tusenskille 3 4 3 6" xfId="526" xr:uid="{00000000-0005-0000-0000-0000D5020000}"/>
    <cellStyle name="Tusenskille 3 4 3 7" xfId="616" xr:uid="{00000000-0005-0000-0000-0000D6020000}"/>
    <cellStyle name="Tusenskille 3 4 3 8" xfId="706" xr:uid="{00000000-0005-0000-0000-0000D7020000}"/>
    <cellStyle name="Tusenskille 3 4 3 9" xfId="803" xr:uid="{00000000-0005-0000-0000-0000D8020000}"/>
    <cellStyle name="Tusenskille 3 4 4" xfId="129" xr:uid="{00000000-0005-0000-0000-0000D9020000}"/>
    <cellStyle name="Tusenskille 3 4 5" xfId="219" xr:uid="{00000000-0005-0000-0000-0000DA020000}"/>
    <cellStyle name="Tusenskille 3 4 6" xfId="309" xr:uid="{00000000-0005-0000-0000-0000DB020000}"/>
    <cellStyle name="Tusenskille 3 4 7" xfId="399" xr:uid="{00000000-0005-0000-0000-0000DC020000}"/>
    <cellStyle name="Tusenskille 3 4 8" xfId="489" xr:uid="{00000000-0005-0000-0000-0000DD020000}"/>
    <cellStyle name="Tusenskille 3 4 9" xfId="579" xr:uid="{00000000-0005-0000-0000-0000DE020000}"/>
    <cellStyle name="Tusenskille 3 5" xfId="34" xr:uid="{00000000-0005-0000-0000-0000DF020000}"/>
    <cellStyle name="Tusenskille 3 5 10" xfId="672" xr:uid="{00000000-0005-0000-0000-0000E0020000}"/>
    <cellStyle name="Tusenskille 3 5 11" xfId="767" xr:uid="{00000000-0005-0000-0000-0000E1020000}"/>
    <cellStyle name="Tusenskille 3 5 2" xfId="56" xr:uid="{00000000-0005-0000-0000-0000E2020000}"/>
    <cellStyle name="Tusenskille 3 5 2 10" xfId="787" xr:uid="{00000000-0005-0000-0000-0000E3020000}"/>
    <cellStyle name="Tusenskille 3 5 2 2" xfId="96" xr:uid="{00000000-0005-0000-0000-0000E4020000}"/>
    <cellStyle name="Tusenskille 3 5 2 2 2" xfId="188" xr:uid="{00000000-0005-0000-0000-0000E5020000}"/>
    <cellStyle name="Tusenskille 3 5 2 2 3" xfId="278" xr:uid="{00000000-0005-0000-0000-0000E6020000}"/>
    <cellStyle name="Tusenskille 3 5 2 2 4" xfId="368" xr:uid="{00000000-0005-0000-0000-0000E7020000}"/>
    <cellStyle name="Tusenskille 3 5 2 2 5" xfId="458" xr:uid="{00000000-0005-0000-0000-0000E8020000}"/>
    <cellStyle name="Tusenskille 3 5 2 2 6" xfId="548" xr:uid="{00000000-0005-0000-0000-0000E9020000}"/>
    <cellStyle name="Tusenskille 3 5 2 2 7" xfId="638" xr:uid="{00000000-0005-0000-0000-0000EA020000}"/>
    <cellStyle name="Tusenskille 3 5 2 2 8" xfId="728" xr:uid="{00000000-0005-0000-0000-0000EB020000}"/>
    <cellStyle name="Tusenskille 3 5 2 2 9" xfId="825" xr:uid="{00000000-0005-0000-0000-0000EC020000}"/>
    <cellStyle name="Tusenskille 3 5 2 3" xfId="151" xr:uid="{00000000-0005-0000-0000-0000ED020000}"/>
    <cellStyle name="Tusenskille 3 5 2 4" xfId="241" xr:uid="{00000000-0005-0000-0000-0000EE020000}"/>
    <cellStyle name="Tusenskille 3 5 2 5" xfId="331" xr:uid="{00000000-0005-0000-0000-0000EF020000}"/>
    <cellStyle name="Tusenskille 3 5 2 6" xfId="421" xr:uid="{00000000-0005-0000-0000-0000F0020000}"/>
    <cellStyle name="Tusenskille 3 5 2 7" xfId="511" xr:uid="{00000000-0005-0000-0000-0000F1020000}"/>
    <cellStyle name="Tusenskille 3 5 2 8" xfId="601" xr:uid="{00000000-0005-0000-0000-0000F2020000}"/>
    <cellStyle name="Tusenskille 3 5 2 9" xfId="691" xr:uid="{00000000-0005-0000-0000-0000F3020000}"/>
    <cellStyle name="Tusenskille 3 5 3" xfId="76" xr:uid="{00000000-0005-0000-0000-0000F4020000}"/>
    <cellStyle name="Tusenskille 3 5 3 2" xfId="169" xr:uid="{00000000-0005-0000-0000-0000F5020000}"/>
    <cellStyle name="Tusenskille 3 5 3 3" xfId="259" xr:uid="{00000000-0005-0000-0000-0000F6020000}"/>
    <cellStyle name="Tusenskille 3 5 3 4" xfId="349" xr:uid="{00000000-0005-0000-0000-0000F7020000}"/>
    <cellStyle name="Tusenskille 3 5 3 5" xfId="439" xr:uid="{00000000-0005-0000-0000-0000F8020000}"/>
    <cellStyle name="Tusenskille 3 5 3 6" xfId="529" xr:uid="{00000000-0005-0000-0000-0000F9020000}"/>
    <cellStyle name="Tusenskille 3 5 3 7" xfId="619" xr:uid="{00000000-0005-0000-0000-0000FA020000}"/>
    <cellStyle name="Tusenskille 3 5 3 8" xfId="709" xr:uid="{00000000-0005-0000-0000-0000FB020000}"/>
    <cellStyle name="Tusenskille 3 5 3 9" xfId="806" xr:uid="{00000000-0005-0000-0000-0000FC020000}"/>
    <cellStyle name="Tusenskille 3 5 4" xfId="132" xr:uid="{00000000-0005-0000-0000-0000FD020000}"/>
    <cellStyle name="Tusenskille 3 5 5" xfId="222" xr:uid="{00000000-0005-0000-0000-0000FE020000}"/>
    <cellStyle name="Tusenskille 3 5 6" xfId="312" xr:uid="{00000000-0005-0000-0000-0000FF020000}"/>
    <cellStyle name="Tusenskille 3 5 7" xfId="402" xr:uid="{00000000-0005-0000-0000-000000030000}"/>
    <cellStyle name="Tusenskille 3 5 8" xfId="492" xr:uid="{00000000-0005-0000-0000-000001030000}"/>
    <cellStyle name="Tusenskille 3 5 9" xfId="582" xr:uid="{00000000-0005-0000-0000-000002030000}"/>
    <cellStyle name="Tusenskille 3 6" xfId="37" xr:uid="{00000000-0005-0000-0000-000003030000}"/>
    <cellStyle name="Tusenskille 3 6 10" xfId="675" xr:uid="{00000000-0005-0000-0000-000004030000}"/>
    <cellStyle name="Tusenskille 3 6 11" xfId="770" xr:uid="{00000000-0005-0000-0000-000005030000}"/>
    <cellStyle name="Tusenskille 3 6 2" xfId="59" xr:uid="{00000000-0005-0000-0000-000006030000}"/>
    <cellStyle name="Tusenskille 3 6 2 10" xfId="790" xr:uid="{00000000-0005-0000-0000-000007030000}"/>
    <cellStyle name="Tusenskille 3 6 2 2" xfId="99" xr:uid="{00000000-0005-0000-0000-000008030000}"/>
    <cellStyle name="Tusenskille 3 6 2 2 2" xfId="191" xr:uid="{00000000-0005-0000-0000-000009030000}"/>
    <cellStyle name="Tusenskille 3 6 2 2 3" xfId="281" xr:uid="{00000000-0005-0000-0000-00000A030000}"/>
    <cellStyle name="Tusenskille 3 6 2 2 4" xfId="371" xr:uid="{00000000-0005-0000-0000-00000B030000}"/>
    <cellStyle name="Tusenskille 3 6 2 2 5" xfId="461" xr:uid="{00000000-0005-0000-0000-00000C030000}"/>
    <cellStyle name="Tusenskille 3 6 2 2 6" xfId="551" xr:uid="{00000000-0005-0000-0000-00000D030000}"/>
    <cellStyle name="Tusenskille 3 6 2 2 7" xfId="641" xr:uid="{00000000-0005-0000-0000-00000E030000}"/>
    <cellStyle name="Tusenskille 3 6 2 2 8" xfId="731" xr:uid="{00000000-0005-0000-0000-00000F030000}"/>
    <cellStyle name="Tusenskille 3 6 2 2 9" xfId="828" xr:uid="{00000000-0005-0000-0000-000010030000}"/>
    <cellStyle name="Tusenskille 3 6 2 3" xfId="154" xr:uid="{00000000-0005-0000-0000-000011030000}"/>
    <cellStyle name="Tusenskille 3 6 2 4" xfId="244" xr:uid="{00000000-0005-0000-0000-000012030000}"/>
    <cellStyle name="Tusenskille 3 6 2 5" xfId="334" xr:uid="{00000000-0005-0000-0000-000013030000}"/>
    <cellStyle name="Tusenskille 3 6 2 6" xfId="424" xr:uid="{00000000-0005-0000-0000-000014030000}"/>
    <cellStyle name="Tusenskille 3 6 2 7" xfId="514" xr:uid="{00000000-0005-0000-0000-000015030000}"/>
    <cellStyle name="Tusenskille 3 6 2 8" xfId="604" xr:uid="{00000000-0005-0000-0000-000016030000}"/>
    <cellStyle name="Tusenskille 3 6 2 9" xfId="694" xr:uid="{00000000-0005-0000-0000-000017030000}"/>
    <cellStyle name="Tusenskille 3 6 3" xfId="79" xr:uid="{00000000-0005-0000-0000-000018030000}"/>
    <cellStyle name="Tusenskille 3 6 3 2" xfId="172" xr:uid="{00000000-0005-0000-0000-000019030000}"/>
    <cellStyle name="Tusenskille 3 6 3 3" xfId="262" xr:uid="{00000000-0005-0000-0000-00001A030000}"/>
    <cellStyle name="Tusenskille 3 6 3 4" xfId="352" xr:uid="{00000000-0005-0000-0000-00001B030000}"/>
    <cellStyle name="Tusenskille 3 6 3 5" xfId="442" xr:uid="{00000000-0005-0000-0000-00001C030000}"/>
    <cellStyle name="Tusenskille 3 6 3 6" xfId="532" xr:uid="{00000000-0005-0000-0000-00001D030000}"/>
    <cellStyle name="Tusenskille 3 6 3 7" xfId="622" xr:uid="{00000000-0005-0000-0000-00001E030000}"/>
    <cellStyle name="Tusenskille 3 6 3 8" xfId="712" xr:uid="{00000000-0005-0000-0000-00001F030000}"/>
    <cellStyle name="Tusenskille 3 6 3 9" xfId="809" xr:uid="{00000000-0005-0000-0000-000020030000}"/>
    <cellStyle name="Tusenskille 3 6 4" xfId="135" xr:uid="{00000000-0005-0000-0000-000021030000}"/>
    <cellStyle name="Tusenskille 3 6 5" xfId="225" xr:uid="{00000000-0005-0000-0000-000022030000}"/>
    <cellStyle name="Tusenskille 3 6 6" xfId="315" xr:uid="{00000000-0005-0000-0000-000023030000}"/>
    <cellStyle name="Tusenskille 3 6 7" xfId="405" xr:uid="{00000000-0005-0000-0000-000024030000}"/>
    <cellStyle name="Tusenskille 3 6 8" xfId="495" xr:uid="{00000000-0005-0000-0000-000025030000}"/>
    <cellStyle name="Tusenskille 3 6 9" xfId="585" xr:uid="{00000000-0005-0000-0000-000026030000}"/>
    <cellStyle name="Tusenskille 3 7" xfId="43" xr:uid="{00000000-0005-0000-0000-000027030000}"/>
    <cellStyle name="Tusenskille 3 7 10" xfId="775" xr:uid="{00000000-0005-0000-0000-000028030000}"/>
    <cellStyle name="Tusenskille 3 7 2" xfId="83" xr:uid="{00000000-0005-0000-0000-000029030000}"/>
    <cellStyle name="Tusenskille 3 7 2 2" xfId="176" xr:uid="{00000000-0005-0000-0000-00002A030000}"/>
    <cellStyle name="Tusenskille 3 7 2 3" xfId="266" xr:uid="{00000000-0005-0000-0000-00002B030000}"/>
    <cellStyle name="Tusenskille 3 7 2 4" xfId="356" xr:uid="{00000000-0005-0000-0000-00002C030000}"/>
    <cellStyle name="Tusenskille 3 7 2 5" xfId="446" xr:uid="{00000000-0005-0000-0000-00002D030000}"/>
    <cellStyle name="Tusenskille 3 7 2 6" xfId="536" xr:uid="{00000000-0005-0000-0000-00002E030000}"/>
    <cellStyle name="Tusenskille 3 7 2 7" xfId="626" xr:uid="{00000000-0005-0000-0000-00002F030000}"/>
    <cellStyle name="Tusenskille 3 7 2 8" xfId="716" xr:uid="{00000000-0005-0000-0000-000030030000}"/>
    <cellStyle name="Tusenskille 3 7 2 9" xfId="813" xr:uid="{00000000-0005-0000-0000-000031030000}"/>
    <cellStyle name="Tusenskille 3 7 3" xfId="139" xr:uid="{00000000-0005-0000-0000-000032030000}"/>
    <cellStyle name="Tusenskille 3 7 4" xfId="229" xr:uid="{00000000-0005-0000-0000-000033030000}"/>
    <cellStyle name="Tusenskille 3 7 5" xfId="319" xr:uid="{00000000-0005-0000-0000-000034030000}"/>
    <cellStyle name="Tusenskille 3 7 6" xfId="409" xr:uid="{00000000-0005-0000-0000-000035030000}"/>
    <cellStyle name="Tusenskille 3 7 7" xfId="499" xr:uid="{00000000-0005-0000-0000-000036030000}"/>
    <cellStyle name="Tusenskille 3 7 8" xfId="589" xr:uid="{00000000-0005-0000-0000-000037030000}"/>
    <cellStyle name="Tusenskille 3 7 9" xfId="679" xr:uid="{00000000-0005-0000-0000-000038030000}"/>
    <cellStyle name="Tusenskille 3 8" xfId="64" xr:uid="{00000000-0005-0000-0000-000039030000}"/>
    <cellStyle name="Tusenskille 3 8 2" xfId="157" xr:uid="{00000000-0005-0000-0000-00003A030000}"/>
    <cellStyle name="Tusenskille 3 8 3" xfId="247" xr:uid="{00000000-0005-0000-0000-00003B030000}"/>
    <cellStyle name="Tusenskille 3 8 4" xfId="337" xr:uid="{00000000-0005-0000-0000-00003C030000}"/>
    <cellStyle name="Tusenskille 3 8 5" xfId="427" xr:uid="{00000000-0005-0000-0000-00003D030000}"/>
    <cellStyle name="Tusenskille 3 8 6" xfId="517" xr:uid="{00000000-0005-0000-0000-00003E030000}"/>
    <cellStyle name="Tusenskille 3 8 7" xfId="607" xr:uid="{00000000-0005-0000-0000-00003F030000}"/>
    <cellStyle name="Tusenskille 3 8 8" xfId="697" xr:uid="{00000000-0005-0000-0000-000040030000}"/>
    <cellStyle name="Tusenskille 3 8 9" xfId="794" xr:uid="{00000000-0005-0000-0000-000041030000}"/>
    <cellStyle name="Tusenskille 3 9" xfId="102" xr:uid="{00000000-0005-0000-0000-000042030000}"/>
    <cellStyle name="Tusenskille 3 9 2" xfId="194" xr:uid="{00000000-0005-0000-0000-000043030000}"/>
    <cellStyle name="Tusenskille 3 9 3" xfId="284" xr:uid="{00000000-0005-0000-0000-000044030000}"/>
    <cellStyle name="Tusenskille 3 9 4" xfId="374" xr:uid="{00000000-0005-0000-0000-000045030000}"/>
    <cellStyle name="Tusenskille 3 9 5" xfId="464" xr:uid="{00000000-0005-0000-0000-000046030000}"/>
    <cellStyle name="Tusenskille 3 9 6" xfId="554" xr:uid="{00000000-0005-0000-0000-000047030000}"/>
    <cellStyle name="Tusenskille 3 9 7" xfId="644" xr:uid="{00000000-0005-0000-0000-000048030000}"/>
    <cellStyle name="Tusenskille 3 9 8" xfId="734" xr:uid="{00000000-0005-0000-0000-000049030000}"/>
    <cellStyle name="Tusenskille 3 9 9" xfId="831" xr:uid="{00000000-0005-0000-0000-00004A030000}"/>
    <cellStyle name="Tusenskille 4" xfId="17" xr:uid="{00000000-0005-0000-0000-00004B030000}"/>
    <cellStyle name="Tusenskille 4 2" xfId="753" xr:uid="{00000000-0005-0000-0000-00004C030000}"/>
    <cellStyle name="Tusenskille 5" xfId="13" xr:uid="{00000000-0005-0000-0000-00004D030000}"/>
    <cellStyle name="Tusenskille 5 2" xfId="749" xr:uid="{00000000-0005-0000-0000-00004E030000}"/>
    <cellStyle name="Tusenskille 6" xfId="115" xr:uid="{00000000-0005-0000-0000-00004F030000}"/>
    <cellStyle name="TusenskilleFjernNull" xfId="846" xr:uid="{00000000-0005-0000-0000-000050030000}"/>
  </cellStyles>
  <dxfs count="72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mruColors>
      <color rgb="FFF8E9D6"/>
      <color rgb="FFFFFF99"/>
      <color rgb="FFF7D7F7"/>
      <color rgb="FFFCD2E2"/>
      <color rgb="FFD2F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7140801174953532"/>
          <c:y val="9.8477480734069936E-2"/>
          <c:w val="0.74903048765490665"/>
          <c:h val="0.65437502946862602"/>
        </c:manualLayout>
      </c:layout>
      <c:barChart>
        <c:barDir val="col"/>
        <c:grouping val="clustered"/>
        <c:varyColors val="0"/>
        <c:ser>
          <c:idx val="0"/>
          <c:order val="0"/>
          <c:tx>
            <c:strRef>
              <c:f>Figurer!$M$7</c:f>
              <c:strCache>
                <c:ptCount val="1"/>
                <c:pt idx="0">
                  <c:v>2023</c:v>
                </c:pt>
              </c:strCache>
            </c:strRef>
          </c:tx>
          <c:invertIfNegative val="0"/>
          <c:cat>
            <c:strRef>
              <c:f>Figurer!$L$8:$L$30</c:f>
              <c:strCache>
                <c:ptCount val="23"/>
                <c:pt idx="0">
                  <c:v>DNB Liv</c:v>
                </c:pt>
                <c:pt idx="1">
                  <c:v>Eika Forsikring</c:v>
                </c:pt>
                <c:pt idx="2">
                  <c:v>Euro Accident</c:v>
                </c:pt>
                <c:pt idx="3">
                  <c:v>Fremtind Livsfors</c:v>
                </c:pt>
                <c:pt idx="4">
                  <c:v>Frende Livsfors</c:v>
                </c:pt>
                <c:pt idx="5">
                  <c:v>Frende Skade</c:v>
                </c:pt>
                <c:pt idx="6">
                  <c:v>Gjensidige Fors</c:v>
                </c:pt>
                <c:pt idx="7">
                  <c:v>Gjensidige Pensj</c:v>
                </c:pt>
                <c:pt idx="8">
                  <c:v>If Skadefors</c:v>
                </c:pt>
                <c:pt idx="9">
                  <c:v>KLP</c:v>
                </c:pt>
                <c:pt idx="10">
                  <c:v>KLP Skadef</c:v>
                </c:pt>
                <c:pt idx="11">
                  <c:v>Landkreditt Fors.</c:v>
                </c:pt>
                <c:pt idx="12">
                  <c:v>Ly Forsikring</c:v>
                </c:pt>
                <c:pt idx="13">
                  <c:v>Nordea Liv</c:v>
                </c:pt>
                <c:pt idx="14">
                  <c:v>Oslo Forsikring</c:v>
                </c:pt>
                <c:pt idx="15">
                  <c:v>OPF</c:v>
                </c:pt>
                <c:pt idx="16">
                  <c:v>Protector Fors</c:v>
                </c:pt>
                <c:pt idx="17">
                  <c:v>SpareBank 1 Forsikring</c:v>
                </c:pt>
                <c:pt idx="18">
                  <c:v>Storebrand Liv</c:v>
                </c:pt>
                <c:pt idx="19">
                  <c:v>Telenor Fors</c:v>
                </c:pt>
                <c:pt idx="20">
                  <c:v>Tryg Fors</c:v>
                </c:pt>
                <c:pt idx="21">
                  <c:v>WaterCircles Fors.</c:v>
                </c:pt>
                <c:pt idx="22">
                  <c:v>Youplus Livsf</c:v>
                </c:pt>
              </c:strCache>
            </c:strRef>
          </c:cat>
          <c:val>
            <c:numRef>
              <c:f>Figurer!$M$8:$M$30</c:f>
              <c:numCache>
                <c:formatCode>#,##0</c:formatCode>
                <c:ptCount val="23"/>
                <c:pt idx="0">
                  <c:v>1921772.93459</c:v>
                </c:pt>
                <c:pt idx="1">
                  <c:v>328485</c:v>
                </c:pt>
                <c:pt idx="2">
                  <c:v>37969</c:v>
                </c:pt>
                <c:pt idx="3">
                  <c:v>1787529.9482200001</c:v>
                </c:pt>
                <c:pt idx="4">
                  <c:v>560991</c:v>
                </c:pt>
                <c:pt idx="5">
                  <c:v>6421.1409999999996</c:v>
                </c:pt>
                <c:pt idx="6">
                  <c:v>1738257.38</c:v>
                </c:pt>
                <c:pt idx="7">
                  <c:v>501647</c:v>
                </c:pt>
                <c:pt idx="8">
                  <c:v>390067.28087663499</c:v>
                </c:pt>
                <c:pt idx="9">
                  <c:v>50821943.510260001</c:v>
                </c:pt>
                <c:pt idx="10">
                  <c:v>291794.03399999999</c:v>
                </c:pt>
                <c:pt idx="11">
                  <c:v>27211</c:v>
                </c:pt>
                <c:pt idx="12">
                  <c:v>17589.487000000001</c:v>
                </c:pt>
                <c:pt idx="13">
                  <c:v>1049648.6027257838</c:v>
                </c:pt>
                <c:pt idx="14">
                  <c:v>0</c:v>
                </c:pt>
                <c:pt idx="15">
                  <c:v>1628400</c:v>
                </c:pt>
                <c:pt idx="16">
                  <c:v>344520.89481466758</c:v>
                </c:pt>
                <c:pt idx="17">
                  <c:v>447144.46056000004</c:v>
                </c:pt>
                <c:pt idx="18">
                  <c:v>4982353.1144599998</c:v>
                </c:pt>
                <c:pt idx="19">
                  <c:v>4532</c:v>
                </c:pt>
                <c:pt idx="20">
                  <c:v>730497.88699999999</c:v>
                </c:pt>
                <c:pt idx="21">
                  <c:v>1888</c:v>
                </c:pt>
                <c:pt idx="22">
                  <c:v>4956</c:v>
                </c:pt>
              </c:numCache>
            </c:numRef>
          </c:val>
          <c:extLst>
            <c:ext xmlns:c16="http://schemas.microsoft.com/office/drawing/2014/chart" uri="{C3380CC4-5D6E-409C-BE32-E72D297353CC}">
              <c16:uniqueId val="{00000002-93AE-4CD9-98AD-A52686D1F9FB}"/>
            </c:ext>
          </c:extLst>
        </c:ser>
        <c:ser>
          <c:idx val="1"/>
          <c:order val="1"/>
          <c:tx>
            <c:strRef>
              <c:f>Figurer!$N$7</c:f>
              <c:strCache>
                <c:ptCount val="1"/>
                <c:pt idx="0">
                  <c:v>2024</c:v>
                </c:pt>
              </c:strCache>
            </c:strRef>
          </c:tx>
          <c:invertIfNegative val="0"/>
          <c:cat>
            <c:strRef>
              <c:f>Figurer!$L$8:$L$30</c:f>
              <c:strCache>
                <c:ptCount val="23"/>
                <c:pt idx="0">
                  <c:v>DNB Liv</c:v>
                </c:pt>
                <c:pt idx="1">
                  <c:v>Eika Forsikring</c:v>
                </c:pt>
                <c:pt idx="2">
                  <c:v>Euro Accident</c:v>
                </c:pt>
                <c:pt idx="3">
                  <c:v>Fremtind Livsfors</c:v>
                </c:pt>
                <c:pt idx="4">
                  <c:v>Frende Livsfors</c:v>
                </c:pt>
                <c:pt idx="5">
                  <c:v>Frende Skade</c:v>
                </c:pt>
                <c:pt idx="6">
                  <c:v>Gjensidige Fors</c:v>
                </c:pt>
                <c:pt idx="7">
                  <c:v>Gjensidige Pensj</c:v>
                </c:pt>
                <c:pt idx="8">
                  <c:v>If Skadefors</c:v>
                </c:pt>
                <c:pt idx="9">
                  <c:v>KLP</c:v>
                </c:pt>
                <c:pt idx="10">
                  <c:v>KLP Skadef</c:v>
                </c:pt>
                <c:pt idx="11">
                  <c:v>Landkreditt Fors.</c:v>
                </c:pt>
                <c:pt idx="12">
                  <c:v>Ly Forsikring</c:v>
                </c:pt>
                <c:pt idx="13">
                  <c:v>Nordea Liv</c:v>
                </c:pt>
                <c:pt idx="14">
                  <c:v>Oslo Forsikring</c:v>
                </c:pt>
                <c:pt idx="15">
                  <c:v>OPF</c:v>
                </c:pt>
                <c:pt idx="16">
                  <c:v>Protector Fors</c:v>
                </c:pt>
                <c:pt idx="17">
                  <c:v>SpareBank 1 Forsikring</c:v>
                </c:pt>
                <c:pt idx="18">
                  <c:v>Storebrand Liv</c:v>
                </c:pt>
                <c:pt idx="19">
                  <c:v>Telenor Fors</c:v>
                </c:pt>
                <c:pt idx="20">
                  <c:v>Tryg Fors</c:v>
                </c:pt>
                <c:pt idx="21">
                  <c:v>WaterCircles Fors.</c:v>
                </c:pt>
                <c:pt idx="22">
                  <c:v>Youplus Livsf</c:v>
                </c:pt>
              </c:strCache>
            </c:strRef>
          </c:cat>
          <c:val>
            <c:numRef>
              <c:f>Figurer!$N$8:$N$30</c:f>
              <c:numCache>
                <c:formatCode>#,##0</c:formatCode>
                <c:ptCount val="23"/>
                <c:pt idx="0">
                  <c:v>2002337</c:v>
                </c:pt>
                <c:pt idx="1">
                  <c:v>354498</c:v>
                </c:pt>
                <c:pt idx="2">
                  <c:v>70533</c:v>
                </c:pt>
                <c:pt idx="3">
                  <c:v>1904465.84512</c:v>
                </c:pt>
                <c:pt idx="4">
                  <c:v>629116</c:v>
                </c:pt>
                <c:pt idx="5">
                  <c:v>4207.2179999999998</c:v>
                </c:pt>
                <c:pt idx="6">
                  <c:v>1777605.365</c:v>
                </c:pt>
                <c:pt idx="7">
                  <c:v>555519</c:v>
                </c:pt>
                <c:pt idx="8">
                  <c:v>430213.39947497001</c:v>
                </c:pt>
                <c:pt idx="9">
                  <c:v>37126670.17317</c:v>
                </c:pt>
                <c:pt idx="10">
                  <c:v>323278.35000000003</c:v>
                </c:pt>
                <c:pt idx="11">
                  <c:v>30587</c:v>
                </c:pt>
                <c:pt idx="12">
                  <c:v>21876</c:v>
                </c:pt>
                <c:pt idx="13">
                  <c:v>1101856.443037055</c:v>
                </c:pt>
                <c:pt idx="14">
                  <c:v>16932</c:v>
                </c:pt>
                <c:pt idx="15">
                  <c:v>1975000</c:v>
                </c:pt>
                <c:pt idx="16">
                  <c:v>369670</c:v>
                </c:pt>
                <c:pt idx="17">
                  <c:v>483891.55215999996</c:v>
                </c:pt>
                <c:pt idx="18">
                  <c:v>4493232.5606899997</c:v>
                </c:pt>
                <c:pt idx="19">
                  <c:v>4814</c:v>
                </c:pt>
                <c:pt idx="20">
                  <c:v>805943</c:v>
                </c:pt>
                <c:pt idx="21">
                  <c:v>1769.49</c:v>
                </c:pt>
                <c:pt idx="22">
                  <c:v>42013</c:v>
                </c:pt>
              </c:numCache>
            </c:numRef>
          </c:val>
          <c:extLst>
            <c:ext xmlns:c16="http://schemas.microsoft.com/office/drawing/2014/chart" uri="{C3380CC4-5D6E-409C-BE32-E72D297353CC}">
              <c16:uniqueId val="{00000003-93AE-4CD9-98AD-A52686D1F9FB}"/>
            </c:ext>
          </c:extLst>
        </c:ser>
        <c:dLbls>
          <c:showLegendKey val="0"/>
          <c:showVal val="0"/>
          <c:showCatName val="0"/>
          <c:showSerName val="0"/>
          <c:showPercent val="0"/>
          <c:showBubbleSize val="0"/>
        </c:dLbls>
        <c:gapWidth val="150"/>
        <c:axId val="242174208"/>
        <c:axId val="242180096"/>
      </c:barChart>
      <c:catAx>
        <c:axId val="2421742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180096"/>
        <c:crosses val="autoZero"/>
        <c:auto val="1"/>
        <c:lblAlgn val="ctr"/>
        <c:lblOffset val="100"/>
        <c:tickLblSkip val="1"/>
        <c:tickMarkSkip val="1"/>
        <c:noMultiLvlLbl val="0"/>
      </c:catAx>
      <c:valAx>
        <c:axId val="242180096"/>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6.9444532284870034E-3"/>
              <c:y val="0.35171127561150661"/>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174208"/>
        <c:crosses val="autoZero"/>
        <c:crossBetween val="between"/>
      </c:valAx>
    </c:plotArea>
    <c:legend>
      <c:legendPos val="b"/>
      <c:layout>
        <c:manualLayout>
          <c:xMode val="edge"/>
          <c:yMode val="edge"/>
          <c:x val="0.35321900023541236"/>
          <c:y val="0.94486784960263159"/>
          <c:w val="9.5093936551103805E-2"/>
          <c:h val="3.8797994562056987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6608656849620704"/>
          <c:y val="0.10754105736782903"/>
          <c:w val="0.77619271486646502"/>
          <c:h val="0.61573077622722905"/>
        </c:manualLayout>
      </c:layout>
      <c:barChart>
        <c:barDir val="col"/>
        <c:grouping val="clustered"/>
        <c:varyColors val="0"/>
        <c:ser>
          <c:idx val="0"/>
          <c:order val="0"/>
          <c:tx>
            <c:strRef>
              <c:f>Figurer!$M$34</c:f>
              <c:strCache>
                <c:ptCount val="1"/>
                <c:pt idx="0">
                  <c:v>2023</c:v>
                </c:pt>
              </c:strCache>
            </c:strRef>
          </c:tx>
          <c:invertIfNegative val="0"/>
          <c:cat>
            <c:strRef>
              <c:f>Figurer!$L$35:$L$40</c:f>
              <c:strCache>
                <c:ptCount val="6"/>
                <c:pt idx="0">
                  <c:v>DNB Liv</c:v>
                </c:pt>
                <c:pt idx="1">
                  <c:v>Gjensidige Pensj</c:v>
                </c:pt>
                <c:pt idx="2">
                  <c:v>KLP</c:v>
                </c:pt>
                <c:pt idx="3">
                  <c:v>Nordea Liv</c:v>
                </c:pt>
                <c:pt idx="4">
                  <c:v>SpareBank 1 Forsikring</c:v>
                </c:pt>
                <c:pt idx="5">
                  <c:v>Storebrand Liv</c:v>
                </c:pt>
              </c:strCache>
            </c:strRef>
          </c:cat>
          <c:val>
            <c:numRef>
              <c:f>Figurer!$M$35:$M$40</c:f>
              <c:numCache>
                <c:formatCode>#,##0</c:formatCode>
                <c:ptCount val="6"/>
                <c:pt idx="0">
                  <c:v>7066194.9060000004</c:v>
                </c:pt>
                <c:pt idx="1">
                  <c:v>2603075</c:v>
                </c:pt>
                <c:pt idx="2">
                  <c:v>189248.239</c:v>
                </c:pt>
                <c:pt idx="3">
                  <c:v>7948920.37763</c:v>
                </c:pt>
                <c:pt idx="4">
                  <c:v>3397452.4664799999</c:v>
                </c:pt>
                <c:pt idx="5">
                  <c:v>8584720.5231100004</c:v>
                </c:pt>
              </c:numCache>
            </c:numRef>
          </c:val>
          <c:extLst>
            <c:ext xmlns:c16="http://schemas.microsoft.com/office/drawing/2014/chart" uri="{C3380CC4-5D6E-409C-BE32-E72D297353CC}">
              <c16:uniqueId val="{00000000-3971-4F9A-B5A3-CF52C774B823}"/>
            </c:ext>
          </c:extLst>
        </c:ser>
        <c:ser>
          <c:idx val="1"/>
          <c:order val="1"/>
          <c:tx>
            <c:strRef>
              <c:f>Figurer!$N$34</c:f>
              <c:strCache>
                <c:ptCount val="1"/>
                <c:pt idx="0">
                  <c:v>2024</c:v>
                </c:pt>
              </c:strCache>
            </c:strRef>
          </c:tx>
          <c:invertIfNegative val="0"/>
          <c:cat>
            <c:strRef>
              <c:f>Figurer!$L$35:$L$40</c:f>
              <c:strCache>
                <c:ptCount val="6"/>
                <c:pt idx="0">
                  <c:v>DNB Liv</c:v>
                </c:pt>
                <c:pt idx="1">
                  <c:v>Gjensidige Pensj</c:v>
                </c:pt>
                <c:pt idx="2">
                  <c:v>KLP</c:v>
                </c:pt>
                <c:pt idx="3">
                  <c:v>Nordea Liv</c:v>
                </c:pt>
                <c:pt idx="4">
                  <c:v>SpareBank 1 Forsikring</c:v>
                </c:pt>
                <c:pt idx="5">
                  <c:v>Storebrand Liv</c:v>
                </c:pt>
              </c:strCache>
            </c:strRef>
          </c:cat>
          <c:val>
            <c:numRef>
              <c:f>Figurer!$N$35:$N$40</c:f>
              <c:numCache>
                <c:formatCode>#,##0</c:formatCode>
                <c:ptCount val="6"/>
                <c:pt idx="0">
                  <c:v>7890424</c:v>
                </c:pt>
                <c:pt idx="1">
                  <c:v>3214737</c:v>
                </c:pt>
                <c:pt idx="2">
                  <c:v>129541.768</c:v>
                </c:pt>
                <c:pt idx="3">
                  <c:v>10691816.457010001</c:v>
                </c:pt>
                <c:pt idx="4">
                  <c:v>3747368.3149599996</c:v>
                </c:pt>
                <c:pt idx="5">
                  <c:v>8986622.7596799992</c:v>
                </c:pt>
              </c:numCache>
            </c:numRef>
          </c:val>
          <c:extLst>
            <c:ext xmlns:c16="http://schemas.microsoft.com/office/drawing/2014/chart" uri="{C3380CC4-5D6E-409C-BE32-E72D297353CC}">
              <c16:uniqueId val="{00000001-3971-4F9A-B5A3-CF52C774B823}"/>
            </c:ext>
          </c:extLst>
        </c:ser>
        <c:dLbls>
          <c:showLegendKey val="0"/>
          <c:showVal val="0"/>
          <c:showCatName val="0"/>
          <c:showSerName val="0"/>
          <c:showPercent val="0"/>
          <c:showBubbleSize val="0"/>
        </c:dLbls>
        <c:gapWidth val="150"/>
        <c:axId val="242208128"/>
        <c:axId val="242427008"/>
      </c:barChart>
      <c:catAx>
        <c:axId val="2422081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427008"/>
        <c:crosses val="autoZero"/>
        <c:auto val="1"/>
        <c:lblAlgn val="ctr"/>
        <c:lblOffset val="100"/>
        <c:tickLblSkip val="1"/>
        <c:tickMarkSkip val="1"/>
        <c:noMultiLvlLbl val="0"/>
      </c:catAx>
      <c:valAx>
        <c:axId val="242427008"/>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6.9541508114698515E-3"/>
              <c:y val="0.33962311853875432"/>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208128"/>
        <c:crosses val="autoZero"/>
        <c:crossBetween val="between"/>
      </c:valAx>
    </c:plotArea>
    <c:legend>
      <c:legendPos val="b"/>
      <c:layout>
        <c:manualLayout>
          <c:xMode val="edge"/>
          <c:yMode val="edge"/>
          <c:x val="0.34749475592659351"/>
          <c:y val="0.93710900423161392"/>
          <c:w val="0.23943149676571668"/>
          <c:h val="5.0314424982592074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9034622721340161"/>
          <c:y val="7.9682070044274814E-2"/>
          <c:w val="0.72950920069418312"/>
          <c:h val="0.62009389947752291"/>
        </c:manualLayout>
      </c:layout>
      <c:barChart>
        <c:barDir val="col"/>
        <c:grouping val="clustered"/>
        <c:varyColors val="0"/>
        <c:ser>
          <c:idx val="0"/>
          <c:order val="0"/>
          <c:tx>
            <c:strRef>
              <c:f>Figurer!$M$52</c:f>
              <c:strCache>
                <c:ptCount val="1"/>
                <c:pt idx="0">
                  <c:v>2023</c:v>
                </c:pt>
              </c:strCache>
            </c:strRef>
          </c:tx>
          <c:invertIfNegative val="0"/>
          <c:cat>
            <c:strRef>
              <c:f>Figurer!$L$53:$L$73</c:f>
              <c:strCache>
                <c:ptCount val="21"/>
                <c:pt idx="0">
                  <c:v>DNB Liv</c:v>
                </c:pt>
                <c:pt idx="1">
                  <c:v>Eika Forsikring</c:v>
                </c:pt>
                <c:pt idx="2">
                  <c:v>Euro Accident</c:v>
                </c:pt>
                <c:pt idx="3">
                  <c:v>Fremtind Livsfors</c:v>
                </c:pt>
                <c:pt idx="4">
                  <c:v>Frende Livsfors</c:v>
                </c:pt>
                <c:pt idx="5">
                  <c:v>Gjensidige Fors</c:v>
                </c:pt>
                <c:pt idx="6">
                  <c:v>Gjensidige Pensj</c:v>
                </c:pt>
                <c:pt idx="7">
                  <c:v>If Skadefors</c:v>
                </c:pt>
                <c:pt idx="8">
                  <c:v>KLP</c:v>
                </c:pt>
                <c:pt idx="9">
                  <c:v>KLP Skadef</c:v>
                </c:pt>
                <c:pt idx="10">
                  <c:v>Landkreditt Fors</c:v>
                </c:pt>
                <c:pt idx="11">
                  <c:v>Ly Forsikring</c:v>
                </c:pt>
                <c:pt idx="12">
                  <c:v>Nordea Liv</c:v>
                </c:pt>
                <c:pt idx="13">
                  <c:v>Oslo Forsikring</c:v>
                </c:pt>
                <c:pt idx="14">
                  <c:v>OPF</c:v>
                </c:pt>
                <c:pt idx="15">
                  <c:v>SpareBank 1 Forsikring</c:v>
                </c:pt>
                <c:pt idx="16">
                  <c:v>Storebrand Liv</c:v>
                </c:pt>
                <c:pt idx="17">
                  <c:v>Telenor Forsikring</c:v>
                </c:pt>
                <c:pt idx="18">
                  <c:v>Tryg Forsikring</c:v>
                </c:pt>
                <c:pt idx="19">
                  <c:v>WaterCicles Fors.</c:v>
                </c:pt>
                <c:pt idx="20">
                  <c:v>Youplus Livsf</c:v>
                </c:pt>
              </c:strCache>
            </c:strRef>
          </c:cat>
          <c:val>
            <c:numRef>
              <c:f>Figurer!$M$53:$M$73</c:f>
              <c:numCache>
                <c:formatCode>#,##0</c:formatCode>
                <c:ptCount val="21"/>
                <c:pt idx="0">
                  <c:v>184410173.07699999</c:v>
                </c:pt>
                <c:pt idx="1">
                  <c:v>0</c:v>
                </c:pt>
                <c:pt idx="2">
                  <c:v>0</c:v>
                </c:pt>
                <c:pt idx="3">
                  <c:v>5044781.4030599995</c:v>
                </c:pt>
                <c:pt idx="4">
                  <c:v>1693509</c:v>
                </c:pt>
                <c:pt idx="5">
                  <c:v>0</c:v>
                </c:pt>
                <c:pt idx="6">
                  <c:v>9260165</c:v>
                </c:pt>
                <c:pt idx="7">
                  <c:v>0</c:v>
                </c:pt>
                <c:pt idx="8">
                  <c:v>712385364.21757996</c:v>
                </c:pt>
                <c:pt idx="9">
                  <c:v>122314.74400000001</c:v>
                </c:pt>
                <c:pt idx="10">
                  <c:v>0</c:v>
                </c:pt>
                <c:pt idx="11">
                  <c:v>0</c:v>
                </c:pt>
                <c:pt idx="12">
                  <c:v>54766919.999997467</c:v>
                </c:pt>
                <c:pt idx="13">
                  <c:v>0</c:v>
                </c:pt>
                <c:pt idx="14">
                  <c:v>89562000</c:v>
                </c:pt>
                <c:pt idx="15">
                  <c:v>19477675.069359999</c:v>
                </c:pt>
                <c:pt idx="16">
                  <c:v>202047929.34364003</c:v>
                </c:pt>
                <c:pt idx="17">
                  <c:v>0</c:v>
                </c:pt>
                <c:pt idx="18">
                  <c:v>0</c:v>
                </c:pt>
                <c:pt idx="19">
                  <c:v>0</c:v>
                </c:pt>
                <c:pt idx="20">
                  <c:v>8446</c:v>
                </c:pt>
              </c:numCache>
            </c:numRef>
          </c:val>
          <c:extLst>
            <c:ext xmlns:c16="http://schemas.microsoft.com/office/drawing/2014/chart" uri="{C3380CC4-5D6E-409C-BE32-E72D297353CC}">
              <c16:uniqueId val="{00000000-F5D7-4882-A9B6-45C2F0317A05}"/>
            </c:ext>
          </c:extLst>
        </c:ser>
        <c:ser>
          <c:idx val="1"/>
          <c:order val="1"/>
          <c:tx>
            <c:strRef>
              <c:f>Figurer!$N$52</c:f>
              <c:strCache>
                <c:ptCount val="1"/>
                <c:pt idx="0">
                  <c:v>2024</c:v>
                </c:pt>
              </c:strCache>
            </c:strRef>
          </c:tx>
          <c:invertIfNegative val="0"/>
          <c:cat>
            <c:strRef>
              <c:f>Figurer!$L$53:$L$73</c:f>
              <c:strCache>
                <c:ptCount val="21"/>
                <c:pt idx="0">
                  <c:v>DNB Liv</c:v>
                </c:pt>
                <c:pt idx="1">
                  <c:v>Eika Forsikring</c:v>
                </c:pt>
                <c:pt idx="2">
                  <c:v>Euro Accident</c:v>
                </c:pt>
                <c:pt idx="3">
                  <c:v>Fremtind Livsfors</c:v>
                </c:pt>
                <c:pt idx="4">
                  <c:v>Frende Livsfors</c:v>
                </c:pt>
                <c:pt idx="5">
                  <c:v>Gjensidige Fors</c:v>
                </c:pt>
                <c:pt idx="6">
                  <c:v>Gjensidige Pensj</c:v>
                </c:pt>
                <c:pt idx="7">
                  <c:v>If Skadefors</c:v>
                </c:pt>
                <c:pt idx="8">
                  <c:v>KLP</c:v>
                </c:pt>
                <c:pt idx="9">
                  <c:v>KLP Skadef</c:v>
                </c:pt>
                <c:pt idx="10">
                  <c:v>Landkreditt Fors</c:v>
                </c:pt>
                <c:pt idx="11">
                  <c:v>Ly Forsikring</c:v>
                </c:pt>
                <c:pt idx="12">
                  <c:v>Nordea Liv</c:v>
                </c:pt>
                <c:pt idx="13">
                  <c:v>Oslo Forsikring</c:v>
                </c:pt>
                <c:pt idx="14">
                  <c:v>OPF</c:v>
                </c:pt>
                <c:pt idx="15">
                  <c:v>SpareBank 1 Forsikring</c:v>
                </c:pt>
                <c:pt idx="16">
                  <c:v>Storebrand Liv</c:v>
                </c:pt>
                <c:pt idx="17">
                  <c:v>Telenor Forsikring</c:v>
                </c:pt>
                <c:pt idx="18">
                  <c:v>Tryg Forsikring</c:v>
                </c:pt>
                <c:pt idx="19">
                  <c:v>WaterCicles Fors.</c:v>
                </c:pt>
                <c:pt idx="20">
                  <c:v>Youplus Livsf</c:v>
                </c:pt>
              </c:strCache>
            </c:strRef>
          </c:cat>
          <c:val>
            <c:numRef>
              <c:f>Figurer!$N$53:$N$73</c:f>
              <c:numCache>
                <c:formatCode>#,##0</c:formatCode>
                <c:ptCount val="21"/>
                <c:pt idx="0">
                  <c:v>181950975.73127002</c:v>
                </c:pt>
                <c:pt idx="1">
                  <c:v>0</c:v>
                </c:pt>
                <c:pt idx="2">
                  <c:v>0</c:v>
                </c:pt>
                <c:pt idx="3">
                  <c:v>5629123.9688099995</c:v>
                </c:pt>
                <c:pt idx="4">
                  <c:v>1980592</c:v>
                </c:pt>
                <c:pt idx="5">
                  <c:v>0</c:v>
                </c:pt>
                <c:pt idx="6">
                  <c:v>10373836</c:v>
                </c:pt>
                <c:pt idx="7">
                  <c:v>0</c:v>
                </c:pt>
                <c:pt idx="8">
                  <c:v>775383061.84458005</c:v>
                </c:pt>
                <c:pt idx="9">
                  <c:v>144158.478</c:v>
                </c:pt>
                <c:pt idx="10">
                  <c:v>0</c:v>
                </c:pt>
                <c:pt idx="11">
                  <c:v>0</c:v>
                </c:pt>
                <c:pt idx="12">
                  <c:v>54677939.999999009</c:v>
                </c:pt>
                <c:pt idx="13">
                  <c:v>0</c:v>
                </c:pt>
                <c:pt idx="14">
                  <c:v>92155000</c:v>
                </c:pt>
                <c:pt idx="15">
                  <c:v>22009714.530510001</c:v>
                </c:pt>
                <c:pt idx="16">
                  <c:v>209403887.42301998</c:v>
                </c:pt>
                <c:pt idx="17">
                  <c:v>0</c:v>
                </c:pt>
                <c:pt idx="18">
                  <c:v>0</c:v>
                </c:pt>
                <c:pt idx="19">
                  <c:v>0</c:v>
                </c:pt>
                <c:pt idx="20">
                  <c:v>56571</c:v>
                </c:pt>
              </c:numCache>
            </c:numRef>
          </c:val>
          <c:extLst>
            <c:ext xmlns:c16="http://schemas.microsoft.com/office/drawing/2014/chart" uri="{C3380CC4-5D6E-409C-BE32-E72D297353CC}">
              <c16:uniqueId val="{00000001-F5D7-4882-A9B6-45C2F0317A05}"/>
            </c:ext>
          </c:extLst>
        </c:ser>
        <c:dLbls>
          <c:showLegendKey val="0"/>
          <c:showVal val="0"/>
          <c:showCatName val="0"/>
          <c:showSerName val="0"/>
          <c:showPercent val="0"/>
          <c:showBubbleSize val="0"/>
        </c:dLbls>
        <c:gapWidth val="150"/>
        <c:axId val="242742784"/>
        <c:axId val="242744320"/>
      </c:barChart>
      <c:catAx>
        <c:axId val="2427427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744320"/>
        <c:crosses val="autoZero"/>
        <c:auto val="1"/>
        <c:lblAlgn val="ctr"/>
        <c:lblOffset val="100"/>
        <c:tickLblSkip val="1"/>
        <c:tickMarkSkip val="1"/>
        <c:noMultiLvlLbl val="0"/>
      </c:catAx>
      <c:valAx>
        <c:axId val="242744320"/>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4590163934426229E-2"/>
              <c:y val="0.34865976584387876"/>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742784"/>
        <c:crosses val="autoZero"/>
        <c:crossBetween val="between"/>
      </c:valAx>
    </c:plotArea>
    <c:legend>
      <c:legendPos val="b"/>
      <c:layout>
        <c:manualLayout>
          <c:xMode val="edge"/>
          <c:yMode val="edge"/>
          <c:x val="0.36156705821608365"/>
          <c:y val="0.94061493998643431"/>
          <c:w val="0.21357027092924838"/>
          <c:h val="4.5976938275973926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8826753749914957"/>
          <c:y val="9.2115610054672017E-2"/>
          <c:w val="0.74306560247500353"/>
          <c:h val="0.6114621490399017"/>
        </c:manualLayout>
      </c:layout>
      <c:barChart>
        <c:barDir val="col"/>
        <c:grouping val="clustered"/>
        <c:varyColors val="0"/>
        <c:ser>
          <c:idx val="0"/>
          <c:order val="0"/>
          <c:tx>
            <c:strRef>
              <c:f>Figurer!$M$84</c:f>
              <c:strCache>
                <c:ptCount val="1"/>
                <c:pt idx="0">
                  <c:v>2023</c:v>
                </c:pt>
              </c:strCache>
            </c:strRef>
          </c:tx>
          <c:invertIfNegative val="0"/>
          <c:cat>
            <c:strRef>
              <c:f>Figurer!$L$85:$L$90</c:f>
              <c:strCache>
                <c:ptCount val="6"/>
                <c:pt idx="0">
                  <c:v>DNB Liv</c:v>
                </c:pt>
                <c:pt idx="1">
                  <c:v>Gjensidige Pensjon</c:v>
                </c:pt>
                <c:pt idx="2">
                  <c:v>KLP</c:v>
                </c:pt>
                <c:pt idx="3">
                  <c:v>Nordea Liv</c:v>
                </c:pt>
                <c:pt idx="4">
                  <c:v>SpareBank 1 Forsikring</c:v>
                </c:pt>
                <c:pt idx="5">
                  <c:v>Storebrand Liv</c:v>
                </c:pt>
              </c:strCache>
            </c:strRef>
          </c:cat>
          <c:val>
            <c:numRef>
              <c:f>Figurer!$M$85:$M$90</c:f>
              <c:numCache>
                <c:formatCode>#,##0</c:formatCode>
                <c:ptCount val="6"/>
                <c:pt idx="0">
                  <c:v>152437302</c:v>
                </c:pt>
                <c:pt idx="1">
                  <c:v>54371233</c:v>
                </c:pt>
                <c:pt idx="2">
                  <c:v>2792444.4909299999</c:v>
                </c:pt>
                <c:pt idx="3">
                  <c:v>137257750</c:v>
                </c:pt>
                <c:pt idx="4">
                  <c:v>63741211.108069912</c:v>
                </c:pt>
                <c:pt idx="5">
                  <c:v>196541367.01923001</c:v>
                </c:pt>
              </c:numCache>
            </c:numRef>
          </c:val>
          <c:extLst>
            <c:ext xmlns:c16="http://schemas.microsoft.com/office/drawing/2014/chart" uri="{C3380CC4-5D6E-409C-BE32-E72D297353CC}">
              <c16:uniqueId val="{00000000-62B1-4395-80F9-424B1553CC96}"/>
            </c:ext>
          </c:extLst>
        </c:ser>
        <c:ser>
          <c:idx val="1"/>
          <c:order val="1"/>
          <c:tx>
            <c:strRef>
              <c:f>Figurer!$N$84</c:f>
              <c:strCache>
                <c:ptCount val="1"/>
                <c:pt idx="0">
                  <c:v>2024</c:v>
                </c:pt>
              </c:strCache>
            </c:strRef>
          </c:tx>
          <c:invertIfNegative val="0"/>
          <c:cat>
            <c:strRef>
              <c:f>Figurer!$L$85:$L$90</c:f>
              <c:strCache>
                <c:ptCount val="6"/>
                <c:pt idx="0">
                  <c:v>DNB Liv</c:v>
                </c:pt>
                <c:pt idx="1">
                  <c:v>Gjensidige Pensjon</c:v>
                </c:pt>
                <c:pt idx="2">
                  <c:v>KLP</c:v>
                </c:pt>
                <c:pt idx="3">
                  <c:v>Nordea Liv</c:v>
                </c:pt>
                <c:pt idx="4">
                  <c:v>SpareBank 1 Forsikring</c:v>
                </c:pt>
                <c:pt idx="5">
                  <c:v>Storebrand Liv</c:v>
                </c:pt>
              </c:strCache>
            </c:strRef>
          </c:cat>
          <c:val>
            <c:numRef>
              <c:f>Figurer!$N$85:$N$90</c:f>
              <c:numCache>
                <c:formatCode>#,##0</c:formatCode>
                <c:ptCount val="6"/>
                <c:pt idx="0">
                  <c:v>187007474</c:v>
                </c:pt>
                <c:pt idx="1">
                  <c:v>69473279</c:v>
                </c:pt>
                <c:pt idx="2">
                  <c:v>2890424.3207899998</c:v>
                </c:pt>
                <c:pt idx="3">
                  <c:v>167574450</c:v>
                </c:pt>
                <c:pt idx="4">
                  <c:v>78440211.861239895</c:v>
                </c:pt>
                <c:pt idx="5">
                  <c:v>232431668.54273</c:v>
                </c:pt>
              </c:numCache>
            </c:numRef>
          </c:val>
          <c:extLst>
            <c:ext xmlns:c16="http://schemas.microsoft.com/office/drawing/2014/chart" uri="{C3380CC4-5D6E-409C-BE32-E72D297353CC}">
              <c16:uniqueId val="{00000001-62B1-4395-80F9-424B1553CC96}"/>
            </c:ext>
          </c:extLst>
        </c:ser>
        <c:dLbls>
          <c:showLegendKey val="0"/>
          <c:showVal val="0"/>
          <c:showCatName val="0"/>
          <c:showSerName val="0"/>
          <c:showPercent val="0"/>
          <c:showBubbleSize val="0"/>
        </c:dLbls>
        <c:gapWidth val="150"/>
        <c:axId val="243158400"/>
        <c:axId val="243164288"/>
      </c:barChart>
      <c:catAx>
        <c:axId val="2431584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3164288"/>
        <c:crosses val="autoZero"/>
        <c:auto val="1"/>
        <c:lblAlgn val="ctr"/>
        <c:lblOffset val="100"/>
        <c:tickLblSkip val="1"/>
        <c:tickMarkSkip val="1"/>
        <c:noMultiLvlLbl val="0"/>
      </c:catAx>
      <c:valAx>
        <c:axId val="243164288"/>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5920873124147342E-2"/>
              <c:y val="0.33544386003133031"/>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158400"/>
        <c:crosses val="autoZero"/>
        <c:crossBetween val="between"/>
      </c:valAx>
    </c:plotArea>
    <c:legend>
      <c:legendPos val="b"/>
      <c:layout>
        <c:manualLayout>
          <c:xMode val="edge"/>
          <c:yMode val="edge"/>
          <c:x val="0.34561192811335145"/>
          <c:y val="0.93671075700518092"/>
          <c:w val="0.23419750566649891"/>
          <c:h val="4.8523233014845533E-2"/>
        </c:manualLayout>
      </c:layout>
      <c:overlay val="0"/>
      <c:txPr>
        <a:bodyPr/>
        <a:lstStyle/>
        <a:p>
          <a:pPr>
            <a:defRPr sz="595"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8614144699303892"/>
          <c:y val="8.40864305054419E-2"/>
          <c:w val="0.75271796188519913"/>
          <c:h val="0.62564087493112053"/>
        </c:manualLayout>
      </c:layout>
      <c:barChart>
        <c:barDir val="col"/>
        <c:grouping val="clustered"/>
        <c:varyColors val="0"/>
        <c:ser>
          <c:idx val="0"/>
          <c:order val="0"/>
          <c:tx>
            <c:strRef>
              <c:f>Figurer!$M$99</c:f>
              <c:strCache>
                <c:ptCount val="1"/>
                <c:pt idx="0">
                  <c:v>2023</c:v>
                </c:pt>
              </c:strCache>
            </c:strRef>
          </c:tx>
          <c:invertIfNegative val="0"/>
          <c:cat>
            <c:strRef>
              <c:f>Figurer!$L$100:$L$105</c:f>
              <c:strCache>
                <c:ptCount val="6"/>
                <c:pt idx="0">
                  <c:v>DNB Liv</c:v>
                </c:pt>
                <c:pt idx="1">
                  <c:v>Gjensidige Pensj</c:v>
                </c:pt>
                <c:pt idx="2">
                  <c:v>KLP</c:v>
                </c:pt>
                <c:pt idx="3">
                  <c:v>Nordea Liv</c:v>
                </c:pt>
                <c:pt idx="4">
                  <c:v>SpareBank 1 Forsikring</c:v>
                </c:pt>
                <c:pt idx="5">
                  <c:v>Storebrand Liv</c:v>
                </c:pt>
              </c:strCache>
            </c:strRef>
          </c:cat>
          <c:val>
            <c:numRef>
              <c:f>Figurer!$M$100:$M$105</c:f>
              <c:numCache>
                <c:formatCode>#,##0</c:formatCode>
                <c:ptCount val="6"/>
                <c:pt idx="0">
                  <c:v>91539</c:v>
                </c:pt>
                <c:pt idx="1">
                  <c:v>40752</c:v>
                </c:pt>
                <c:pt idx="2">
                  <c:v>-2030079.1849999998</c:v>
                </c:pt>
                <c:pt idx="3">
                  <c:v>-76424.285460000901</c:v>
                </c:pt>
                <c:pt idx="4">
                  <c:v>-20356.491750000001</c:v>
                </c:pt>
                <c:pt idx="5">
                  <c:v>807546.02928999998</c:v>
                </c:pt>
              </c:numCache>
            </c:numRef>
          </c:val>
          <c:extLst>
            <c:ext xmlns:c16="http://schemas.microsoft.com/office/drawing/2014/chart" uri="{C3380CC4-5D6E-409C-BE32-E72D297353CC}">
              <c16:uniqueId val="{00000000-2BF8-4278-857F-91A0E7196849}"/>
            </c:ext>
          </c:extLst>
        </c:ser>
        <c:ser>
          <c:idx val="1"/>
          <c:order val="1"/>
          <c:tx>
            <c:strRef>
              <c:f>Figurer!$N$99</c:f>
              <c:strCache>
                <c:ptCount val="1"/>
                <c:pt idx="0">
                  <c:v>2024</c:v>
                </c:pt>
              </c:strCache>
            </c:strRef>
          </c:tx>
          <c:invertIfNegative val="0"/>
          <c:cat>
            <c:strRef>
              <c:f>Figurer!$L$100:$L$105</c:f>
              <c:strCache>
                <c:ptCount val="6"/>
                <c:pt idx="0">
                  <c:v>DNB Liv</c:v>
                </c:pt>
                <c:pt idx="1">
                  <c:v>Gjensidige Pensj</c:v>
                </c:pt>
                <c:pt idx="2">
                  <c:v>KLP</c:v>
                </c:pt>
                <c:pt idx="3">
                  <c:v>Nordea Liv</c:v>
                </c:pt>
                <c:pt idx="4">
                  <c:v>SpareBank 1 Forsikring</c:v>
                </c:pt>
                <c:pt idx="5">
                  <c:v>Storebrand Liv</c:v>
                </c:pt>
              </c:strCache>
            </c:strRef>
          </c:cat>
          <c:val>
            <c:numRef>
              <c:f>Figurer!$N$100:$N$105</c:f>
              <c:numCache>
                <c:formatCode>#,##0</c:formatCode>
                <c:ptCount val="6"/>
                <c:pt idx="0">
                  <c:v>274373</c:v>
                </c:pt>
                <c:pt idx="1">
                  <c:v>63435</c:v>
                </c:pt>
                <c:pt idx="2">
                  <c:v>-2417417.0720000002</c:v>
                </c:pt>
                <c:pt idx="3">
                  <c:v>-14590.871569999499</c:v>
                </c:pt>
                <c:pt idx="4">
                  <c:v>6102.9492399999981</c:v>
                </c:pt>
                <c:pt idx="5">
                  <c:v>2322025.1032799999</c:v>
                </c:pt>
              </c:numCache>
            </c:numRef>
          </c:val>
          <c:extLst>
            <c:ext xmlns:c16="http://schemas.microsoft.com/office/drawing/2014/chart" uri="{C3380CC4-5D6E-409C-BE32-E72D297353CC}">
              <c16:uniqueId val="{00000000-0891-419B-84DB-F579F6588129}"/>
            </c:ext>
          </c:extLst>
        </c:ser>
        <c:dLbls>
          <c:showLegendKey val="0"/>
          <c:showVal val="0"/>
          <c:showCatName val="0"/>
          <c:showSerName val="0"/>
          <c:showPercent val="0"/>
          <c:showBubbleSize val="0"/>
        </c:dLbls>
        <c:gapWidth val="150"/>
        <c:axId val="243201536"/>
        <c:axId val="243203072"/>
      </c:barChart>
      <c:catAx>
        <c:axId val="243201536"/>
        <c:scaling>
          <c:orientation val="minMax"/>
        </c:scaling>
        <c:delete val="0"/>
        <c:axPos val="b"/>
        <c:numFmt formatCode="General" sourceLinked="1"/>
        <c:majorTickMark val="out"/>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nb-NO"/>
          </a:p>
        </c:txPr>
        <c:crossAx val="243203072"/>
        <c:crosses val="autoZero"/>
        <c:auto val="1"/>
        <c:lblAlgn val="ctr"/>
        <c:lblOffset val="100"/>
        <c:tickLblSkip val="1"/>
        <c:tickMarkSkip val="1"/>
        <c:noMultiLvlLbl val="0"/>
      </c:catAx>
      <c:valAx>
        <c:axId val="243203072"/>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1739130434782612E-2"/>
              <c:y val="0.35755283411244326"/>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201536"/>
        <c:crosses val="autoZero"/>
        <c:crossBetween val="between"/>
      </c:valAx>
    </c:plotArea>
    <c:legend>
      <c:legendPos val="b"/>
      <c:layout>
        <c:manualLayout>
          <c:xMode val="edge"/>
          <c:yMode val="edge"/>
          <c:x val="0.34737347369622462"/>
          <c:y val="0.94455128774817365"/>
          <c:w val="9.6515177450644751E-2"/>
          <c:h val="4.5533613518745276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7253853430922791"/>
          <c:y val="8.5614035087719767E-2"/>
          <c:w val="0.75564702786135474"/>
          <c:h val="0.63649189114519311"/>
        </c:manualLayout>
      </c:layout>
      <c:barChart>
        <c:barDir val="col"/>
        <c:grouping val="clustered"/>
        <c:varyColors val="0"/>
        <c:ser>
          <c:idx val="0"/>
          <c:order val="0"/>
          <c:tx>
            <c:strRef>
              <c:f>Figurer!$M$121</c:f>
              <c:strCache>
                <c:ptCount val="1"/>
                <c:pt idx="0">
                  <c:v>2023</c:v>
                </c:pt>
              </c:strCache>
            </c:strRef>
          </c:tx>
          <c:invertIfNegative val="0"/>
          <c:cat>
            <c:strRef>
              <c:f>Figurer!$L$122:$L$127</c:f>
              <c:strCache>
                <c:ptCount val="6"/>
                <c:pt idx="0">
                  <c:v>DNB Liv</c:v>
                </c:pt>
                <c:pt idx="1">
                  <c:v>Gjensidige Pensj</c:v>
                </c:pt>
                <c:pt idx="2">
                  <c:v>KLP</c:v>
                </c:pt>
                <c:pt idx="3">
                  <c:v>Nordea Liv</c:v>
                </c:pt>
                <c:pt idx="4">
                  <c:v>SpareBank 1 Forsikring</c:v>
                </c:pt>
                <c:pt idx="5">
                  <c:v>Storebrand Liv</c:v>
                </c:pt>
              </c:strCache>
            </c:strRef>
          </c:cat>
          <c:val>
            <c:numRef>
              <c:f>Figurer!$M$122:$M$127</c:f>
              <c:numCache>
                <c:formatCode>#,##0</c:formatCode>
                <c:ptCount val="6"/>
                <c:pt idx="0">
                  <c:v>-1268947</c:v>
                </c:pt>
                <c:pt idx="1">
                  <c:v>1771889</c:v>
                </c:pt>
                <c:pt idx="2">
                  <c:v>0</c:v>
                </c:pt>
                <c:pt idx="3">
                  <c:v>3216059.3026000001</c:v>
                </c:pt>
                <c:pt idx="4">
                  <c:v>-449560.40347000025</c:v>
                </c:pt>
                <c:pt idx="5">
                  <c:v>-1184945.5682700006</c:v>
                </c:pt>
              </c:numCache>
            </c:numRef>
          </c:val>
          <c:extLst>
            <c:ext xmlns:c16="http://schemas.microsoft.com/office/drawing/2014/chart" uri="{C3380CC4-5D6E-409C-BE32-E72D297353CC}">
              <c16:uniqueId val="{00000000-B400-4C26-965B-0553A4A37873}"/>
            </c:ext>
          </c:extLst>
        </c:ser>
        <c:ser>
          <c:idx val="1"/>
          <c:order val="1"/>
          <c:tx>
            <c:strRef>
              <c:f>Figurer!$N$121</c:f>
              <c:strCache>
                <c:ptCount val="1"/>
                <c:pt idx="0">
                  <c:v>2024</c:v>
                </c:pt>
              </c:strCache>
            </c:strRef>
          </c:tx>
          <c:invertIfNegative val="0"/>
          <c:cat>
            <c:strRef>
              <c:f>Figurer!$L$122:$L$127</c:f>
              <c:strCache>
                <c:ptCount val="6"/>
                <c:pt idx="0">
                  <c:v>DNB Liv</c:v>
                </c:pt>
                <c:pt idx="1">
                  <c:v>Gjensidige Pensj</c:v>
                </c:pt>
                <c:pt idx="2">
                  <c:v>KLP</c:v>
                </c:pt>
                <c:pt idx="3">
                  <c:v>Nordea Liv</c:v>
                </c:pt>
                <c:pt idx="4">
                  <c:v>SpareBank 1 Forsikring</c:v>
                </c:pt>
                <c:pt idx="5">
                  <c:v>Storebrand Liv</c:v>
                </c:pt>
              </c:strCache>
            </c:strRef>
          </c:cat>
          <c:val>
            <c:numRef>
              <c:f>Figurer!$N$122:$N$127</c:f>
              <c:numCache>
                <c:formatCode>#,##0</c:formatCode>
                <c:ptCount val="6"/>
                <c:pt idx="0">
                  <c:v>-2262655</c:v>
                </c:pt>
                <c:pt idx="1">
                  <c:v>1210268</c:v>
                </c:pt>
                <c:pt idx="2">
                  <c:v>-182.05500000000001</c:v>
                </c:pt>
                <c:pt idx="3">
                  <c:v>191676.46963999979</c:v>
                </c:pt>
                <c:pt idx="4">
                  <c:v>-206183.12543000048</c:v>
                </c:pt>
                <c:pt idx="5">
                  <c:v>-1889582.26523</c:v>
                </c:pt>
              </c:numCache>
            </c:numRef>
          </c:val>
          <c:extLst>
            <c:ext xmlns:c16="http://schemas.microsoft.com/office/drawing/2014/chart" uri="{C3380CC4-5D6E-409C-BE32-E72D297353CC}">
              <c16:uniqueId val="{00000001-B400-4C26-965B-0553A4A37873}"/>
            </c:ext>
          </c:extLst>
        </c:ser>
        <c:dLbls>
          <c:showLegendKey val="0"/>
          <c:showVal val="0"/>
          <c:showCatName val="0"/>
          <c:showSerName val="0"/>
          <c:showPercent val="0"/>
          <c:showBubbleSize val="0"/>
        </c:dLbls>
        <c:gapWidth val="150"/>
        <c:axId val="243686400"/>
        <c:axId val="243700480"/>
      </c:barChart>
      <c:catAx>
        <c:axId val="243686400"/>
        <c:scaling>
          <c:orientation val="minMax"/>
        </c:scaling>
        <c:delete val="0"/>
        <c:axPos val="b"/>
        <c:numFmt formatCode="General" sourceLinked="1"/>
        <c:majorTickMark val="out"/>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nb-NO"/>
          </a:p>
        </c:txPr>
        <c:crossAx val="243700480"/>
        <c:crosses val="autoZero"/>
        <c:auto val="1"/>
        <c:lblAlgn val="ctr"/>
        <c:lblOffset val="100"/>
        <c:tickLblSkip val="1"/>
        <c:tickMarkSkip val="1"/>
        <c:noMultiLvlLbl val="0"/>
      </c:catAx>
      <c:valAx>
        <c:axId val="243700480"/>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3.3875338753387642E-2"/>
              <c:y val="0.330526785811528"/>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686400"/>
        <c:crosses val="autoZero"/>
        <c:crossBetween val="between"/>
      </c:valAx>
    </c:plotArea>
    <c:legend>
      <c:legendPos val="b"/>
      <c:layout>
        <c:manualLayout>
          <c:xMode val="edge"/>
          <c:yMode val="edge"/>
          <c:x val="0.35049740733627832"/>
          <c:y val="0.93473780507726956"/>
          <c:w val="0.23080411696505387"/>
          <c:h val="4.8421167271103877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389792</xdr:colOff>
      <xdr:row>15</xdr:row>
      <xdr:rowOff>381000</xdr:rowOff>
    </xdr:from>
    <xdr:to>
      <xdr:col>4</xdr:col>
      <xdr:colOff>598714</xdr:colOff>
      <xdr:row>17</xdr:row>
      <xdr:rowOff>137745</xdr:rowOff>
    </xdr:to>
    <xdr:sp macro="" textlink="">
      <xdr:nvSpPr>
        <xdr:cNvPr id="2" name="Text Box 6">
          <a:extLst>
            <a:ext uri="{FF2B5EF4-FFF2-40B4-BE49-F238E27FC236}">
              <a16:creationId xmlns:a16="http://schemas.microsoft.com/office/drawing/2014/main" id="{499D6C09-8686-4BF0-B91B-3858981A64B8}"/>
            </a:ext>
          </a:extLst>
        </xdr:cNvPr>
        <xdr:cNvSpPr txBox="1"/>
      </xdr:nvSpPr>
      <xdr:spPr>
        <a:xfrm>
          <a:off x="389792" y="3343275"/>
          <a:ext cx="3256922" cy="61399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2. KVARTAL 2024 </a:t>
          </a:r>
          <a:r>
            <a:rPr lang="nb-NO" sz="1200">
              <a:effectLst/>
              <a:latin typeface="Arial"/>
              <a:ea typeface="ＭＳ 明朝"/>
              <a:cs typeface="Times New Roman"/>
            </a:rPr>
            <a:t>(05</a:t>
          </a:r>
          <a:r>
            <a:rPr lang="nb-NO" sz="1200">
              <a:solidFill>
                <a:schemeClr val="dk1"/>
              </a:solidFill>
              <a:effectLst/>
              <a:latin typeface="Arial"/>
              <a:ea typeface="ＭＳ 明朝"/>
              <a:cs typeface="Times New Roman"/>
            </a:rPr>
            <a:t>.09.2024</a:t>
          </a:r>
          <a:r>
            <a:rPr lang="nb-NO" sz="1200">
              <a:effectLst/>
              <a:latin typeface="Arial"/>
              <a:ea typeface="ＭＳ 明朝"/>
              <a:cs typeface="Times New Roman"/>
            </a:rPr>
            <a:t>)</a:t>
          </a:r>
          <a:endParaRPr lang="nb-NO" sz="1100" b="0" i="0" u="none" strike="noStrike">
            <a:solidFill>
              <a:schemeClr val="dk1"/>
            </a:solidFill>
            <a:effectLst/>
            <a:latin typeface="+mn-lt"/>
            <a:ea typeface="+mn-ea"/>
            <a:cs typeface="+mn-cs"/>
          </a:endParaRPr>
        </a:p>
        <a:p>
          <a:pPr>
            <a:spcAft>
              <a:spcPts val="0"/>
            </a:spcAft>
          </a:pPr>
          <a:endParaRPr lang="nb-NO" sz="1100" b="0" i="0" u="none" strike="noStrike">
            <a:solidFill>
              <a:schemeClr val="dk1"/>
            </a:solidFill>
            <a:effectLst/>
            <a:latin typeface="+mn-lt"/>
            <a:ea typeface="+mn-ea"/>
            <a:cs typeface="+mn-cs"/>
          </a:endParaRPr>
        </a:p>
        <a:p>
          <a:pPr>
            <a:spcAft>
              <a:spcPts val="0"/>
            </a:spcAft>
          </a:pPr>
          <a:r>
            <a:rPr lang="nb-NO" sz="1100" b="0" i="0" u="none" strike="noStrike">
              <a:solidFill>
                <a:schemeClr val="dk1"/>
              </a:solidFill>
              <a:effectLst/>
              <a:latin typeface="+mn-lt"/>
              <a:ea typeface="+mn-ea"/>
              <a:cs typeface="+mn-cs"/>
            </a:rPr>
            <a:t>senest revidert</a:t>
          </a:r>
          <a:r>
            <a:rPr lang="nb-NO" sz="1100" b="0" i="0" u="none" strike="noStrike" baseline="0">
              <a:solidFill>
                <a:schemeClr val="dk1"/>
              </a:solidFill>
              <a:effectLst/>
              <a:latin typeface="+mn-lt"/>
              <a:ea typeface="+mn-ea"/>
              <a:cs typeface="+mn-cs"/>
            </a:rPr>
            <a:t> 23.09.2024</a:t>
          </a:r>
          <a:endParaRPr lang="nb-NO" sz="1200">
            <a:effectLst/>
            <a:ea typeface="ＭＳ 明朝"/>
            <a:cs typeface="Times New Roman"/>
          </a:endParaRPr>
        </a:p>
      </xdr:txBody>
    </xdr:sp>
    <xdr:clientData/>
  </xdr:twoCellAnchor>
  <xdr:twoCellAnchor>
    <xdr:from>
      <xdr:col>0</xdr:col>
      <xdr:colOff>306161</xdr:colOff>
      <xdr:row>11</xdr:row>
      <xdr:rowOff>31750</xdr:rowOff>
    </xdr:from>
    <xdr:to>
      <xdr:col>12</xdr:col>
      <xdr:colOff>677636</xdr:colOff>
      <xdr:row>15</xdr:row>
      <xdr:rowOff>391583</xdr:rowOff>
    </xdr:to>
    <xdr:sp macro="" textlink="">
      <xdr:nvSpPr>
        <xdr:cNvPr id="3" name="Text Box 4">
          <a:extLst>
            <a:ext uri="{FF2B5EF4-FFF2-40B4-BE49-F238E27FC236}">
              <a16:creationId xmlns:a16="http://schemas.microsoft.com/office/drawing/2014/main" id="{4B1AAB3F-EC6D-47A5-BFC8-57614BB19A63}"/>
            </a:ext>
          </a:extLst>
        </xdr:cNvPr>
        <xdr:cNvSpPr txBox="1"/>
      </xdr:nvSpPr>
      <xdr:spPr>
        <a:xfrm>
          <a:off x="306161" y="2053167"/>
          <a:ext cx="9515475" cy="126999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Markedsandeler</a:t>
          </a:r>
        </a:p>
        <a:p>
          <a:pPr>
            <a:spcAft>
              <a:spcPts val="0"/>
            </a:spcAft>
          </a:pPr>
          <a:r>
            <a:rPr lang="nb-NO" sz="2200" b="0" baseline="0">
              <a:solidFill>
                <a:srgbClr val="005670"/>
              </a:solidFill>
              <a:effectLst/>
              <a:latin typeface="Arial"/>
              <a:ea typeface="ＭＳ 明朝"/>
              <a:cs typeface="Times New Roman"/>
            </a:rPr>
            <a:t> </a:t>
          </a:r>
          <a:r>
            <a:rPr lang="nb-NO" sz="2600" b="0" baseline="0">
              <a:solidFill>
                <a:srgbClr val="005670"/>
              </a:solidFill>
              <a:effectLst/>
              <a:latin typeface="Arial"/>
              <a:ea typeface="ＭＳ 明朝"/>
              <a:cs typeface="Times New Roman"/>
            </a:rPr>
            <a:t>- endelige tall og regnskapsstatistikk</a:t>
          </a:r>
          <a:r>
            <a:rPr lang="nb-NO" sz="2800" b="0">
              <a:solidFill>
                <a:srgbClr val="005670"/>
              </a:solidFill>
              <a:effectLst/>
              <a:latin typeface="Arial"/>
              <a:ea typeface="ＭＳ 明朝"/>
              <a:cs typeface="Times New Roman"/>
            </a:rPr>
            <a:t>	</a:t>
          </a:r>
          <a:endParaRPr lang="nb-NO" sz="1200" b="0">
            <a:solidFill>
              <a:srgbClr val="005670"/>
            </a:solidFill>
            <a:effectLst/>
            <a:ea typeface="ＭＳ 明朝"/>
            <a:cs typeface="Times New Roman"/>
          </a:endParaRPr>
        </a:p>
      </xdr:txBody>
    </xdr:sp>
    <xdr:clientData/>
  </xdr:twoCellAnchor>
  <xdr:twoCellAnchor editAs="oneCell">
    <xdr:from>
      <xdr:col>0</xdr:col>
      <xdr:colOff>419099</xdr:colOff>
      <xdr:row>1</xdr:row>
      <xdr:rowOff>79523</xdr:rowOff>
    </xdr:from>
    <xdr:to>
      <xdr:col>5</xdr:col>
      <xdr:colOff>0</xdr:colOff>
      <xdr:row>7</xdr:row>
      <xdr:rowOff>75972</xdr:rowOff>
    </xdr:to>
    <xdr:pic>
      <xdr:nvPicPr>
        <xdr:cNvPr id="4" name="Bilde 7">
          <a:extLst>
            <a:ext uri="{FF2B5EF4-FFF2-40B4-BE49-F238E27FC236}">
              <a16:creationId xmlns:a16="http://schemas.microsoft.com/office/drawing/2014/main" id="{1A0320DA-F81B-48DC-A876-A2AA50D0DB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099" y="238273"/>
          <a:ext cx="3390901" cy="1086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6</xdr:row>
      <xdr:rowOff>0</xdr:rowOff>
    </xdr:from>
    <xdr:to>
      <xdr:col>9</xdr:col>
      <xdr:colOff>352425</xdr:colOff>
      <xdr:row>27</xdr:row>
      <xdr:rowOff>9525</xdr:rowOff>
    </xdr:to>
    <xdr:graphicFrame macro="">
      <xdr:nvGraphicFramePr>
        <xdr:cNvPr id="2" name="Chart 1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31</xdr:row>
      <xdr:rowOff>219075</xdr:rowOff>
    </xdr:from>
    <xdr:to>
      <xdr:col>9</xdr:col>
      <xdr:colOff>285750</xdr:colOff>
      <xdr:row>50</xdr:row>
      <xdr:rowOff>123825</xdr:rowOff>
    </xdr:to>
    <xdr:graphicFrame macro="">
      <xdr:nvGraphicFramePr>
        <xdr:cNvPr id="3" name="Chart 1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56</xdr:row>
      <xdr:rowOff>228600</xdr:rowOff>
    </xdr:from>
    <xdr:to>
      <xdr:col>9</xdr:col>
      <xdr:colOff>142875</xdr:colOff>
      <xdr:row>73</xdr:row>
      <xdr:rowOff>180975</xdr:rowOff>
    </xdr:to>
    <xdr:graphicFrame macro="">
      <xdr:nvGraphicFramePr>
        <xdr:cNvPr id="6" name="Chart 1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81</xdr:row>
      <xdr:rowOff>57150</xdr:rowOff>
    </xdr:from>
    <xdr:to>
      <xdr:col>9</xdr:col>
      <xdr:colOff>123825</xdr:colOff>
      <xdr:row>100</xdr:row>
      <xdr:rowOff>114300</xdr:rowOff>
    </xdr:to>
    <xdr:graphicFrame macro="">
      <xdr:nvGraphicFramePr>
        <xdr:cNvPr id="7" name="Chart 1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28575</xdr:colOff>
      <xdr:row>107</xdr:row>
      <xdr:rowOff>28575</xdr:rowOff>
    </xdr:from>
    <xdr:to>
      <xdr:col>9</xdr:col>
      <xdr:colOff>180975</xdr:colOff>
      <xdr:row>123</xdr:row>
      <xdr:rowOff>200025</xdr:rowOff>
    </xdr:to>
    <xdr:graphicFrame macro="">
      <xdr:nvGraphicFramePr>
        <xdr:cNvPr id="8" name="Chart 1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131</xdr:row>
      <xdr:rowOff>57150</xdr:rowOff>
    </xdr:from>
    <xdr:to>
      <xdr:col>9</xdr:col>
      <xdr:colOff>171450</xdr:colOff>
      <xdr:row>149</xdr:row>
      <xdr:rowOff>123825</xdr:rowOff>
    </xdr:to>
    <xdr:graphicFrame macro="">
      <xdr:nvGraphicFramePr>
        <xdr:cNvPr id="9" name="Chart 1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10583</xdr:colOff>
      <xdr:row>4</xdr:row>
      <xdr:rowOff>137583</xdr:rowOff>
    </xdr:from>
    <xdr:to>
      <xdr:col>0</xdr:col>
      <xdr:colOff>4064000</xdr:colOff>
      <xdr:row>40</xdr:row>
      <xdr:rowOff>84666</xdr:rowOff>
    </xdr:to>
    <xdr:sp macro="" textlink="">
      <xdr:nvSpPr>
        <xdr:cNvPr id="4" name="Text Box 1026">
          <a:extLst>
            <a:ext uri="{FF2B5EF4-FFF2-40B4-BE49-F238E27FC236}">
              <a16:creationId xmlns:a16="http://schemas.microsoft.com/office/drawing/2014/main" id="{00000000-0008-0000-2100-000004000000}"/>
            </a:ext>
          </a:extLst>
        </xdr:cNvPr>
        <xdr:cNvSpPr txBox="1">
          <a:spLocks noChangeArrowheads="1"/>
        </xdr:cNvSpPr>
      </xdr:nvSpPr>
      <xdr:spPr bwMode="auto">
        <a:xfrm>
          <a:off x="10583" y="772583"/>
          <a:ext cx="4053417" cy="10318750"/>
        </a:xfrm>
        <a:prstGeom prst="rect">
          <a:avLst/>
        </a:prstGeom>
        <a:solidFill>
          <a:srgbClr val="FFFFFF"/>
        </a:solidFill>
        <a:ln w="9525">
          <a:noFill/>
          <a:miter lim="800000"/>
          <a:headEnd/>
          <a:tailEnd/>
        </a:ln>
      </xdr:spPr>
      <xdr:txBody>
        <a:bodyPr vertOverflow="clip" wrap="square" lIns="36576" tIns="32004" rIns="0" bIns="0" anchor="t" upright="1"/>
        <a:lstStyle/>
        <a:p>
          <a:pPr algn="l" rtl="0">
            <a:lnSpc>
              <a:spcPts val="1600"/>
            </a:lnSpc>
            <a:defRPr sz="1000"/>
          </a:pPr>
          <a:r>
            <a:rPr lang="nb-NO" sz="1200" b="1" i="0" strike="noStrike">
              <a:solidFill>
                <a:srgbClr val="000000"/>
              </a:solidFill>
              <a:latin typeface="Times New Roman"/>
              <a:cs typeface="Times New Roman"/>
            </a:rPr>
            <a:t>Selskaper som inngår i statistikken</a:t>
          </a:r>
        </a:p>
        <a:p>
          <a:pPr algn="l" rtl="0">
            <a:lnSpc>
              <a:spcPts val="1600"/>
            </a:lnSpc>
            <a:defRPr sz="1000"/>
          </a:pPr>
          <a:r>
            <a:rPr lang="nb-NO" sz="1200" b="0" i="0" strike="noStrike">
              <a:solidFill>
                <a:srgbClr val="000000"/>
              </a:solidFill>
              <a:latin typeface="Times New Roman"/>
              <a:cs typeface="Times New Roman"/>
            </a:rPr>
            <a:t>Statistikken viser tall for medlemsselskaper i Finans Norge som </a:t>
          </a:r>
          <a:br>
            <a:rPr lang="nb-NO" sz="1200" b="0" i="0" strike="noStrike">
              <a:solidFill>
                <a:srgbClr val="000000"/>
              </a:solidFill>
              <a:latin typeface="Times New Roman"/>
              <a:cs typeface="Times New Roman"/>
            </a:rPr>
          </a:br>
          <a:r>
            <a:rPr lang="nb-NO" sz="1200" b="0" i="0" strike="noStrike">
              <a:solidFill>
                <a:srgbClr val="000000"/>
              </a:solidFill>
              <a:latin typeface="Times New Roman"/>
              <a:cs typeface="Times New Roman"/>
            </a:rPr>
            <a:t>selger livprodukter.</a:t>
          </a:r>
        </a:p>
        <a:p>
          <a:pPr algn="l" rtl="0">
            <a:lnSpc>
              <a:spcPts val="1600"/>
            </a:lnSpc>
            <a:defRPr sz="1000"/>
          </a:pPr>
          <a:endParaRPr lang="nb-NO" sz="1200" b="1" i="0" strike="noStrike">
            <a:solidFill>
              <a:srgbClr val="000000"/>
            </a:solidFill>
            <a:latin typeface="Times New Roman"/>
            <a:cs typeface="Times New Roman"/>
          </a:endParaRPr>
        </a:p>
        <a:p>
          <a:pPr algn="l" rtl="0">
            <a:lnSpc>
              <a:spcPts val="1600"/>
            </a:lnSpc>
            <a:defRPr sz="1000"/>
          </a:pPr>
          <a:r>
            <a:rPr lang="nb-NO" sz="1200" b="0" i="0" u="sng" strike="noStrike">
              <a:solidFill>
                <a:srgbClr val="000000"/>
              </a:solidFill>
              <a:latin typeface="Times New Roman"/>
              <a:cs typeface="Times New Roman"/>
            </a:rPr>
            <a:t>Produkter uten investeringsvalg</a:t>
          </a:r>
          <a:r>
            <a:rPr lang="nb-NO" sz="1200" b="0" i="0" strike="noStrike">
              <a:solidFill>
                <a:srgbClr val="000000"/>
              </a:solidFill>
              <a:latin typeface="Times New Roman"/>
              <a:cs typeface="Times New Roman"/>
            </a:rPr>
            <a:t>:</a:t>
          </a:r>
        </a:p>
        <a:p>
          <a:pPr marL="0" marR="0" indent="0" algn="l" defTabSz="914400" rtl="0" eaLnBrk="1" fontAlgn="auto" latinLnBrk="0" hangingPunct="1">
            <a:lnSpc>
              <a:spcPts val="1600"/>
            </a:lnSpc>
            <a:spcBef>
              <a:spcPts val="0"/>
            </a:spcBef>
            <a:spcAft>
              <a:spcPts val="0"/>
            </a:spcAft>
            <a:buClrTx/>
            <a:buSzTx/>
            <a:buFontTx/>
            <a:buNone/>
            <a:tabLst/>
            <a:defRPr sz="1000"/>
          </a:pPr>
          <a:r>
            <a:rPr lang="nb-NO" sz="1200" b="0" i="0" strike="noStrike">
              <a:solidFill>
                <a:srgbClr val="000000"/>
              </a:solidFill>
              <a:latin typeface="Times New Roman"/>
              <a:cs typeface="Times New Roman"/>
            </a:rPr>
            <a:t>DNB Livsforsikring ASA</a:t>
          </a:r>
        </a:p>
        <a:p>
          <a:pPr algn="l" rtl="0">
            <a:lnSpc>
              <a:spcPts val="1600"/>
            </a:lnSpc>
            <a:defRPr sz="1000"/>
          </a:pPr>
          <a:r>
            <a:rPr lang="nb-NO" sz="1200" b="0" i="0" strike="noStrike">
              <a:solidFill>
                <a:srgbClr val="000000"/>
              </a:solidFill>
              <a:latin typeface="Times New Roman"/>
              <a:cs typeface="Times New Roman"/>
            </a:rPr>
            <a:t>Eika Forsikring AS (skadeselskap</a:t>
          </a:r>
          <a:r>
            <a:rPr lang="nb-NO" sz="1200" b="0" i="0" strike="noStrike" baseline="0">
              <a:solidFill>
                <a:srgbClr val="000000"/>
              </a:solidFill>
              <a:latin typeface="Times New Roman"/>
              <a:cs typeface="Times New Roman"/>
            </a:rPr>
            <a:t>)</a:t>
          </a:r>
        </a:p>
        <a:p>
          <a:pPr algn="l" rtl="0">
            <a:lnSpc>
              <a:spcPts val="1600"/>
            </a:lnSpc>
            <a:defRPr sz="1000"/>
          </a:pPr>
          <a:r>
            <a:rPr lang="nb-NO" sz="1200" b="0" i="0" strike="noStrike" baseline="0">
              <a:solidFill>
                <a:srgbClr val="000000"/>
              </a:solidFill>
              <a:latin typeface="Times New Roman"/>
              <a:cs typeface="Times New Roman"/>
            </a:rPr>
            <a:t>Euro Accident (skadeselskap)</a:t>
          </a: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Frende Livsforsikring</a:t>
          </a:r>
        </a:p>
        <a:p>
          <a:pPr algn="l" rtl="0">
            <a:lnSpc>
              <a:spcPts val="1600"/>
            </a:lnSpc>
            <a:defRPr sz="1000"/>
          </a:pPr>
          <a:r>
            <a:rPr lang="nb-NO" sz="1200" b="0" i="0" strike="noStrike">
              <a:solidFill>
                <a:srgbClr val="000000"/>
              </a:solidFill>
              <a:latin typeface="Times New Roman"/>
              <a:cs typeface="Times New Roman"/>
            </a:rPr>
            <a:t>Frende Skadeforsikring (skadeselskap)</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Gjensidige Forsikring (skadeselskap)</a:t>
          </a:r>
        </a:p>
        <a:p>
          <a:pPr algn="l" rtl="0">
            <a:lnSpc>
              <a:spcPts val="1600"/>
            </a:lnSpc>
            <a:defRPr sz="1000"/>
          </a:pPr>
          <a:r>
            <a:rPr lang="nb-NO" sz="1200" b="0" i="0" strike="noStrike">
              <a:solidFill>
                <a:srgbClr val="000000"/>
              </a:solidFill>
              <a:latin typeface="Times New Roman"/>
              <a:cs typeface="Times New Roman"/>
            </a:rPr>
            <a:t>Gjensidige Pensjonsforsikring</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If Skadeforsikring NUF (skadeselskap)</a:t>
          </a:r>
        </a:p>
        <a:p>
          <a:pPr algn="l" rtl="0">
            <a:lnSpc>
              <a:spcPts val="1600"/>
            </a:lnSpc>
            <a:defRPr sz="1000"/>
          </a:pPr>
          <a:r>
            <a:rPr lang="nb-NO" sz="1200" b="0" i="0" strike="noStrike">
              <a:solidFill>
                <a:srgbClr val="000000"/>
              </a:solidFill>
              <a:latin typeface="Times New Roman"/>
              <a:cs typeface="Times New Roman"/>
            </a:rPr>
            <a:t>KLP</a:t>
          </a:r>
        </a:p>
        <a:p>
          <a:pPr algn="l" rtl="0">
            <a:lnSpc>
              <a:spcPts val="1600"/>
            </a:lnSpc>
            <a:defRPr sz="1000"/>
          </a:pPr>
          <a:r>
            <a:rPr lang="nb-NO" sz="1200" b="0" i="0" strike="noStrike" baseline="0">
              <a:solidFill>
                <a:srgbClr val="000000"/>
              </a:solidFill>
              <a:latin typeface="Times New Roman"/>
              <a:cs typeface="Times New Roman"/>
            </a:rPr>
            <a:t>KLP Skadeforsikring AS</a:t>
          </a:r>
        </a:p>
        <a:p>
          <a:pPr algn="l" rtl="0">
            <a:lnSpc>
              <a:spcPts val="1600"/>
            </a:lnSpc>
            <a:defRPr sz="1000"/>
          </a:pPr>
          <a:r>
            <a:rPr lang="nb-NO" sz="1200" b="0" i="0" strike="noStrike" baseline="0">
              <a:solidFill>
                <a:srgbClr val="000000"/>
              </a:solidFill>
              <a:latin typeface="Times New Roman"/>
              <a:cs typeface="Times New Roman"/>
            </a:rPr>
            <a:t>Landkreditt Forsikring (skadeselskap)</a:t>
          </a: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Livsforsikringsselskapet Nordea Liv Norge</a:t>
          </a:r>
        </a:p>
        <a:p>
          <a:pPr algn="l" rtl="0">
            <a:lnSpc>
              <a:spcPts val="1600"/>
            </a:lnSpc>
            <a:defRPr sz="1000"/>
          </a:pPr>
          <a:r>
            <a:rPr lang="nb-NO" sz="1200" b="0" i="0" strike="noStrike">
              <a:solidFill>
                <a:srgbClr val="000000"/>
              </a:solidFill>
              <a:latin typeface="Times New Roman"/>
              <a:cs typeface="Times New Roman"/>
            </a:rPr>
            <a:t>Ly Forsikring (skadeselskap)</a:t>
          </a:r>
        </a:p>
        <a:p>
          <a:pPr algn="l" rtl="0">
            <a:lnSpc>
              <a:spcPts val="1600"/>
            </a:lnSpc>
            <a:defRPr sz="1000"/>
          </a:pPr>
          <a:r>
            <a:rPr lang="nb-NO" sz="1200" b="0" i="0" strike="noStrike">
              <a:solidFill>
                <a:srgbClr val="000000"/>
              </a:solidFill>
              <a:latin typeface="Times New Roman"/>
              <a:cs typeface="Times New Roman"/>
            </a:rPr>
            <a:t>Oslo Forsikring</a:t>
          </a:r>
        </a:p>
        <a:p>
          <a:pPr algn="l" rtl="0">
            <a:lnSpc>
              <a:spcPts val="1700"/>
            </a:lnSpc>
            <a:defRPr sz="1000"/>
          </a:pPr>
          <a:r>
            <a:rPr lang="nb-NO" sz="1200" b="0" i="0" strike="noStrike">
              <a:solidFill>
                <a:srgbClr val="000000"/>
              </a:solidFill>
              <a:latin typeface="Times New Roman"/>
              <a:cs typeface="Times New Roman"/>
            </a:rPr>
            <a:t>Oslo Pensjonsforsikring</a:t>
          </a:r>
        </a:p>
        <a:p>
          <a:pPr algn="l" rtl="0">
            <a:lnSpc>
              <a:spcPts val="1600"/>
            </a:lnSpc>
            <a:defRPr sz="1000"/>
          </a:pPr>
          <a:r>
            <a:rPr lang="nb-NO" sz="1200" b="0" i="0" strike="noStrike">
              <a:solidFill>
                <a:srgbClr val="000000"/>
              </a:solidFill>
              <a:latin typeface="Times New Roman"/>
              <a:cs typeface="Times New Roman"/>
            </a:rPr>
            <a:t>Protector Forsikring (skadeselskap)</a:t>
          </a:r>
        </a:p>
        <a:p>
          <a:pPr algn="l" rtl="0">
            <a:lnSpc>
              <a:spcPts val="1700"/>
            </a:lnSpc>
            <a:defRPr sz="1000"/>
          </a:pPr>
          <a:r>
            <a:rPr lang="nb-NO" sz="1200" b="0" i="0" strike="noStrike">
              <a:solidFill>
                <a:srgbClr val="000000"/>
              </a:solidFill>
              <a:latin typeface="Times New Roman"/>
              <a:cs typeface="Times New Roman"/>
            </a:rPr>
            <a:t>SpareBank 1 Forsikring</a:t>
          </a:r>
        </a:p>
        <a:p>
          <a:pPr algn="l" rtl="0">
            <a:lnSpc>
              <a:spcPts val="1600"/>
            </a:lnSpc>
            <a:defRPr sz="1000"/>
          </a:pPr>
          <a:r>
            <a:rPr lang="nb-NO" sz="1200" b="0" i="0" strike="noStrike">
              <a:solidFill>
                <a:srgbClr val="000000"/>
              </a:solidFill>
              <a:latin typeface="Times New Roman"/>
              <a:cs typeface="Times New Roman"/>
            </a:rPr>
            <a:t>Storebrand Livsforsikring</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Telenor Forsikring (skadeselskap)</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Tryg Forsikring (skadeselskap)</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WaterCircles Forsikring (Skadeforsikring)</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Youplus Livsforsikring nuf</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700"/>
            </a:lnSpc>
            <a:defRPr sz="1000"/>
          </a:pPr>
          <a:r>
            <a:rPr lang="nb-NO" sz="1200" b="0" i="0" u="sng" strike="noStrike">
              <a:solidFill>
                <a:srgbClr val="000000"/>
              </a:solidFill>
              <a:latin typeface="Times New Roman"/>
              <a:cs typeface="Times New Roman"/>
            </a:rPr>
            <a:t>Produkter med investeringsvalg</a:t>
          </a:r>
          <a:r>
            <a:rPr lang="nb-NO" sz="1200" b="0" i="0" strike="noStrike">
              <a:solidFill>
                <a:srgbClr val="000000"/>
              </a:solidFill>
              <a:latin typeface="Times New Roman"/>
              <a:cs typeface="Times New Roman"/>
            </a:rPr>
            <a:t>:</a:t>
          </a:r>
        </a:p>
        <a:p>
          <a:pPr algn="l" rtl="0">
            <a:lnSpc>
              <a:spcPts val="1700"/>
            </a:lnSpc>
            <a:defRPr sz="1000"/>
          </a:pPr>
          <a:r>
            <a:rPr lang="nb-NO" sz="1200" b="0" i="0" strike="noStrike">
              <a:solidFill>
                <a:srgbClr val="000000"/>
              </a:solidFill>
              <a:latin typeface="Times New Roman"/>
              <a:cs typeface="Times New Roman"/>
            </a:rPr>
            <a:t>DNB Livsforsikring ASA</a:t>
          </a:r>
        </a:p>
        <a:p>
          <a:pPr algn="l" rtl="0">
            <a:lnSpc>
              <a:spcPts val="1600"/>
            </a:lnSpc>
            <a:defRPr sz="1000"/>
          </a:pPr>
          <a:r>
            <a:rPr lang="nb-NO" sz="1200" b="0" i="0" strike="noStrike">
              <a:solidFill>
                <a:srgbClr val="000000"/>
              </a:solidFill>
              <a:latin typeface="Times New Roman"/>
              <a:cs typeface="Times New Roman"/>
            </a:rPr>
            <a:t>Gjensidige Pensjonsforsikring</a:t>
          </a:r>
        </a:p>
        <a:p>
          <a:pPr algn="l" rtl="0">
            <a:lnSpc>
              <a:spcPts val="1700"/>
            </a:lnSpc>
            <a:defRPr sz="1000"/>
          </a:pPr>
          <a:r>
            <a:rPr lang="nb-NO" sz="1200" b="0" i="0" strike="noStrike">
              <a:solidFill>
                <a:srgbClr val="000000"/>
              </a:solidFill>
              <a:latin typeface="Times New Roman"/>
              <a:cs typeface="Times New Roman"/>
            </a:rPr>
            <a:t>KLP</a:t>
          </a:r>
        </a:p>
        <a:p>
          <a:pPr algn="l" rtl="0">
            <a:lnSpc>
              <a:spcPts val="1700"/>
            </a:lnSpc>
            <a:defRPr sz="1000"/>
          </a:pPr>
          <a:r>
            <a:rPr lang="nb-NO" sz="1200" b="0" i="0" strike="noStrike">
              <a:solidFill>
                <a:srgbClr val="000000"/>
              </a:solidFill>
              <a:latin typeface="Times New Roman"/>
              <a:cs typeface="Times New Roman"/>
            </a:rPr>
            <a:t>Livsforsikringsselskapet Nordea Liv Norge</a:t>
          </a:r>
          <a:endParaRPr kumimoji="0" lang="nb-NO" sz="1200" b="0" i="0" u="none" strike="noStrike" kern="0" cap="none" spc="0" normalizeH="0" baseline="0" noProof="0">
            <a:ln>
              <a:noFill/>
            </a:ln>
            <a:solidFill>
              <a:srgbClr val="000000"/>
            </a:solidFill>
            <a:effectLst/>
            <a:uLnTx/>
            <a:uFillTx/>
            <a:latin typeface="Times New Roman"/>
            <a:ea typeface="+mn-ea"/>
            <a:cs typeface="Times New Roman"/>
          </a:endParaRPr>
        </a:p>
        <a:p>
          <a:pPr algn="l" rtl="0">
            <a:lnSpc>
              <a:spcPts val="1600"/>
            </a:lnSpc>
            <a:defRPr sz="1000"/>
          </a:pPr>
          <a:r>
            <a:rPr lang="nb-NO" sz="1200" b="0" i="0" strike="noStrike">
              <a:solidFill>
                <a:srgbClr val="000000"/>
              </a:solidFill>
              <a:latin typeface="Times New Roman"/>
              <a:cs typeface="Times New Roman"/>
            </a:rPr>
            <a:t>SpareBank 1 Forsikring</a:t>
          </a:r>
        </a:p>
        <a:p>
          <a:pPr algn="l" rtl="0">
            <a:lnSpc>
              <a:spcPts val="1700"/>
            </a:lnSpc>
            <a:defRPr sz="1000"/>
          </a:pPr>
          <a:r>
            <a:rPr lang="nb-NO" sz="1200" b="0" i="0" strike="noStrike">
              <a:solidFill>
                <a:srgbClr val="000000"/>
              </a:solidFill>
              <a:latin typeface="Times New Roman"/>
              <a:cs typeface="Times New Roman"/>
            </a:rPr>
            <a:t>Storebrand Livsforsikring</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600"/>
            </a:lnSpc>
            <a:defRPr sz="1000"/>
          </a:pPr>
          <a:r>
            <a:rPr lang="nb-NO" sz="1200" b="0" i="0" u="sng" strike="noStrike">
              <a:solidFill>
                <a:srgbClr val="000000"/>
              </a:solidFill>
              <a:latin typeface="Times New Roman"/>
              <a:cs typeface="Times New Roman"/>
            </a:rPr>
            <a:t>Utenlandske filialer</a:t>
          </a:r>
          <a:r>
            <a:rPr lang="nb-NO" sz="1200" b="0" i="0" strike="noStrike">
              <a:solidFill>
                <a:srgbClr val="000000"/>
              </a:solidFill>
              <a:latin typeface="Times New Roman"/>
              <a:cs typeface="Times New Roman"/>
            </a:rPr>
            <a:t>:</a:t>
          </a:r>
        </a:p>
        <a:p>
          <a:pPr algn="l" rtl="0">
            <a:lnSpc>
              <a:spcPts val="1700"/>
            </a:lnSpc>
            <a:defRPr sz="1000"/>
          </a:pPr>
          <a:r>
            <a:rPr lang="nb-NO" sz="1200" b="0" i="0" strike="noStrike">
              <a:solidFill>
                <a:srgbClr val="000000"/>
              </a:solidFill>
              <a:latin typeface="Times New Roman"/>
              <a:cs typeface="Times New Roman"/>
            </a:rPr>
            <a:t>Disse har ikke samme krav til regnskapsføring som norske livselskaper, og rapporterer derfor kun utvalgte</a:t>
          </a:r>
          <a:r>
            <a:rPr lang="nb-NO" sz="1200" b="0" i="0" strike="noStrike" baseline="0">
              <a:solidFill>
                <a:srgbClr val="000000"/>
              </a:solidFill>
              <a:latin typeface="Times New Roman"/>
              <a:cs typeface="Times New Roman"/>
            </a:rPr>
            <a:t> poster</a:t>
          </a:r>
          <a:r>
            <a:rPr lang="nb-NO" sz="1200" b="0" i="0" strike="noStrike">
              <a:solidFill>
                <a:srgbClr val="000000"/>
              </a:solidFill>
              <a:latin typeface="Times New Roman"/>
              <a:cs typeface="Times New Roman"/>
            </a:rPr>
            <a:t>.</a:t>
          </a:r>
        </a:p>
        <a:p>
          <a:pPr algn="l" rtl="0">
            <a:lnSpc>
              <a:spcPts val="1600"/>
            </a:lnSpc>
            <a:defRPr sz="1000"/>
          </a:pP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I figurer og tabeller har enkelte selskap "forkortede" navn.</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r>
            <a:rPr lang="nb-NO" sz="1200" b="0" i="0" strike="noStrike">
              <a:solidFill>
                <a:srgbClr val="000000"/>
              </a:solidFill>
              <a:latin typeface="Times New Roman"/>
              <a:cs typeface="Times New Roman"/>
            </a:rPr>
            <a:t> </a:t>
          </a: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000"/>
            </a:lnSpc>
            <a:defRPr sz="1000"/>
          </a:pPr>
          <a:endParaRPr lang="nb-NO" sz="14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000"/>
            </a:lnSpc>
            <a:defRPr sz="1000"/>
          </a:pPr>
          <a:endParaRPr lang="nb-NO" sz="1400" b="0" i="0" strike="noStrike">
            <a:solidFill>
              <a:srgbClr val="000000"/>
            </a:solidFill>
            <a:latin typeface="Times New Roman"/>
            <a:cs typeface="Times New Roman"/>
          </a:endParaRPr>
        </a:p>
      </xdr:txBody>
    </xdr:sp>
    <xdr:clientData/>
  </xdr:twoCellAnchor>
  <xdr:twoCellAnchor>
    <xdr:from>
      <xdr:col>3</xdr:col>
      <xdr:colOff>455084</xdr:colOff>
      <xdr:row>5</xdr:row>
      <xdr:rowOff>10583</xdr:rowOff>
    </xdr:from>
    <xdr:to>
      <xdr:col>11</xdr:col>
      <xdr:colOff>349250</xdr:colOff>
      <xdr:row>29</xdr:row>
      <xdr:rowOff>63500</xdr:rowOff>
    </xdr:to>
    <xdr:sp macro="" textlink="">
      <xdr:nvSpPr>
        <xdr:cNvPr id="5" name="TekstSylinder 4">
          <a:extLst>
            <a:ext uri="{FF2B5EF4-FFF2-40B4-BE49-F238E27FC236}">
              <a16:creationId xmlns:a16="http://schemas.microsoft.com/office/drawing/2014/main" id="{00000000-0008-0000-2100-000005000000}"/>
            </a:ext>
          </a:extLst>
        </xdr:cNvPr>
        <xdr:cNvSpPr txBox="1"/>
      </xdr:nvSpPr>
      <xdr:spPr>
        <a:xfrm>
          <a:off x="12170834" y="804333"/>
          <a:ext cx="6413499" cy="828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nb-NO">
            <a:effectLst/>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Kommentarer til dataene</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u="sng"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u="sng" baseline="0">
              <a:solidFill>
                <a:schemeClr val="dk1"/>
              </a:solidFill>
              <a:effectLst/>
              <a:latin typeface="Times New Roman" panose="02020603050405020304" pitchFamily="18" charset="0"/>
              <a:ea typeface="+mn-ea"/>
              <a:cs typeface="Times New Roman" panose="02020603050405020304" pitchFamily="18" charset="0"/>
            </a:rPr>
            <a:t>Generelle kommentarer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Når det nedenfor står "Endring i 20xx-tall", menes endringer i forhold til tilsvarende periode året før.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For Brutto forfalt premie kan regnskapstallene (Tabell 4) være høyere enn markedstallene (Tabell 2a) fordi de kan inneholde tall for skadeforsikring og utenlandsk virksomhet.</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For Overførte reserver til/fra andre i markedstallene inngår ikke overførte reserver som gjelder Gruppeliv. Disse vil imidlertid inngå i Tabell 4.</a:t>
          </a:r>
          <a:endParaRPr lang="nb-NO" sz="1100">
            <a:latin typeface="Times New Roman" panose="02020603050405020304" pitchFamily="18" charset="0"/>
            <a:cs typeface="Times New Roman" panose="02020603050405020304" pitchFamily="18" charset="0"/>
          </a:endParaRPr>
        </a:p>
        <a:p>
          <a:endParaRPr lang="nb-NO" sz="1100" u="sng">
            <a:latin typeface="Times New Roman" panose="02020603050405020304" pitchFamily="18" charset="0"/>
            <a:cs typeface="Times New Roman" panose="02020603050405020304" pitchFamily="18" charset="0"/>
          </a:endParaRPr>
        </a:p>
        <a:p>
          <a:r>
            <a:rPr lang="nb-NO" sz="1100" u="sng">
              <a:solidFill>
                <a:schemeClr val="dk1"/>
              </a:solidFill>
              <a:effectLst/>
              <a:latin typeface="+mn-lt"/>
              <a:ea typeface="+mn-ea"/>
              <a:cs typeface="+mn-cs"/>
            </a:rPr>
            <a:t>Oslo Forsikring</a:t>
          </a:r>
          <a:endParaRPr lang="nb-NO">
            <a:effectLst/>
          </a:endParaRPr>
        </a:p>
        <a:p>
          <a:r>
            <a:rPr lang="nb-NO" sz="1100">
              <a:solidFill>
                <a:schemeClr val="dk1"/>
              </a:solidFill>
              <a:effectLst/>
              <a:latin typeface="+mn-lt"/>
              <a:ea typeface="+mn-ea"/>
              <a:cs typeface="+mn-cs"/>
            </a:rPr>
            <a:t>Selskapet inngår i statistikken fra 1. kvartal 2024.</a:t>
          </a:r>
          <a:endParaRPr lang="nb-NO">
            <a:effectLst/>
          </a:endParaRPr>
        </a:p>
        <a:p>
          <a:pPr marL="0" indent="0"/>
          <a:endParaRPr lang="nb-NO" sz="1100" u="none">
            <a:solidFill>
              <a:schemeClr val="dk1"/>
            </a:solidFill>
            <a:latin typeface="Times New Roman" panose="02020603050405020304" pitchFamily="18" charset="0"/>
            <a:ea typeface="+mn-ea"/>
            <a:cs typeface="Times New Roman" panose="02020603050405020304" pitchFamily="18" charset="0"/>
          </a:endParaRPr>
        </a:p>
        <a:p>
          <a:endParaRPr lang="nb-NO" sz="1100">
            <a:latin typeface="Times New Roman" panose="02020603050405020304" pitchFamily="18" charset="0"/>
            <a:cs typeface="Times New Roman" panose="02020603050405020304" pitchFamily="18" charset="0"/>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Innsamlede data</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 innsamlede data er identiske med det som forekommer i statistikken.</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 underliggende tallene for statistikken er med en desimal, men statistikktallene publiseres uten desimaler. </a:t>
          </a: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Det betyr at sumtall i formler kan avvike fra de synlige summene.</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1"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Prosentendringer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Prosentendringer med tallverdi ≥ 1000 gjengis som enten 999 eller - 999. Sammenligner vi tall med samme fortegn, vil vi få prosentøkning når vi går fra lavere tallverdi til høyere tallverdi. Sammenligner vi tall med ulike fortegn, vil vi få prosentøkning når vi går fra negative tall til positive tall. Prosentendringer fra negative tall til 0 (null) = + 100, mens prosentendringer fra positive tall til 0 (null) = - 100. Prosentendringer fra 0 til positive eller negative tall angis ikke (---). Det samme gjelder små tallstørrelser som vises som 0.</a:t>
          </a:r>
          <a:endParaRPr lang="nb-NO" sz="1100">
            <a:effectLst/>
            <a:latin typeface="Times New Roman" panose="02020603050405020304" pitchFamily="18" charset="0"/>
            <a:cs typeface="Times New Roman" panose="02020603050405020304" pitchFamily="18" charset="0"/>
          </a:endParaRPr>
        </a:p>
        <a:p>
          <a:endParaRPr lang="nb-NO" sz="110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file01\finansnorge\SFA\Statistikk%20og%20analyse\Fellessaker\Ny%20presentasjon%20MA\Overset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O:\Person%20og%20krim\Statistikk%20og%20analyse%20(FNF)\RM&#248;rk\Livstatistikk%20-%20fra%20fno\Faste%20statistikker\MA\2024\Q2-2024\Mottatte\SpareBank%201.xlsx" TargetMode="External"/><Relationship Id="rId1" Type="http://schemas.openxmlformats.org/officeDocument/2006/relationships/externalLinkPath" Target="/Person%20og%20krim/Statistikk%20og%20analyse%20(FNF)/RM&#248;rk/Livstatistikk%20-%20fra%20fno/Faste%20statistikker/MA/2024/Q2-2024/Mottatte/SpareBan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at"/>
      <sheetName val="Oppslagstabeller"/>
      <sheetName val="Oversetter"/>
    </sheetNames>
    <sheetDataSet>
      <sheetData sheetId="0"/>
      <sheetData sheetId="1">
        <row r="1">
          <cell r="A1" t="str">
            <v>selskap_id</v>
          </cell>
          <cell r="B1" t="str">
            <v>sortering</v>
          </cell>
          <cell r="C1" t="str">
            <v>2a</v>
          </cell>
          <cell r="D1" t="str">
            <v>2b</v>
          </cell>
          <cell r="E1" t="str">
            <v>3a</v>
          </cell>
          <cell r="F1" t="str">
            <v>3b</v>
          </cell>
          <cell r="G1" t="str">
            <v>selskap_navn</v>
          </cell>
        </row>
        <row r="2">
          <cell r="A2" t="str">
            <v>19</v>
          </cell>
          <cell r="B2" t="str">
            <v>01</v>
          </cell>
          <cell r="C2">
            <v>3</v>
          </cell>
          <cell r="E2">
            <v>3</v>
          </cell>
          <cell r="G2" t="str">
            <v>ACE European Group Ltd</v>
          </cell>
        </row>
        <row r="3">
          <cell r="A3" t="str">
            <v>34</v>
          </cell>
          <cell r="B3" t="str">
            <v>02</v>
          </cell>
          <cell r="C3">
            <v>7</v>
          </cell>
          <cell r="D3">
            <v>3</v>
          </cell>
          <cell r="E3">
            <v>7</v>
          </cell>
          <cell r="F3">
            <v>3</v>
          </cell>
          <cell r="G3" t="str">
            <v>Danica Pensjonsforsikring</v>
          </cell>
        </row>
        <row r="4">
          <cell r="A4" t="str">
            <v>35</v>
          </cell>
          <cell r="B4" t="str">
            <v>03</v>
          </cell>
          <cell r="C4">
            <v>11</v>
          </cell>
          <cell r="D4">
            <v>7</v>
          </cell>
          <cell r="E4">
            <v>11</v>
          </cell>
          <cell r="F4">
            <v>7</v>
          </cell>
          <cell r="G4" t="str">
            <v>DNB Livsforsikring ASA</v>
          </cell>
          <cell r="N4">
            <v>16</v>
          </cell>
        </row>
        <row r="5">
          <cell r="A5" t="str">
            <v>15</v>
          </cell>
          <cell r="B5" t="str">
            <v>04</v>
          </cell>
          <cell r="C5">
            <v>15</v>
          </cell>
          <cell r="E5">
            <v>15</v>
          </cell>
          <cell r="G5" t="str">
            <v>Eika Gruppen AS</v>
          </cell>
          <cell r="N5" t="str">
            <v>4.-kvartal-2015-markedsandeler---endelige-tall-og-regnskapsstatistikk.xlsx</v>
          </cell>
        </row>
        <row r="6">
          <cell r="A6" t="str">
            <v>36</v>
          </cell>
          <cell r="B6" t="str">
            <v>05</v>
          </cell>
          <cell r="C6">
            <v>19</v>
          </cell>
          <cell r="D6">
            <v>11</v>
          </cell>
          <cell r="E6">
            <v>19</v>
          </cell>
          <cell r="F6">
            <v>11</v>
          </cell>
          <cell r="G6" t="str">
            <v>Frende Livsforsikring AS</v>
          </cell>
        </row>
        <row r="7">
          <cell r="A7" t="str">
            <v>20</v>
          </cell>
          <cell r="B7" t="str">
            <v>06</v>
          </cell>
          <cell r="C7">
            <v>23</v>
          </cell>
          <cell r="E7">
            <v>23</v>
          </cell>
          <cell r="G7" t="str">
            <v>Frende Skadeforsikring AS</v>
          </cell>
        </row>
        <row r="8">
          <cell r="A8" t="str">
            <v>4</v>
          </cell>
          <cell r="B8" t="str">
            <v>07</v>
          </cell>
          <cell r="C8">
            <v>27</v>
          </cell>
          <cell r="E8">
            <v>27</v>
          </cell>
          <cell r="G8" t="str">
            <v>Gjensidige Forsikring ASA</v>
          </cell>
        </row>
        <row r="9">
          <cell r="A9" t="str">
            <v>37</v>
          </cell>
          <cell r="B9" t="str">
            <v>08</v>
          </cell>
          <cell r="C9">
            <v>31</v>
          </cell>
          <cell r="D9">
            <v>15</v>
          </cell>
          <cell r="E9">
            <v>31</v>
          </cell>
          <cell r="F9">
            <v>15</v>
          </cell>
          <cell r="G9" t="str">
            <v>Gjensidige Pensjon og Sparing</v>
          </cell>
        </row>
        <row r="10">
          <cell r="A10" t="str">
            <v>38</v>
          </cell>
          <cell r="B10" t="str">
            <v>09</v>
          </cell>
          <cell r="C10">
            <v>35</v>
          </cell>
          <cell r="E10">
            <v>35</v>
          </cell>
          <cell r="G10" t="str">
            <v>Handelsbanken Liv</v>
          </cell>
        </row>
        <row r="11">
          <cell r="A11" t="str">
            <v>6</v>
          </cell>
          <cell r="B11" t="str">
            <v>10</v>
          </cell>
          <cell r="C11">
            <v>39</v>
          </cell>
          <cell r="E11">
            <v>39</v>
          </cell>
          <cell r="G11" t="str">
            <v>If Skadeforsikring nuf</v>
          </cell>
        </row>
        <row r="12">
          <cell r="A12" t="str">
            <v>39</v>
          </cell>
          <cell r="B12" t="str">
            <v>11</v>
          </cell>
          <cell r="C12">
            <v>47</v>
          </cell>
          <cell r="D12">
            <v>23</v>
          </cell>
          <cell r="E12">
            <v>47</v>
          </cell>
          <cell r="F12">
            <v>23</v>
          </cell>
          <cell r="G12" t="str">
            <v>KLP Bedriftspensjon AS</v>
          </cell>
        </row>
        <row r="13">
          <cell r="A13" t="str">
            <v>5</v>
          </cell>
          <cell r="B13" t="str">
            <v>12</v>
          </cell>
          <cell r="C13">
            <v>43</v>
          </cell>
          <cell r="D13">
            <v>19</v>
          </cell>
          <cell r="E13">
            <v>43</v>
          </cell>
          <cell r="F13">
            <v>19</v>
          </cell>
          <cell r="G13" t="str">
            <v>KLP</v>
          </cell>
        </row>
        <row r="14">
          <cell r="A14" t="str">
            <v>22</v>
          </cell>
          <cell r="B14" t="str">
            <v>13</v>
          </cell>
          <cell r="C14">
            <v>55</v>
          </cell>
          <cell r="E14">
            <v>55</v>
          </cell>
          <cell r="G14" t="str">
            <v>Landbruksforsikring AS</v>
          </cell>
        </row>
        <row r="15">
          <cell r="A15" t="str">
            <v>17</v>
          </cell>
          <cell r="B15" t="str">
            <v>14</v>
          </cell>
          <cell r="C15">
            <v>59</v>
          </cell>
          <cell r="E15">
            <v>59</v>
          </cell>
          <cell r="G15" t="str">
            <v>NEMI Forsikring AS</v>
          </cell>
        </row>
        <row r="16">
          <cell r="A16" t="str">
            <v>40</v>
          </cell>
          <cell r="B16" t="str">
            <v>15</v>
          </cell>
          <cell r="C16">
            <v>63</v>
          </cell>
          <cell r="D16">
            <v>27</v>
          </cell>
          <cell r="E16">
            <v>63</v>
          </cell>
          <cell r="F16">
            <v>27</v>
          </cell>
          <cell r="G16" t="str">
            <v>Livsforsikringsselskapet Nordea Liv Norge AS</v>
          </cell>
        </row>
        <row r="17">
          <cell r="A17" t="str">
            <v>41</v>
          </cell>
          <cell r="B17" t="str">
            <v>16</v>
          </cell>
          <cell r="C17">
            <v>67</v>
          </cell>
          <cell r="E17">
            <v>67</v>
          </cell>
          <cell r="G17" t="str">
            <v>Oslo Pensjonsforsikring</v>
          </cell>
        </row>
        <row r="18">
          <cell r="A18" t="str">
            <v>43</v>
          </cell>
          <cell r="B18" t="str">
            <v>17</v>
          </cell>
          <cell r="C18">
            <v>71</v>
          </cell>
          <cell r="D18">
            <v>35</v>
          </cell>
          <cell r="E18">
            <v>71</v>
          </cell>
          <cell r="F18">
            <v>35</v>
          </cell>
          <cell r="G18" t="str">
            <v>Silver Pensjonsforsikring  AS</v>
          </cell>
        </row>
        <row r="19">
          <cell r="A19" t="str">
            <v>49</v>
          </cell>
          <cell r="B19" t="str">
            <v>18</v>
          </cell>
          <cell r="C19">
            <v>75</v>
          </cell>
          <cell r="D19">
            <v>39</v>
          </cell>
          <cell r="E19">
            <v>75</v>
          </cell>
          <cell r="F19">
            <v>39</v>
          </cell>
          <cell r="G19" t="str">
            <v>Sparebank 1 Fondsforsikring</v>
          </cell>
        </row>
        <row r="20">
          <cell r="A20" t="str">
            <v>50</v>
          </cell>
          <cell r="B20" t="str">
            <v>19</v>
          </cell>
          <cell r="C20">
            <v>79</v>
          </cell>
          <cell r="D20">
            <v>43</v>
          </cell>
          <cell r="E20">
            <v>79</v>
          </cell>
          <cell r="F20">
            <v>43</v>
          </cell>
          <cell r="G20" t="str">
            <v>Storebrand Fondsforsikring</v>
          </cell>
        </row>
        <row r="21">
          <cell r="A21" t="str">
            <v>16</v>
          </cell>
          <cell r="B21" t="str">
            <v>20</v>
          </cell>
          <cell r="C21">
            <v>83</v>
          </cell>
          <cell r="E21">
            <v>83</v>
          </cell>
          <cell r="G21" t="str">
            <v>Telenor Forsikring AS</v>
          </cell>
        </row>
        <row r="22">
          <cell r="A22" t="str">
            <v>47</v>
          </cell>
          <cell r="B22" t="str">
            <v>21</v>
          </cell>
          <cell r="G22" t="str">
            <v>TrygVesta Forsikring</v>
          </cell>
        </row>
        <row r="23">
          <cell r="A23" t="str">
            <v>8</v>
          </cell>
          <cell r="B23" t="str">
            <v>22</v>
          </cell>
          <cell r="C23">
            <v>87</v>
          </cell>
          <cell r="E23">
            <v>87</v>
          </cell>
          <cell r="G23" t="str">
            <v>Tryg Forsikring</v>
          </cell>
        </row>
        <row r="24">
          <cell r="A24" t="str">
            <v>10</v>
          </cell>
          <cell r="B24" t="str">
            <v>23</v>
          </cell>
          <cell r="G24" t="str">
            <v>SpareBank 1 Forsikring AS</v>
          </cell>
        </row>
        <row r="25">
          <cell r="A25" t="str">
            <v>32</v>
          </cell>
          <cell r="B25" t="str">
            <v>24</v>
          </cell>
          <cell r="G25" t="str">
            <v>Storebrand ASA</v>
          </cell>
        </row>
        <row r="26">
          <cell r="A26" t="str">
            <v>33</v>
          </cell>
          <cell r="B26" t="str">
            <v>25</v>
          </cell>
          <cell r="G26" t="str">
            <v>Altraplan Luxembourg</v>
          </cell>
        </row>
        <row r="27">
          <cell r="A27" t="str">
            <v>42</v>
          </cell>
          <cell r="B27" t="str">
            <v>26</v>
          </cell>
          <cell r="D27">
            <v>31</v>
          </cell>
          <cell r="F27">
            <v>31</v>
          </cell>
          <cell r="G27" t="str">
            <v>SHB Liv</v>
          </cell>
        </row>
        <row r="28">
          <cell r="A28" t="str">
            <v>44</v>
          </cell>
          <cell r="B28" t="str">
            <v>27</v>
          </cell>
          <cell r="C28">
            <v>51</v>
          </cell>
          <cell r="E28">
            <v>51</v>
          </cell>
          <cell r="G28" t="str">
            <v>KLP Skadeforsikring</v>
          </cell>
        </row>
        <row r="29">
          <cell r="A29" t="str">
            <v>45</v>
          </cell>
          <cell r="B29" t="str">
            <v>28</v>
          </cell>
          <cell r="G29" t="str">
            <v>Commercial Union International Life</v>
          </cell>
        </row>
        <row r="30">
          <cell r="A30" t="str">
            <v>46</v>
          </cell>
          <cell r="B30" t="str">
            <v>29</v>
          </cell>
          <cell r="G30" t="str">
            <v>Gjensidige NOR Spareforsikring</v>
          </cell>
        </row>
        <row r="31">
          <cell r="A31" t="str">
            <v>48</v>
          </cell>
          <cell r="B31" t="str">
            <v>30</v>
          </cell>
          <cell r="G31" t="str">
            <v>Vesta</v>
          </cell>
        </row>
        <row r="32">
          <cell r="A32" t="str">
            <v>51</v>
          </cell>
          <cell r="B32" t="str">
            <v>31</v>
          </cell>
          <cell r="G32" t="str">
            <v>Danica Link</v>
          </cell>
        </row>
        <row r="33">
          <cell r="A33" t="str">
            <v>52</v>
          </cell>
          <cell r="B33" t="str">
            <v>32</v>
          </cell>
          <cell r="G33" t="str">
            <v>Danica Fondsforsikring</v>
          </cell>
        </row>
        <row r="34">
          <cell r="A34" t="str">
            <v>53</v>
          </cell>
          <cell r="B34" t="str">
            <v>33</v>
          </cell>
          <cell r="G34" t="str">
            <v>Gjensidige NOR Fondsforsikring</v>
          </cell>
        </row>
        <row r="35">
          <cell r="A35" t="str">
            <v>54</v>
          </cell>
          <cell r="B35" t="str">
            <v>34</v>
          </cell>
          <cell r="G35" t="str">
            <v>Vital Link</v>
          </cell>
        </row>
        <row r="36">
          <cell r="A36" t="str">
            <v>55</v>
          </cell>
          <cell r="B36" t="str">
            <v>35</v>
          </cell>
          <cell r="G36" t="str">
            <v>Nordea Link</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 2a"/>
      <sheetName val="Tabell 2b"/>
      <sheetName val="Tabell 3a"/>
      <sheetName val="Tabell 3b"/>
      <sheetName val="Tabell 4"/>
      <sheetName val="Tabell 6"/>
      <sheetName val="Tabell 8"/>
      <sheetName val="Noter og kommentarer"/>
    </sheetNames>
    <sheetDataSet>
      <sheetData sheetId="0" refreshError="1"/>
      <sheetData sheetId="1" refreshError="1"/>
      <sheetData sheetId="2" refreshError="1"/>
      <sheetData sheetId="3" refreshError="1"/>
      <sheetData sheetId="4" refreshError="1"/>
      <sheetData sheetId="5">
        <row r="68">
          <cell r="X68">
            <v>4972.6959999999999</v>
          </cell>
        </row>
        <row r="69">
          <cell r="X69">
            <v>1139.018</v>
          </cell>
        </row>
        <row r="76">
          <cell r="X76">
            <v>3327.4340000000002</v>
          </cell>
        </row>
        <row r="79">
          <cell r="X79">
            <v>394.25731792000045</v>
          </cell>
        </row>
        <row r="80">
          <cell r="X80">
            <v>23752.897317920004</v>
          </cell>
        </row>
      </sheetData>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F6A5-CA05-4275-B867-34D92981BF97}">
  <dimension ref="A1:M38"/>
  <sheetViews>
    <sheetView showGridLines="0" zoomScale="90" zoomScaleNormal="90" workbookViewId="0">
      <selection activeCell="B19" sqref="B19"/>
    </sheetView>
  </sheetViews>
  <sheetFormatPr baseColWidth="10" defaultColWidth="11.42578125" defaultRowHeight="12.75" x14ac:dyDescent="0.2"/>
  <cols>
    <col min="1" max="16384" width="11.42578125" style="126"/>
  </cols>
  <sheetData>
    <row r="1" spans="1:13" x14ac:dyDescent="0.2">
      <c r="A1" s="571"/>
      <c r="B1" s="571"/>
      <c r="C1" s="571"/>
      <c r="D1" s="571"/>
      <c r="E1" s="571"/>
      <c r="F1" s="571"/>
      <c r="G1" s="571"/>
      <c r="H1" s="571"/>
      <c r="I1" s="571"/>
      <c r="J1" s="571"/>
      <c r="K1" s="571"/>
      <c r="L1" s="571"/>
      <c r="M1" s="571"/>
    </row>
    <row r="2" spans="1:13" x14ac:dyDescent="0.2">
      <c r="A2" s="571"/>
      <c r="B2" s="571"/>
      <c r="C2" s="571"/>
      <c r="D2" s="571"/>
      <c r="E2" s="571"/>
      <c r="F2" s="571"/>
      <c r="G2" s="571"/>
      <c r="H2" s="571"/>
      <c r="I2" s="571"/>
      <c r="J2" s="571"/>
      <c r="K2" s="571"/>
      <c r="L2" s="571"/>
      <c r="M2" s="571"/>
    </row>
    <row r="3" spans="1:13" x14ac:dyDescent="0.2">
      <c r="A3" s="571"/>
      <c r="B3" s="571"/>
      <c r="C3" s="571"/>
      <c r="D3" s="571"/>
      <c r="E3" s="571"/>
      <c r="F3" s="571"/>
      <c r="G3" s="571"/>
      <c r="H3" s="571"/>
      <c r="I3" s="571"/>
      <c r="J3" s="571"/>
      <c r="K3" s="571"/>
      <c r="L3" s="571"/>
      <c r="M3" s="571"/>
    </row>
    <row r="4" spans="1:13" x14ac:dyDescent="0.2">
      <c r="A4" s="571"/>
      <c r="B4" s="571"/>
      <c r="C4" s="571"/>
      <c r="D4" s="571"/>
      <c r="E4" s="571"/>
      <c r="F4" s="571"/>
      <c r="G4" s="571"/>
      <c r="H4" s="571"/>
      <c r="I4" s="571"/>
      <c r="J4" s="571"/>
      <c r="K4" s="571"/>
      <c r="L4" s="571"/>
      <c r="M4" s="571"/>
    </row>
    <row r="5" spans="1:13" x14ac:dyDescent="0.2">
      <c r="A5" s="571"/>
      <c r="B5" s="572"/>
      <c r="C5" s="572"/>
      <c r="D5" s="572"/>
      <c r="E5" s="572"/>
      <c r="F5" s="572"/>
      <c r="G5" s="572"/>
      <c r="H5" s="572"/>
      <c r="I5" s="571"/>
      <c r="J5" s="571"/>
      <c r="K5" s="571"/>
      <c r="L5" s="571"/>
      <c r="M5" s="571"/>
    </row>
    <row r="6" spans="1:13" ht="23.25" x14ac:dyDescent="0.35">
      <c r="A6" s="571"/>
      <c r="B6" s="573"/>
      <c r="C6" s="572"/>
      <c r="D6" s="572"/>
      <c r="E6" s="572"/>
      <c r="F6" s="572"/>
      <c r="G6" s="572"/>
      <c r="H6" s="572"/>
      <c r="I6" s="574"/>
      <c r="J6" s="571"/>
      <c r="K6" s="571"/>
      <c r="L6" s="571"/>
      <c r="M6" s="571"/>
    </row>
    <row r="7" spans="1:13" x14ac:dyDescent="0.2">
      <c r="A7" s="571"/>
      <c r="B7" s="572"/>
      <c r="C7" s="572"/>
      <c r="D7" s="572"/>
      <c r="E7" s="572"/>
      <c r="F7" s="572"/>
      <c r="G7" s="572"/>
      <c r="H7" s="572"/>
      <c r="I7" s="572"/>
      <c r="J7" s="571"/>
      <c r="K7" s="571"/>
      <c r="L7" s="571"/>
      <c r="M7" s="571"/>
    </row>
    <row r="8" spans="1:13" x14ac:dyDescent="0.2">
      <c r="A8" s="571"/>
      <c r="B8" s="572"/>
      <c r="C8" s="572"/>
      <c r="D8" s="572"/>
      <c r="E8" s="571"/>
      <c r="F8" s="572"/>
      <c r="G8" s="572"/>
      <c r="H8" s="572"/>
      <c r="I8" s="571"/>
      <c r="J8" s="571"/>
      <c r="K8" s="571"/>
      <c r="L8" s="571"/>
      <c r="M8" s="571"/>
    </row>
    <row r="9" spans="1:13" x14ac:dyDescent="0.2">
      <c r="A9" s="571"/>
      <c r="B9" s="572"/>
      <c r="C9" s="572"/>
      <c r="D9" s="572"/>
      <c r="E9" s="572"/>
      <c r="F9" s="572"/>
      <c r="G9" s="572"/>
      <c r="H9" s="572"/>
      <c r="I9" s="571"/>
      <c r="J9" s="571"/>
      <c r="K9" s="571"/>
      <c r="L9" s="571"/>
      <c r="M9" s="571"/>
    </row>
    <row r="10" spans="1:13" ht="23.25" x14ac:dyDescent="0.35">
      <c r="A10" s="571"/>
      <c r="B10" s="572"/>
      <c r="C10" s="572"/>
      <c r="D10" s="572"/>
      <c r="E10" s="571"/>
      <c r="F10" s="571"/>
      <c r="G10" s="571"/>
      <c r="H10" s="571"/>
      <c r="I10" s="574"/>
      <c r="J10" s="571"/>
      <c r="K10" s="571"/>
      <c r="L10" s="571"/>
      <c r="M10" s="571"/>
    </row>
    <row r="11" spans="1:13" x14ac:dyDescent="0.2">
      <c r="A11" s="571"/>
      <c r="B11" s="572"/>
      <c r="C11" s="572"/>
      <c r="D11" s="572"/>
      <c r="E11" s="571"/>
      <c r="F11" s="571"/>
      <c r="G11" s="571"/>
      <c r="H11" s="571"/>
      <c r="I11" s="571"/>
      <c r="J11" s="571"/>
      <c r="K11" s="571"/>
      <c r="L11" s="571"/>
      <c r="M11" s="571"/>
    </row>
    <row r="12" spans="1:13" ht="23.25" x14ac:dyDescent="0.35">
      <c r="A12" s="571"/>
      <c r="B12" s="572"/>
      <c r="C12" s="572"/>
      <c r="D12" s="572"/>
      <c r="E12" s="572"/>
      <c r="F12" s="572"/>
      <c r="G12" s="572"/>
      <c r="H12" s="572"/>
      <c r="I12" s="574"/>
      <c r="J12" s="571"/>
      <c r="K12" s="571"/>
      <c r="L12" s="571"/>
      <c r="M12" s="571"/>
    </row>
    <row r="13" spans="1:13" ht="23.25" x14ac:dyDescent="0.35">
      <c r="A13" s="571"/>
      <c r="B13" s="572"/>
      <c r="C13" s="575"/>
      <c r="D13" s="575"/>
      <c r="E13" s="575"/>
      <c r="F13" s="575"/>
      <c r="G13" s="575"/>
      <c r="H13" s="575"/>
      <c r="I13" s="574"/>
      <c r="J13" s="571"/>
      <c r="K13" s="571"/>
      <c r="L13" s="571"/>
      <c r="M13" s="571"/>
    </row>
    <row r="14" spans="1:13" x14ac:dyDescent="0.2">
      <c r="A14" s="571"/>
      <c r="B14" s="572"/>
      <c r="C14" s="572"/>
      <c r="D14" s="572"/>
      <c r="E14" s="571"/>
      <c r="F14" s="572"/>
      <c r="G14" s="572"/>
      <c r="H14" s="572"/>
      <c r="I14" s="571"/>
      <c r="J14" s="571"/>
      <c r="K14" s="571"/>
      <c r="L14" s="571"/>
      <c r="M14" s="571"/>
    </row>
    <row r="15" spans="1:13" x14ac:dyDescent="0.2">
      <c r="A15" s="571"/>
      <c r="B15" s="572"/>
      <c r="C15" s="572"/>
      <c r="D15" s="572"/>
      <c r="E15" s="571"/>
      <c r="F15" s="572"/>
      <c r="G15" s="572"/>
      <c r="H15" s="572"/>
      <c r="I15" s="572"/>
      <c r="J15" s="571"/>
      <c r="K15" s="571"/>
      <c r="L15" s="571"/>
      <c r="M15" s="571"/>
    </row>
    <row r="16" spans="1:13" ht="34.5" x14ac:dyDescent="0.45">
      <c r="A16" s="571"/>
      <c r="B16" s="572"/>
      <c r="C16" s="572"/>
      <c r="D16" s="572"/>
      <c r="E16" s="576"/>
      <c r="F16" s="572"/>
      <c r="G16" s="572"/>
      <c r="H16" s="572"/>
      <c r="I16" s="572"/>
      <c r="J16" s="571"/>
      <c r="K16" s="571"/>
      <c r="L16" s="571"/>
      <c r="M16" s="571"/>
    </row>
    <row r="17" spans="1:13" ht="33" x14ac:dyDescent="0.45">
      <c r="A17" s="571"/>
      <c r="B17" s="572"/>
      <c r="C17" s="572"/>
      <c r="D17" s="572"/>
      <c r="E17" s="577"/>
      <c r="F17" s="572"/>
      <c r="G17" s="572"/>
      <c r="H17" s="572"/>
      <c r="I17" s="572"/>
      <c r="J17" s="571"/>
      <c r="K17" s="571"/>
      <c r="L17" s="571"/>
      <c r="M17" s="571"/>
    </row>
    <row r="18" spans="1:13" ht="33" x14ac:dyDescent="0.45">
      <c r="A18" s="571"/>
      <c r="B18" s="571"/>
      <c r="C18" s="571"/>
      <c r="D18" s="577"/>
      <c r="E18" s="571"/>
      <c r="F18" s="571"/>
      <c r="G18" s="571"/>
      <c r="H18" s="571"/>
      <c r="I18" s="571"/>
      <c r="J18" s="571"/>
      <c r="K18" s="571"/>
      <c r="L18" s="571"/>
      <c r="M18" s="571"/>
    </row>
    <row r="19" spans="1:13" ht="18.75" x14ac:dyDescent="0.3">
      <c r="A19" s="571"/>
      <c r="B19" s="571"/>
      <c r="C19" s="571"/>
      <c r="D19" s="571"/>
      <c r="E19" s="578"/>
      <c r="F19" s="571"/>
      <c r="G19" s="571"/>
      <c r="H19" s="571"/>
      <c r="I19" s="579"/>
      <c r="J19" s="571"/>
      <c r="K19" s="571"/>
      <c r="L19" s="571"/>
      <c r="M19" s="571"/>
    </row>
    <row r="20" spans="1:13" x14ac:dyDescent="0.2">
      <c r="A20" s="571"/>
      <c r="B20" s="571"/>
      <c r="C20" s="571"/>
      <c r="D20" s="571"/>
      <c r="E20" s="571"/>
      <c r="F20" s="571"/>
      <c r="G20" s="571"/>
      <c r="H20" s="571"/>
      <c r="I20" s="571"/>
      <c r="J20" s="571"/>
      <c r="K20" s="571"/>
      <c r="L20" s="571"/>
      <c r="M20" s="571"/>
    </row>
    <row r="21" spans="1:13" x14ac:dyDescent="0.2">
      <c r="A21" s="571"/>
      <c r="B21" s="571"/>
      <c r="C21" s="571"/>
      <c r="D21" s="571"/>
      <c r="E21" s="580"/>
      <c r="F21" s="571"/>
      <c r="G21" s="571"/>
      <c r="H21" s="571"/>
      <c r="I21" s="571"/>
      <c r="J21" s="571"/>
      <c r="K21" s="571"/>
      <c r="L21" s="571"/>
      <c r="M21" s="571"/>
    </row>
    <row r="22" spans="1:13" ht="26.25" x14ac:dyDescent="0.4">
      <c r="A22" s="571"/>
      <c r="B22" s="571"/>
      <c r="C22" s="571"/>
      <c r="D22" s="571"/>
      <c r="E22" s="581"/>
      <c r="F22" s="571"/>
      <c r="G22" s="571"/>
      <c r="H22" s="571"/>
      <c r="I22" s="571"/>
      <c r="J22" s="571"/>
      <c r="K22" s="571"/>
      <c r="L22" s="571"/>
      <c r="M22" s="571"/>
    </row>
    <row r="23" spans="1:13" x14ac:dyDescent="0.2">
      <c r="A23" s="571"/>
      <c r="B23" s="571"/>
      <c r="C23" s="571"/>
      <c r="D23" s="571"/>
      <c r="E23" s="571"/>
      <c r="F23" s="571"/>
      <c r="G23" s="571"/>
      <c r="H23" s="571"/>
      <c r="I23" s="571"/>
      <c r="J23" s="571"/>
      <c r="K23" s="571"/>
      <c r="L23" s="571"/>
      <c r="M23" s="571"/>
    </row>
    <row r="24" spans="1:13" x14ac:dyDescent="0.2">
      <c r="A24" s="571"/>
      <c r="B24" s="571"/>
      <c r="C24" s="571"/>
      <c r="D24" s="571"/>
      <c r="E24" s="571"/>
      <c r="F24" s="571"/>
      <c r="G24" s="571"/>
      <c r="H24" s="571"/>
      <c r="I24" s="571"/>
      <c r="J24" s="571"/>
      <c r="K24" s="571"/>
      <c r="L24" s="571"/>
      <c r="M24" s="571"/>
    </row>
    <row r="25" spans="1:13" ht="18.75" x14ac:dyDescent="0.3">
      <c r="A25" s="571"/>
      <c r="B25" s="571"/>
      <c r="C25" s="571"/>
      <c r="D25" s="571"/>
      <c r="E25" s="582"/>
      <c r="F25" s="571"/>
      <c r="G25" s="571"/>
      <c r="H25" s="571"/>
      <c r="I25" s="571"/>
      <c r="J25" s="571"/>
      <c r="K25" s="571"/>
      <c r="L25" s="571"/>
      <c r="M25" s="571"/>
    </row>
    <row r="26" spans="1:13" ht="18.75" x14ac:dyDescent="0.3">
      <c r="A26" s="571"/>
      <c r="B26" s="571"/>
      <c r="C26" s="571"/>
      <c r="D26" s="571"/>
      <c r="E26" s="583"/>
      <c r="F26" s="571"/>
      <c r="G26" s="571"/>
      <c r="H26" s="571"/>
      <c r="I26" s="571"/>
      <c r="J26" s="571"/>
      <c r="K26" s="571"/>
      <c r="L26" s="571"/>
      <c r="M26" s="571"/>
    </row>
    <row r="27" spans="1:13" x14ac:dyDescent="0.2">
      <c r="A27" s="571"/>
      <c r="B27" s="571"/>
      <c r="C27" s="571"/>
      <c r="D27" s="571"/>
      <c r="E27" s="571"/>
      <c r="F27" s="571"/>
      <c r="G27" s="571"/>
      <c r="H27" s="571"/>
      <c r="I27" s="571"/>
      <c r="J27" s="571"/>
      <c r="K27" s="571"/>
      <c r="L27" s="571"/>
      <c r="M27" s="571"/>
    </row>
    <row r="28" spans="1:13" x14ac:dyDescent="0.2">
      <c r="A28" s="571"/>
      <c r="B28" s="571"/>
      <c r="C28" s="571"/>
      <c r="D28" s="575"/>
      <c r="E28" s="575"/>
      <c r="F28" s="575"/>
      <c r="G28" s="575"/>
      <c r="H28" s="575"/>
      <c r="I28" s="571"/>
      <c r="J28" s="571"/>
      <c r="K28" s="571"/>
      <c r="L28" s="571"/>
      <c r="M28" s="571"/>
    </row>
    <row r="29" spans="1:13" x14ac:dyDescent="0.2">
      <c r="A29" s="571"/>
      <c r="B29" s="571"/>
      <c r="C29" s="571"/>
      <c r="D29" s="571"/>
      <c r="E29" s="571"/>
      <c r="F29" s="571"/>
      <c r="G29" s="571"/>
      <c r="H29" s="571"/>
      <c r="I29" s="571"/>
      <c r="J29" s="571"/>
      <c r="K29" s="571"/>
      <c r="L29" s="571"/>
      <c r="M29" s="571"/>
    </row>
    <row r="30" spans="1:13" x14ac:dyDescent="0.2">
      <c r="A30" s="571"/>
      <c r="B30" s="571"/>
      <c r="C30" s="571"/>
      <c r="D30" s="571"/>
      <c r="E30" s="571"/>
      <c r="F30" s="571"/>
      <c r="G30" s="571"/>
      <c r="H30" s="571"/>
      <c r="I30" s="571"/>
      <c r="J30" s="571"/>
      <c r="K30" s="571"/>
      <c r="L30" s="571"/>
      <c r="M30" s="571"/>
    </row>
    <row r="31" spans="1:13" x14ac:dyDescent="0.2">
      <c r="A31" s="571"/>
      <c r="B31" s="571"/>
      <c r="C31" s="571"/>
      <c r="D31" s="571"/>
      <c r="E31" s="571"/>
      <c r="F31" s="571"/>
      <c r="G31" s="571"/>
      <c r="H31" s="571"/>
      <c r="I31" s="571"/>
      <c r="J31" s="571"/>
      <c r="K31" s="571"/>
      <c r="L31" s="571"/>
      <c r="M31" s="571"/>
    </row>
    <row r="32" spans="1:13" x14ac:dyDescent="0.2">
      <c r="A32" s="571"/>
      <c r="B32" s="571"/>
      <c r="C32" s="571"/>
      <c r="D32" s="571"/>
      <c r="E32" s="571"/>
      <c r="F32" s="571"/>
      <c r="G32" s="571"/>
      <c r="H32" s="571"/>
      <c r="I32" s="571"/>
      <c r="J32" s="571"/>
      <c r="K32" s="571"/>
      <c r="L32" s="571"/>
      <c r="M32" s="571"/>
    </row>
    <row r="33" spans="1:13" ht="35.25" x14ac:dyDescent="0.2">
      <c r="A33" s="584"/>
      <c r="B33" s="571"/>
      <c r="C33" s="571"/>
      <c r="D33" s="571"/>
      <c r="E33" s="571"/>
      <c r="F33" s="571"/>
      <c r="G33" s="571"/>
      <c r="H33" s="571"/>
      <c r="I33" s="571"/>
      <c r="J33" s="571"/>
      <c r="K33" s="571"/>
      <c r="L33" s="571"/>
      <c r="M33" s="571"/>
    </row>
    <row r="34" spans="1:13" x14ac:dyDescent="0.2">
      <c r="A34" s="571"/>
      <c r="B34" s="571"/>
      <c r="C34" s="571"/>
      <c r="D34" s="571"/>
      <c r="E34" s="571"/>
      <c r="F34" s="571"/>
      <c r="G34" s="571"/>
      <c r="H34" s="571"/>
      <c r="I34" s="571"/>
      <c r="J34" s="571"/>
      <c r="K34" s="571"/>
      <c r="L34" s="571"/>
      <c r="M34" s="571"/>
    </row>
    <row r="35" spans="1:13" x14ac:dyDescent="0.2">
      <c r="A35" s="571"/>
      <c r="B35" s="571"/>
      <c r="C35" s="571"/>
      <c r="D35" s="571"/>
      <c r="E35" s="571"/>
      <c r="F35" s="571"/>
      <c r="G35" s="571"/>
      <c r="H35" s="571"/>
      <c r="I35" s="571"/>
      <c r="J35" s="571"/>
      <c r="K35" s="571"/>
      <c r="L35" s="571"/>
      <c r="M35" s="571"/>
    </row>
    <row r="36" spans="1:13" ht="33" x14ac:dyDescent="0.2">
      <c r="A36" s="571"/>
      <c r="B36" s="585"/>
      <c r="C36" s="571"/>
      <c r="D36" s="571"/>
      <c r="E36" s="571"/>
      <c r="F36" s="571"/>
      <c r="G36" s="571"/>
      <c r="H36" s="571"/>
      <c r="I36" s="571"/>
      <c r="J36" s="571"/>
      <c r="K36" s="571"/>
      <c r="L36" s="571"/>
      <c r="M36" s="571"/>
    </row>
    <row r="37" spans="1:13" x14ac:dyDescent="0.2">
      <c r="A37" s="571"/>
      <c r="B37" s="571"/>
      <c r="C37" s="571"/>
      <c r="D37" s="571"/>
      <c r="E37" s="571"/>
      <c r="F37" s="571"/>
      <c r="G37" s="571"/>
      <c r="H37" s="571"/>
      <c r="I37" s="571"/>
      <c r="J37" s="571"/>
      <c r="K37" s="571"/>
      <c r="L37" s="571"/>
      <c r="M37" s="571"/>
    </row>
    <row r="38" spans="1:13" x14ac:dyDescent="0.2">
      <c r="A38" s="571"/>
      <c r="B38" s="571"/>
      <c r="C38" s="571"/>
      <c r="D38" s="571"/>
      <c r="E38" s="571"/>
      <c r="F38" s="571"/>
      <c r="G38" s="571"/>
      <c r="H38" s="571"/>
      <c r="I38" s="571"/>
      <c r="J38" s="571"/>
      <c r="K38" s="571"/>
      <c r="L38" s="571"/>
      <c r="M38" s="57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1DA9-89CE-4218-BAD2-ABC9A5D34523}">
  <dimension ref="A1:N144"/>
  <sheetViews>
    <sheetView showGridLines="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367</v>
      </c>
      <c r="D1" s="26"/>
      <c r="E1" s="26"/>
      <c r="F1" s="26"/>
      <c r="G1" s="26"/>
      <c r="H1" s="26"/>
      <c r="I1" s="26"/>
      <c r="J1" s="26"/>
      <c r="K1" s="26"/>
      <c r="L1" s="26"/>
      <c r="M1" s="26"/>
    </row>
    <row r="2" spans="1:14" ht="15.75" x14ac:dyDescent="0.25">
      <c r="A2" s="150" t="s">
        <v>28</v>
      </c>
      <c r="B2" s="717"/>
      <c r="C2" s="717"/>
      <c r="D2" s="717"/>
      <c r="E2" s="513"/>
      <c r="F2" s="717"/>
      <c r="G2" s="717"/>
      <c r="H2" s="717"/>
      <c r="I2" s="513"/>
      <c r="J2" s="717"/>
      <c r="K2" s="717"/>
      <c r="L2" s="717"/>
      <c r="M2" s="513"/>
    </row>
    <row r="3" spans="1:14" ht="15.75" x14ac:dyDescent="0.25">
      <c r="A3" s="148"/>
      <c r="B3" s="513"/>
      <c r="C3" s="513"/>
      <c r="D3" s="513"/>
      <c r="E3" s="513"/>
      <c r="F3" s="513"/>
      <c r="G3" s="513"/>
      <c r="H3" s="513"/>
      <c r="I3" s="513"/>
      <c r="J3" s="513"/>
      <c r="K3" s="513"/>
      <c r="L3" s="513"/>
      <c r="M3" s="513"/>
    </row>
    <row r="4" spans="1:14" x14ac:dyDescent="0.2">
      <c r="A4" s="129"/>
      <c r="B4" s="715" t="s">
        <v>0</v>
      </c>
      <c r="C4" s="716"/>
      <c r="D4" s="716"/>
      <c r="E4" s="511"/>
      <c r="F4" s="715" t="s">
        <v>1</v>
      </c>
      <c r="G4" s="716"/>
      <c r="H4" s="716"/>
      <c r="I4" s="512"/>
      <c r="J4" s="715" t="s">
        <v>2</v>
      </c>
      <c r="K4" s="716"/>
      <c r="L4" s="716"/>
      <c r="M4" s="512"/>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151"/>
      <c r="M8" s="27"/>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513"/>
      <c r="F18" s="714"/>
      <c r="G18" s="714"/>
      <c r="H18" s="714"/>
      <c r="I18" s="513"/>
      <c r="J18" s="714"/>
      <c r="K18" s="714"/>
      <c r="L18" s="714"/>
      <c r="M18" s="513"/>
    </row>
    <row r="19" spans="1:14" x14ac:dyDescent="0.2">
      <c r="A19" s="129"/>
      <c r="B19" s="715" t="s">
        <v>0</v>
      </c>
      <c r="C19" s="716"/>
      <c r="D19" s="716"/>
      <c r="E19" s="511"/>
      <c r="F19" s="715" t="s">
        <v>1</v>
      </c>
      <c r="G19" s="716"/>
      <c r="H19" s="716"/>
      <c r="I19" s="512"/>
      <c r="J19" s="715" t="s">
        <v>2</v>
      </c>
      <c r="K19" s="716"/>
      <c r="L19" s="716"/>
      <c r="M19" s="512"/>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393"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45"/>
      <c r="J22" s="301"/>
      <c r="K22" s="301"/>
      <c r="L22" s="404"/>
      <c r="M22" s="24"/>
    </row>
    <row r="23" spans="1:14" ht="15.75" x14ac:dyDescent="0.2">
      <c r="A23" s="453" t="s">
        <v>325</v>
      </c>
      <c r="B23" s="266"/>
      <c r="C23" s="266"/>
      <c r="D23" s="151"/>
      <c r="E23" s="11"/>
      <c r="F23" s="275"/>
      <c r="G23" s="275"/>
      <c r="H23" s="151"/>
      <c r="I23" s="224"/>
      <c r="J23" s="275"/>
      <c r="K23" s="275"/>
      <c r="L23" s="151"/>
      <c r="M23" s="23"/>
    </row>
    <row r="24" spans="1:14" ht="15.75" x14ac:dyDescent="0.2">
      <c r="A24" s="453" t="s">
        <v>326</v>
      </c>
      <c r="B24" s="266"/>
      <c r="C24" s="266"/>
      <c r="D24" s="151"/>
      <c r="E24" s="11"/>
      <c r="F24" s="275"/>
      <c r="G24" s="275"/>
      <c r="H24" s="151"/>
      <c r="I24" s="224"/>
      <c r="J24" s="275"/>
      <c r="K24" s="275"/>
      <c r="L24" s="151"/>
      <c r="M24" s="23"/>
    </row>
    <row r="25" spans="1:14" ht="15.75" x14ac:dyDescent="0.2">
      <c r="A25" s="453" t="s">
        <v>327</v>
      </c>
      <c r="B25" s="266"/>
      <c r="C25" s="266"/>
      <c r="D25" s="151"/>
      <c r="E25" s="11"/>
      <c r="F25" s="275"/>
      <c r="G25" s="275"/>
      <c r="H25" s="151"/>
      <c r="I25" s="224"/>
      <c r="J25" s="275"/>
      <c r="K25" s="275"/>
      <c r="L25" s="151"/>
      <c r="M25" s="23"/>
    </row>
    <row r="26" spans="1:14" ht="15.75" x14ac:dyDescent="0.2">
      <c r="A26" s="453" t="s">
        <v>328</v>
      </c>
      <c r="B26" s="266"/>
      <c r="C26" s="266"/>
      <c r="D26" s="151"/>
      <c r="E26" s="11"/>
      <c r="F26" s="275"/>
      <c r="G26" s="275"/>
      <c r="H26" s="151"/>
      <c r="I26" s="224"/>
      <c r="J26" s="275"/>
      <c r="K26" s="275"/>
      <c r="L26" s="151"/>
      <c r="M26" s="23"/>
    </row>
    <row r="27" spans="1:14" x14ac:dyDescent="0.2">
      <c r="A27" s="453" t="s">
        <v>11</v>
      </c>
      <c r="B27" s="266"/>
      <c r="C27" s="266"/>
      <c r="D27" s="151"/>
      <c r="E27" s="11"/>
      <c r="F27" s="275"/>
      <c r="G27" s="275"/>
      <c r="H27" s="151"/>
      <c r="I27" s="224"/>
      <c r="J27" s="275"/>
      <c r="K27" s="275"/>
      <c r="L27" s="151"/>
      <c r="M27" s="23"/>
    </row>
    <row r="28" spans="1:14" ht="15.75" x14ac:dyDescent="0.2">
      <c r="A28" s="49" t="s">
        <v>246</v>
      </c>
      <c r="B28" s="44"/>
      <c r="C28" s="272"/>
      <c r="D28" s="151"/>
      <c r="E28" s="11"/>
      <c r="F28" s="218"/>
      <c r="G28" s="272"/>
      <c r="H28" s="151"/>
      <c r="I28" s="161"/>
      <c r="J28" s="44"/>
      <c r="K28" s="44"/>
      <c r="L28" s="242"/>
      <c r="M28" s="23"/>
    </row>
    <row r="29" spans="1:14" s="3" customFormat="1" ht="15.75" x14ac:dyDescent="0.2">
      <c r="A29" s="13" t="s">
        <v>322</v>
      </c>
      <c r="B29" s="220"/>
      <c r="C29" s="220"/>
      <c r="D29" s="156"/>
      <c r="E29" s="11"/>
      <c r="F29" s="293"/>
      <c r="G29" s="293"/>
      <c r="H29" s="156"/>
      <c r="I29" s="145"/>
      <c r="J29" s="220"/>
      <c r="K29" s="220"/>
      <c r="L29" s="405"/>
      <c r="M29" s="24"/>
      <c r="N29" s="133"/>
    </row>
    <row r="30" spans="1:14" s="3" customFormat="1" ht="15.75" x14ac:dyDescent="0.2">
      <c r="A30" s="453" t="s">
        <v>325</v>
      </c>
      <c r="B30" s="266"/>
      <c r="C30" s="266"/>
      <c r="D30" s="151"/>
      <c r="E30" s="11"/>
      <c r="F30" s="275"/>
      <c r="G30" s="275"/>
      <c r="H30" s="151"/>
      <c r="I30" s="224"/>
      <c r="J30" s="275"/>
      <c r="K30" s="275"/>
      <c r="L30" s="151"/>
      <c r="M30" s="23"/>
      <c r="N30" s="133"/>
    </row>
    <row r="31" spans="1:14" s="3" customFormat="1" ht="15.75" x14ac:dyDescent="0.2">
      <c r="A31" s="453" t="s">
        <v>326</v>
      </c>
      <c r="B31" s="266"/>
      <c r="C31" s="266"/>
      <c r="D31" s="151"/>
      <c r="E31" s="11"/>
      <c r="F31" s="275"/>
      <c r="G31" s="275"/>
      <c r="H31" s="151"/>
      <c r="I31" s="224"/>
      <c r="J31" s="275"/>
      <c r="K31" s="275"/>
      <c r="L31" s="151"/>
      <c r="M31" s="23"/>
      <c r="N31" s="133"/>
    </row>
    <row r="32" spans="1:14" ht="15.75" x14ac:dyDescent="0.2">
      <c r="A32" s="453" t="s">
        <v>327</v>
      </c>
      <c r="B32" s="266"/>
      <c r="C32" s="266"/>
      <c r="D32" s="151"/>
      <c r="E32" s="11"/>
      <c r="F32" s="275"/>
      <c r="G32" s="275"/>
      <c r="H32" s="151"/>
      <c r="I32" s="224"/>
      <c r="J32" s="275"/>
      <c r="K32" s="275"/>
      <c r="L32" s="151"/>
      <c r="M32" s="23"/>
    </row>
    <row r="33" spans="1:14" ht="15.75" x14ac:dyDescent="0.2">
      <c r="A33" s="453" t="s">
        <v>328</v>
      </c>
      <c r="B33" s="266"/>
      <c r="C33" s="266"/>
      <c r="D33" s="151"/>
      <c r="E33" s="11"/>
      <c r="F33" s="275"/>
      <c r="G33" s="275"/>
      <c r="H33" s="151"/>
      <c r="I33" s="224"/>
      <c r="J33" s="275"/>
      <c r="K33" s="275"/>
      <c r="L33" s="151"/>
      <c r="M33" s="23"/>
    </row>
    <row r="34" spans="1:14" ht="15.75" x14ac:dyDescent="0.2">
      <c r="A34" s="13" t="s">
        <v>323</v>
      </c>
      <c r="B34" s="220"/>
      <c r="C34" s="294"/>
      <c r="D34" s="156"/>
      <c r="E34" s="11"/>
      <c r="F34" s="293"/>
      <c r="G34" s="294"/>
      <c r="H34" s="156"/>
      <c r="I34" s="145"/>
      <c r="J34" s="220"/>
      <c r="K34" s="220"/>
      <c r="L34" s="405"/>
      <c r="M34" s="24"/>
    </row>
    <row r="35" spans="1:14" ht="15.75" x14ac:dyDescent="0.2">
      <c r="A35" s="13" t="s">
        <v>324</v>
      </c>
      <c r="B35" s="220"/>
      <c r="C35" s="294"/>
      <c r="D35" s="156"/>
      <c r="E35" s="11"/>
      <c r="F35" s="293"/>
      <c r="G35" s="294"/>
      <c r="H35" s="156"/>
      <c r="I35" s="145"/>
      <c r="J35" s="220"/>
      <c r="K35" s="220"/>
      <c r="L35" s="405"/>
      <c r="M35" s="24"/>
    </row>
    <row r="36" spans="1:14" ht="15.75" x14ac:dyDescent="0.2">
      <c r="A36" s="12" t="s">
        <v>254</v>
      </c>
      <c r="B36" s="220"/>
      <c r="C36" s="294"/>
      <c r="D36" s="156"/>
      <c r="E36" s="11"/>
      <c r="F36" s="304"/>
      <c r="G36" s="305"/>
      <c r="H36" s="156"/>
      <c r="I36" s="407"/>
      <c r="J36" s="220"/>
      <c r="K36" s="220"/>
      <c r="L36" s="405"/>
      <c r="M36" s="24"/>
    </row>
    <row r="37" spans="1:14" ht="15.75" x14ac:dyDescent="0.2">
      <c r="A37" s="12" t="s">
        <v>330</v>
      </c>
      <c r="B37" s="220"/>
      <c r="C37" s="294"/>
      <c r="D37" s="156"/>
      <c r="E37" s="11"/>
      <c r="F37" s="304"/>
      <c r="G37" s="306"/>
      <c r="H37" s="156"/>
      <c r="I37" s="407"/>
      <c r="J37" s="220"/>
      <c r="K37" s="220"/>
      <c r="L37" s="405"/>
      <c r="M37" s="24"/>
    </row>
    <row r="38" spans="1:14" ht="15.75" x14ac:dyDescent="0.2">
      <c r="A38" s="12" t="s">
        <v>331</v>
      </c>
      <c r="B38" s="220"/>
      <c r="C38" s="294"/>
      <c r="D38" s="156"/>
      <c r="E38" s="24"/>
      <c r="F38" s="304"/>
      <c r="G38" s="305"/>
      <c r="H38" s="156"/>
      <c r="I38" s="407"/>
      <c r="J38" s="220"/>
      <c r="K38" s="220"/>
      <c r="L38" s="405"/>
      <c r="M38" s="24"/>
    </row>
    <row r="39" spans="1:14" ht="15.75" x14ac:dyDescent="0.2">
      <c r="A39" s="18" t="s">
        <v>332</v>
      </c>
      <c r="B39" s="261"/>
      <c r="C39" s="300"/>
      <c r="D39" s="154"/>
      <c r="E39" s="36"/>
      <c r="F39" s="307"/>
      <c r="G39" s="308"/>
      <c r="H39" s="154"/>
      <c r="I39" s="154"/>
      <c r="J39" s="220"/>
      <c r="K39" s="220"/>
      <c r="L39" s="406"/>
      <c r="M39" s="36"/>
    </row>
    <row r="40" spans="1:14" ht="15.75" x14ac:dyDescent="0.25">
      <c r="A40" s="47"/>
      <c r="B40" s="241"/>
      <c r="C40" s="241"/>
      <c r="D40" s="718"/>
      <c r="E40" s="718"/>
      <c r="F40" s="718"/>
      <c r="G40" s="718"/>
      <c r="H40" s="718"/>
      <c r="I40" s="718"/>
      <c r="J40" s="718"/>
      <c r="K40" s="718"/>
      <c r="L40" s="718"/>
      <c r="M40" s="514"/>
    </row>
    <row r="41" spans="1:14" x14ac:dyDescent="0.2">
      <c r="A41" s="140"/>
    </row>
    <row r="42" spans="1:14" ht="15.75" x14ac:dyDescent="0.25">
      <c r="A42" s="132" t="s">
        <v>243</v>
      </c>
      <c r="B42" s="717"/>
      <c r="C42" s="717"/>
      <c r="D42" s="717"/>
      <c r="E42" s="513"/>
      <c r="F42" s="719"/>
      <c r="G42" s="719"/>
      <c r="H42" s="719"/>
      <c r="I42" s="514"/>
      <c r="J42" s="719"/>
      <c r="K42" s="719"/>
      <c r="L42" s="719"/>
      <c r="M42" s="514"/>
    </row>
    <row r="43" spans="1:14" ht="15.75" x14ac:dyDescent="0.25">
      <c r="A43" s="148"/>
      <c r="B43" s="509"/>
      <c r="C43" s="509"/>
      <c r="D43" s="509"/>
      <c r="E43" s="509"/>
      <c r="F43" s="514"/>
      <c r="G43" s="514"/>
      <c r="H43" s="514"/>
      <c r="I43" s="514"/>
      <c r="J43" s="514"/>
      <c r="K43" s="514"/>
      <c r="L43" s="514"/>
      <c r="M43" s="514"/>
    </row>
    <row r="44" spans="1:14" ht="15.75" x14ac:dyDescent="0.25">
      <c r="A44" s="232"/>
      <c r="B44" s="715" t="s">
        <v>0</v>
      </c>
      <c r="C44" s="716"/>
      <c r="D44" s="716"/>
      <c r="E44" s="228"/>
      <c r="F44" s="514"/>
      <c r="G44" s="514"/>
      <c r="H44" s="514"/>
      <c r="I44" s="514"/>
      <c r="J44" s="514"/>
      <c r="K44" s="514"/>
      <c r="L44" s="514"/>
      <c r="M44" s="514"/>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37969</v>
      </c>
      <c r="C47" s="296">
        <v>70533</v>
      </c>
      <c r="D47" s="404">
        <f t="shared" ref="D47:D55" si="0">IF(B47=0, "    ---- ", IF(ABS(ROUND(100/B47*C47-100,1))&lt;999,ROUND(100/B47*C47-100,1),IF(ROUND(100/B47*C47-100,1)&gt;999,999,-999)))</f>
        <v>85.8</v>
      </c>
      <c r="E47" s="11">
        <f>IFERROR(100/'Skjema total MA'!C47*C47,0)</f>
        <v>1.3531817765578891</v>
      </c>
      <c r="F47" s="130"/>
      <c r="G47" s="33"/>
      <c r="H47" s="144"/>
      <c r="I47" s="144"/>
      <c r="J47" s="37"/>
      <c r="K47" s="37"/>
      <c r="L47" s="144"/>
      <c r="M47" s="144"/>
      <c r="N47" s="133"/>
    </row>
    <row r="48" spans="1:14" s="3" customFormat="1" ht="15.75" x14ac:dyDescent="0.2">
      <c r="A48" s="38" t="s">
        <v>333</v>
      </c>
      <c r="B48" s="266">
        <v>37023</v>
      </c>
      <c r="C48" s="267">
        <v>69544</v>
      </c>
      <c r="D48" s="242">
        <f t="shared" si="0"/>
        <v>87.8</v>
      </c>
      <c r="E48" s="27">
        <f>IFERROR(100/'Skjema total MA'!C48*C48,0)</f>
        <v>2.3432969322402446</v>
      </c>
      <c r="F48" s="130"/>
      <c r="G48" s="33"/>
      <c r="H48" s="130"/>
      <c r="I48" s="130"/>
      <c r="J48" s="33"/>
      <c r="K48" s="33"/>
      <c r="L48" s="144"/>
      <c r="M48" s="144"/>
      <c r="N48" s="133"/>
    </row>
    <row r="49" spans="1:14" s="3" customFormat="1" ht="15.75" x14ac:dyDescent="0.2">
      <c r="A49" s="38" t="s">
        <v>334</v>
      </c>
      <c r="B49" s="44">
        <v>946</v>
      </c>
      <c r="C49" s="272">
        <v>989</v>
      </c>
      <c r="D49" s="242">
        <f>IF(B49=0, "    ---- ", IF(ABS(ROUND(100/B49*C49-100,1))&lt;999,ROUND(100/B49*C49-100,1),IF(ROUND(100/B49*C49-100,1)&gt;999,999,-999)))</f>
        <v>4.5</v>
      </c>
      <c r="E49" s="27">
        <f>IFERROR(100/'Skjema total MA'!C49*C49,0)</f>
        <v>4.4069914305490315E-2</v>
      </c>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v>37969</v>
      </c>
      <c r="C53" s="296">
        <v>70533</v>
      </c>
      <c r="D53" s="405">
        <f t="shared" si="0"/>
        <v>85.8</v>
      </c>
      <c r="E53" s="11">
        <f>IFERROR(100/'Skjema total MA'!C53*C53,0)</f>
        <v>44.022890768344062</v>
      </c>
      <c r="F53" s="130"/>
      <c r="G53" s="33"/>
      <c r="H53" s="130"/>
      <c r="I53" s="130"/>
      <c r="J53" s="33"/>
      <c r="K53" s="33"/>
      <c r="L53" s="144"/>
      <c r="M53" s="144"/>
      <c r="N53" s="133"/>
    </row>
    <row r="54" spans="1:14" s="3" customFormat="1" ht="15.75" x14ac:dyDescent="0.2">
      <c r="A54" s="38" t="s">
        <v>333</v>
      </c>
      <c r="B54" s="266">
        <v>37023</v>
      </c>
      <c r="C54" s="267">
        <v>69544</v>
      </c>
      <c r="D54" s="242">
        <f t="shared" si="0"/>
        <v>87.8</v>
      </c>
      <c r="E54" s="27">
        <f>IFERROR(100/'Skjema total MA'!C54*C54,0)</f>
        <v>43.675208868220551</v>
      </c>
      <c r="F54" s="130"/>
      <c r="G54" s="33"/>
      <c r="H54" s="130"/>
      <c r="I54" s="130"/>
      <c r="J54" s="33"/>
      <c r="K54" s="33"/>
      <c r="L54" s="144"/>
      <c r="M54" s="144"/>
      <c r="N54" s="133"/>
    </row>
    <row r="55" spans="1:14" s="3" customFormat="1" ht="15.75" x14ac:dyDescent="0.2">
      <c r="A55" s="38" t="s">
        <v>334</v>
      </c>
      <c r="B55" s="266">
        <v>946</v>
      </c>
      <c r="C55" s="267">
        <v>989</v>
      </c>
      <c r="D55" s="242">
        <f t="shared" si="0"/>
        <v>4.5</v>
      </c>
      <c r="E55" s="27">
        <f>IFERROR(100/'Skjema total MA'!C55*C55,0)</f>
        <v>100</v>
      </c>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513"/>
      <c r="F62" s="714"/>
      <c r="G62" s="714"/>
      <c r="H62" s="714"/>
      <c r="I62" s="513"/>
      <c r="J62" s="714"/>
      <c r="K62" s="714"/>
      <c r="L62" s="714"/>
      <c r="M62" s="513"/>
    </row>
    <row r="63" spans="1:14" x14ac:dyDescent="0.2">
      <c r="A63" s="129"/>
      <c r="B63" s="715" t="s">
        <v>0</v>
      </c>
      <c r="C63" s="716"/>
      <c r="D63" s="720"/>
      <c r="E63" s="510"/>
      <c r="F63" s="716" t="s">
        <v>1</v>
      </c>
      <c r="G63" s="716"/>
      <c r="H63" s="716"/>
      <c r="I63" s="512"/>
      <c r="J63" s="715" t="s">
        <v>2</v>
      </c>
      <c r="K63" s="716"/>
      <c r="L63" s="716"/>
      <c r="M63" s="512"/>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21"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513"/>
      <c r="F130" s="714"/>
      <c r="G130" s="714"/>
      <c r="H130" s="714"/>
      <c r="I130" s="513"/>
      <c r="J130" s="714"/>
      <c r="K130" s="714"/>
      <c r="L130" s="714"/>
      <c r="M130" s="513"/>
    </row>
    <row r="131" spans="1:14" s="3" customFormat="1" x14ac:dyDescent="0.2">
      <c r="A131" s="129"/>
      <c r="B131" s="715" t="s">
        <v>0</v>
      </c>
      <c r="C131" s="716"/>
      <c r="D131" s="716"/>
      <c r="E131" s="511"/>
      <c r="F131" s="715" t="s">
        <v>1</v>
      </c>
      <c r="G131" s="716"/>
      <c r="H131" s="716"/>
      <c r="I131" s="512"/>
      <c r="J131" s="715" t="s">
        <v>2</v>
      </c>
      <c r="K131" s="716"/>
      <c r="L131" s="716"/>
      <c r="M131" s="512"/>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2:D2"/>
    <mergeCell ref="F2:H2"/>
    <mergeCell ref="J2:L2"/>
    <mergeCell ref="B4:D4"/>
    <mergeCell ref="F4:H4"/>
    <mergeCell ref="J4:L4"/>
    <mergeCell ref="B18:D18"/>
    <mergeCell ref="F18:H18"/>
    <mergeCell ref="J18:L18"/>
    <mergeCell ref="B19:D19"/>
    <mergeCell ref="F19:H19"/>
    <mergeCell ref="J19:L19"/>
    <mergeCell ref="D40:F40"/>
    <mergeCell ref="G40:I40"/>
    <mergeCell ref="J40:L40"/>
    <mergeCell ref="B42:D42"/>
    <mergeCell ref="F42:H42"/>
    <mergeCell ref="J42:L42"/>
    <mergeCell ref="B44:D44"/>
    <mergeCell ref="B62:D62"/>
    <mergeCell ref="F62:H62"/>
    <mergeCell ref="J62:L62"/>
    <mergeCell ref="B63:D63"/>
    <mergeCell ref="F63:H63"/>
    <mergeCell ref="J63:L63"/>
    <mergeCell ref="B130:D130"/>
    <mergeCell ref="F130:H130"/>
    <mergeCell ref="J130:L130"/>
    <mergeCell ref="B131:D131"/>
    <mergeCell ref="F131:H131"/>
    <mergeCell ref="J131:L131"/>
  </mergeCells>
  <conditionalFormatting sqref="B50:C52">
    <cfRule type="expression" dxfId="627" priority="59">
      <formula>kvartal &lt; 4</formula>
    </cfRule>
  </conditionalFormatting>
  <conditionalFormatting sqref="B115">
    <cfRule type="expression" dxfId="626" priority="42">
      <formula>kvartal &lt; 4</formula>
    </cfRule>
  </conditionalFormatting>
  <conditionalFormatting sqref="C115">
    <cfRule type="expression" dxfId="625" priority="41">
      <formula>kvartal &lt; 4</formula>
    </cfRule>
  </conditionalFormatting>
  <conditionalFormatting sqref="B123">
    <cfRule type="expression" dxfId="624" priority="40">
      <formula>kvartal &lt; 4</formula>
    </cfRule>
  </conditionalFormatting>
  <conditionalFormatting sqref="C123">
    <cfRule type="expression" dxfId="623" priority="39">
      <formula>kvartal &lt; 4</formula>
    </cfRule>
  </conditionalFormatting>
  <conditionalFormatting sqref="F115">
    <cfRule type="expression" dxfId="622" priority="28">
      <formula>kvartal &lt; 4</formula>
    </cfRule>
  </conditionalFormatting>
  <conditionalFormatting sqref="G115">
    <cfRule type="expression" dxfId="621" priority="27">
      <formula>kvartal &lt; 4</formula>
    </cfRule>
  </conditionalFormatting>
  <conditionalFormatting sqref="F123:G123">
    <cfRule type="expression" dxfId="620" priority="26">
      <formula>kvartal &lt; 4</formula>
    </cfRule>
  </conditionalFormatting>
  <conditionalFormatting sqref="J115:K115">
    <cfRule type="expression" dxfId="619" priority="9">
      <formula>kvartal &lt; 4</formula>
    </cfRule>
  </conditionalFormatting>
  <conditionalFormatting sqref="J123:K123">
    <cfRule type="expression" dxfId="618" priority="8">
      <formula>kvartal &lt; 4</formula>
    </cfRule>
  </conditionalFormatting>
  <conditionalFormatting sqref="A50:A52">
    <cfRule type="expression" dxfId="617" priority="7">
      <formula>kvartal &lt; 4</formula>
    </cfRule>
  </conditionalFormatting>
  <conditionalFormatting sqref="A69:A74">
    <cfRule type="expression" dxfId="616" priority="6">
      <formula>kvartal &lt; 4</formula>
    </cfRule>
  </conditionalFormatting>
  <conditionalFormatting sqref="A80:A85">
    <cfRule type="expression" dxfId="615" priority="5">
      <formula>kvartal &lt; 4</formula>
    </cfRule>
  </conditionalFormatting>
  <conditionalFormatting sqref="A90:A95">
    <cfRule type="expression" dxfId="614" priority="4">
      <formula>kvartal &lt; 4</formula>
    </cfRule>
  </conditionalFormatting>
  <conditionalFormatting sqref="A101:A106">
    <cfRule type="expression" dxfId="613" priority="3">
      <formula>kvartal &lt; 4</formula>
    </cfRule>
  </conditionalFormatting>
  <conditionalFormatting sqref="A115">
    <cfRule type="expression" dxfId="612" priority="2">
      <formula>kvartal &lt; 4</formula>
    </cfRule>
  </conditionalFormatting>
  <conditionalFormatting sqref="A123">
    <cfRule type="expression" dxfId="611" priority="1">
      <formula>kvartal &lt; 4</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2"/>
  <dimension ref="A1:N144"/>
  <sheetViews>
    <sheetView showGridLines="0" zoomScaleNormal="100" workbookViewId="0">
      <pane xSplit="1" topLeftCell="B1" activePane="topRight" state="frozen"/>
      <selection pane="topRight"/>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353</v>
      </c>
      <c r="D1" s="26"/>
      <c r="E1" s="26"/>
      <c r="F1" s="26"/>
      <c r="G1" s="26"/>
      <c r="H1" s="26"/>
      <c r="I1" s="26"/>
      <c r="J1" s="26"/>
      <c r="K1" s="26"/>
      <c r="L1" s="26"/>
      <c r="M1" s="26"/>
    </row>
    <row r="2" spans="1:14" ht="15.75" x14ac:dyDescent="0.25">
      <c r="A2" s="150" t="s">
        <v>28</v>
      </c>
      <c r="B2" s="342"/>
      <c r="C2" s="342"/>
      <c r="D2" s="342"/>
      <c r="E2" s="342"/>
      <c r="F2" s="342"/>
      <c r="G2" s="342"/>
      <c r="H2" s="342"/>
      <c r="I2" s="342"/>
      <c r="J2" s="342"/>
      <c r="K2" s="342"/>
      <c r="L2" s="342"/>
      <c r="M2" s="342"/>
    </row>
    <row r="3" spans="1:14" ht="15.75" x14ac:dyDescent="0.25">
      <c r="A3" s="148"/>
      <c r="B3" s="342"/>
      <c r="C3" s="342"/>
      <c r="D3" s="342"/>
      <c r="E3" s="342"/>
      <c r="F3" s="342"/>
      <c r="G3" s="342"/>
      <c r="H3" s="342"/>
      <c r="I3" s="342"/>
      <c r="J3" s="342"/>
      <c r="K3" s="342"/>
      <c r="L3" s="342"/>
      <c r="M3" s="342"/>
    </row>
    <row r="4" spans="1:14" x14ac:dyDescent="0.2">
      <c r="A4" s="129"/>
      <c r="B4" s="715" t="s">
        <v>0</v>
      </c>
      <c r="C4" s="716"/>
      <c r="D4" s="716"/>
      <c r="E4" s="339"/>
      <c r="F4" s="715" t="s">
        <v>1</v>
      </c>
      <c r="G4" s="716"/>
      <c r="H4" s="716"/>
      <c r="I4" s="340"/>
      <c r="J4" s="715" t="s">
        <v>2</v>
      </c>
      <c r="K4" s="716"/>
      <c r="L4" s="716"/>
      <c r="M4" s="340"/>
    </row>
    <row r="5" spans="1:14" x14ac:dyDescent="0.2">
      <c r="A5" s="143"/>
      <c r="B5" s="137" t="s">
        <v>414</v>
      </c>
      <c r="C5" s="137" t="s">
        <v>415</v>
      </c>
      <c r="D5" s="230" t="s">
        <v>3</v>
      </c>
      <c r="E5" s="290" t="s">
        <v>29</v>
      </c>
      <c r="F5" s="137" t="s">
        <v>414</v>
      </c>
      <c r="G5" s="137" t="s">
        <v>415</v>
      </c>
      <c r="H5" s="230" t="s">
        <v>3</v>
      </c>
      <c r="I5" s="290"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345">
        <v>677356.50826000003</v>
      </c>
      <c r="C7" s="346">
        <v>718578.99788000004</v>
      </c>
      <c r="D7" s="354">
        <f t="shared" ref="D7:D10" si="0">IF(AND(_xlfn.NUMBERVALUE(B7)=0,_xlfn.NUMBERVALUE(C7)=0),,IF(B7=0, "    ---- ", IF(ABS(ROUND(100/B7*C7-100,1))&lt;999,IF(ROUND(100/B7*C7-100,1)=0,"    ---- ",ROUND(100/B7*C7-100,1)),IF(ROUND(100/B7*C7-100,1)&gt;999,999,-999))))</f>
        <v>6.1</v>
      </c>
      <c r="E7" s="355">
        <f>IFERROR(100/'Skjema total MA'!C7*C7,0)</f>
        <v>22.815654382424576</v>
      </c>
      <c r="F7" s="345"/>
      <c r="G7" s="346"/>
      <c r="H7" s="354"/>
      <c r="I7" s="355"/>
      <c r="J7" s="356">
        <f t="shared" ref="J7:K10" si="1">SUM(B7,F7)</f>
        <v>677356.50826000003</v>
      </c>
      <c r="K7" s="351">
        <f t="shared" si="1"/>
        <v>718578.99788000004</v>
      </c>
      <c r="L7" s="354">
        <f t="shared" ref="L7:L10" si="2">IF(AND(_xlfn.NUMBERVALUE(J7)=0,_xlfn.NUMBERVALUE(K7)=0),,IF(J7=0, "    ---- ", IF(ABS(ROUND(100/J7*K7-100,1))&lt;999,IF(ROUND(100/J7*K7-100,1)=0,"    ---- ",ROUND(100/J7*K7-100,1)),IF(ROUND(100/J7*K7-100,1)&gt;999,999,-999))))</f>
        <v>6.1</v>
      </c>
      <c r="M7" s="355">
        <f>IFERROR(100/'Skjema total MA'!I7*K7,0)</f>
        <v>6.5743445883781009</v>
      </c>
    </row>
    <row r="8" spans="1:14" ht="15.75" x14ac:dyDescent="0.2">
      <c r="A8" s="21" t="s">
        <v>25</v>
      </c>
      <c r="B8" s="348">
        <v>601925.43292000005</v>
      </c>
      <c r="C8" s="349">
        <v>640058.10397000005</v>
      </c>
      <c r="D8" s="357">
        <f t="shared" si="0"/>
        <v>6.3</v>
      </c>
      <c r="E8" s="355">
        <f>IFERROR(100/'Skjema total MA'!C8*C8,0)</f>
        <v>30.394865125789714</v>
      </c>
      <c r="F8" s="358"/>
      <c r="G8" s="359"/>
      <c r="H8" s="357"/>
      <c r="I8" s="355"/>
      <c r="J8" s="360">
        <f t="shared" si="1"/>
        <v>601925.43292000005</v>
      </c>
      <c r="K8" s="349">
        <f t="shared" si="1"/>
        <v>640058.10397000005</v>
      </c>
      <c r="L8" s="357">
        <f t="shared" si="2"/>
        <v>6.3</v>
      </c>
      <c r="M8" s="355">
        <f>IFERROR(100/'Skjema total MA'!I8*K8,0)</f>
        <v>30.394865125789714</v>
      </c>
    </row>
    <row r="9" spans="1:14" ht="15.75" x14ac:dyDescent="0.2">
      <c r="A9" s="21" t="s">
        <v>24</v>
      </c>
      <c r="B9" s="348">
        <v>75431.075339999996</v>
      </c>
      <c r="C9" s="349">
        <v>78416.876799999998</v>
      </c>
      <c r="D9" s="357">
        <f t="shared" si="0"/>
        <v>4</v>
      </c>
      <c r="E9" s="355">
        <f>IFERROR(100/'Skjema total MA'!C9*C9,0)</f>
        <v>11.71627975194666</v>
      </c>
      <c r="F9" s="358"/>
      <c r="G9" s="359"/>
      <c r="H9" s="357"/>
      <c r="I9" s="355"/>
      <c r="J9" s="360">
        <f t="shared" si="1"/>
        <v>75431.075339999996</v>
      </c>
      <c r="K9" s="349">
        <f t="shared" si="1"/>
        <v>78416.876799999998</v>
      </c>
      <c r="L9" s="357">
        <f t="shared" si="2"/>
        <v>4</v>
      </c>
      <c r="M9" s="355">
        <f>IFERROR(100/'Skjema total MA'!I9*K9,0)</f>
        <v>11.71627975194666</v>
      </c>
    </row>
    <row r="10" spans="1:14" ht="15.75" x14ac:dyDescent="0.2">
      <c r="A10" s="13" t="s">
        <v>322</v>
      </c>
      <c r="B10" s="350">
        <v>652580.84528999997</v>
      </c>
      <c r="C10" s="351">
        <v>696896.34658000001</v>
      </c>
      <c r="D10" s="357">
        <f t="shared" si="0"/>
        <v>6.8</v>
      </c>
      <c r="E10" s="355">
        <f>IFERROR(100/'Skjema total MA'!C10*C10,0)</f>
        <v>5.2638393839645605</v>
      </c>
      <c r="F10" s="350"/>
      <c r="G10" s="351"/>
      <c r="H10" s="357"/>
      <c r="I10" s="355"/>
      <c r="J10" s="356">
        <f t="shared" si="1"/>
        <v>652580.84528999997</v>
      </c>
      <c r="K10" s="351">
        <f t="shared" si="1"/>
        <v>696896.34658000001</v>
      </c>
      <c r="L10" s="357">
        <f t="shared" si="2"/>
        <v>6.8</v>
      </c>
      <c r="M10" s="355">
        <f>IFERROR(100/'Skjema total MA'!I10*K10,0)</f>
        <v>0.65122106477021535</v>
      </c>
    </row>
    <row r="11" spans="1:14" s="43" customFormat="1" ht="15.75" x14ac:dyDescent="0.2">
      <c r="A11" s="13" t="s">
        <v>323</v>
      </c>
      <c r="B11" s="350"/>
      <c r="C11" s="351"/>
      <c r="D11" s="357"/>
      <c r="E11" s="355"/>
      <c r="F11" s="350"/>
      <c r="G11" s="351"/>
      <c r="H11" s="357"/>
      <c r="I11" s="355"/>
      <c r="J11" s="356"/>
      <c r="K11" s="351"/>
      <c r="L11" s="357"/>
      <c r="M11" s="355"/>
      <c r="N11" s="128"/>
    </row>
    <row r="12" spans="1:14" s="43" customFormat="1" ht="15.75" x14ac:dyDescent="0.2">
      <c r="A12" s="41" t="s">
        <v>324</v>
      </c>
      <c r="B12" s="352"/>
      <c r="C12" s="353"/>
      <c r="D12" s="361"/>
      <c r="E12" s="361"/>
      <c r="F12" s="352"/>
      <c r="G12" s="353"/>
      <c r="H12" s="361"/>
      <c r="I12" s="361"/>
      <c r="J12" s="362"/>
      <c r="K12" s="353"/>
      <c r="L12" s="361"/>
      <c r="M12" s="361"/>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341"/>
      <c r="C18" s="341"/>
      <c r="D18" s="341"/>
      <c r="E18" s="342"/>
      <c r="F18" s="341"/>
      <c r="G18" s="341"/>
      <c r="H18" s="341"/>
      <c r="I18" s="342"/>
      <c r="J18" s="341"/>
      <c r="K18" s="341"/>
      <c r="L18" s="341"/>
      <c r="M18" s="342"/>
    </row>
    <row r="19" spans="1:14" x14ac:dyDescent="0.2">
      <c r="A19" s="129"/>
      <c r="B19" s="715" t="s">
        <v>0</v>
      </c>
      <c r="C19" s="716"/>
      <c r="D19" s="716"/>
      <c r="E19" s="339"/>
      <c r="F19" s="715" t="s">
        <v>1</v>
      </c>
      <c r="G19" s="716"/>
      <c r="H19" s="716"/>
      <c r="I19" s="340"/>
      <c r="J19" s="715" t="s">
        <v>2</v>
      </c>
      <c r="K19" s="716"/>
      <c r="L19" s="716"/>
      <c r="M19" s="340"/>
    </row>
    <row r="20" spans="1:14" x14ac:dyDescent="0.2">
      <c r="A20" s="125" t="s">
        <v>5</v>
      </c>
      <c r="B20" s="227" t="s">
        <v>414</v>
      </c>
      <c r="C20" s="227" t="s">
        <v>415</v>
      </c>
      <c r="D20" s="147" t="s">
        <v>3</v>
      </c>
      <c r="E20" s="290" t="s">
        <v>29</v>
      </c>
      <c r="F20" s="227" t="s">
        <v>414</v>
      </c>
      <c r="G20" s="227" t="s">
        <v>415</v>
      </c>
      <c r="H20" s="147" t="s">
        <v>3</v>
      </c>
      <c r="I20" s="290"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468">
        <v>436865.16899999999</v>
      </c>
      <c r="C22" s="468">
        <v>460491.17494</v>
      </c>
      <c r="D22" s="354">
        <f t="shared" ref="D22:D30" si="3">IF(AND(_xlfn.NUMBERVALUE(B22)=0,_xlfn.NUMBERVALUE(C22)=0),,IF(B22=0, "    ---- ", IF(ABS(ROUND(100/B22*C22-100,1))&lt;999,IF(ROUND(100/B22*C22-100,1)=0,"    ---- ",ROUND(100/B22*C22-100,1)),IF(ROUND(100/B22*C22-100,1)&gt;999,999,-999))))</f>
        <v>5.4</v>
      </c>
      <c r="E22" s="355">
        <f>IFERROR(100/'Skjema total MA'!C22*C22,0)</f>
        <v>32.928534539113983</v>
      </c>
      <c r="F22" s="363"/>
      <c r="G22" s="363"/>
      <c r="H22" s="354"/>
      <c r="I22" s="355"/>
      <c r="J22" s="345">
        <f t="shared" ref="J22:K29" si="4">SUM(B22,F22)</f>
        <v>436865.16899999999</v>
      </c>
      <c r="K22" s="345">
        <f t="shared" si="4"/>
        <v>460491.17494</v>
      </c>
      <c r="L22" s="354">
        <f t="shared" ref="L22:L30" si="5">IF(AND(_xlfn.NUMBERVALUE(J22)=0,_xlfn.NUMBERVALUE(K22)=0),,IF(J22=0, "    ---- ", IF(ABS(ROUND(100/J22*K22-100,1))&lt;999,IF(ROUND(100/J22*K22-100,1)=0,"    ---- ",ROUND(100/J22*K22-100,1)),IF(ROUND(100/J22*K22-100,1)&gt;999,999,-999))))</f>
        <v>5.4</v>
      </c>
      <c r="M22" s="355">
        <f>IFERROR(100/'Skjema total MA'!I22*K22,0)</f>
        <v>24.544424115310683</v>
      </c>
    </row>
    <row r="23" spans="1:14" ht="15.75" x14ac:dyDescent="0.2">
      <c r="A23" s="453" t="s">
        <v>325</v>
      </c>
      <c r="B23" s="347"/>
      <c r="C23" s="347"/>
      <c r="D23" s="357"/>
      <c r="E23" s="355"/>
      <c r="F23" s="347"/>
      <c r="G23" s="347"/>
      <c r="H23" s="357"/>
      <c r="I23" s="355"/>
      <c r="J23" s="347"/>
      <c r="K23" s="347"/>
      <c r="L23" s="357"/>
      <c r="M23" s="355"/>
    </row>
    <row r="24" spans="1:14" ht="15.75" x14ac:dyDescent="0.2">
      <c r="A24" s="453" t="s">
        <v>326</v>
      </c>
      <c r="B24" s="347"/>
      <c r="C24" s="347"/>
      <c r="D24" s="357"/>
      <c r="E24" s="355"/>
      <c r="F24" s="347"/>
      <c r="G24" s="347"/>
      <c r="H24" s="357"/>
      <c r="I24" s="355"/>
      <c r="J24" s="347"/>
      <c r="K24" s="347"/>
      <c r="L24" s="357"/>
      <c r="M24" s="355"/>
    </row>
    <row r="25" spans="1:14" ht="15.75" x14ac:dyDescent="0.2">
      <c r="A25" s="453" t="s">
        <v>327</v>
      </c>
      <c r="B25" s="347"/>
      <c r="C25" s="347"/>
      <c r="D25" s="357"/>
      <c r="E25" s="355"/>
      <c r="F25" s="347"/>
      <c r="G25" s="347"/>
      <c r="H25" s="357"/>
      <c r="I25" s="355"/>
      <c r="J25" s="347"/>
      <c r="K25" s="347"/>
      <c r="L25" s="357"/>
      <c r="M25" s="355"/>
    </row>
    <row r="26" spans="1:14" ht="15.75" x14ac:dyDescent="0.2">
      <c r="A26" s="453" t="s">
        <v>328</v>
      </c>
      <c r="B26" s="347"/>
      <c r="C26" s="347"/>
      <c r="D26" s="357"/>
      <c r="E26" s="355"/>
      <c r="F26" s="347"/>
      <c r="G26" s="347"/>
      <c r="H26" s="357"/>
      <c r="I26" s="355"/>
      <c r="J26" s="347"/>
      <c r="K26" s="347"/>
      <c r="L26" s="357"/>
      <c r="M26" s="355"/>
    </row>
    <row r="27" spans="1:14" x14ac:dyDescent="0.2">
      <c r="A27" s="453" t="s">
        <v>11</v>
      </c>
      <c r="B27" s="347"/>
      <c r="C27" s="347"/>
      <c r="D27" s="357"/>
      <c r="E27" s="355"/>
      <c r="F27" s="347"/>
      <c r="G27" s="347"/>
      <c r="H27" s="357"/>
      <c r="I27" s="355"/>
      <c r="J27" s="347"/>
      <c r="K27" s="347"/>
      <c r="L27" s="357"/>
      <c r="M27" s="355"/>
    </row>
    <row r="28" spans="1:14" ht="15.75" x14ac:dyDescent="0.2">
      <c r="A28" s="49" t="s">
        <v>246</v>
      </c>
      <c r="B28" s="347">
        <v>436865.16899999999</v>
      </c>
      <c r="C28" s="347">
        <v>460491.17494</v>
      </c>
      <c r="D28" s="357">
        <f t="shared" si="3"/>
        <v>5.4</v>
      </c>
      <c r="E28" s="355">
        <f>IFERROR(100/'Skjema total MA'!C28*C28,0)</f>
        <v>27.266562137467851</v>
      </c>
      <c r="F28" s="360"/>
      <c r="G28" s="349"/>
      <c r="H28" s="357"/>
      <c r="I28" s="355"/>
      <c r="J28" s="348">
        <f t="shared" si="4"/>
        <v>436865.16899999999</v>
      </c>
      <c r="K28" s="348">
        <f t="shared" si="4"/>
        <v>460491.17494</v>
      </c>
      <c r="L28" s="357">
        <f t="shared" si="5"/>
        <v>5.4</v>
      </c>
      <c r="M28" s="355">
        <f>IFERROR(100/'Skjema total MA'!I28*K28,0)</f>
        <v>27.266562137467851</v>
      </c>
    </row>
    <row r="29" spans="1:14" s="3" customFormat="1" ht="15.75" x14ac:dyDescent="0.2">
      <c r="A29" s="13" t="s">
        <v>322</v>
      </c>
      <c r="B29" s="350">
        <v>4392200.5577699998</v>
      </c>
      <c r="C29" s="350">
        <v>4932227.6222299999</v>
      </c>
      <c r="D29" s="357">
        <f t="shared" si="3"/>
        <v>12.3</v>
      </c>
      <c r="E29" s="355">
        <f>IFERROR(100/'Skjema total MA'!C29*C29,0)</f>
        <v>11.264498819955977</v>
      </c>
      <c r="F29" s="356"/>
      <c r="G29" s="356"/>
      <c r="H29" s="357"/>
      <c r="I29" s="355"/>
      <c r="J29" s="350">
        <f t="shared" si="4"/>
        <v>4392200.5577699998</v>
      </c>
      <c r="K29" s="350">
        <f t="shared" si="4"/>
        <v>4932227.6222299999</v>
      </c>
      <c r="L29" s="357">
        <f t="shared" si="5"/>
        <v>12.3</v>
      </c>
      <c r="M29" s="355">
        <f>IFERROR(100/'Skjema total MA'!I29*K29,0)</f>
        <v>6.8255532225285771</v>
      </c>
      <c r="N29" s="133"/>
    </row>
    <row r="30" spans="1:14" s="3" customFormat="1" ht="15.75" x14ac:dyDescent="0.2">
      <c r="A30" s="453" t="s">
        <v>325</v>
      </c>
      <c r="B30" s="347">
        <v>4392201</v>
      </c>
      <c r="C30" s="347">
        <v>4932227.6222299999</v>
      </c>
      <c r="D30" s="357">
        <f t="shared" si="3"/>
        <v>12.3</v>
      </c>
      <c r="E30" s="355">
        <f>IFERROR(100/'Skjema total MA'!C30*C30,0)</f>
        <v>27.382596302590429</v>
      </c>
      <c r="F30" s="347"/>
      <c r="G30" s="347"/>
      <c r="H30" s="357"/>
      <c r="I30" s="355"/>
      <c r="J30" s="347">
        <f t="shared" ref="J30" si="6">SUM(B30,F30)</f>
        <v>4392201</v>
      </c>
      <c r="K30" s="347">
        <f t="shared" ref="K30" si="7">SUM(C30,G30)</f>
        <v>4932227.6222299999</v>
      </c>
      <c r="L30" s="357">
        <f t="shared" si="5"/>
        <v>12.3</v>
      </c>
      <c r="M30" s="355">
        <f>IFERROR(100/'Skjema total MA'!I30*K30,0)</f>
        <v>22.646054529675748</v>
      </c>
      <c r="N30" s="133"/>
    </row>
    <row r="31" spans="1:14" s="3" customFormat="1" ht="15.75" x14ac:dyDescent="0.2">
      <c r="A31" s="453" t="s">
        <v>326</v>
      </c>
      <c r="B31" s="347"/>
      <c r="C31" s="347"/>
      <c r="D31" s="357"/>
      <c r="E31" s="355"/>
      <c r="F31" s="347"/>
      <c r="G31" s="347"/>
      <c r="H31" s="357"/>
      <c r="I31" s="355"/>
      <c r="J31" s="347"/>
      <c r="K31" s="347"/>
      <c r="L31" s="357"/>
      <c r="M31" s="355"/>
      <c r="N31" s="133"/>
    </row>
    <row r="32" spans="1:14" ht="15.75" x14ac:dyDescent="0.2">
      <c r="A32" s="453" t="s">
        <v>327</v>
      </c>
      <c r="B32" s="347"/>
      <c r="C32" s="347"/>
      <c r="D32" s="357"/>
      <c r="E32" s="355"/>
      <c r="F32" s="347"/>
      <c r="G32" s="347"/>
      <c r="H32" s="357"/>
      <c r="I32" s="355"/>
      <c r="J32" s="347"/>
      <c r="K32" s="347"/>
      <c r="L32" s="357"/>
      <c r="M32" s="355"/>
    </row>
    <row r="33" spans="1:14" ht="15.75" x14ac:dyDescent="0.2">
      <c r="A33" s="453" t="s">
        <v>328</v>
      </c>
      <c r="B33" s="347"/>
      <c r="C33" s="347"/>
      <c r="D33" s="357"/>
      <c r="E33" s="355"/>
      <c r="F33" s="347"/>
      <c r="G33" s="347"/>
      <c r="H33" s="357"/>
      <c r="I33" s="355"/>
      <c r="J33" s="347"/>
      <c r="K33" s="347"/>
      <c r="L33" s="357"/>
      <c r="M33" s="355"/>
    </row>
    <row r="34" spans="1:14" ht="15.75" x14ac:dyDescent="0.2">
      <c r="A34" s="13" t="s">
        <v>323</v>
      </c>
      <c r="B34" s="350"/>
      <c r="C34" s="351"/>
      <c r="D34" s="357"/>
      <c r="E34" s="355"/>
      <c r="F34" s="356"/>
      <c r="G34" s="351"/>
      <c r="H34" s="357"/>
      <c r="I34" s="355"/>
      <c r="J34" s="350"/>
      <c r="K34" s="350"/>
      <c r="L34" s="357"/>
      <c r="M34" s="355"/>
    </row>
    <row r="35" spans="1:14" ht="15.75" x14ac:dyDescent="0.2">
      <c r="A35" s="13" t="s">
        <v>324</v>
      </c>
      <c r="B35" s="350"/>
      <c r="C35" s="351"/>
      <c r="D35" s="357"/>
      <c r="E35" s="355"/>
      <c r="F35" s="356"/>
      <c r="G35" s="351"/>
      <c r="H35" s="357"/>
      <c r="I35" s="355"/>
      <c r="J35" s="350"/>
      <c r="K35" s="350"/>
      <c r="L35" s="357"/>
      <c r="M35" s="355"/>
    </row>
    <row r="36" spans="1:14" ht="15.75" x14ac:dyDescent="0.2">
      <c r="A36" s="12" t="s">
        <v>254</v>
      </c>
      <c r="B36" s="350"/>
      <c r="C36" s="351"/>
      <c r="D36" s="357"/>
      <c r="E36" s="355"/>
      <c r="F36" s="364"/>
      <c r="G36" s="365"/>
      <c r="H36" s="357"/>
      <c r="I36" s="355"/>
      <c r="J36" s="350"/>
      <c r="K36" s="350"/>
      <c r="L36" s="357"/>
      <c r="M36" s="355"/>
    </row>
    <row r="37" spans="1:14" ht="15.75" x14ac:dyDescent="0.2">
      <c r="A37" s="12" t="s">
        <v>330</v>
      </c>
      <c r="B37" s="350"/>
      <c r="C37" s="351"/>
      <c r="D37" s="357"/>
      <c r="E37" s="355"/>
      <c r="F37" s="364"/>
      <c r="G37" s="366"/>
      <c r="H37" s="357"/>
      <c r="I37" s="355"/>
      <c r="J37" s="350"/>
      <c r="K37" s="350"/>
      <c r="L37" s="357"/>
      <c r="M37" s="355"/>
    </row>
    <row r="38" spans="1:14" ht="15.75" x14ac:dyDescent="0.2">
      <c r="A38" s="12" t="s">
        <v>331</v>
      </c>
      <c r="B38" s="350"/>
      <c r="C38" s="351"/>
      <c r="D38" s="357"/>
      <c r="E38" s="151"/>
      <c r="F38" s="364"/>
      <c r="G38" s="365"/>
      <c r="H38" s="357"/>
      <c r="I38" s="355"/>
      <c r="J38" s="350"/>
      <c r="K38" s="350"/>
      <c r="L38" s="357"/>
      <c r="M38" s="355"/>
    </row>
    <row r="39" spans="1:14" ht="15.75" x14ac:dyDescent="0.2">
      <c r="A39" s="18" t="s">
        <v>332</v>
      </c>
      <c r="B39" s="352"/>
      <c r="C39" s="353"/>
      <c r="D39" s="361"/>
      <c r="E39" s="152"/>
      <c r="F39" s="367"/>
      <c r="G39" s="368"/>
      <c r="H39" s="361"/>
      <c r="I39" s="355"/>
      <c r="J39" s="350"/>
      <c r="K39" s="350"/>
      <c r="L39" s="361"/>
      <c r="M39" s="361"/>
    </row>
    <row r="40" spans="1:14" ht="15.75" x14ac:dyDescent="0.25">
      <c r="A40" s="47"/>
      <c r="B40" s="241"/>
      <c r="C40" s="241"/>
      <c r="D40" s="344"/>
      <c r="E40" s="344"/>
      <c r="F40" s="344"/>
      <c r="G40" s="344"/>
      <c r="H40" s="344"/>
      <c r="I40" s="344"/>
      <c r="J40" s="344"/>
      <c r="K40" s="344"/>
      <c r="L40" s="344"/>
      <c r="M40" s="343"/>
    </row>
    <row r="41" spans="1:14" x14ac:dyDescent="0.2">
      <c r="A41" s="140"/>
    </row>
    <row r="42" spans="1:14" ht="15.75" x14ac:dyDescent="0.25">
      <c r="A42" s="132" t="s">
        <v>243</v>
      </c>
      <c r="B42" s="342"/>
      <c r="C42" s="342"/>
      <c r="D42" s="342"/>
      <c r="E42" s="342"/>
      <c r="F42" s="343"/>
      <c r="G42" s="343"/>
      <c r="H42" s="343"/>
      <c r="I42" s="343"/>
      <c r="J42" s="343"/>
      <c r="K42" s="343"/>
      <c r="L42" s="343"/>
      <c r="M42" s="343"/>
    </row>
    <row r="43" spans="1:14" ht="15.75" x14ac:dyDescent="0.25">
      <c r="A43" s="148"/>
      <c r="B43" s="341"/>
      <c r="C43" s="341"/>
      <c r="D43" s="341"/>
      <c r="E43" s="341"/>
      <c r="F43" s="343"/>
      <c r="G43" s="343"/>
      <c r="H43" s="343"/>
      <c r="I43" s="343"/>
      <c r="J43" s="343"/>
      <c r="K43" s="343"/>
      <c r="L43" s="343"/>
      <c r="M43" s="343"/>
    </row>
    <row r="44" spans="1:14" ht="15.75" x14ac:dyDescent="0.25">
      <c r="A44" s="232"/>
      <c r="B44" s="715" t="s">
        <v>0</v>
      </c>
      <c r="C44" s="716"/>
      <c r="D44" s="716"/>
      <c r="E44" s="228"/>
      <c r="F44" s="343"/>
      <c r="G44" s="343"/>
      <c r="H44" s="343"/>
      <c r="I44" s="343"/>
      <c r="J44" s="343"/>
      <c r="K44" s="343"/>
      <c r="L44" s="343"/>
      <c r="M44" s="343"/>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97" customFormat="1" ht="15.75" x14ac:dyDescent="0.2">
      <c r="A47" s="14" t="s">
        <v>23</v>
      </c>
      <c r="B47" s="350">
        <v>673308.27096000011</v>
      </c>
      <c r="C47" s="351">
        <v>725395.67229999998</v>
      </c>
      <c r="D47" s="401">
        <f>IF(AND(_xlfn.NUMBERVALUE(B47)=0,_xlfn.NUMBERVALUE(C47)=0),,IF(B47=0, "    ---- ", IF(ABS(ROUND(100/B47*C47-100,1))&lt;999,IF(ROUND(100/B47*C47-100,1)=0,"    ---- ",ROUND(100/B47*C47-100,1)),IF(ROUND(100/B47*C47-100,1)&gt;999,999,-999))))</f>
        <v>7.7</v>
      </c>
      <c r="E47" s="402">
        <f>IFERROR(100/'Skjema total MA'!C47*C47,0)</f>
        <v>13.916779444378067</v>
      </c>
      <c r="F47" s="144"/>
      <c r="G47" s="159"/>
      <c r="H47" s="144"/>
      <c r="I47" s="144"/>
      <c r="J47" s="400"/>
      <c r="K47" s="400"/>
      <c r="L47" s="144"/>
      <c r="M47" s="144"/>
      <c r="N47" s="403"/>
    </row>
    <row r="48" spans="1:14" s="3" customFormat="1" ht="15.75" x14ac:dyDescent="0.2">
      <c r="A48" s="38" t="s">
        <v>333</v>
      </c>
      <c r="B48" s="348">
        <v>97174.657130000007</v>
      </c>
      <c r="C48" s="349">
        <v>106283.22612000001</v>
      </c>
      <c r="D48" s="357">
        <f t="shared" ref="D48:D57" si="8">IF(AND(_xlfn.NUMBERVALUE(B48)=0,_xlfn.NUMBERVALUE(C48)=0),,IF(B48=0, "    ---- ", IF(ABS(ROUND(100/B48*C48-100,1))&lt;999,IF(ROUND(100/B48*C48-100,1)=0,"    ---- ",ROUND(100/B48*C48-100,1)),IF(ROUND(100/B48*C48-100,1)&gt;999,999,-999))))</f>
        <v>9.4</v>
      </c>
      <c r="E48" s="390">
        <f>IFERROR(100/'Skjema total MA'!C48*C48,0)</f>
        <v>3.5812314177440503</v>
      </c>
      <c r="F48" s="130"/>
      <c r="G48" s="33"/>
      <c r="H48" s="130"/>
      <c r="I48" s="130"/>
      <c r="J48" s="33"/>
      <c r="K48" s="33"/>
      <c r="L48" s="144"/>
      <c r="M48" s="144"/>
      <c r="N48" s="133"/>
    </row>
    <row r="49" spans="1:14" s="3" customFormat="1" ht="15.75" x14ac:dyDescent="0.2">
      <c r="A49" s="38" t="s">
        <v>334</v>
      </c>
      <c r="B49" s="348">
        <v>576133.61383000005</v>
      </c>
      <c r="C49" s="349">
        <v>619112.44617999997</v>
      </c>
      <c r="D49" s="357">
        <f t="shared" si="8"/>
        <v>7.5</v>
      </c>
      <c r="E49" s="390">
        <f>IFERROR(100/'Skjema total MA'!C49*C49,0)</f>
        <v>27.587697116900994</v>
      </c>
      <c r="F49" s="130"/>
      <c r="G49" s="33"/>
      <c r="H49" s="130"/>
      <c r="I49" s="130"/>
      <c r="J49" s="37"/>
      <c r="K49" s="37"/>
      <c r="L49" s="144"/>
      <c r="M49" s="144"/>
      <c r="N49" s="133"/>
    </row>
    <row r="50" spans="1:14" s="3" customFormat="1" x14ac:dyDescent="0.2">
      <c r="A50" s="281" t="s">
        <v>6</v>
      </c>
      <c r="B50" s="347"/>
      <c r="C50" s="369"/>
      <c r="D50" s="357"/>
      <c r="E50" s="391"/>
      <c r="F50" s="130"/>
      <c r="G50" s="33"/>
      <c r="H50" s="130"/>
      <c r="I50" s="130"/>
      <c r="J50" s="33"/>
      <c r="K50" s="33"/>
      <c r="L50" s="144"/>
      <c r="M50" s="144"/>
      <c r="N50" s="133"/>
    </row>
    <row r="51" spans="1:14" s="3" customFormat="1" x14ac:dyDescent="0.2">
      <c r="A51" s="281" t="s">
        <v>7</v>
      </c>
      <c r="B51" s="347"/>
      <c r="C51" s="369"/>
      <c r="D51" s="357"/>
      <c r="E51" s="391"/>
      <c r="F51" s="130"/>
      <c r="G51" s="33"/>
      <c r="H51" s="130"/>
      <c r="I51" s="130"/>
      <c r="J51" s="33"/>
      <c r="K51" s="33"/>
      <c r="L51" s="144"/>
      <c r="M51" s="144"/>
      <c r="N51" s="133"/>
    </row>
    <row r="52" spans="1:14" s="3" customFormat="1" x14ac:dyDescent="0.2">
      <c r="A52" s="281" t="s">
        <v>8</v>
      </c>
      <c r="B52" s="347"/>
      <c r="C52" s="369"/>
      <c r="D52" s="357"/>
      <c r="E52" s="391"/>
      <c r="F52" s="130"/>
      <c r="G52" s="33"/>
      <c r="H52" s="130"/>
      <c r="I52" s="130"/>
      <c r="J52" s="33"/>
      <c r="K52" s="33"/>
      <c r="L52" s="144"/>
      <c r="M52" s="144"/>
      <c r="N52" s="133"/>
    </row>
    <row r="53" spans="1:14" s="3" customFormat="1" ht="15.75" x14ac:dyDescent="0.2">
      <c r="A53" s="39" t="s">
        <v>335</v>
      </c>
      <c r="B53" s="350">
        <v>2912</v>
      </c>
      <c r="C53" s="351">
        <v>1054</v>
      </c>
      <c r="D53" s="357">
        <f t="shared" si="8"/>
        <v>-63.8</v>
      </c>
      <c r="E53" s="390">
        <f>IFERROR(100/'Skjema total MA'!C53*C53,0)</f>
        <v>0.65784989820133333</v>
      </c>
      <c r="F53" s="130"/>
      <c r="G53" s="33"/>
      <c r="H53" s="130"/>
      <c r="I53" s="130"/>
      <c r="J53" s="33"/>
      <c r="K53" s="33"/>
      <c r="L53" s="144"/>
      <c r="M53" s="144"/>
      <c r="N53" s="133"/>
    </row>
    <row r="54" spans="1:14" s="3" customFormat="1" ht="15.75" x14ac:dyDescent="0.2">
      <c r="A54" s="38" t="s">
        <v>333</v>
      </c>
      <c r="B54" s="348">
        <v>2912</v>
      </c>
      <c r="C54" s="349">
        <v>1054</v>
      </c>
      <c r="D54" s="357">
        <f t="shared" si="8"/>
        <v>-63.8</v>
      </c>
      <c r="E54" s="390">
        <f>IFERROR(100/'Skjema total MA'!C54*C54,0)</f>
        <v>0.66193589881376491</v>
      </c>
      <c r="F54" s="130"/>
      <c r="G54" s="33"/>
      <c r="H54" s="130"/>
      <c r="I54" s="130"/>
      <c r="J54" s="33"/>
      <c r="K54" s="33"/>
      <c r="L54" s="144"/>
      <c r="M54" s="144"/>
      <c r="N54" s="133"/>
    </row>
    <row r="55" spans="1:14" s="3" customFormat="1" ht="15.75" x14ac:dyDescent="0.2">
      <c r="A55" s="38" t="s">
        <v>334</v>
      </c>
      <c r="B55" s="348"/>
      <c r="C55" s="349"/>
      <c r="D55" s="357"/>
      <c r="E55" s="390"/>
      <c r="F55" s="130"/>
      <c r="G55" s="33"/>
      <c r="H55" s="130"/>
      <c r="I55" s="130"/>
      <c r="J55" s="33"/>
      <c r="K55" s="33"/>
      <c r="L55" s="144"/>
      <c r="M55" s="144"/>
      <c r="N55" s="133"/>
    </row>
    <row r="56" spans="1:14" s="3" customFormat="1" ht="15.75" x14ac:dyDescent="0.2">
      <c r="A56" s="39" t="s">
        <v>336</v>
      </c>
      <c r="B56" s="350">
        <v>2551</v>
      </c>
      <c r="C56" s="351">
        <v>2243</v>
      </c>
      <c r="D56" s="357">
        <f t="shared" si="8"/>
        <v>-12.1</v>
      </c>
      <c r="E56" s="390">
        <f>IFERROR(100/'Skjema total MA'!C56*C56,0)</f>
        <v>1.5335232139999306</v>
      </c>
      <c r="F56" s="130"/>
      <c r="G56" s="33"/>
      <c r="H56" s="130"/>
      <c r="I56" s="130"/>
      <c r="J56" s="33"/>
      <c r="K56" s="33"/>
      <c r="L56" s="144"/>
      <c r="M56" s="144"/>
      <c r="N56" s="133"/>
    </row>
    <row r="57" spans="1:14" s="3" customFormat="1" ht="15.75" x14ac:dyDescent="0.2">
      <c r="A57" s="38" t="s">
        <v>333</v>
      </c>
      <c r="B57" s="348">
        <v>2551</v>
      </c>
      <c r="C57" s="349">
        <v>2243</v>
      </c>
      <c r="D57" s="357">
        <f t="shared" si="8"/>
        <v>-12.1</v>
      </c>
      <c r="E57" s="390">
        <f>IFERROR(100/'Skjema total MA'!C57*C57,0)</f>
        <v>1.5335232139999306</v>
      </c>
      <c r="F57" s="130"/>
      <c r="G57" s="33"/>
      <c r="H57" s="130"/>
      <c r="I57" s="130"/>
      <c r="J57" s="33"/>
      <c r="K57" s="33"/>
      <c r="L57" s="144"/>
      <c r="M57" s="144"/>
      <c r="N57" s="133"/>
    </row>
    <row r="58" spans="1:14" s="3" customFormat="1" ht="15.75" x14ac:dyDescent="0.2">
      <c r="A58" s="46" t="s">
        <v>334</v>
      </c>
      <c r="B58" s="370"/>
      <c r="C58" s="371"/>
      <c r="D58" s="361"/>
      <c r="E58" s="39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341"/>
      <c r="C62" s="341"/>
      <c r="D62" s="341"/>
      <c r="E62" s="342"/>
      <c r="F62" s="341"/>
      <c r="G62" s="341"/>
      <c r="H62" s="341"/>
      <c r="I62" s="342"/>
      <c r="J62" s="341"/>
      <c r="K62" s="341"/>
      <c r="L62" s="341"/>
      <c r="M62" s="342"/>
    </row>
    <row r="63" spans="1:14" x14ac:dyDescent="0.2">
      <c r="A63" s="129"/>
      <c r="B63" s="715" t="s">
        <v>0</v>
      </c>
      <c r="C63" s="716"/>
      <c r="D63" s="720"/>
      <c r="E63" s="338"/>
      <c r="F63" s="716" t="s">
        <v>1</v>
      </c>
      <c r="G63" s="716"/>
      <c r="H63" s="716"/>
      <c r="I63" s="340"/>
      <c r="J63" s="715" t="s">
        <v>2</v>
      </c>
      <c r="K63" s="716"/>
      <c r="L63" s="716"/>
      <c r="M63" s="340"/>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72"/>
      <c r="C66" s="372"/>
      <c r="D66" s="354"/>
      <c r="E66" s="355"/>
      <c r="F66" s="372"/>
      <c r="G66" s="372"/>
      <c r="H66" s="354"/>
      <c r="I66" s="355"/>
      <c r="J66" s="351"/>
      <c r="K66" s="345"/>
      <c r="L66" s="357"/>
      <c r="M66" s="355"/>
    </row>
    <row r="67" spans="1:14" x14ac:dyDescent="0.2">
      <c r="A67" s="21" t="s">
        <v>9</v>
      </c>
      <c r="B67" s="348"/>
      <c r="C67" s="373"/>
      <c r="D67" s="357"/>
      <c r="E67" s="355"/>
      <c r="F67" s="360"/>
      <c r="G67" s="373"/>
      <c r="H67" s="357"/>
      <c r="I67" s="355"/>
      <c r="J67" s="349"/>
      <c r="K67" s="348"/>
      <c r="L67" s="357"/>
      <c r="M67" s="355"/>
    </row>
    <row r="68" spans="1:14" x14ac:dyDescent="0.2">
      <c r="A68" s="21" t="s">
        <v>10</v>
      </c>
      <c r="B68" s="374"/>
      <c r="C68" s="375"/>
      <c r="D68" s="357"/>
      <c r="E68" s="355"/>
      <c r="F68" s="374"/>
      <c r="G68" s="375"/>
      <c r="H68" s="357"/>
      <c r="I68" s="355"/>
      <c r="J68" s="349"/>
      <c r="K68" s="348"/>
      <c r="L68" s="357"/>
      <c r="M68" s="355"/>
    </row>
    <row r="69" spans="1:14" ht="15.75" x14ac:dyDescent="0.2">
      <c r="A69" s="281" t="s">
        <v>337</v>
      </c>
      <c r="B69" s="376"/>
      <c r="C69" s="377"/>
      <c r="D69" s="357"/>
      <c r="E69" s="382"/>
      <c r="F69" s="691"/>
      <c r="G69" s="377"/>
      <c r="H69" s="357"/>
      <c r="I69" s="355"/>
      <c r="J69" s="691"/>
      <c r="K69" s="377"/>
      <c r="L69" s="357"/>
      <c r="M69" s="355"/>
    </row>
    <row r="70" spans="1:14" x14ac:dyDescent="0.2">
      <c r="A70" s="281" t="s">
        <v>12</v>
      </c>
      <c r="B70" s="376"/>
      <c r="C70" s="377"/>
      <c r="D70" s="357"/>
      <c r="E70" s="382"/>
      <c r="F70" s="691"/>
      <c r="G70" s="377"/>
      <c r="H70" s="357"/>
      <c r="I70" s="355"/>
      <c r="J70" s="691"/>
      <c r="K70" s="377"/>
      <c r="L70" s="357"/>
      <c r="M70" s="355"/>
    </row>
    <row r="71" spans="1:14" x14ac:dyDescent="0.2">
      <c r="A71" s="281" t="s">
        <v>13</v>
      </c>
      <c r="B71" s="378"/>
      <c r="C71" s="379"/>
      <c r="D71" s="357"/>
      <c r="E71" s="382"/>
      <c r="F71" s="358"/>
      <c r="G71" s="379"/>
      <c r="H71" s="357"/>
      <c r="I71" s="355"/>
      <c r="J71" s="358"/>
      <c r="K71" s="379"/>
      <c r="L71" s="357"/>
      <c r="M71" s="355"/>
    </row>
    <row r="72" spans="1:14" ht="15.75" x14ac:dyDescent="0.2">
      <c r="A72" s="281" t="s">
        <v>338</v>
      </c>
      <c r="B72" s="376"/>
      <c r="C72" s="377"/>
      <c r="D72" s="357"/>
      <c r="E72" s="382"/>
      <c r="F72" s="691"/>
      <c r="G72" s="377"/>
      <c r="H72" s="357"/>
      <c r="I72" s="355"/>
      <c r="J72" s="691"/>
      <c r="K72" s="377"/>
      <c r="L72" s="357"/>
      <c r="M72" s="355"/>
    </row>
    <row r="73" spans="1:14" x14ac:dyDescent="0.2">
      <c r="A73" s="281" t="s">
        <v>12</v>
      </c>
      <c r="B73" s="378"/>
      <c r="C73" s="379"/>
      <c r="D73" s="357"/>
      <c r="E73" s="382"/>
      <c r="F73" s="358"/>
      <c r="G73" s="379"/>
      <c r="H73" s="357"/>
      <c r="I73" s="355"/>
      <c r="J73" s="358"/>
      <c r="K73" s="379"/>
      <c r="L73" s="357"/>
      <c r="M73" s="355"/>
    </row>
    <row r="74" spans="1:14" s="3" customFormat="1" x14ac:dyDescent="0.2">
      <c r="A74" s="281" t="s">
        <v>13</v>
      </c>
      <c r="B74" s="378"/>
      <c r="C74" s="379"/>
      <c r="D74" s="357"/>
      <c r="E74" s="382"/>
      <c r="F74" s="358"/>
      <c r="G74" s="379"/>
      <c r="H74" s="357"/>
      <c r="I74" s="355"/>
      <c r="J74" s="358"/>
      <c r="K74" s="379"/>
      <c r="L74" s="357"/>
      <c r="M74" s="355"/>
      <c r="N74" s="133"/>
    </row>
    <row r="75" spans="1:14" s="3" customFormat="1" x14ac:dyDescent="0.2">
      <c r="A75" s="21" t="s">
        <v>309</v>
      </c>
      <c r="B75" s="360"/>
      <c r="C75" s="373"/>
      <c r="D75" s="357"/>
      <c r="E75" s="355"/>
      <c r="F75" s="360"/>
      <c r="G75" s="373"/>
      <c r="H75" s="357"/>
      <c r="I75" s="355"/>
      <c r="J75" s="349"/>
      <c r="K75" s="348"/>
      <c r="L75" s="357"/>
      <c r="M75" s="355"/>
      <c r="N75" s="133"/>
    </row>
    <row r="76" spans="1:14" s="3" customFormat="1" x14ac:dyDescent="0.2">
      <c r="A76" s="21" t="s">
        <v>308</v>
      </c>
      <c r="B76" s="360"/>
      <c r="C76" s="373"/>
      <c r="D76" s="357"/>
      <c r="E76" s="355"/>
      <c r="F76" s="360"/>
      <c r="G76" s="373"/>
      <c r="H76" s="357"/>
      <c r="I76" s="355"/>
      <c r="J76" s="349"/>
      <c r="K76" s="348"/>
      <c r="L76" s="357"/>
      <c r="M76" s="355"/>
      <c r="N76" s="133"/>
    </row>
    <row r="77" spans="1:14" ht="15.75" x14ac:dyDescent="0.2">
      <c r="A77" s="21" t="s">
        <v>339</v>
      </c>
      <c r="B77" s="360"/>
      <c r="C77" s="360"/>
      <c r="D77" s="357"/>
      <c r="E77" s="355"/>
      <c r="F77" s="360"/>
      <c r="G77" s="373"/>
      <c r="H77" s="357"/>
      <c r="I77" s="355"/>
      <c r="J77" s="349"/>
      <c r="K77" s="348"/>
      <c r="L77" s="357"/>
      <c r="M77" s="355"/>
    </row>
    <row r="78" spans="1:14" x14ac:dyDescent="0.2">
      <c r="A78" s="21" t="s">
        <v>9</v>
      </c>
      <c r="B78" s="360"/>
      <c r="C78" s="373"/>
      <c r="D78" s="357"/>
      <c r="E78" s="355"/>
      <c r="F78" s="360"/>
      <c r="G78" s="373"/>
      <c r="H78" s="357"/>
      <c r="I78" s="355"/>
      <c r="J78" s="349"/>
      <c r="K78" s="348"/>
      <c r="L78" s="357"/>
      <c r="M78" s="355"/>
    </row>
    <row r="79" spans="1:14" x14ac:dyDescent="0.2">
      <c r="A79" s="38" t="s">
        <v>368</v>
      </c>
      <c r="B79" s="374"/>
      <c r="C79" s="375"/>
      <c r="D79" s="357"/>
      <c r="E79" s="355"/>
      <c r="F79" s="374"/>
      <c r="G79" s="375"/>
      <c r="H79" s="357"/>
      <c r="I79" s="355"/>
      <c r="J79" s="349"/>
      <c r="K79" s="348"/>
      <c r="L79" s="357"/>
      <c r="M79" s="355"/>
    </row>
    <row r="80" spans="1:14" ht="15.75" x14ac:dyDescent="0.2">
      <c r="A80" s="281" t="s">
        <v>337</v>
      </c>
      <c r="B80" s="691"/>
      <c r="C80" s="377"/>
      <c r="D80" s="357"/>
      <c r="E80" s="382"/>
      <c r="F80" s="691"/>
      <c r="G80" s="377"/>
      <c r="H80" s="357"/>
      <c r="I80" s="355"/>
      <c r="J80" s="691"/>
      <c r="K80" s="377"/>
      <c r="L80" s="357"/>
      <c r="M80" s="355"/>
    </row>
    <row r="81" spans="1:13" x14ac:dyDescent="0.2">
      <c r="A81" s="281" t="s">
        <v>12</v>
      </c>
      <c r="B81" s="691"/>
      <c r="C81" s="377"/>
      <c r="D81" s="357"/>
      <c r="E81" s="382"/>
      <c r="F81" s="691"/>
      <c r="G81" s="377"/>
      <c r="H81" s="357"/>
      <c r="I81" s="355"/>
      <c r="J81" s="691"/>
      <c r="K81" s="377"/>
      <c r="L81" s="357"/>
      <c r="M81" s="355"/>
    </row>
    <row r="82" spans="1:13" x14ac:dyDescent="0.2">
      <c r="A82" s="281" t="s">
        <v>13</v>
      </c>
      <c r="B82" s="358"/>
      <c r="C82" s="379"/>
      <c r="D82" s="357"/>
      <c r="E82" s="382"/>
      <c r="F82" s="358"/>
      <c r="G82" s="379"/>
      <c r="H82" s="357"/>
      <c r="I82" s="355"/>
      <c r="J82" s="358"/>
      <c r="K82" s="379"/>
      <c r="L82" s="357"/>
      <c r="M82" s="355"/>
    </row>
    <row r="83" spans="1:13" ht="15.75" x14ac:dyDescent="0.2">
      <c r="A83" s="281" t="s">
        <v>338</v>
      </c>
      <c r="B83" s="691"/>
      <c r="C83" s="377"/>
      <c r="D83" s="357"/>
      <c r="E83" s="382"/>
      <c r="F83" s="691"/>
      <c r="G83" s="377"/>
      <c r="H83" s="357"/>
      <c r="I83" s="355"/>
      <c r="J83" s="691"/>
      <c r="K83" s="377"/>
      <c r="L83" s="357"/>
      <c r="M83" s="355"/>
    </row>
    <row r="84" spans="1:13" x14ac:dyDescent="0.2">
      <c r="A84" s="281" t="s">
        <v>12</v>
      </c>
      <c r="B84" s="358"/>
      <c r="C84" s="379"/>
      <c r="D84" s="357"/>
      <c r="E84" s="382"/>
      <c r="F84" s="358"/>
      <c r="G84" s="379"/>
      <c r="H84" s="357"/>
      <c r="I84" s="355"/>
      <c r="J84" s="358"/>
      <c r="K84" s="379"/>
      <c r="L84" s="357"/>
      <c r="M84" s="355"/>
    </row>
    <row r="85" spans="1:13" x14ac:dyDescent="0.2">
      <c r="A85" s="281" t="s">
        <v>13</v>
      </c>
      <c r="B85" s="358"/>
      <c r="C85" s="379"/>
      <c r="D85" s="357"/>
      <c r="E85" s="382"/>
      <c r="F85" s="358"/>
      <c r="G85" s="379"/>
      <c r="H85" s="357"/>
      <c r="I85" s="355"/>
      <c r="J85" s="358"/>
      <c r="K85" s="379"/>
      <c r="L85" s="357"/>
      <c r="M85" s="355"/>
    </row>
    <row r="86" spans="1:13" ht="15.75" x14ac:dyDescent="0.2">
      <c r="A86" s="21" t="s">
        <v>340</v>
      </c>
      <c r="B86" s="360"/>
      <c r="C86" s="373"/>
      <c r="D86" s="357"/>
      <c r="E86" s="355"/>
      <c r="F86" s="360"/>
      <c r="G86" s="373"/>
      <c r="H86" s="357"/>
      <c r="I86" s="355"/>
      <c r="J86" s="349"/>
      <c r="K86" s="348"/>
      <c r="L86" s="357"/>
      <c r="M86" s="355"/>
    </row>
    <row r="87" spans="1:13" ht="15.75" x14ac:dyDescent="0.2">
      <c r="A87" s="13" t="s">
        <v>322</v>
      </c>
      <c r="B87" s="372"/>
      <c r="C87" s="372"/>
      <c r="D87" s="357"/>
      <c r="E87" s="355"/>
      <c r="F87" s="372"/>
      <c r="G87" s="372"/>
      <c r="H87" s="357"/>
      <c r="I87" s="355"/>
      <c r="J87" s="351"/>
      <c r="K87" s="350"/>
      <c r="L87" s="357"/>
      <c r="M87" s="355"/>
    </row>
    <row r="88" spans="1:13" x14ac:dyDescent="0.2">
      <c r="A88" s="21" t="s">
        <v>9</v>
      </c>
      <c r="B88" s="360"/>
      <c r="C88" s="373"/>
      <c r="D88" s="357"/>
      <c r="E88" s="355"/>
      <c r="F88" s="360"/>
      <c r="G88" s="373"/>
      <c r="H88" s="357"/>
      <c r="I88" s="355"/>
      <c r="J88" s="349"/>
      <c r="K88" s="348"/>
      <c r="L88" s="357"/>
      <c r="M88" s="355"/>
    </row>
    <row r="89" spans="1:13" x14ac:dyDescent="0.2">
      <c r="A89" s="21" t="s">
        <v>10</v>
      </c>
      <c r="B89" s="360"/>
      <c r="C89" s="373"/>
      <c r="D89" s="357"/>
      <c r="E89" s="355"/>
      <c r="F89" s="360"/>
      <c r="G89" s="373"/>
      <c r="H89" s="357"/>
      <c r="I89" s="355"/>
      <c r="J89" s="349"/>
      <c r="K89" s="348"/>
      <c r="L89" s="357"/>
      <c r="M89" s="355"/>
    </row>
    <row r="90" spans="1:13" ht="15.75" x14ac:dyDescent="0.2">
      <c r="A90" s="281" t="s">
        <v>337</v>
      </c>
      <c r="B90" s="691"/>
      <c r="C90" s="377"/>
      <c r="D90" s="357"/>
      <c r="E90" s="382"/>
      <c r="F90" s="691"/>
      <c r="G90" s="377"/>
      <c r="H90" s="357"/>
      <c r="I90" s="355"/>
      <c r="J90" s="691"/>
      <c r="K90" s="377"/>
      <c r="L90" s="357"/>
      <c r="M90" s="355"/>
    </row>
    <row r="91" spans="1:13" x14ac:dyDescent="0.2">
      <c r="A91" s="281" t="s">
        <v>12</v>
      </c>
      <c r="B91" s="691"/>
      <c r="C91" s="377"/>
      <c r="D91" s="357"/>
      <c r="E91" s="382"/>
      <c r="F91" s="691"/>
      <c r="G91" s="377"/>
      <c r="H91" s="357"/>
      <c r="I91" s="355"/>
      <c r="J91" s="691"/>
      <c r="K91" s="377"/>
      <c r="L91" s="357"/>
      <c r="M91" s="355"/>
    </row>
    <row r="92" spans="1:13" x14ac:dyDescent="0.2">
      <c r="A92" s="281" t="s">
        <v>13</v>
      </c>
      <c r="B92" s="358"/>
      <c r="C92" s="379"/>
      <c r="D92" s="357"/>
      <c r="E92" s="382"/>
      <c r="F92" s="358"/>
      <c r="G92" s="379"/>
      <c r="H92" s="357"/>
      <c r="I92" s="355"/>
      <c r="J92" s="358"/>
      <c r="K92" s="379"/>
      <c r="L92" s="357"/>
      <c r="M92" s="355"/>
    </row>
    <row r="93" spans="1:13" ht="15.75" x14ac:dyDescent="0.2">
      <c r="A93" s="281" t="s">
        <v>338</v>
      </c>
      <c r="B93" s="691"/>
      <c r="C93" s="377"/>
      <c r="D93" s="357"/>
      <c r="E93" s="382"/>
      <c r="F93" s="691"/>
      <c r="G93" s="377"/>
      <c r="H93" s="357"/>
      <c r="I93" s="355"/>
      <c r="J93" s="691"/>
      <c r="K93" s="377"/>
      <c r="L93" s="357"/>
      <c r="M93" s="355"/>
    </row>
    <row r="94" spans="1:13" x14ac:dyDescent="0.2">
      <c r="A94" s="281" t="s">
        <v>12</v>
      </c>
      <c r="B94" s="358"/>
      <c r="C94" s="379"/>
      <c r="D94" s="357"/>
      <c r="E94" s="382"/>
      <c r="F94" s="358"/>
      <c r="G94" s="379"/>
      <c r="H94" s="357"/>
      <c r="I94" s="355"/>
      <c r="J94" s="358"/>
      <c r="K94" s="379"/>
      <c r="L94" s="357"/>
      <c r="M94" s="355"/>
    </row>
    <row r="95" spans="1:13" x14ac:dyDescent="0.2">
      <c r="A95" s="281" t="s">
        <v>13</v>
      </c>
      <c r="B95" s="358"/>
      <c r="C95" s="379"/>
      <c r="D95" s="357"/>
      <c r="E95" s="382"/>
      <c r="F95" s="358"/>
      <c r="G95" s="379"/>
      <c r="H95" s="357"/>
      <c r="I95" s="355"/>
      <c r="J95" s="358"/>
      <c r="K95" s="379"/>
      <c r="L95" s="357"/>
      <c r="M95" s="355"/>
    </row>
    <row r="96" spans="1:13" x14ac:dyDescent="0.2">
      <c r="A96" s="21" t="s">
        <v>307</v>
      </c>
      <c r="B96" s="360"/>
      <c r="C96" s="373"/>
      <c r="D96" s="357"/>
      <c r="E96" s="355"/>
      <c r="F96" s="360"/>
      <c r="G96" s="373"/>
      <c r="H96" s="357"/>
      <c r="I96" s="355"/>
      <c r="J96" s="349"/>
      <c r="K96" s="348"/>
      <c r="L96" s="357"/>
      <c r="M96" s="355"/>
    </row>
    <row r="97" spans="1:13" x14ac:dyDescent="0.2">
      <c r="A97" s="21" t="s">
        <v>306</v>
      </c>
      <c r="B97" s="360"/>
      <c r="C97" s="373"/>
      <c r="D97" s="357"/>
      <c r="E97" s="355"/>
      <c r="F97" s="360"/>
      <c r="G97" s="373"/>
      <c r="H97" s="357"/>
      <c r="I97" s="355"/>
      <c r="J97" s="349"/>
      <c r="K97" s="348"/>
      <c r="L97" s="357"/>
      <c r="M97" s="355"/>
    </row>
    <row r="98" spans="1:13" ht="15.75" x14ac:dyDescent="0.2">
      <c r="A98" s="21" t="s">
        <v>339</v>
      </c>
      <c r="B98" s="360"/>
      <c r="C98" s="360"/>
      <c r="D98" s="357"/>
      <c r="E98" s="355"/>
      <c r="F98" s="374"/>
      <c r="G98" s="374"/>
      <c r="H98" s="357"/>
      <c r="I98" s="355"/>
      <c r="J98" s="349"/>
      <c r="K98" s="348"/>
      <c r="L98" s="357"/>
      <c r="M98" s="355"/>
    </row>
    <row r="99" spans="1:13" x14ac:dyDescent="0.2">
      <c r="A99" s="21" t="s">
        <v>9</v>
      </c>
      <c r="B99" s="374"/>
      <c r="C99" s="375"/>
      <c r="D99" s="357"/>
      <c r="E99" s="355"/>
      <c r="F99" s="360"/>
      <c r="G99" s="373"/>
      <c r="H99" s="357"/>
      <c r="I99" s="355"/>
      <c r="J99" s="349"/>
      <c r="K99" s="348"/>
      <c r="L99" s="357"/>
      <c r="M99" s="355"/>
    </row>
    <row r="100" spans="1:13" x14ac:dyDescent="0.2">
      <c r="A100" s="38" t="s">
        <v>368</v>
      </c>
      <c r="B100" s="374"/>
      <c r="C100" s="375"/>
      <c r="D100" s="357"/>
      <c r="E100" s="355"/>
      <c r="F100" s="360"/>
      <c r="G100" s="360"/>
      <c r="H100" s="357"/>
      <c r="I100" s="355"/>
      <c r="J100" s="349"/>
      <c r="K100" s="348"/>
      <c r="L100" s="357"/>
      <c r="M100" s="355"/>
    </row>
    <row r="101" spans="1:13" ht="15.75" x14ac:dyDescent="0.2">
      <c r="A101" s="281" t="s">
        <v>337</v>
      </c>
      <c r="B101" s="691"/>
      <c r="C101" s="377"/>
      <c r="D101" s="357"/>
      <c r="E101" s="382"/>
      <c r="F101" s="691"/>
      <c r="G101" s="377"/>
      <c r="H101" s="357"/>
      <c r="I101" s="355"/>
      <c r="J101" s="691"/>
      <c r="K101" s="377"/>
      <c r="L101" s="357"/>
      <c r="M101" s="355"/>
    </row>
    <row r="102" spans="1:13" x14ac:dyDescent="0.2">
      <c r="A102" s="281" t="s">
        <v>12</v>
      </c>
      <c r="B102" s="691"/>
      <c r="C102" s="377"/>
      <c r="D102" s="357"/>
      <c r="E102" s="382"/>
      <c r="F102" s="691"/>
      <c r="G102" s="377"/>
      <c r="H102" s="357"/>
      <c r="I102" s="355"/>
      <c r="J102" s="691"/>
      <c r="K102" s="377"/>
      <c r="L102" s="357"/>
      <c r="M102" s="355"/>
    </row>
    <row r="103" spans="1:13" x14ac:dyDescent="0.2">
      <c r="A103" s="281" t="s">
        <v>13</v>
      </c>
      <c r="B103" s="358"/>
      <c r="C103" s="379"/>
      <c r="D103" s="357"/>
      <c r="E103" s="382"/>
      <c r="F103" s="358"/>
      <c r="G103" s="379"/>
      <c r="H103" s="357"/>
      <c r="I103" s="355"/>
      <c r="J103" s="358"/>
      <c r="K103" s="379"/>
      <c r="L103" s="357"/>
      <c r="M103" s="355"/>
    </row>
    <row r="104" spans="1:13" ht="15.75" x14ac:dyDescent="0.2">
      <c r="A104" s="281" t="s">
        <v>338</v>
      </c>
      <c r="B104" s="691"/>
      <c r="C104" s="377"/>
      <c r="D104" s="357"/>
      <c r="E104" s="382"/>
      <c r="F104" s="691"/>
      <c r="G104" s="377"/>
      <c r="H104" s="357"/>
      <c r="I104" s="355"/>
      <c r="J104" s="691"/>
      <c r="K104" s="377"/>
      <c r="L104" s="357"/>
      <c r="M104" s="355"/>
    </row>
    <row r="105" spans="1:13" x14ac:dyDescent="0.2">
      <c r="A105" s="281" t="s">
        <v>12</v>
      </c>
      <c r="B105" s="358"/>
      <c r="C105" s="379"/>
      <c r="D105" s="357"/>
      <c r="E105" s="382"/>
      <c r="F105" s="358"/>
      <c r="G105" s="379"/>
      <c r="H105" s="357"/>
      <c r="I105" s="355"/>
      <c r="J105" s="358"/>
      <c r="K105" s="379"/>
      <c r="L105" s="357"/>
      <c r="M105" s="355"/>
    </row>
    <row r="106" spans="1:13" x14ac:dyDescent="0.2">
      <c r="A106" s="281" t="s">
        <v>13</v>
      </c>
      <c r="B106" s="358"/>
      <c r="C106" s="379"/>
      <c r="D106" s="357"/>
      <c r="E106" s="382"/>
      <c r="F106" s="358"/>
      <c r="G106" s="379"/>
      <c r="H106" s="357"/>
      <c r="I106" s="355"/>
      <c r="J106" s="358"/>
      <c r="K106" s="379"/>
      <c r="L106" s="357"/>
      <c r="M106" s="355"/>
    </row>
    <row r="107" spans="1:13" ht="15.75" x14ac:dyDescent="0.2">
      <c r="A107" s="21" t="s">
        <v>340</v>
      </c>
      <c r="B107" s="360"/>
      <c r="C107" s="373"/>
      <c r="D107" s="357"/>
      <c r="E107" s="355"/>
      <c r="F107" s="360"/>
      <c r="G107" s="373"/>
      <c r="H107" s="357"/>
      <c r="I107" s="355"/>
      <c r="J107" s="349"/>
      <c r="K107" s="348"/>
      <c r="L107" s="357"/>
      <c r="M107" s="355"/>
    </row>
    <row r="108" spans="1:13" ht="15.75" x14ac:dyDescent="0.2">
      <c r="A108" s="21" t="s">
        <v>341</v>
      </c>
      <c r="B108" s="360"/>
      <c r="C108" s="360"/>
      <c r="D108" s="357"/>
      <c r="E108" s="355"/>
      <c r="F108" s="360"/>
      <c r="G108" s="360"/>
      <c r="H108" s="357"/>
      <c r="I108" s="355"/>
      <c r="J108" s="349"/>
      <c r="K108" s="348"/>
      <c r="L108" s="357"/>
      <c r="M108" s="355"/>
    </row>
    <row r="109" spans="1:13" ht="15.75" x14ac:dyDescent="0.2">
      <c r="A109" s="38" t="s">
        <v>382</v>
      </c>
      <c r="B109" s="360"/>
      <c r="C109" s="360"/>
      <c r="D109" s="357"/>
      <c r="E109" s="355"/>
      <c r="F109" s="360"/>
      <c r="G109" s="360"/>
      <c r="H109" s="357"/>
      <c r="I109" s="355"/>
      <c r="J109" s="349"/>
      <c r="K109" s="348"/>
      <c r="L109" s="357"/>
      <c r="M109" s="355"/>
    </row>
    <row r="110" spans="1:13" ht="15.75" x14ac:dyDescent="0.2">
      <c r="A110" s="21" t="s">
        <v>342</v>
      </c>
      <c r="B110" s="360"/>
      <c r="C110" s="360"/>
      <c r="D110" s="357"/>
      <c r="E110" s="355"/>
      <c r="F110" s="360"/>
      <c r="G110" s="360"/>
      <c r="H110" s="357"/>
      <c r="I110" s="355"/>
      <c r="J110" s="349"/>
      <c r="K110" s="348"/>
      <c r="L110" s="357"/>
      <c r="M110" s="355"/>
    </row>
    <row r="111" spans="1:13" ht="15.75" x14ac:dyDescent="0.2">
      <c r="A111" s="13" t="s">
        <v>323</v>
      </c>
      <c r="B111" s="356"/>
      <c r="C111" s="380"/>
      <c r="D111" s="357"/>
      <c r="E111" s="355"/>
      <c r="F111" s="356"/>
      <c r="G111" s="380"/>
      <c r="H111" s="357"/>
      <c r="I111" s="355"/>
      <c r="J111" s="351"/>
      <c r="K111" s="350"/>
      <c r="L111" s="357"/>
      <c r="M111" s="355"/>
    </row>
    <row r="112" spans="1:13" x14ac:dyDescent="0.2">
      <c r="A112" s="21" t="s">
        <v>9</v>
      </c>
      <c r="B112" s="360"/>
      <c r="C112" s="373"/>
      <c r="D112" s="357"/>
      <c r="E112" s="355"/>
      <c r="F112" s="360"/>
      <c r="G112" s="373"/>
      <c r="H112" s="357"/>
      <c r="I112" s="355"/>
      <c r="J112" s="349"/>
      <c r="K112" s="348"/>
      <c r="L112" s="357"/>
      <c r="M112" s="355"/>
    </row>
    <row r="113" spans="1:14" x14ac:dyDescent="0.2">
      <c r="A113" s="21" t="s">
        <v>10</v>
      </c>
      <c r="B113" s="360"/>
      <c r="C113" s="373"/>
      <c r="D113" s="357"/>
      <c r="E113" s="355"/>
      <c r="F113" s="360"/>
      <c r="G113" s="373"/>
      <c r="H113" s="357"/>
      <c r="I113" s="355"/>
      <c r="J113" s="349"/>
      <c r="K113" s="348"/>
      <c r="L113" s="357"/>
      <c r="M113" s="355"/>
    </row>
    <row r="114" spans="1:14" x14ac:dyDescent="0.2">
      <c r="A114" s="21" t="s">
        <v>26</v>
      </c>
      <c r="B114" s="360"/>
      <c r="C114" s="373"/>
      <c r="D114" s="357"/>
      <c r="E114" s="355"/>
      <c r="F114" s="360"/>
      <c r="G114" s="373"/>
      <c r="H114" s="357"/>
      <c r="I114" s="355"/>
      <c r="J114" s="349"/>
      <c r="K114" s="348"/>
      <c r="L114" s="357"/>
      <c r="M114" s="355"/>
    </row>
    <row r="115" spans="1:14" x14ac:dyDescent="0.2">
      <c r="A115" s="281" t="s">
        <v>15</v>
      </c>
      <c r="B115" s="348"/>
      <c r="C115" s="348"/>
      <c r="D115" s="357"/>
      <c r="E115" s="382"/>
      <c r="F115" s="348"/>
      <c r="G115" s="348"/>
      <c r="H115" s="357"/>
      <c r="I115" s="355"/>
      <c r="J115" s="347"/>
      <c r="K115" s="347"/>
      <c r="L115" s="357"/>
      <c r="M115" s="355"/>
    </row>
    <row r="116" spans="1:14" ht="15.75" x14ac:dyDescent="0.2">
      <c r="A116" s="21" t="s">
        <v>343</v>
      </c>
      <c r="B116" s="360"/>
      <c r="C116" s="360"/>
      <c r="D116" s="357"/>
      <c r="E116" s="355"/>
      <c r="F116" s="360"/>
      <c r="G116" s="360"/>
      <c r="H116" s="357"/>
      <c r="I116" s="355"/>
      <c r="J116" s="349"/>
      <c r="K116" s="348"/>
      <c r="L116" s="357"/>
      <c r="M116" s="355"/>
    </row>
    <row r="117" spans="1:14" ht="15.75" x14ac:dyDescent="0.2">
      <c r="A117" s="38" t="s">
        <v>382</v>
      </c>
      <c r="B117" s="360"/>
      <c r="C117" s="360"/>
      <c r="D117" s="357"/>
      <c r="E117" s="355"/>
      <c r="F117" s="360"/>
      <c r="G117" s="360"/>
      <c r="H117" s="357"/>
      <c r="I117" s="355"/>
      <c r="J117" s="349"/>
      <c r="K117" s="348"/>
      <c r="L117" s="357"/>
      <c r="M117" s="355"/>
    </row>
    <row r="118" spans="1:14" ht="15.75" x14ac:dyDescent="0.2">
      <c r="A118" s="21" t="s">
        <v>342</v>
      </c>
      <c r="B118" s="360"/>
      <c r="C118" s="360"/>
      <c r="D118" s="357"/>
      <c r="E118" s="355"/>
      <c r="F118" s="360"/>
      <c r="G118" s="360"/>
      <c r="H118" s="357"/>
      <c r="I118" s="355"/>
      <c r="J118" s="349"/>
      <c r="K118" s="348"/>
      <c r="L118" s="357"/>
      <c r="M118" s="355"/>
    </row>
    <row r="119" spans="1:14" ht="15.75" x14ac:dyDescent="0.2">
      <c r="A119" s="13" t="s">
        <v>324</v>
      </c>
      <c r="B119" s="356"/>
      <c r="C119" s="380"/>
      <c r="D119" s="357"/>
      <c r="E119" s="355"/>
      <c r="F119" s="356"/>
      <c r="G119" s="380"/>
      <c r="H119" s="357"/>
      <c r="I119" s="355"/>
      <c r="J119" s="351"/>
      <c r="K119" s="350"/>
      <c r="L119" s="357"/>
      <c r="M119" s="355"/>
    </row>
    <row r="120" spans="1:14" x14ac:dyDescent="0.2">
      <c r="A120" s="21" t="s">
        <v>9</v>
      </c>
      <c r="B120" s="360"/>
      <c r="C120" s="373"/>
      <c r="D120" s="357"/>
      <c r="E120" s="355"/>
      <c r="F120" s="360"/>
      <c r="G120" s="373"/>
      <c r="H120" s="357"/>
      <c r="I120" s="355"/>
      <c r="J120" s="349"/>
      <c r="K120" s="348"/>
      <c r="L120" s="357"/>
      <c r="M120" s="355"/>
    </row>
    <row r="121" spans="1:14" x14ac:dyDescent="0.2">
      <c r="A121" s="21" t="s">
        <v>10</v>
      </c>
      <c r="B121" s="360"/>
      <c r="C121" s="373"/>
      <c r="D121" s="357"/>
      <c r="E121" s="355"/>
      <c r="F121" s="360"/>
      <c r="G121" s="373"/>
      <c r="H121" s="357"/>
      <c r="I121" s="355"/>
      <c r="J121" s="349"/>
      <c r="K121" s="348"/>
      <c r="L121" s="357"/>
      <c r="M121" s="355"/>
    </row>
    <row r="122" spans="1:14" x14ac:dyDescent="0.2">
      <c r="A122" s="21" t="s">
        <v>26</v>
      </c>
      <c r="B122" s="360"/>
      <c r="C122" s="373"/>
      <c r="D122" s="357"/>
      <c r="E122" s="355"/>
      <c r="F122" s="360"/>
      <c r="G122" s="373"/>
      <c r="H122" s="357"/>
      <c r="I122" s="355"/>
      <c r="J122" s="349"/>
      <c r="K122" s="348"/>
      <c r="L122" s="357"/>
      <c r="M122" s="355"/>
    </row>
    <row r="123" spans="1:14" x14ac:dyDescent="0.2">
      <c r="A123" s="281" t="s">
        <v>14</v>
      </c>
      <c r="B123" s="348"/>
      <c r="C123" s="348"/>
      <c r="D123" s="357"/>
      <c r="E123" s="382"/>
      <c r="F123" s="348"/>
      <c r="G123" s="348"/>
      <c r="H123" s="357"/>
      <c r="I123" s="355"/>
      <c r="J123" s="347"/>
      <c r="K123" s="347"/>
      <c r="L123" s="357"/>
      <c r="M123" s="355"/>
    </row>
    <row r="124" spans="1:14" ht="15.75" x14ac:dyDescent="0.2">
      <c r="A124" s="21" t="s">
        <v>348</v>
      </c>
      <c r="B124" s="360"/>
      <c r="C124" s="360"/>
      <c r="D124" s="357"/>
      <c r="E124" s="355"/>
      <c r="F124" s="360"/>
      <c r="G124" s="360"/>
      <c r="H124" s="357"/>
      <c r="I124" s="355"/>
      <c r="J124" s="349"/>
      <c r="K124" s="348"/>
      <c r="L124" s="357"/>
      <c r="M124" s="355"/>
    </row>
    <row r="125" spans="1:14" ht="15.75" x14ac:dyDescent="0.2">
      <c r="A125" s="38" t="s">
        <v>382</v>
      </c>
      <c r="B125" s="360"/>
      <c r="C125" s="360"/>
      <c r="D125" s="357"/>
      <c r="E125" s="355"/>
      <c r="F125" s="360"/>
      <c r="G125" s="360"/>
      <c r="H125" s="357"/>
      <c r="I125" s="355"/>
      <c r="J125" s="349"/>
      <c r="K125" s="348"/>
      <c r="L125" s="357"/>
      <c r="M125" s="355"/>
    </row>
    <row r="126" spans="1:14" ht="15.75" x14ac:dyDescent="0.2">
      <c r="A126" s="10" t="s">
        <v>342</v>
      </c>
      <c r="B126" s="370"/>
      <c r="C126" s="370"/>
      <c r="D126" s="361"/>
      <c r="E126" s="381"/>
      <c r="F126" s="370"/>
      <c r="G126" s="370"/>
      <c r="H126" s="361"/>
      <c r="I126" s="361"/>
      <c r="J126" s="371"/>
      <c r="K126" s="370"/>
      <c r="L126" s="361"/>
      <c r="M126" s="361"/>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341"/>
      <c r="C130" s="341"/>
      <c r="D130" s="341"/>
      <c r="E130" s="342"/>
      <c r="F130" s="341"/>
      <c r="G130" s="341"/>
      <c r="H130" s="341"/>
      <c r="I130" s="342"/>
      <c r="J130" s="341"/>
      <c r="K130" s="341"/>
      <c r="L130" s="341"/>
      <c r="M130" s="342"/>
    </row>
    <row r="131" spans="1:14" s="3" customFormat="1" x14ac:dyDescent="0.2">
      <c r="A131" s="129"/>
      <c r="B131" s="715" t="s">
        <v>0</v>
      </c>
      <c r="C131" s="716"/>
      <c r="D131" s="716"/>
      <c r="E131" s="339"/>
      <c r="F131" s="715" t="s">
        <v>1</v>
      </c>
      <c r="G131" s="716"/>
      <c r="H131" s="716"/>
      <c r="I131" s="340"/>
      <c r="J131" s="715" t="s">
        <v>2</v>
      </c>
      <c r="K131" s="716"/>
      <c r="L131" s="716"/>
      <c r="M131" s="340"/>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350"/>
      <c r="C134" s="351"/>
      <c r="D134" s="354"/>
      <c r="E134" s="355"/>
      <c r="F134" s="345"/>
      <c r="G134" s="346"/>
      <c r="H134" s="383"/>
      <c r="I134" s="355"/>
      <c r="J134" s="363"/>
      <c r="K134" s="363"/>
      <c r="L134" s="354"/>
      <c r="M134" s="355"/>
      <c r="N134" s="133"/>
    </row>
    <row r="135" spans="1:14" s="3" customFormat="1" ht="15.75" x14ac:dyDescent="0.2">
      <c r="A135" s="13" t="s">
        <v>349</v>
      </c>
      <c r="B135" s="350"/>
      <c r="C135" s="351"/>
      <c r="D135" s="357"/>
      <c r="E135" s="355"/>
      <c r="F135" s="350"/>
      <c r="G135" s="351"/>
      <c r="H135" s="384"/>
      <c r="I135" s="355"/>
      <c r="J135" s="356"/>
      <c r="K135" s="356"/>
      <c r="L135" s="357"/>
      <c r="M135" s="355"/>
      <c r="N135" s="133"/>
    </row>
    <row r="136" spans="1:14" s="3" customFormat="1" ht="15.75" x14ac:dyDescent="0.2">
      <c r="A136" s="13" t="s">
        <v>346</v>
      </c>
      <c r="B136" s="350"/>
      <c r="C136" s="351"/>
      <c r="D136" s="357"/>
      <c r="E136" s="355"/>
      <c r="F136" s="350"/>
      <c r="G136" s="351"/>
      <c r="H136" s="384"/>
      <c r="I136" s="355"/>
      <c r="J136" s="356"/>
      <c r="K136" s="356"/>
      <c r="L136" s="357"/>
      <c r="M136" s="355"/>
      <c r="N136" s="133"/>
    </row>
    <row r="137" spans="1:14" s="3" customFormat="1" ht="15.75" x14ac:dyDescent="0.2">
      <c r="A137" s="41" t="s">
        <v>347</v>
      </c>
      <c r="B137" s="352"/>
      <c r="C137" s="353"/>
      <c r="D137" s="361"/>
      <c r="E137" s="381"/>
      <c r="F137" s="352"/>
      <c r="G137" s="353"/>
      <c r="H137" s="385"/>
      <c r="I137" s="381"/>
      <c r="J137" s="362"/>
      <c r="K137" s="362"/>
      <c r="L137" s="361"/>
      <c r="M137" s="361"/>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13">
    <mergeCell ref="B44:D44"/>
    <mergeCell ref="J19:L19"/>
    <mergeCell ref="F19:H19"/>
    <mergeCell ref="B19:D19"/>
    <mergeCell ref="J4:L4"/>
    <mergeCell ref="F4:H4"/>
    <mergeCell ref="B4:D4"/>
    <mergeCell ref="J131:L131"/>
    <mergeCell ref="F131:H131"/>
    <mergeCell ref="B131:D131"/>
    <mergeCell ref="J63:L63"/>
    <mergeCell ref="F63:H63"/>
    <mergeCell ref="B63:D63"/>
  </mergeCells>
  <conditionalFormatting sqref="B50:C52">
    <cfRule type="expression" dxfId="610" priority="132">
      <formula>kvartal &lt; 4</formula>
    </cfRule>
  </conditionalFormatting>
  <conditionalFormatting sqref="B115">
    <cfRule type="expression" dxfId="609" priority="76">
      <formula>kvartal &lt; 4</formula>
    </cfRule>
  </conditionalFormatting>
  <conditionalFormatting sqref="C115">
    <cfRule type="expression" dxfId="608" priority="75">
      <formula>kvartal &lt; 4</formula>
    </cfRule>
  </conditionalFormatting>
  <conditionalFormatting sqref="B123">
    <cfRule type="expression" dxfId="607" priority="74">
      <formula>kvartal &lt; 4</formula>
    </cfRule>
  </conditionalFormatting>
  <conditionalFormatting sqref="C123">
    <cfRule type="expression" dxfId="606" priority="73">
      <formula>kvartal &lt; 4</formula>
    </cfRule>
  </conditionalFormatting>
  <conditionalFormatting sqref="F115">
    <cfRule type="expression" dxfId="605" priority="58">
      <formula>kvartal &lt; 4</formula>
    </cfRule>
  </conditionalFormatting>
  <conditionalFormatting sqref="G115">
    <cfRule type="expression" dxfId="604" priority="57">
      <formula>kvartal &lt; 4</formula>
    </cfRule>
  </conditionalFormatting>
  <conditionalFormatting sqref="F123:G123">
    <cfRule type="expression" dxfId="603" priority="56">
      <formula>kvartal &lt; 4</formula>
    </cfRule>
  </conditionalFormatting>
  <conditionalFormatting sqref="J115:K115">
    <cfRule type="expression" dxfId="602" priority="32">
      <formula>kvartal &lt; 4</formula>
    </cfRule>
  </conditionalFormatting>
  <conditionalFormatting sqref="J123:K123">
    <cfRule type="expression" dxfId="601" priority="31">
      <formula>kvartal &lt; 4</formula>
    </cfRule>
  </conditionalFormatting>
  <conditionalFormatting sqref="A50:A52">
    <cfRule type="expression" dxfId="600" priority="12">
      <formula>kvartal &lt; 4</formula>
    </cfRule>
  </conditionalFormatting>
  <conditionalFormatting sqref="A69:A74">
    <cfRule type="expression" dxfId="599" priority="10">
      <formula>kvartal &lt; 4</formula>
    </cfRule>
  </conditionalFormatting>
  <conditionalFormatting sqref="A80:A85">
    <cfRule type="expression" dxfId="598" priority="9">
      <formula>kvartal &lt; 4</formula>
    </cfRule>
  </conditionalFormatting>
  <conditionalFormatting sqref="A90:A95">
    <cfRule type="expression" dxfId="597" priority="6">
      <formula>kvartal &lt; 4</formula>
    </cfRule>
  </conditionalFormatting>
  <conditionalFormatting sqref="A101:A106">
    <cfRule type="expression" dxfId="596" priority="5">
      <formula>kvartal &lt; 4</formula>
    </cfRule>
  </conditionalFormatting>
  <conditionalFormatting sqref="A115">
    <cfRule type="expression" dxfId="595" priority="4">
      <formula>kvartal &lt; 4</formula>
    </cfRule>
  </conditionalFormatting>
  <conditionalFormatting sqref="A123">
    <cfRule type="expression" dxfId="594" priority="3">
      <formula>kvartal &lt; 4</formula>
    </cfRule>
  </conditionalFormatting>
  <pageMargins left="0.70866141732283472" right="0.70866141732283472" top="0.78740157480314965" bottom="0.78740157480314965" header="0.31496062992125984" footer="0.31496062992125984"/>
  <pageSetup paperSize="9" scale="55" orientation="portrait" r:id="rId1"/>
  <rowBreaks count="1" manualBreakCount="1">
    <brk id="59"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4"/>
  <dimension ref="A1:Q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7" x14ac:dyDescent="0.2">
      <c r="A1" s="157" t="s">
        <v>123</v>
      </c>
      <c r="B1" s="681"/>
      <c r="C1" s="233" t="s">
        <v>117</v>
      </c>
      <c r="D1" s="26"/>
      <c r="E1" s="26"/>
      <c r="F1" s="26"/>
      <c r="G1" s="26"/>
      <c r="H1" s="26"/>
      <c r="I1" s="26"/>
      <c r="J1" s="26"/>
      <c r="K1" s="26"/>
      <c r="L1" s="26"/>
      <c r="M1" s="26"/>
    </row>
    <row r="2" spans="1:17" ht="15.75" x14ac:dyDescent="0.25">
      <c r="A2" s="150" t="s">
        <v>28</v>
      </c>
      <c r="B2" s="717"/>
      <c r="C2" s="717"/>
      <c r="D2" s="717"/>
      <c r="E2" s="284"/>
      <c r="F2" s="717"/>
      <c r="G2" s="717"/>
      <c r="H2" s="717"/>
      <c r="I2" s="284"/>
      <c r="J2" s="717"/>
      <c r="K2" s="717"/>
      <c r="L2" s="717"/>
      <c r="M2" s="284"/>
    </row>
    <row r="3" spans="1:17" ht="15.75" x14ac:dyDescent="0.25">
      <c r="A3" s="148"/>
      <c r="B3" s="284"/>
      <c r="C3" s="284"/>
      <c r="D3" s="284"/>
      <c r="E3" s="284"/>
      <c r="F3" s="284"/>
      <c r="G3" s="284"/>
      <c r="H3" s="284"/>
      <c r="I3" s="284"/>
      <c r="J3" s="284"/>
      <c r="K3" s="284"/>
      <c r="L3" s="284"/>
      <c r="M3" s="284"/>
    </row>
    <row r="4" spans="1:17" x14ac:dyDescent="0.2">
      <c r="A4" s="129"/>
      <c r="B4" s="715" t="s">
        <v>0</v>
      </c>
      <c r="C4" s="716"/>
      <c r="D4" s="716"/>
      <c r="E4" s="286"/>
      <c r="F4" s="715" t="s">
        <v>1</v>
      </c>
      <c r="G4" s="716"/>
      <c r="H4" s="716"/>
      <c r="I4" s="289"/>
      <c r="J4" s="715" t="s">
        <v>2</v>
      </c>
      <c r="K4" s="716"/>
      <c r="L4" s="716"/>
      <c r="M4" s="289"/>
    </row>
    <row r="5" spans="1:17"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7" x14ac:dyDescent="0.2">
      <c r="A6" s="682"/>
      <c r="B6" s="141"/>
      <c r="C6" s="141"/>
      <c r="D6" s="231" t="s">
        <v>4</v>
      </c>
      <c r="E6" s="141" t="s">
        <v>30</v>
      </c>
      <c r="F6" s="146"/>
      <c r="G6" s="146"/>
      <c r="H6" s="230" t="s">
        <v>4</v>
      </c>
      <c r="I6" s="141" t="s">
        <v>30</v>
      </c>
      <c r="J6" s="146"/>
      <c r="K6" s="146"/>
      <c r="L6" s="230" t="s">
        <v>4</v>
      </c>
      <c r="M6" s="141" t="s">
        <v>30</v>
      </c>
    </row>
    <row r="7" spans="1:17" ht="15.75" x14ac:dyDescent="0.2">
      <c r="A7" s="14" t="s">
        <v>23</v>
      </c>
      <c r="B7" s="291">
        <v>254620</v>
      </c>
      <c r="C7" s="292">
        <v>280673</v>
      </c>
      <c r="D7" s="334">
        <f>IF(B7=0, "    ---- ", IF(ABS(ROUND(100/B7*C7-100,1))&lt;999,ROUND(100/B7*C7-100,1),IF(ROUND(100/B7*C7-100,1)&gt;999,999,-999)))</f>
        <v>10.199999999999999</v>
      </c>
      <c r="E7" s="11">
        <f>IFERROR(100/'Skjema total MA'!C7*C7,0)</f>
        <v>8.9116689763700183</v>
      </c>
      <c r="F7" s="291"/>
      <c r="G7" s="292"/>
      <c r="H7" s="334"/>
      <c r="I7" s="145"/>
      <c r="J7" s="293">
        <f t="shared" ref="J7:K10" si="0">SUM(B7,F7)</f>
        <v>254620</v>
      </c>
      <c r="K7" s="294">
        <f t="shared" si="0"/>
        <v>280673</v>
      </c>
      <c r="L7" s="404">
        <f>IF(J7=0, "    ---- ", IF(ABS(ROUND(100/J7*K7-100,1))&lt;999,ROUND(100/J7*K7-100,1),IF(ROUND(100/J7*K7-100,1)&gt;999,999,-999)))</f>
        <v>10.199999999999999</v>
      </c>
      <c r="M7" s="11">
        <f>IFERROR(100/'Skjema total MA'!I7*K7,0)</f>
        <v>2.5679027971841655</v>
      </c>
    </row>
    <row r="8" spans="1:17" ht="15.75" x14ac:dyDescent="0.2">
      <c r="A8" s="21" t="s">
        <v>25</v>
      </c>
      <c r="B8" s="266">
        <v>223061</v>
      </c>
      <c r="C8" s="267">
        <v>248598</v>
      </c>
      <c r="D8" s="151">
        <f t="shared" ref="D8:D10" si="1">IF(B8=0, "    ---- ", IF(ABS(ROUND(100/B8*C8-100,1))&lt;999,ROUND(100/B8*C8-100,1),IF(ROUND(100/B8*C8-100,1)&gt;999,999,-999)))</f>
        <v>11.4</v>
      </c>
      <c r="E8" s="27">
        <f>IFERROR(100/'Skjema total MA'!C8*C8,0)</f>
        <v>11.805338661715048</v>
      </c>
      <c r="F8" s="270"/>
      <c r="G8" s="271"/>
      <c r="H8" s="151"/>
      <c r="I8" s="161"/>
      <c r="J8" s="218">
        <f t="shared" si="0"/>
        <v>223061</v>
      </c>
      <c r="K8" s="272">
        <f t="shared" si="0"/>
        <v>248598</v>
      </c>
      <c r="L8" s="151">
        <f t="shared" ref="L8:L9" si="2">IF(J8=0, "    ---- ", IF(ABS(ROUND(100/J8*K8-100,1))&lt;999,ROUND(100/J8*K8-100,1),IF(ROUND(100/J8*K8-100,1)&gt;999,999,-999)))</f>
        <v>11.4</v>
      </c>
      <c r="M8" s="27">
        <f>IFERROR(100/'Skjema total MA'!I8*K8,0)</f>
        <v>11.805338661715048</v>
      </c>
    </row>
    <row r="9" spans="1:17" ht="15.75" x14ac:dyDescent="0.2">
      <c r="A9" s="21" t="s">
        <v>24</v>
      </c>
      <c r="B9" s="266">
        <v>31560</v>
      </c>
      <c r="C9" s="267">
        <v>32075</v>
      </c>
      <c r="D9" s="151">
        <f t="shared" si="1"/>
        <v>1.6</v>
      </c>
      <c r="E9" s="27">
        <f>IFERROR(100/'Skjema total MA'!C9*C9,0)</f>
        <v>4.7923315538586859</v>
      </c>
      <c r="F9" s="270"/>
      <c r="G9" s="271"/>
      <c r="H9" s="151"/>
      <c r="I9" s="161"/>
      <c r="J9" s="218">
        <f t="shared" si="0"/>
        <v>31560</v>
      </c>
      <c r="K9" s="272">
        <f t="shared" si="0"/>
        <v>32075</v>
      </c>
      <c r="L9" s="151">
        <f t="shared" si="2"/>
        <v>1.6</v>
      </c>
      <c r="M9" s="27">
        <f>IFERROR(100/'Skjema total MA'!I9*K9,0)</f>
        <v>4.7923315538586859</v>
      </c>
    </row>
    <row r="10" spans="1:17" ht="15.75" x14ac:dyDescent="0.2">
      <c r="A10" s="13" t="s">
        <v>322</v>
      </c>
      <c r="B10" s="295">
        <v>209993</v>
      </c>
      <c r="C10" s="296">
        <v>224937</v>
      </c>
      <c r="D10" s="156">
        <f t="shared" si="1"/>
        <v>7.1</v>
      </c>
      <c r="E10" s="11">
        <f>IFERROR(100/'Skjema total MA'!C10*C10,0)</f>
        <v>1.6990076721185905</v>
      </c>
      <c r="F10" s="295"/>
      <c r="G10" s="296"/>
      <c r="H10" s="156"/>
      <c r="I10" s="145"/>
      <c r="J10" s="293">
        <f t="shared" si="0"/>
        <v>209993</v>
      </c>
      <c r="K10" s="294">
        <f t="shared" si="0"/>
        <v>224937</v>
      </c>
      <c r="L10" s="405">
        <f t="shared" ref="L10" si="3">IF(J10=0, "    ---- ", IF(ABS(ROUND(100/J10*K10-100,1))&lt;999,ROUND(100/J10*K10-100,1),IF(ROUND(100/J10*K10-100,1)&gt;999,999,-999)))</f>
        <v>7.1</v>
      </c>
      <c r="M10" s="11">
        <f>IFERROR(100/'Skjema total MA'!I10*K10,0)</f>
        <v>0.21019440461279901</v>
      </c>
    </row>
    <row r="11" spans="1:17" s="43" customFormat="1" ht="15.75" x14ac:dyDescent="0.2">
      <c r="A11" s="13" t="s">
        <v>323</v>
      </c>
      <c r="B11" s="295"/>
      <c r="C11" s="296"/>
      <c r="D11" s="156"/>
      <c r="E11" s="11"/>
      <c r="F11" s="295"/>
      <c r="G11" s="296"/>
      <c r="H11" s="156"/>
      <c r="I11" s="145"/>
      <c r="J11" s="293"/>
      <c r="K11" s="294"/>
      <c r="L11" s="405"/>
      <c r="M11" s="11"/>
      <c r="N11" s="128"/>
      <c r="Q11" s="128"/>
    </row>
    <row r="12" spans="1:17" s="43" customFormat="1" ht="15.75" x14ac:dyDescent="0.2">
      <c r="A12" s="41" t="s">
        <v>324</v>
      </c>
      <c r="B12" s="297"/>
      <c r="C12" s="298"/>
      <c r="D12" s="154"/>
      <c r="E12" s="36"/>
      <c r="F12" s="297"/>
      <c r="G12" s="298"/>
      <c r="H12" s="154"/>
      <c r="I12" s="154"/>
      <c r="J12" s="299"/>
      <c r="K12" s="300"/>
      <c r="L12" s="406"/>
      <c r="M12" s="36"/>
      <c r="N12" s="128"/>
    </row>
    <row r="13" spans="1:17" s="43" customFormat="1" x14ac:dyDescent="0.2">
      <c r="A13" s="153"/>
      <c r="B13" s="130"/>
      <c r="C13" s="33"/>
      <c r="D13" s="144"/>
      <c r="E13" s="144"/>
      <c r="F13" s="130"/>
      <c r="G13" s="33"/>
      <c r="H13" s="144"/>
      <c r="I13" s="144"/>
      <c r="J13" s="48"/>
      <c r="K13" s="48"/>
      <c r="L13" s="144"/>
      <c r="M13" s="144"/>
      <c r="N13" s="128"/>
    </row>
    <row r="14" spans="1:17" x14ac:dyDescent="0.2">
      <c r="A14" s="138" t="s">
        <v>245</v>
      </c>
      <c r="B14" s="26"/>
    </row>
    <row r="15" spans="1:17" x14ac:dyDescent="0.2">
      <c r="F15" s="131"/>
      <c r="G15" s="131"/>
      <c r="H15" s="131"/>
      <c r="I15" s="131"/>
      <c r="J15" s="131"/>
      <c r="K15" s="131"/>
      <c r="L15" s="131"/>
      <c r="M15" s="131"/>
    </row>
    <row r="16" spans="1:17"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v>269750</v>
      </c>
      <c r="C22" s="295">
        <v>312673</v>
      </c>
      <c r="D22" s="334">
        <f t="shared" ref="D22:D30" si="4">IF(B22=0, "    ---- ", IF(ABS(ROUND(100/B22*C22-100,1))&lt;999,ROUND(100/B22*C22-100,1),IF(ROUND(100/B22*C22-100,1)&gt;999,999,-999)))</f>
        <v>15.9</v>
      </c>
      <c r="E22" s="11">
        <f>IFERROR(100/'Skjema total MA'!C22*C22,0)</f>
        <v>22.358438641717491</v>
      </c>
      <c r="F22" s="303"/>
      <c r="G22" s="303"/>
      <c r="H22" s="334"/>
      <c r="I22" s="11"/>
      <c r="J22" s="301">
        <f t="shared" ref="J22:K29" si="5">SUM(B22,F22)</f>
        <v>269750</v>
      </c>
      <c r="K22" s="301">
        <f t="shared" si="5"/>
        <v>312673</v>
      </c>
      <c r="L22" s="404">
        <f t="shared" ref="L22:L30" si="6">IF(J22=0, "    ---- ", IF(ABS(ROUND(100/J22*K22-100,1))&lt;999,ROUND(100/J22*K22-100,1),IF(ROUND(100/J22*K22-100,1)&gt;999,999,-999)))</f>
        <v>15.9</v>
      </c>
      <c r="M22" s="24">
        <f>IFERROR(100/'Skjema total MA'!I22*K22,0)</f>
        <v>16.665636909125297</v>
      </c>
    </row>
    <row r="23" spans="1:14" ht="15.75" x14ac:dyDescent="0.2">
      <c r="A23" s="453" t="s">
        <v>325</v>
      </c>
      <c r="B23" s="266">
        <v>269750</v>
      </c>
      <c r="C23" s="266">
        <v>312673</v>
      </c>
      <c r="D23" s="151">
        <f t="shared" si="4"/>
        <v>15.9</v>
      </c>
      <c r="E23" s="11">
        <f>IFERROR(100/'Skjema total MA'!C23*C23,0)</f>
        <v>34.828946098778545</v>
      </c>
      <c r="F23" s="275"/>
      <c r="G23" s="275"/>
      <c r="H23" s="151"/>
      <c r="I23" s="394"/>
      <c r="J23" s="275">
        <f t="shared" ref="J23" si="7">SUM(B23,F23)</f>
        <v>269750</v>
      </c>
      <c r="K23" s="275">
        <f t="shared" ref="K23" si="8">SUM(C23,G23)</f>
        <v>312673</v>
      </c>
      <c r="L23" s="151">
        <f t="shared" si="6"/>
        <v>15.9</v>
      </c>
      <c r="M23" s="23">
        <f>IFERROR(100/'Skjema total MA'!I23*K23,0)</f>
        <v>33.921253593828972</v>
      </c>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v>269750</v>
      </c>
      <c r="C28" s="272">
        <v>312673</v>
      </c>
      <c r="D28" s="151">
        <f t="shared" si="4"/>
        <v>15.9</v>
      </c>
      <c r="E28" s="11">
        <f>IFERROR(100/'Skjema total MA'!C28*C28,0)</f>
        <v>18.513965624464625</v>
      </c>
      <c r="F28" s="218"/>
      <c r="G28" s="272"/>
      <c r="H28" s="151"/>
      <c r="I28" s="27"/>
      <c r="J28" s="44">
        <f t="shared" si="5"/>
        <v>269750</v>
      </c>
      <c r="K28" s="44">
        <f t="shared" si="5"/>
        <v>312673</v>
      </c>
      <c r="L28" s="242">
        <f t="shared" si="6"/>
        <v>15.9</v>
      </c>
      <c r="M28" s="23">
        <f>IFERROR(100/'Skjema total MA'!I28*K28,0)</f>
        <v>18.513965624464625</v>
      </c>
    </row>
    <row r="29" spans="1:14" s="3" customFormat="1" ht="15.75" x14ac:dyDescent="0.2">
      <c r="A29" s="13" t="s">
        <v>322</v>
      </c>
      <c r="B29" s="220">
        <v>1483516</v>
      </c>
      <c r="C29" s="220">
        <v>1755655</v>
      </c>
      <c r="D29" s="156">
        <f t="shared" si="4"/>
        <v>18.3</v>
      </c>
      <c r="E29" s="11">
        <f>IFERROR(100/'Skjema total MA'!C29*C29,0)</f>
        <v>4.0096636227036617</v>
      </c>
      <c r="F29" s="293"/>
      <c r="G29" s="293"/>
      <c r="H29" s="156"/>
      <c r="I29" s="11"/>
      <c r="J29" s="220">
        <f t="shared" si="5"/>
        <v>1483516</v>
      </c>
      <c r="K29" s="220">
        <f t="shared" si="5"/>
        <v>1755655</v>
      </c>
      <c r="L29" s="405">
        <f t="shared" si="6"/>
        <v>18.3</v>
      </c>
      <c r="M29" s="24">
        <f>IFERROR(100/'Skjema total MA'!I29*K29,0)</f>
        <v>2.4295952175622446</v>
      </c>
      <c r="N29" s="133"/>
    </row>
    <row r="30" spans="1:14" s="3" customFormat="1" ht="15.75" x14ac:dyDescent="0.2">
      <c r="A30" s="453" t="s">
        <v>325</v>
      </c>
      <c r="B30" s="266">
        <v>1483516</v>
      </c>
      <c r="C30" s="266">
        <v>1755655</v>
      </c>
      <c r="D30" s="151">
        <f t="shared" si="4"/>
        <v>18.3</v>
      </c>
      <c r="E30" s="11">
        <f>IFERROR(100/'Skjema total MA'!C30*C30,0)</f>
        <v>9.7469938116701531</v>
      </c>
      <c r="F30" s="275"/>
      <c r="G30" s="275"/>
      <c r="H30" s="151"/>
      <c r="I30" s="394"/>
      <c r="J30" s="275">
        <f t="shared" ref="J30" si="9">SUM(B30,F30)</f>
        <v>1483516</v>
      </c>
      <c r="K30" s="275">
        <f t="shared" ref="K30" si="10">SUM(C30,G30)</f>
        <v>1755655</v>
      </c>
      <c r="L30" s="151">
        <f t="shared" si="6"/>
        <v>18.3</v>
      </c>
      <c r="M30" s="23">
        <f>IFERROR(100/'Skjema total MA'!I30*K30,0)</f>
        <v>8.060994323559191</v>
      </c>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36621</v>
      </c>
      <c r="C47" s="296">
        <v>35770</v>
      </c>
      <c r="D47" s="404">
        <f t="shared" ref="D47:D48" si="11">IF(B47=0, "    ---- ", IF(ABS(ROUND(100/B47*C47-100,1))&lt;999,ROUND(100/B47*C47-100,1),IF(ROUND(100/B47*C47-100,1)&gt;999,999,-999)))</f>
        <v>-2.2999999999999998</v>
      </c>
      <c r="E47" s="11">
        <f>IFERROR(100/'Skjema total MA'!C47*C47,0)</f>
        <v>0.68625057983462623</v>
      </c>
      <c r="F47" s="130"/>
      <c r="G47" s="33"/>
      <c r="H47" s="144"/>
      <c r="I47" s="144"/>
      <c r="J47" s="37"/>
      <c r="K47" s="37"/>
      <c r="L47" s="144"/>
      <c r="M47" s="144"/>
      <c r="N47" s="133"/>
    </row>
    <row r="48" spans="1:14" s="3" customFormat="1" ht="15.75" x14ac:dyDescent="0.2">
      <c r="A48" s="38" t="s">
        <v>333</v>
      </c>
      <c r="B48" s="266">
        <v>36621</v>
      </c>
      <c r="C48" s="267">
        <v>35770</v>
      </c>
      <c r="D48" s="242">
        <f t="shared" si="11"/>
        <v>-2.2999999999999998</v>
      </c>
      <c r="E48" s="27">
        <f>IFERROR(100/'Skjema total MA'!C48*C48,0)</f>
        <v>1.2052762462072004</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593" priority="132">
      <formula>kvartal &lt; 4</formula>
    </cfRule>
  </conditionalFormatting>
  <conditionalFormatting sqref="B115">
    <cfRule type="expression" dxfId="592" priority="76">
      <formula>kvartal &lt; 4</formula>
    </cfRule>
  </conditionalFormatting>
  <conditionalFormatting sqref="C115">
    <cfRule type="expression" dxfId="591" priority="75">
      <formula>kvartal &lt; 4</formula>
    </cfRule>
  </conditionalFormatting>
  <conditionalFormatting sqref="B123">
    <cfRule type="expression" dxfId="590" priority="74">
      <formula>kvartal &lt; 4</formula>
    </cfRule>
  </conditionalFormatting>
  <conditionalFormatting sqref="C123">
    <cfRule type="expression" dxfId="589" priority="73">
      <formula>kvartal &lt; 4</formula>
    </cfRule>
  </conditionalFormatting>
  <conditionalFormatting sqref="F115">
    <cfRule type="expression" dxfId="588" priority="58">
      <formula>kvartal &lt; 4</formula>
    </cfRule>
  </conditionalFormatting>
  <conditionalFormatting sqref="G115">
    <cfRule type="expression" dxfId="587" priority="57">
      <formula>kvartal &lt; 4</formula>
    </cfRule>
  </conditionalFormatting>
  <conditionalFormatting sqref="F123:G123">
    <cfRule type="expression" dxfId="586" priority="56">
      <formula>kvartal &lt; 4</formula>
    </cfRule>
  </conditionalFormatting>
  <conditionalFormatting sqref="J115:K115">
    <cfRule type="expression" dxfId="585" priority="32">
      <formula>kvartal &lt; 4</formula>
    </cfRule>
  </conditionalFormatting>
  <conditionalFormatting sqref="J123:K123">
    <cfRule type="expression" dxfId="584" priority="31">
      <formula>kvartal &lt; 4</formula>
    </cfRule>
  </conditionalFormatting>
  <conditionalFormatting sqref="A50:A52">
    <cfRule type="expression" dxfId="583" priority="12">
      <formula>kvartal &lt; 4</formula>
    </cfRule>
  </conditionalFormatting>
  <conditionalFormatting sqref="A69:A74">
    <cfRule type="expression" dxfId="582" priority="10">
      <formula>kvartal &lt; 4</formula>
    </cfRule>
  </conditionalFormatting>
  <conditionalFormatting sqref="A80:A85">
    <cfRule type="expression" dxfId="581" priority="9">
      <formula>kvartal &lt; 4</formula>
    </cfRule>
  </conditionalFormatting>
  <conditionalFormatting sqref="A90:A95">
    <cfRule type="expression" dxfId="580" priority="6">
      <formula>kvartal &lt; 4</formula>
    </cfRule>
  </conditionalFormatting>
  <conditionalFormatting sqref="A101:A106">
    <cfRule type="expression" dxfId="579" priority="5">
      <formula>kvartal &lt; 4</formula>
    </cfRule>
  </conditionalFormatting>
  <conditionalFormatting sqref="A115">
    <cfRule type="expression" dxfId="578" priority="4">
      <formula>kvartal &lt; 4</formula>
    </cfRule>
  </conditionalFormatting>
  <conditionalFormatting sqref="A123">
    <cfRule type="expression" dxfId="577" priority="3">
      <formula>kvartal &lt; 4</formula>
    </cfRule>
  </conditionalFormatting>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N144"/>
  <sheetViews>
    <sheetView showGridLines="0" zoomScaleNormal="100" workbookViewId="0">
      <selection activeCell="C17" sqref="C17"/>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118</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151"/>
      <c r="M8" s="27"/>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6421.1409999999996</v>
      </c>
      <c r="C47" s="296">
        <v>4207.2179999999998</v>
      </c>
      <c r="D47" s="404">
        <f t="shared" ref="D47:D48" si="0">IF(B47=0, "    ---- ", IF(ABS(ROUND(100/B47*C47-100,1))&lt;999,ROUND(100/B47*C47-100,1),IF(ROUND(100/B47*C47-100,1)&gt;999,999,-999)))</f>
        <v>-34.5</v>
      </c>
      <c r="E47" s="11">
        <f>IFERROR(100/'Skjema total MA'!C47*C47,0)</f>
        <v>8.071584545682628E-2</v>
      </c>
      <c r="F47" s="130"/>
      <c r="G47" s="33"/>
      <c r="H47" s="144"/>
      <c r="I47" s="144"/>
      <c r="J47" s="37"/>
      <c r="K47" s="37"/>
      <c r="L47" s="144"/>
      <c r="M47" s="144"/>
      <c r="N47" s="133"/>
    </row>
    <row r="48" spans="1:14" s="3" customFormat="1" ht="15.75" x14ac:dyDescent="0.2">
      <c r="A48" s="38" t="s">
        <v>333</v>
      </c>
      <c r="B48" s="266">
        <v>6421.1409999999996</v>
      </c>
      <c r="C48" s="267">
        <v>4207.2179999999998</v>
      </c>
      <c r="D48" s="242">
        <f t="shared" si="0"/>
        <v>-34.5</v>
      </c>
      <c r="E48" s="27">
        <f>IFERROR(100/'Skjema total MA'!C48*C48,0)</f>
        <v>0.14176292753747177</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576" priority="132">
      <formula>kvartal &lt; 4</formula>
    </cfRule>
  </conditionalFormatting>
  <conditionalFormatting sqref="B115">
    <cfRule type="expression" dxfId="575" priority="76">
      <formula>kvartal &lt; 4</formula>
    </cfRule>
  </conditionalFormatting>
  <conditionalFormatting sqref="C115">
    <cfRule type="expression" dxfId="574" priority="75">
      <formula>kvartal &lt; 4</formula>
    </cfRule>
  </conditionalFormatting>
  <conditionalFormatting sqref="B123">
    <cfRule type="expression" dxfId="573" priority="74">
      <formula>kvartal &lt; 4</formula>
    </cfRule>
  </conditionalFormatting>
  <conditionalFormatting sqref="C123">
    <cfRule type="expression" dxfId="572" priority="73">
      <formula>kvartal &lt; 4</formula>
    </cfRule>
  </conditionalFormatting>
  <conditionalFormatting sqref="F115">
    <cfRule type="expression" dxfId="571" priority="58">
      <formula>kvartal &lt; 4</formula>
    </cfRule>
  </conditionalFormatting>
  <conditionalFormatting sqref="G115">
    <cfRule type="expression" dxfId="570" priority="57">
      <formula>kvartal &lt; 4</formula>
    </cfRule>
  </conditionalFormatting>
  <conditionalFormatting sqref="F123:G123">
    <cfRule type="expression" dxfId="569" priority="56">
      <formula>kvartal &lt; 4</formula>
    </cfRule>
  </conditionalFormatting>
  <conditionalFormatting sqref="J115:K115">
    <cfRule type="expression" dxfId="568" priority="32">
      <formula>kvartal &lt; 4</formula>
    </cfRule>
  </conditionalFormatting>
  <conditionalFormatting sqref="J123:K123">
    <cfRule type="expression" dxfId="567" priority="31">
      <formula>kvartal &lt; 4</formula>
    </cfRule>
  </conditionalFormatting>
  <conditionalFormatting sqref="A50:A52">
    <cfRule type="expression" dxfId="566" priority="12">
      <formula>kvartal &lt; 4</formula>
    </cfRule>
  </conditionalFormatting>
  <conditionalFormatting sqref="A69:A74">
    <cfRule type="expression" dxfId="565" priority="10">
      <formula>kvartal &lt; 4</formula>
    </cfRule>
  </conditionalFormatting>
  <conditionalFormatting sqref="A80:A85">
    <cfRule type="expression" dxfId="564" priority="9">
      <formula>kvartal &lt; 4</formula>
    </cfRule>
  </conditionalFormatting>
  <conditionalFormatting sqref="A90:A95">
    <cfRule type="expression" dxfId="563" priority="6">
      <formula>kvartal &lt; 4</formula>
    </cfRule>
  </conditionalFormatting>
  <conditionalFormatting sqref="A101:A106">
    <cfRule type="expression" dxfId="562" priority="5">
      <formula>kvartal &lt; 4</formula>
    </cfRule>
  </conditionalFormatting>
  <conditionalFormatting sqref="A115">
    <cfRule type="expression" dxfId="561" priority="4">
      <formula>kvartal &lt; 4</formula>
    </cfRule>
  </conditionalFormatting>
  <conditionalFormatting sqref="A123">
    <cfRule type="expression" dxfId="560" priority="3">
      <formula>kvartal &lt; 4</formula>
    </cfRule>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N144"/>
  <sheetViews>
    <sheetView showGridLines="0" zoomScaleNormal="100" zoomScaleSheetLayoutView="100" workbookViewId="0">
      <selection activeCell="B1" sqref="B1"/>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83</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683252.17</v>
      </c>
      <c r="C7" s="292">
        <v>657314.321</v>
      </c>
      <c r="D7" s="334">
        <f>IF(B7=0, "    ---- ", IF(ABS(ROUND(100/B7*C7-100,1))&lt;999,ROUND(100/B7*C7-100,1),IF(ROUND(100/B7*C7-100,1)&gt;999,999,-999)))</f>
        <v>-3.8</v>
      </c>
      <c r="E7" s="11">
        <f>IFERROR(100/'Skjema total MA'!C7*C7,0)</f>
        <v>20.870435140463897</v>
      </c>
      <c r="F7" s="291"/>
      <c r="G7" s="292"/>
      <c r="H7" s="334"/>
      <c r="I7" s="145"/>
      <c r="J7" s="293">
        <f t="shared" ref="J7:K9" si="0">SUM(B7,F7)</f>
        <v>683252.17</v>
      </c>
      <c r="K7" s="294">
        <f t="shared" si="0"/>
        <v>657314.321</v>
      </c>
      <c r="L7" s="404">
        <f>IF(J7=0, "    ---- ", IF(ABS(ROUND(100/J7*K7-100,1))&lt;999,ROUND(100/J7*K7-100,1),IF(ROUND(100/J7*K7-100,1)&gt;999,999,-999)))</f>
        <v>-3.8</v>
      </c>
      <c r="M7" s="11">
        <f>IFERROR(100/'Skjema total MA'!I7*K7,0)</f>
        <v>6.0138284891140596</v>
      </c>
    </row>
    <row r="8" spans="1:14" ht="15.75" x14ac:dyDescent="0.2">
      <c r="A8" s="21" t="s">
        <v>25</v>
      </c>
      <c r="B8" s="266">
        <v>419287.489</v>
      </c>
      <c r="C8" s="267">
        <v>412643.08</v>
      </c>
      <c r="D8" s="151">
        <f t="shared" ref="D8:D9" si="1">IF(B8=0, "    ---- ", IF(ABS(ROUND(100/B8*C8-100,1))&lt;999,ROUND(100/B8*C8-100,1),IF(ROUND(100/B8*C8-100,1)&gt;999,999,-999)))</f>
        <v>-1.6</v>
      </c>
      <c r="E8" s="27">
        <f>IFERROR(100/'Skjema total MA'!C8*C8,0)</f>
        <v>19.595456543548927</v>
      </c>
      <c r="F8" s="270"/>
      <c r="G8" s="271"/>
      <c r="H8" s="151"/>
      <c r="I8" s="161"/>
      <c r="J8" s="218">
        <f t="shared" si="0"/>
        <v>419287.489</v>
      </c>
      <c r="K8" s="272">
        <f t="shared" si="0"/>
        <v>412643.08</v>
      </c>
      <c r="L8" s="151">
        <f t="shared" ref="L8:L9" si="2">IF(J8=0, "    ---- ", IF(ABS(ROUND(100/J8*K8-100,1))&lt;999,ROUND(100/J8*K8-100,1),IF(ROUND(100/J8*K8-100,1)&gt;999,999,-999)))</f>
        <v>-1.6</v>
      </c>
      <c r="M8" s="27">
        <f>IFERROR(100/'Skjema total MA'!I8*K8,0)</f>
        <v>19.595456543548927</v>
      </c>
    </row>
    <row r="9" spans="1:14" ht="15.75" x14ac:dyDescent="0.2">
      <c r="A9" s="21" t="s">
        <v>24</v>
      </c>
      <c r="B9" s="266">
        <v>263964.68099999998</v>
      </c>
      <c r="C9" s="267">
        <v>244671.24100000001</v>
      </c>
      <c r="D9" s="151">
        <f t="shared" si="1"/>
        <v>-7.3</v>
      </c>
      <c r="E9" s="27">
        <f>IFERROR(100/'Skjema total MA'!C9*C9,0)</f>
        <v>36.556374390212405</v>
      </c>
      <c r="F9" s="270"/>
      <c r="G9" s="271"/>
      <c r="H9" s="151"/>
      <c r="I9" s="161"/>
      <c r="J9" s="218">
        <f t="shared" si="0"/>
        <v>263964.68099999998</v>
      </c>
      <c r="K9" s="272">
        <f t="shared" si="0"/>
        <v>244671.24100000001</v>
      </c>
      <c r="L9" s="151">
        <f t="shared" si="2"/>
        <v>-7.3</v>
      </c>
      <c r="M9" s="27">
        <f>IFERROR(100/'Skjema total MA'!I9*K9,0)</f>
        <v>36.556374390212405</v>
      </c>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1055005.21</v>
      </c>
      <c r="C47" s="296">
        <v>1120291.044</v>
      </c>
      <c r="D47" s="404">
        <f t="shared" ref="D47:D57" si="3">IF(B47=0, "    ---- ", IF(ABS(ROUND(100/B47*C47-100,1))&lt;999,ROUND(100/B47*C47-100,1),IF(ROUND(100/B47*C47-100,1)&gt;999,999,-999)))</f>
        <v>6.2</v>
      </c>
      <c r="E47" s="11">
        <f>IFERROR(100/'Skjema total MA'!C47*C47,0)</f>
        <v>21.492881703341872</v>
      </c>
      <c r="F47" s="130"/>
      <c r="G47" s="33"/>
      <c r="H47" s="144"/>
      <c r="I47" s="144"/>
      <c r="J47" s="37"/>
      <c r="K47" s="37"/>
      <c r="L47" s="144"/>
      <c r="M47" s="144"/>
      <c r="N47" s="133"/>
    </row>
    <row r="48" spans="1:14" s="3" customFormat="1" ht="15.75" x14ac:dyDescent="0.2">
      <c r="A48" s="38" t="s">
        <v>333</v>
      </c>
      <c r="B48" s="266">
        <v>726285.81799999997</v>
      </c>
      <c r="C48" s="267">
        <v>736759.15099999995</v>
      </c>
      <c r="D48" s="242">
        <f t="shared" si="3"/>
        <v>1.4</v>
      </c>
      <c r="E48" s="27">
        <f>IFERROR(100/'Skjema total MA'!C48*C48,0)</f>
        <v>24.825225157284986</v>
      </c>
      <c r="F48" s="130"/>
      <c r="G48" s="33"/>
      <c r="H48" s="130"/>
      <c r="I48" s="130"/>
      <c r="J48" s="33"/>
      <c r="K48" s="33"/>
      <c r="L48" s="144"/>
      <c r="M48" s="144"/>
      <c r="N48" s="133"/>
    </row>
    <row r="49" spans="1:14" s="3" customFormat="1" ht="15.75" x14ac:dyDescent="0.2">
      <c r="A49" s="38" t="s">
        <v>334</v>
      </c>
      <c r="B49" s="44">
        <v>328719.39199999999</v>
      </c>
      <c r="C49" s="272">
        <v>383531.89299999998</v>
      </c>
      <c r="D49" s="242">
        <f>IF(B49=0, "    ---- ", IF(ABS(ROUND(100/B49*C49-100,1))&lt;999,ROUND(100/B49*C49-100,1),IF(ROUND(100/B49*C49-100,1)&gt;999,999,-999)))</f>
        <v>16.7</v>
      </c>
      <c r="E49" s="27">
        <f>IFERROR(100/'Skjema total MA'!C49*C49,0)</f>
        <v>17.090209967575813</v>
      </c>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v>20336.032999999999</v>
      </c>
      <c r="C53" s="296">
        <v>16085.653</v>
      </c>
      <c r="D53" s="405">
        <f t="shared" si="3"/>
        <v>-20.9</v>
      </c>
      <c r="E53" s="11">
        <f>IFERROR(100/'Skjema total MA'!C53*C53,0)</f>
        <v>10.03979619407208</v>
      </c>
      <c r="F53" s="130"/>
      <c r="G53" s="33"/>
      <c r="H53" s="130"/>
      <c r="I53" s="130"/>
      <c r="J53" s="33"/>
      <c r="K53" s="33"/>
      <c r="L53" s="144"/>
      <c r="M53" s="144"/>
      <c r="N53" s="133"/>
    </row>
    <row r="54" spans="1:14" s="3" customFormat="1" ht="15.75" x14ac:dyDescent="0.2">
      <c r="A54" s="38" t="s">
        <v>333</v>
      </c>
      <c r="B54" s="266">
        <v>20336.032999999999</v>
      </c>
      <c r="C54" s="267">
        <v>16085.653</v>
      </c>
      <c r="D54" s="242">
        <f t="shared" si="3"/>
        <v>-20.9</v>
      </c>
      <c r="E54" s="27">
        <f>IFERROR(100/'Skjema total MA'!C54*C54,0)</f>
        <v>10.102154816471852</v>
      </c>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v>18531.503000000001</v>
      </c>
      <c r="C56" s="296">
        <v>92800.607000000004</v>
      </c>
      <c r="D56" s="405">
        <f t="shared" si="3"/>
        <v>400.8</v>
      </c>
      <c r="E56" s="11">
        <f>IFERROR(100/'Skjema total MA'!C56*C56,0)</f>
        <v>63.44711774756329</v>
      </c>
      <c r="F56" s="130"/>
      <c r="G56" s="33"/>
      <c r="H56" s="130"/>
      <c r="I56" s="130"/>
      <c r="J56" s="33"/>
      <c r="K56" s="33"/>
      <c r="L56" s="144"/>
      <c r="M56" s="144"/>
      <c r="N56" s="133"/>
    </row>
    <row r="57" spans="1:14" s="3" customFormat="1" ht="15.75" x14ac:dyDescent="0.2">
      <c r="A57" s="38" t="s">
        <v>333</v>
      </c>
      <c r="B57" s="266">
        <v>18531.503000000001</v>
      </c>
      <c r="C57" s="267">
        <v>92800.607000000004</v>
      </c>
      <c r="D57" s="242">
        <f t="shared" si="3"/>
        <v>400.8</v>
      </c>
      <c r="E57" s="27">
        <f>IFERROR(100/'Skjema total MA'!C57*C57,0)</f>
        <v>63.44711774756329</v>
      </c>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559" priority="132">
      <formula>kvartal &lt; 4</formula>
    </cfRule>
  </conditionalFormatting>
  <conditionalFormatting sqref="B115">
    <cfRule type="expression" dxfId="558" priority="76">
      <formula>kvartal &lt; 4</formula>
    </cfRule>
  </conditionalFormatting>
  <conditionalFormatting sqref="C115">
    <cfRule type="expression" dxfId="557" priority="75">
      <formula>kvartal &lt; 4</formula>
    </cfRule>
  </conditionalFormatting>
  <conditionalFormatting sqref="B123">
    <cfRule type="expression" dxfId="556" priority="74">
      <formula>kvartal &lt; 4</formula>
    </cfRule>
  </conditionalFormatting>
  <conditionalFormatting sqref="C123">
    <cfRule type="expression" dxfId="555" priority="73">
      <formula>kvartal &lt; 4</formula>
    </cfRule>
  </conditionalFormatting>
  <conditionalFormatting sqref="F115">
    <cfRule type="expression" dxfId="554" priority="58">
      <formula>kvartal &lt; 4</formula>
    </cfRule>
  </conditionalFormatting>
  <conditionalFormatting sqref="G115">
    <cfRule type="expression" dxfId="553" priority="57">
      <formula>kvartal &lt; 4</formula>
    </cfRule>
  </conditionalFormatting>
  <conditionalFormatting sqref="F123:G123">
    <cfRule type="expression" dxfId="552" priority="56">
      <formula>kvartal &lt; 4</formula>
    </cfRule>
  </conditionalFormatting>
  <conditionalFormatting sqref="J115:K115">
    <cfRule type="expression" dxfId="551" priority="32">
      <formula>kvartal &lt; 4</formula>
    </cfRule>
  </conditionalFormatting>
  <conditionalFormatting sqref="J123:K123">
    <cfRule type="expression" dxfId="550" priority="31">
      <formula>kvartal &lt; 4</formula>
    </cfRule>
  </conditionalFormatting>
  <conditionalFormatting sqref="A50:A52">
    <cfRule type="expression" dxfId="549" priority="12">
      <formula>kvartal &lt; 4</formula>
    </cfRule>
  </conditionalFormatting>
  <conditionalFormatting sqref="A69:A74">
    <cfRule type="expression" dxfId="548" priority="10">
      <formula>kvartal &lt; 4</formula>
    </cfRule>
  </conditionalFormatting>
  <conditionalFormatting sqref="A80:A85">
    <cfRule type="expression" dxfId="547" priority="9">
      <formula>kvartal &lt; 4</formula>
    </cfRule>
  </conditionalFormatting>
  <conditionalFormatting sqref="A90:A95">
    <cfRule type="expression" dxfId="546" priority="6">
      <formula>kvartal &lt; 4</formula>
    </cfRule>
  </conditionalFormatting>
  <conditionalFormatting sqref="A101:A106">
    <cfRule type="expression" dxfId="545" priority="5">
      <formula>kvartal &lt; 4</formula>
    </cfRule>
  </conditionalFormatting>
  <conditionalFormatting sqref="A115">
    <cfRule type="expression" dxfId="544" priority="4">
      <formula>kvartal &lt; 4</formula>
    </cfRule>
  </conditionalFormatting>
  <conditionalFormatting sqref="A123">
    <cfRule type="expression" dxfId="543" priority="3">
      <formula>kvartal &lt; 4</formula>
    </cfRule>
  </conditionalFormatting>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N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84</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v>91541</v>
      </c>
      <c r="G7" s="292">
        <v>142192</v>
      </c>
      <c r="H7" s="334">
        <f>IF(F7=0, "    ---- ", IF(ABS(ROUND(100/F7*G7-100,1))&lt;999,ROUND(100/F7*G7-100,1),IF(ROUND(100/F7*G7-100,1)&gt;999,999,-999)))</f>
        <v>55.3</v>
      </c>
      <c r="I7" s="145">
        <f>IFERROR(100/'Skjema total MA'!F7*G7,0)</f>
        <v>1.8275319806512627</v>
      </c>
      <c r="J7" s="293">
        <f t="shared" ref="J7:K12" si="0">SUM(B7,F7)</f>
        <v>91541</v>
      </c>
      <c r="K7" s="294">
        <f t="shared" si="0"/>
        <v>142192</v>
      </c>
      <c r="L7" s="404">
        <f>IF(J7=0, "    ---- ", IF(ABS(ROUND(100/J7*K7-100,1))&lt;999,ROUND(100/J7*K7-100,1),IF(ROUND(100/J7*K7-100,1)&gt;999,999,-999)))</f>
        <v>55.3</v>
      </c>
      <c r="M7" s="11">
        <f>IFERROR(100/'Skjema total MA'!I7*K7,0)</f>
        <v>1.300927536803365</v>
      </c>
    </row>
    <row r="8" spans="1:14" ht="15.75" x14ac:dyDescent="0.2">
      <c r="A8" s="21" t="s">
        <v>25</v>
      </c>
      <c r="B8" s="266"/>
      <c r="C8" s="267"/>
      <c r="D8" s="151"/>
      <c r="E8" s="27"/>
      <c r="F8" s="270"/>
      <c r="G8" s="271"/>
      <c r="H8" s="151"/>
      <c r="I8" s="161"/>
      <c r="J8" s="218"/>
      <c r="K8" s="272"/>
      <c r="L8" s="151"/>
      <c r="M8" s="27"/>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v>2266546</v>
      </c>
      <c r="G10" s="296">
        <v>2639774</v>
      </c>
      <c r="H10" s="156">
        <f t="shared" ref="H10:H12" si="1">IF(F10=0, "    ---- ", IF(ABS(ROUND(100/F10*G10-100,1))&lt;999,ROUND(100/F10*G10-100,1),IF(ROUND(100/F10*G10-100,1)&gt;999,999,-999)))</f>
        <v>16.5</v>
      </c>
      <c r="I10" s="145">
        <f>IFERROR(100/'Skjema total MA'!F10*G10,0)</f>
        <v>2.8150240460608233</v>
      </c>
      <c r="J10" s="293">
        <f t="shared" si="0"/>
        <v>2266546</v>
      </c>
      <c r="K10" s="294">
        <f t="shared" si="0"/>
        <v>2639774</v>
      </c>
      <c r="L10" s="405">
        <f t="shared" ref="L10:L12" si="2">IF(J10=0, "    ---- ", IF(ABS(ROUND(100/J10*K10-100,1))&lt;999,ROUND(100/J10*K10-100,1),IF(ROUND(100/J10*K10-100,1)&gt;999,999,-999)))</f>
        <v>16.5</v>
      </c>
      <c r="M10" s="11">
        <f>IFERROR(100/'Skjema total MA'!I10*K10,0)</f>
        <v>2.4667605784835169</v>
      </c>
    </row>
    <row r="11" spans="1:14" s="43" customFormat="1" ht="15.75" x14ac:dyDescent="0.2">
      <c r="A11" s="13" t="s">
        <v>323</v>
      </c>
      <c r="B11" s="295"/>
      <c r="C11" s="296"/>
      <c r="D11" s="156"/>
      <c r="E11" s="11"/>
      <c r="F11" s="295">
        <v>4225</v>
      </c>
      <c r="G11" s="296">
        <v>33901</v>
      </c>
      <c r="H11" s="156">
        <f t="shared" si="1"/>
        <v>702.4</v>
      </c>
      <c r="I11" s="145">
        <f>IFERROR(100/'Skjema total MA'!F11*G11,0)</f>
        <v>16.653390434247509</v>
      </c>
      <c r="J11" s="293">
        <f t="shared" si="0"/>
        <v>4225</v>
      </c>
      <c r="K11" s="294">
        <f t="shared" si="0"/>
        <v>33901</v>
      </c>
      <c r="L11" s="405">
        <f t="shared" si="2"/>
        <v>702.4</v>
      </c>
      <c r="M11" s="11">
        <f>IFERROR(100/'Skjema total MA'!I11*K11,0)</f>
        <v>16.653390434247509</v>
      </c>
      <c r="N11" s="128"/>
    </row>
    <row r="12" spans="1:14" s="43" customFormat="1" ht="15.75" x14ac:dyDescent="0.2">
      <c r="A12" s="41" t="s">
        <v>324</v>
      </c>
      <c r="B12" s="297"/>
      <c r="C12" s="298"/>
      <c r="D12" s="154"/>
      <c r="E12" s="36"/>
      <c r="F12" s="297">
        <v>4960</v>
      </c>
      <c r="G12" s="298">
        <v>6943</v>
      </c>
      <c r="H12" s="154">
        <f t="shared" si="1"/>
        <v>40</v>
      </c>
      <c r="I12" s="154">
        <f>IFERROR(100/'Skjema total MA'!F12*G12,0)</f>
        <v>3.2131974520560989</v>
      </c>
      <c r="J12" s="299">
        <f t="shared" si="0"/>
        <v>4960</v>
      </c>
      <c r="K12" s="300">
        <f t="shared" si="0"/>
        <v>6943</v>
      </c>
      <c r="L12" s="406">
        <f t="shared" si="2"/>
        <v>40</v>
      </c>
      <c r="M12" s="36">
        <f>IFERROR(100/'Skjema total MA'!I12*K12,0)</f>
        <v>3.2131974520560989</v>
      </c>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v>325797</v>
      </c>
      <c r="C22" s="295">
        <v>346462</v>
      </c>
      <c r="D22" s="334">
        <f t="shared" ref="D22:D30" si="3">IF(B22=0, "    ---- ", IF(ABS(ROUND(100/B22*C22-100,1))&lt;999,ROUND(100/B22*C22-100,1),IF(ROUND(100/B22*C22-100,1)&gt;999,999,-999)))</f>
        <v>6.3</v>
      </c>
      <c r="E22" s="11">
        <f>IFERROR(100/'Skjema total MA'!C22*C22,0)</f>
        <v>24.774602759709747</v>
      </c>
      <c r="F22" s="303">
        <v>30759</v>
      </c>
      <c r="G22" s="303">
        <v>34403</v>
      </c>
      <c r="H22" s="334">
        <f t="shared" ref="H22:H35" si="4">IF(F22=0, "    ---- ", IF(ABS(ROUND(100/F22*G22-100,1))&lt;999,ROUND(100/F22*G22-100,1),IF(ROUND(100/F22*G22-100,1)&gt;999,999,-999)))</f>
        <v>11.8</v>
      </c>
      <c r="I22" s="11">
        <f>IFERROR(100/'Skjema total MA'!F22*G22,0)</f>
        <v>7.2018366092027088</v>
      </c>
      <c r="J22" s="301">
        <f t="shared" ref="J22:K35" si="5">SUM(B22,F22)</f>
        <v>356556</v>
      </c>
      <c r="K22" s="301">
        <f t="shared" si="5"/>
        <v>380865</v>
      </c>
      <c r="L22" s="404">
        <f t="shared" ref="L22:L35" si="6">IF(J22=0, "    ---- ", IF(ABS(ROUND(100/J22*K22-100,1))&lt;999,ROUND(100/J22*K22-100,1),IF(ROUND(100/J22*K22-100,1)&gt;999,999,-999)))</f>
        <v>6.8</v>
      </c>
      <c r="M22" s="24">
        <f>IFERROR(100/'Skjema total MA'!I22*K22,0)</f>
        <v>20.300306714663581</v>
      </c>
    </row>
    <row r="23" spans="1:14" ht="15.75" x14ac:dyDescent="0.2">
      <c r="A23" s="453" t="s">
        <v>325</v>
      </c>
      <c r="B23" s="266">
        <v>325797</v>
      </c>
      <c r="C23" s="266">
        <v>346462</v>
      </c>
      <c r="D23" s="151">
        <f t="shared" si="3"/>
        <v>6.3</v>
      </c>
      <c r="E23" s="11">
        <f>IFERROR(100/'Skjema total MA'!C23*C23,0)</f>
        <v>38.592735296220049</v>
      </c>
      <c r="F23" s="275">
        <v>20</v>
      </c>
      <c r="G23" s="275">
        <v>0</v>
      </c>
      <c r="H23" s="151">
        <f t="shared" si="4"/>
        <v>-100</v>
      </c>
      <c r="I23" s="394">
        <f>IFERROR(100/'Skjema total MA'!F23*G23,0)</f>
        <v>0</v>
      </c>
      <c r="J23" s="275">
        <f t="shared" ref="J23:J26" si="7">SUM(B23,F23)</f>
        <v>325817</v>
      </c>
      <c r="K23" s="275">
        <f t="shared" ref="K23:K26" si="8">SUM(C23,G23)</f>
        <v>346462</v>
      </c>
      <c r="L23" s="151">
        <f t="shared" si="6"/>
        <v>6.3</v>
      </c>
      <c r="M23" s="23">
        <f>IFERROR(100/'Skjema total MA'!I23*K23,0)</f>
        <v>37.58695302320691</v>
      </c>
    </row>
    <row r="24" spans="1:14" ht="15.75" x14ac:dyDescent="0.2">
      <c r="A24" s="453" t="s">
        <v>326</v>
      </c>
      <c r="B24" s="266"/>
      <c r="C24" s="266"/>
      <c r="D24" s="151"/>
      <c r="E24" s="11"/>
      <c r="F24" s="275">
        <v>208</v>
      </c>
      <c r="G24" s="275">
        <v>21</v>
      </c>
      <c r="H24" s="151">
        <f t="shared" si="4"/>
        <v>-89.9</v>
      </c>
      <c r="I24" s="394">
        <f>IFERROR(100/'Skjema total MA'!F24*G24,0)</f>
        <v>2.4741252447440036</v>
      </c>
      <c r="J24" s="275">
        <f t="shared" si="7"/>
        <v>208</v>
      </c>
      <c r="K24" s="275">
        <f t="shared" si="8"/>
        <v>21</v>
      </c>
      <c r="L24" s="151">
        <f t="shared" si="6"/>
        <v>-89.9</v>
      </c>
      <c r="M24" s="23">
        <f>IFERROR(100/'Skjema total MA'!I24*K24,0)</f>
        <v>0.26831619956417907</v>
      </c>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v>30531</v>
      </c>
      <c r="G26" s="275">
        <v>34382</v>
      </c>
      <c r="H26" s="151">
        <f t="shared" si="4"/>
        <v>12.6</v>
      </c>
      <c r="I26" s="394">
        <f>IFERROR(100/'Skjema total MA'!F26*G26,0)</f>
        <v>7.7131364245770859</v>
      </c>
      <c r="J26" s="275">
        <f t="shared" si="7"/>
        <v>30531</v>
      </c>
      <c r="K26" s="275">
        <f t="shared" si="8"/>
        <v>34382</v>
      </c>
      <c r="L26" s="151">
        <f t="shared" si="6"/>
        <v>12.6</v>
      </c>
      <c r="M26" s="23">
        <f>IFERROR(100/'Skjema total MA'!I26*K26,0)</f>
        <v>7.7131364245770859</v>
      </c>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v>325797</v>
      </c>
      <c r="C28" s="272">
        <v>346462</v>
      </c>
      <c r="D28" s="151">
        <f t="shared" si="3"/>
        <v>6.3</v>
      </c>
      <c r="E28" s="11">
        <f>IFERROR(100/'Skjema total MA'!C28*C28,0)</f>
        <v>20.514676861076151</v>
      </c>
      <c r="F28" s="218"/>
      <c r="G28" s="272"/>
      <c r="H28" s="151"/>
      <c r="I28" s="27"/>
      <c r="J28" s="44">
        <f t="shared" si="5"/>
        <v>325797</v>
      </c>
      <c r="K28" s="44">
        <f t="shared" si="5"/>
        <v>346462</v>
      </c>
      <c r="L28" s="242">
        <f t="shared" si="6"/>
        <v>6.3</v>
      </c>
      <c r="M28" s="23">
        <f>IFERROR(100/'Skjema total MA'!I28*K28,0)</f>
        <v>20.514676861076151</v>
      </c>
    </row>
    <row r="29" spans="1:14" s="3" customFormat="1" ht="15.75" x14ac:dyDescent="0.2">
      <c r="A29" s="13" t="s">
        <v>322</v>
      </c>
      <c r="B29" s="220">
        <v>3342180</v>
      </c>
      <c r="C29" s="220">
        <v>4145932</v>
      </c>
      <c r="D29" s="156">
        <f t="shared" si="3"/>
        <v>24</v>
      </c>
      <c r="E29" s="11">
        <f>IFERROR(100/'Skjema total MA'!C29*C29,0)</f>
        <v>9.4687126585821471</v>
      </c>
      <c r="F29" s="293">
        <v>2310112</v>
      </c>
      <c r="G29" s="293">
        <v>2462326</v>
      </c>
      <c r="H29" s="156">
        <f t="shared" si="4"/>
        <v>6.6</v>
      </c>
      <c r="I29" s="11">
        <f>IFERROR(100/'Skjema total MA'!F29*G29,0)</f>
        <v>8.6471371776431347</v>
      </c>
      <c r="J29" s="220">
        <f t="shared" si="5"/>
        <v>5652292</v>
      </c>
      <c r="K29" s="220">
        <f t="shared" si="5"/>
        <v>6608258</v>
      </c>
      <c r="L29" s="405">
        <f t="shared" si="6"/>
        <v>16.899999999999999</v>
      </c>
      <c r="M29" s="24">
        <f>IFERROR(100/'Skjema total MA'!I29*K29,0)</f>
        <v>9.1449584532367929</v>
      </c>
      <c r="N29" s="133"/>
    </row>
    <row r="30" spans="1:14" s="3" customFormat="1" ht="15.75" x14ac:dyDescent="0.2">
      <c r="A30" s="453" t="s">
        <v>325</v>
      </c>
      <c r="B30" s="266">
        <v>3342180</v>
      </c>
      <c r="C30" s="266">
        <v>4145932</v>
      </c>
      <c r="D30" s="151">
        <f t="shared" si="3"/>
        <v>24</v>
      </c>
      <c r="E30" s="11">
        <f>IFERROR(100/'Skjema total MA'!C30*C30,0)</f>
        <v>23.0172633846657</v>
      </c>
      <c r="F30" s="275">
        <v>19430</v>
      </c>
      <c r="G30" s="275">
        <v>18210</v>
      </c>
      <c r="H30" s="151">
        <f t="shared" si="4"/>
        <v>-6.3</v>
      </c>
      <c r="I30" s="394">
        <f>IFERROR(100/'Skjema total MA'!F30*G30,0)</f>
        <v>0.48336214517848008</v>
      </c>
      <c r="J30" s="275">
        <f t="shared" ref="J30:J33" si="9">SUM(B30,F30)</f>
        <v>3361610</v>
      </c>
      <c r="K30" s="275">
        <f t="shared" ref="K30:K33" si="10">SUM(C30,G30)</f>
        <v>4164142</v>
      </c>
      <c r="L30" s="151">
        <f t="shared" si="6"/>
        <v>23.9</v>
      </c>
      <c r="M30" s="23">
        <f>IFERROR(100/'Skjema total MA'!I30*K30,0)</f>
        <v>19.119431223386382</v>
      </c>
      <c r="N30" s="133"/>
    </row>
    <row r="31" spans="1:14" s="3" customFormat="1" ht="15.75" x14ac:dyDescent="0.2">
      <c r="A31" s="453" t="s">
        <v>326</v>
      </c>
      <c r="B31" s="266"/>
      <c r="C31" s="266"/>
      <c r="D31" s="151"/>
      <c r="E31" s="11"/>
      <c r="F31" s="275">
        <v>1188290</v>
      </c>
      <c r="G31" s="275">
        <v>1150908</v>
      </c>
      <c r="H31" s="151">
        <f t="shared" si="4"/>
        <v>-3.1</v>
      </c>
      <c r="I31" s="394">
        <f>IFERROR(100/'Skjema total MA'!F31*G31,0)</f>
        <v>14.841308530822765</v>
      </c>
      <c r="J31" s="275">
        <f t="shared" si="9"/>
        <v>1188290</v>
      </c>
      <c r="K31" s="275">
        <f t="shared" si="10"/>
        <v>1150908</v>
      </c>
      <c r="L31" s="151">
        <f t="shared" si="6"/>
        <v>-3.1</v>
      </c>
      <c r="M31" s="23">
        <f>IFERROR(100/'Skjema total MA'!I31*K31,0)</f>
        <v>3.7010638566000624</v>
      </c>
      <c r="N31" s="133"/>
    </row>
    <row r="32" spans="1:14" ht="15.75" x14ac:dyDescent="0.2">
      <c r="A32" s="453" t="s">
        <v>327</v>
      </c>
      <c r="B32" s="266"/>
      <c r="C32" s="266"/>
      <c r="D32" s="151"/>
      <c r="E32" s="11"/>
      <c r="F32" s="275">
        <v>117686</v>
      </c>
      <c r="G32" s="275">
        <v>120628</v>
      </c>
      <c r="H32" s="151">
        <f t="shared" si="4"/>
        <v>2.5</v>
      </c>
      <c r="I32" s="394">
        <f>IFERROR(100/'Skjema total MA'!F32*G32,0)</f>
        <v>1.8428785133101449</v>
      </c>
      <c r="J32" s="275">
        <f t="shared" si="9"/>
        <v>117686</v>
      </c>
      <c r="K32" s="275">
        <f t="shared" si="10"/>
        <v>120628</v>
      </c>
      <c r="L32" s="151">
        <f t="shared" si="6"/>
        <v>2.5</v>
      </c>
      <c r="M32" s="23">
        <f>IFERROR(100/'Skjema total MA'!I32*K32,0)</f>
        <v>1.3608469491833937</v>
      </c>
    </row>
    <row r="33" spans="1:14" ht="15.75" x14ac:dyDescent="0.2">
      <c r="A33" s="453" t="s">
        <v>328</v>
      </c>
      <c r="B33" s="266"/>
      <c r="C33" s="266"/>
      <c r="D33" s="151"/>
      <c r="E33" s="11"/>
      <c r="F33" s="275">
        <v>984706</v>
      </c>
      <c r="G33" s="275">
        <v>1172580</v>
      </c>
      <c r="H33" s="151">
        <f t="shared" si="4"/>
        <v>19.100000000000001</v>
      </c>
      <c r="I33" s="394">
        <f>IFERROR(100/'Skjema total MA'!F33*G33,0)</f>
        <v>11.266283480909598</v>
      </c>
      <c r="J33" s="275">
        <f t="shared" si="9"/>
        <v>984706</v>
      </c>
      <c r="K33" s="275">
        <f t="shared" si="10"/>
        <v>1172580</v>
      </c>
      <c r="L33" s="151">
        <f t="shared" si="6"/>
        <v>19.100000000000001</v>
      </c>
      <c r="M33" s="23">
        <f>IFERROR(100/'Skjema total MA'!I33*K33,0)</f>
        <v>11.266283480909598</v>
      </c>
    </row>
    <row r="34" spans="1:14" ht="15.75" x14ac:dyDescent="0.2">
      <c r="A34" s="13" t="s">
        <v>323</v>
      </c>
      <c r="B34" s="220"/>
      <c r="C34" s="294"/>
      <c r="D34" s="156"/>
      <c r="E34" s="11"/>
      <c r="F34" s="293">
        <v>6830</v>
      </c>
      <c r="G34" s="294">
        <v>16427</v>
      </c>
      <c r="H34" s="156">
        <f t="shared" si="4"/>
        <v>140.5</v>
      </c>
      <c r="I34" s="11">
        <f>IFERROR(100/'Skjema total MA'!F34*G34,0)</f>
        <v>-16.072139347496126</v>
      </c>
      <c r="J34" s="220">
        <f t="shared" si="5"/>
        <v>6830</v>
      </c>
      <c r="K34" s="220">
        <f t="shared" si="5"/>
        <v>16427</v>
      </c>
      <c r="L34" s="405">
        <f t="shared" si="6"/>
        <v>140.5</v>
      </c>
      <c r="M34" s="24">
        <f>IFERROR(100/'Skjema total MA'!I34*K34,0)</f>
        <v>-18.073936456783073</v>
      </c>
    </row>
    <row r="35" spans="1:14" ht="15.75" x14ac:dyDescent="0.2">
      <c r="A35" s="13" t="s">
        <v>324</v>
      </c>
      <c r="B35" s="220"/>
      <c r="C35" s="294"/>
      <c r="D35" s="156"/>
      <c r="E35" s="11"/>
      <c r="F35" s="293">
        <v>13639</v>
      </c>
      <c r="G35" s="294">
        <v>13556</v>
      </c>
      <c r="H35" s="156">
        <f t="shared" si="4"/>
        <v>-0.6</v>
      </c>
      <c r="I35" s="11">
        <f>IFERROR(100/'Skjema total MA'!F35*G35,0)</f>
        <v>12.347837689966788</v>
      </c>
      <c r="J35" s="220">
        <f t="shared" si="5"/>
        <v>13639</v>
      </c>
      <c r="K35" s="220">
        <f t="shared" si="5"/>
        <v>13556</v>
      </c>
      <c r="L35" s="405">
        <f t="shared" si="6"/>
        <v>-0.6</v>
      </c>
      <c r="M35" s="24">
        <f>IFERROR(100/'Skjema total MA'!I35*K35,0)</f>
        <v>-16.437270854171</v>
      </c>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c r="C47" s="296"/>
      <c r="D47" s="404"/>
      <c r="E47" s="11"/>
      <c r="F47" s="130"/>
      <c r="G47" s="33"/>
      <c r="H47" s="144"/>
      <c r="I47" s="144"/>
      <c r="J47" s="37"/>
      <c r="K47" s="37"/>
      <c r="L47" s="144"/>
      <c r="M47" s="144"/>
      <c r="N47" s="133"/>
    </row>
    <row r="48" spans="1:14" s="3" customFormat="1" ht="15.75" x14ac:dyDescent="0.2">
      <c r="A48" s="38" t="s">
        <v>333</v>
      </c>
      <c r="B48" s="266"/>
      <c r="C48" s="267"/>
      <c r="D48" s="242"/>
      <c r="E48" s="27"/>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v>175850</v>
      </c>
      <c r="C66" s="337">
        <v>209057</v>
      </c>
      <c r="D66" s="334">
        <f t="shared" ref="D66:D111" si="11">IF(B66=0, "    ---- ", IF(ABS(ROUND(100/B66*C66-100,1))&lt;999,ROUND(100/B66*C66-100,1),IF(ROUND(100/B66*C66-100,1)&gt;999,999,-999)))</f>
        <v>18.899999999999999</v>
      </c>
      <c r="E66" s="11">
        <f>IFERROR(100/'Skjema total MA'!C66*C66,0)</f>
        <v>4.2805671900823459</v>
      </c>
      <c r="F66" s="336">
        <v>2480775</v>
      </c>
      <c r="G66" s="336">
        <v>3038142</v>
      </c>
      <c r="H66" s="334">
        <f t="shared" ref="H66:H111" si="12">IF(F66=0, "    ---- ", IF(ABS(ROUND(100/F66*G66-100,1))&lt;999,ROUND(100/F66*G66-100,1),IF(ROUND(100/F66*G66-100,1)&gt;999,999,-999)))</f>
        <v>22.5</v>
      </c>
      <c r="I66" s="11">
        <f>IFERROR(100/'Skjema total MA'!F66*G66,0)</f>
        <v>11.563864119021494</v>
      </c>
      <c r="J66" s="294">
        <f t="shared" ref="J66:K86" si="13">SUM(B66,F66)</f>
        <v>2656625</v>
      </c>
      <c r="K66" s="301">
        <f t="shared" si="13"/>
        <v>3247199</v>
      </c>
      <c r="L66" s="405">
        <f t="shared" ref="L66:L111" si="14">IF(J66=0, "    ---- ", IF(ABS(ROUND(100/J66*K66-100,1))&lt;999,ROUND(100/J66*K66-100,1),IF(ROUND(100/J66*K66-100,1)&gt;999,999,-999)))</f>
        <v>22.2</v>
      </c>
      <c r="M66" s="11">
        <f>IFERROR(100/'Skjema total MA'!I66*K66,0)</f>
        <v>10.422191570680315</v>
      </c>
    </row>
    <row r="67" spans="1:14" x14ac:dyDescent="0.2">
      <c r="A67" s="396" t="s">
        <v>9</v>
      </c>
      <c r="B67" s="44">
        <v>175850</v>
      </c>
      <c r="C67" s="130">
        <v>209057</v>
      </c>
      <c r="D67" s="151">
        <f t="shared" si="11"/>
        <v>18.899999999999999</v>
      </c>
      <c r="E67" s="27">
        <f>IFERROR(100/'Skjema total MA'!C67*C67,0)</f>
        <v>7.2090979750668005</v>
      </c>
      <c r="F67" s="218"/>
      <c r="G67" s="130"/>
      <c r="H67" s="151"/>
      <c r="I67" s="27"/>
      <c r="J67" s="272">
        <f t="shared" si="13"/>
        <v>175850</v>
      </c>
      <c r="K67" s="44">
        <f t="shared" si="13"/>
        <v>209057</v>
      </c>
      <c r="L67" s="242">
        <f t="shared" si="14"/>
        <v>18.899999999999999</v>
      </c>
      <c r="M67" s="27">
        <f>IFERROR(100/'Skjema total MA'!I67*K67,0)</f>
        <v>7.2090979750668005</v>
      </c>
    </row>
    <row r="68" spans="1:14" x14ac:dyDescent="0.2">
      <c r="A68" s="21" t="s">
        <v>10</v>
      </c>
      <c r="B68" s="277"/>
      <c r="C68" s="278"/>
      <c r="D68" s="151"/>
      <c r="E68" s="27"/>
      <c r="F68" s="277">
        <v>2480775</v>
      </c>
      <c r="G68" s="277">
        <v>3038142</v>
      </c>
      <c r="H68" s="151">
        <f t="shared" si="12"/>
        <v>22.5</v>
      </c>
      <c r="I68" s="27">
        <f>IFERROR(100/'Skjema total MA'!F68*G68,0)</f>
        <v>12.034092201472154</v>
      </c>
      <c r="J68" s="272">
        <f t="shared" si="13"/>
        <v>2480775</v>
      </c>
      <c r="K68" s="44">
        <f t="shared" si="13"/>
        <v>3038142</v>
      </c>
      <c r="L68" s="242">
        <f t="shared" si="14"/>
        <v>22.5</v>
      </c>
      <c r="M68" s="27">
        <f>IFERROR(100/'Skjema total MA'!I68*K68,0)</f>
        <v>12.026020550924137</v>
      </c>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v>175254</v>
      </c>
      <c r="C77" s="218">
        <v>208245</v>
      </c>
      <c r="D77" s="151">
        <f t="shared" si="11"/>
        <v>18.8</v>
      </c>
      <c r="E77" s="27">
        <f>IFERROR(100/'Skjema total MA'!C77*C77,0)</f>
        <v>7.3151217288248187</v>
      </c>
      <c r="F77" s="218">
        <v>2480775</v>
      </c>
      <c r="G77" s="130">
        <v>3038139</v>
      </c>
      <c r="H77" s="151">
        <f t="shared" si="12"/>
        <v>22.5</v>
      </c>
      <c r="I77" s="27">
        <f>IFERROR(100/'Skjema total MA'!F77*G77,0)</f>
        <v>12.037217048313105</v>
      </c>
      <c r="J77" s="272">
        <f t="shared" si="13"/>
        <v>2656029</v>
      </c>
      <c r="K77" s="44">
        <f t="shared" si="13"/>
        <v>3246384</v>
      </c>
      <c r="L77" s="242">
        <f t="shared" si="14"/>
        <v>22.2</v>
      </c>
      <c r="M77" s="27">
        <f>IFERROR(100/'Skjema total MA'!I77*K77,0)</f>
        <v>11.55859475535685</v>
      </c>
    </row>
    <row r="78" spans="1:14" x14ac:dyDescent="0.2">
      <c r="A78" s="21" t="s">
        <v>9</v>
      </c>
      <c r="B78" s="218">
        <v>175254</v>
      </c>
      <c r="C78" s="130">
        <v>208245</v>
      </c>
      <c r="D78" s="151">
        <f t="shared" si="11"/>
        <v>18.8</v>
      </c>
      <c r="E78" s="27">
        <f>IFERROR(100/'Skjema total MA'!C78*C78,0)</f>
        <v>7.3589239803820723</v>
      </c>
      <c r="F78" s="218"/>
      <c r="G78" s="130"/>
      <c r="H78" s="151"/>
      <c r="I78" s="27"/>
      <c r="J78" s="272">
        <f t="shared" si="13"/>
        <v>175254</v>
      </c>
      <c r="K78" s="44">
        <f t="shared" si="13"/>
        <v>208245</v>
      </c>
      <c r="L78" s="242">
        <f t="shared" si="14"/>
        <v>18.8</v>
      </c>
      <c r="M78" s="27">
        <f>IFERROR(100/'Skjema total MA'!I78*K78,0)</f>
        <v>7.3589239803820723</v>
      </c>
    </row>
    <row r="79" spans="1:14" x14ac:dyDescent="0.2">
      <c r="A79" s="38" t="s">
        <v>368</v>
      </c>
      <c r="B79" s="277"/>
      <c r="C79" s="278"/>
      <c r="D79" s="151"/>
      <c r="E79" s="27"/>
      <c r="F79" s="277">
        <v>2480775</v>
      </c>
      <c r="G79" s="278">
        <v>3038139</v>
      </c>
      <c r="H79" s="151">
        <f t="shared" si="12"/>
        <v>22.5</v>
      </c>
      <c r="I79" s="27">
        <f>IFERROR(100/'Skjema total MA'!F79*G79,0)</f>
        <v>12.037217048313105</v>
      </c>
      <c r="J79" s="272">
        <f t="shared" si="13"/>
        <v>2480775</v>
      </c>
      <c r="K79" s="44">
        <f t="shared" si="13"/>
        <v>3038139</v>
      </c>
      <c r="L79" s="242">
        <f t="shared" si="14"/>
        <v>22.5</v>
      </c>
      <c r="M79" s="27">
        <f>IFERROR(100/'Skjema total MA'!I79*K79,0)</f>
        <v>12.029141198788826</v>
      </c>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v>596</v>
      </c>
      <c r="C86" s="130">
        <v>812</v>
      </c>
      <c r="D86" s="151">
        <f t="shared" si="11"/>
        <v>36.200000000000003</v>
      </c>
      <c r="E86" s="27">
        <f>IFERROR(100/'Skjema total MA'!C86*C86,0)</f>
        <v>1.1587464184639447</v>
      </c>
      <c r="F86" s="218"/>
      <c r="G86" s="130">
        <v>3</v>
      </c>
      <c r="H86" s="151" t="str">
        <f t="shared" si="12"/>
        <v xml:space="preserve">    ---- </v>
      </c>
      <c r="I86" s="27">
        <f>IFERROR(100/'Skjema total MA'!F86*G86,0)</f>
        <v>4.5601118504234671E-2</v>
      </c>
      <c r="J86" s="272">
        <f t="shared" si="13"/>
        <v>596</v>
      </c>
      <c r="K86" s="44">
        <f t="shared" si="13"/>
        <v>815</v>
      </c>
      <c r="L86" s="242">
        <f t="shared" si="14"/>
        <v>36.700000000000003</v>
      </c>
      <c r="M86" s="27">
        <f>IFERROR(100/'Skjema total MA'!I86*K86,0)</f>
        <v>1.0632119973624512</v>
      </c>
    </row>
    <row r="87" spans="1:13" ht="15.75" x14ac:dyDescent="0.2">
      <c r="A87" s="13" t="s">
        <v>322</v>
      </c>
      <c r="B87" s="337">
        <v>5917985</v>
      </c>
      <c r="C87" s="337">
        <v>6227904</v>
      </c>
      <c r="D87" s="156">
        <f t="shared" si="11"/>
        <v>5.2</v>
      </c>
      <c r="E87" s="11">
        <f>IFERROR(100/'Skjema total MA'!C87*C87,0)</f>
        <v>1.5416989461910546</v>
      </c>
      <c r="F87" s="336">
        <v>49794575</v>
      </c>
      <c r="G87" s="336">
        <v>64371179</v>
      </c>
      <c r="H87" s="156">
        <f t="shared" si="12"/>
        <v>29.3</v>
      </c>
      <c r="I87" s="11">
        <f>IFERROR(100/'Skjema total MA'!F87*G87,0)</f>
        <v>10.506544269714542</v>
      </c>
      <c r="J87" s="294">
        <f t="shared" ref="J87:K111" si="15">SUM(B87,F87)</f>
        <v>55712560</v>
      </c>
      <c r="K87" s="220">
        <f t="shared" si="15"/>
        <v>70599083</v>
      </c>
      <c r="L87" s="405">
        <f t="shared" si="14"/>
        <v>26.7</v>
      </c>
      <c r="M87" s="11">
        <f>IFERROR(100/'Skjema total MA'!I87*K87,0)</f>
        <v>6.9443495911093818</v>
      </c>
    </row>
    <row r="88" spans="1:13" x14ac:dyDescent="0.2">
      <c r="A88" s="21" t="s">
        <v>9</v>
      </c>
      <c r="B88" s="218">
        <v>5917985</v>
      </c>
      <c r="C88" s="130">
        <v>6227904</v>
      </c>
      <c r="D88" s="151">
        <f t="shared" si="11"/>
        <v>5.2</v>
      </c>
      <c r="E88" s="27">
        <f>IFERROR(100/'Skjema total MA'!C88*C88,0)</f>
        <v>1.6212990701759549</v>
      </c>
      <c r="F88" s="218"/>
      <c r="G88" s="130"/>
      <c r="H88" s="151"/>
      <c r="I88" s="27"/>
      <c r="J88" s="272">
        <f t="shared" si="15"/>
        <v>5917985</v>
      </c>
      <c r="K88" s="44">
        <f t="shared" si="15"/>
        <v>6227904</v>
      </c>
      <c r="L88" s="242">
        <f t="shared" si="14"/>
        <v>5.2</v>
      </c>
      <c r="M88" s="27">
        <f>IFERROR(100/'Skjema total MA'!I88*K88,0)</f>
        <v>1.6212990701759549</v>
      </c>
    </row>
    <row r="89" spans="1:13" x14ac:dyDescent="0.2">
      <c r="A89" s="21" t="s">
        <v>10</v>
      </c>
      <c r="B89" s="218"/>
      <c r="C89" s="130"/>
      <c r="D89" s="151"/>
      <c r="E89" s="27"/>
      <c r="F89" s="218">
        <v>49794575</v>
      </c>
      <c r="G89" s="130">
        <v>64371179</v>
      </c>
      <c r="H89" s="151">
        <f t="shared" si="12"/>
        <v>29.3</v>
      </c>
      <c r="I89" s="27">
        <f>IFERROR(100/'Skjema total MA'!F89*G89,0)</f>
        <v>10.667676014259838</v>
      </c>
      <c r="J89" s="272">
        <f t="shared" si="15"/>
        <v>49794575</v>
      </c>
      <c r="K89" s="44">
        <f t="shared" si="15"/>
        <v>64371179</v>
      </c>
      <c r="L89" s="242">
        <f t="shared" si="14"/>
        <v>29.3</v>
      </c>
      <c r="M89" s="27">
        <f>IFERROR(100/'Skjema total MA'!I89*K89,0)</f>
        <v>10.625507802817236</v>
      </c>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v>5914758</v>
      </c>
      <c r="C98" s="218">
        <v>6223136</v>
      </c>
      <c r="D98" s="151">
        <f t="shared" si="11"/>
        <v>5.2</v>
      </c>
      <c r="E98" s="27">
        <f>IFERROR(100/'Skjema total MA'!C98*C98,0)</f>
        <v>1.6280961988245197</v>
      </c>
      <c r="F98" s="277">
        <v>49794489</v>
      </c>
      <c r="G98" s="277">
        <v>64371093</v>
      </c>
      <c r="H98" s="151">
        <f t="shared" si="12"/>
        <v>29.3</v>
      </c>
      <c r="I98" s="27">
        <f>IFERROR(100/'Skjema total MA'!F98*G98,0)</f>
        <v>10.674818299009374</v>
      </c>
      <c r="J98" s="272">
        <f t="shared" si="15"/>
        <v>55709247</v>
      </c>
      <c r="K98" s="44">
        <f t="shared" si="15"/>
        <v>70594229</v>
      </c>
      <c r="L98" s="242">
        <f t="shared" si="14"/>
        <v>26.7</v>
      </c>
      <c r="M98" s="27">
        <f>IFERROR(100/'Skjema total MA'!I98*K98,0)</f>
        <v>7.1650930778570903</v>
      </c>
    </row>
    <row r="99" spans="1:13" x14ac:dyDescent="0.2">
      <c r="A99" s="21" t="s">
        <v>9</v>
      </c>
      <c r="B99" s="277">
        <v>5914758</v>
      </c>
      <c r="C99" s="278">
        <v>6223136</v>
      </c>
      <c r="D99" s="151">
        <f t="shared" si="11"/>
        <v>5.2</v>
      </c>
      <c r="E99" s="27">
        <f>IFERROR(100/'Skjema total MA'!C99*C99,0)</f>
        <v>1.6383606899111574</v>
      </c>
      <c r="F99" s="218"/>
      <c r="G99" s="130"/>
      <c r="H99" s="151"/>
      <c r="I99" s="27"/>
      <c r="J99" s="272">
        <f t="shared" si="15"/>
        <v>5914758</v>
      </c>
      <c r="K99" s="44">
        <f t="shared" si="15"/>
        <v>6223136</v>
      </c>
      <c r="L99" s="242">
        <f t="shared" si="14"/>
        <v>5.2</v>
      </c>
      <c r="M99" s="27">
        <f>IFERROR(100/'Skjema total MA'!I99*K99,0)</f>
        <v>1.6383606899111574</v>
      </c>
    </row>
    <row r="100" spans="1:13" x14ac:dyDescent="0.2">
      <c r="A100" s="38" t="s">
        <v>368</v>
      </c>
      <c r="B100" s="277"/>
      <c r="C100" s="278"/>
      <c r="D100" s="151"/>
      <c r="E100" s="27"/>
      <c r="F100" s="218">
        <v>49794489</v>
      </c>
      <c r="G100" s="218">
        <v>64371093</v>
      </c>
      <c r="H100" s="151">
        <f t="shared" si="12"/>
        <v>29.3</v>
      </c>
      <c r="I100" s="27">
        <f>IFERROR(100/'Skjema total MA'!F100*G100,0)</f>
        <v>10.674818299009374</v>
      </c>
      <c r="J100" s="272">
        <f t="shared" si="15"/>
        <v>49794489</v>
      </c>
      <c r="K100" s="44">
        <f t="shared" si="15"/>
        <v>64371093</v>
      </c>
      <c r="L100" s="242">
        <f t="shared" si="14"/>
        <v>29.3</v>
      </c>
      <c r="M100" s="27">
        <f>IFERROR(100/'Skjema total MA'!I100*K100,0)</f>
        <v>10.632593658810924</v>
      </c>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v>3227</v>
      </c>
      <c r="C107" s="130">
        <v>4768</v>
      </c>
      <c r="D107" s="151">
        <f t="shared" si="11"/>
        <v>47.8</v>
      </c>
      <c r="E107" s="27">
        <f>IFERROR(100/'Skjema total MA'!C107*C107,0)</f>
        <v>0.11110865249039757</v>
      </c>
      <c r="F107" s="218">
        <v>86</v>
      </c>
      <c r="G107" s="130">
        <v>86</v>
      </c>
      <c r="H107" s="151">
        <f t="shared" si="12"/>
        <v>0</v>
      </c>
      <c r="I107" s="27">
        <f>IFERROR(100/'Skjema total MA'!F107*G107,0)</f>
        <v>2.1258573430888356E-2</v>
      </c>
      <c r="J107" s="272">
        <f t="shared" si="15"/>
        <v>3313</v>
      </c>
      <c r="K107" s="44">
        <f t="shared" si="15"/>
        <v>4854</v>
      </c>
      <c r="L107" s="242">
        <f t="shared" si="14"/>
        <v>46.5</v>
      </c>
      <c r="M107" s="27">
        <f>IFERROR(100/'Skjema total MA'!I107*K107,0)</f>
        <v>0.10336813981499704</v>
      </c>
    </row>
    <row r="108" spans="1:13" ht="15.75" x14ac:dyDescent="0.2">
      <c r="A108" s="21" t="s">
        <v>341</v>
      </c>
      <c r="B108" s="218">
        <v>4058396</v>
      </c>
      <c r="C108" s="218">
        <v>3989858</v>
      </c>
      <c r="D108" s="151">
        <f t="shared" si="11"/>
        <v>-1.7</v>
      </c>
      <c r="E108" s="27">
        <f>IFERROR(100/'Skjema total MA'!C108*C108,0)</f>
        <v>1.2040148305266465</v>
      </c>
      <c r="F108" s="218"/>
      <c r="G108" s="218"/>
      <c r="H108" s="151"/>
      <c r="I108" s="27"/>
      <c r="J108" s="272">
        <f t="shared" si="15"/>
        <v>4058396</v>
      </c>
      <c r="K108" s="44">
        <f t="shared" si="15"/>
        <v>3989858</v>
      </c>
      <c r="L108" s="242">
        <f t="shared" si="14"/>
        <v>-1.7</v>
      </c>
      <c r="M108" s="27">
        <f>IFERROR(100/'Skjema total MA'!I108*K108,0)</f>
        <v>1.1277420723463256</v>
      </c>
    </row>
    <row r="109" spans="1:13" ht="15.75" x14ac:dyDescent="0.2">
      <c r="A109" s="38" t="s">
        <v>382</v>
      </c>
      <c r="B109" s="218"/>
      <c r="C109" s="218"/>
      <c r="D109" s="151"/>
      <c r="E109" s="27"/>
      <c r="F109" s="218">
        <v>21272820</v>
      </c>
      <c r="G109" s="218">
        <v>27673127</v>
      </c>
      <c r="H109" s="151">
        <f t="shared" si="12"/>
        <v>30.1</v>
      </c>
      <c r="I109" s="27">
        <f>IFERROR(100/'Skjema total MA'!F109*G109,0)</f>
        <v>12.136283753128879</v>
      </c>
      <c r="J109" s="272">
        <f t="shared" si="15"/>
        <v>21272820</v>
      </c>
      <c r="K109" s="44">
        <f t="shared" si="15"/>
        <v>27673127</v>
      </c>
      <c r="L109" s="242">
        <f t="shared" si="14"/>
        <v>30.1</v>
      </c>
      <c r="M109" s="27">
        <f>IFERROR(100/'Skjema total MA'!I109*K109,0)</f>
        <v>12.012657065399473</v>
      </c>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v>67372</v>
      </c>
      <c r="C111" s="144">
        <v>83289</v>
      </c>
      <c r="D111" s="156">
        <f t="shared" si="11"/>
        <v>23.6</v>
      </c>
      <c r="E111" s="11">
        <f>IFERROR(100/'Skjema total MA'!C111*C111,0)</f>
        <v>24.69029678544598</v>
      </c>
      <c r="F111" s="293">
        <v>4479118</v>
      </c>
      <c r="G111" s="144">
        <v>5088454</v>
      </c>
      <c r="H111" s="156">
        <f t="shared" si="12"/>
        <v>13.6</v>
      </c>
      <c r="I111" s="11">
        <f>IFERROR(100/'Skjema total MA'!F111*G111,0)</f>
        <v>19.303962778104854</v>
      </c>
      <c r="J111" s="294">
        <f t="shared" si="15"/>
        <v>4546490</v>
      </c>
      <c r="K111" s="220">
        <f t="shared" si="15"/>
        <v>5171743</v>
      </c>
      <c r="L111" s="405">
        <f t="shared" si="14"/>
        <v>13.8</v>
      </c>
      <c r="M111" s="11">
        <f>IFERROR(100/'Skjema total MA'!I111*K111,0)</f>
        <v>19.372022889610843</v>
      </c>
    </row>
    <row r="112" spans="1:13" x14ac:dyDescent="0.2">
      <c r="A112" s="21" t="s">
        <v>9</v>
      </c>
      <c r="B112" s="218">
        <v>67372</v>
      </c>
      <c r="C112" s="130">
        <v>83289</v>
      </c>
      <c r="D112" s="151">
        <f t="shared" ref="D112:D120" si="16">IF(B112=0, "    ---- ", IF(ABS(ROUND(100/B112*C112-100,1))&lt;999,ROUND(100/B112*C112-100,1),IF(ROUND(100/B112*C112-100,1)&gt;999,999,-999)))</f>
        <v>23.6</v>
      </c>
      <c r="E112" s="27">
        <f>IFERROR(100/'Skjema total MA'!C112*C112,0)</f>
        <v>35.225518991129618</v>
      </c>
      <c r="F112" s="218"/>
      <c r="G112" s="130"/>
      <c r="H112" s="151"/>
      <c r="I112" s="27"/>
      <c r="J112" s="272">
        <f t="shared" ref="J112:K125" si="17">SUM(B112,F112)</f>
        <v>67372</v>
      </c>
      <c r="K112" s="44">
        <f t="shared" si="17"/>
        <v>83289</v>
      </c>
      <c r="L112" s="242">
        <f t="shared" ref="L112:L125" si="18">IF(J112=0, "    ---- ", IF(ABS(ROUND(100/J112*K112-100,1))&lt;999,ROUND(100/J112*K112-100,1),IF(ROUND(100/J112*K112-100,1)&gt;999,999,-999)))</f>
        <v>23.6</v>
      </c>
      <c r="M112" s="27">
        <f>IFERROR(100/'Skjema total MA'!I112*K112,0)</f>
        <v>35.079588415962334</v>
      </c>
    </row>
    <row r="113" spans="1:14" x14ac:dyDescent="0.2">
      <c r="A113" s="21" t="s">
        <v>10</v>
      </c>
      <c r="B113" s="218"/>
      <c r="C113" s="130"/>
      <c r="D113" s="151"/>
      <c r="E113" s="27"/>
      <c r="F113" s="218">
        <v>4479118</v>
      </c>
      <c r="G113" s="130">
        <v>5088454</v>
      </c>
      <c r="H113" s="151">
        <f t="shared" ref="H113:H125" si="19">IF(F113=0, "    ---- ", IF(ABS(ROUND(100/F113*G113-100,1))&lt;999,ROUND(100/F113*G113-100,1),IF(ROUND(100/F113*G113-100,1)&gt;999,999,-999)))</f>
        <v>13.6</v>
      </c>
      <c r="I113" s="27">
        <f>IFERROR(100/'Skjema total MA'!F113*G113,0)</f>
        <v>19.304683131070515</v>
      </c>
      <c r="J113" s="272">
        <f t="shared" si="17"/>
        <v>4479118</v>
      </c>
      <c r="K113" s="44">
        <f t="shared" si="17"/>
        <v>5088454</v>
      </c>
      <c r="L113" s="242">
        <f t="shared" si="18"/>
        <v>13.6</v>
      </c>
      <c r="M113" s="27">
        <f>IFERROR(100/'Skjema total MA'!I113*K113,0)</f>
        <v>19.304683131070515</v>
      </c>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v>2087</v>
      </c>
      <c r="C116" s="218">
        <v>11662</v>
      </c>
      <c r="D116" s="151">
        <f t="shared" si="16"/>
        <v>458.8</v>
      </c>
      <c r="E116" s="27">
        <f>IFERROR(100/'Skjema total MA'!C116*C116,0)</f>
        <v>32.031195525749894</v>
      </c>
      <c r="F116" s="218"/>
      <c r="G116" s="218"/>
      <c r="H116" s="151"/>
      <c r="I116" s="27"/>
      <c r="J116" s="272">
        <f t="shared" si="17"/>
        <v>2087</v>
      </c>
      <c r="K116" s="44">
        <f t="shared" si="17"/>
        <v>11662</v>
      </c>
      <c r="L116" s="242">
        <f t="shared" si="18"/>
        <v>458.8</v>
      </c>
      <c r="M116" s="27">
        <f>IFERROR(100/'Skjema total MA'!I116*K116,0)</f>
        <v>31.188602086375099</v>
      </c>
    </row>
    <row r="117" spans="1:14" ht="15.75" x14ac:dyDescent="0.2">
      <c r="A117" s="38" t="s">
        <v>382</v>
      </c>
      <c r="B117" s="218"/>
      <c r="C117" s="218"/>
      <c r="D117" s="151"/>
      <c r="E117" s="27"/>
      <c r="F117" s="218">
        <v>2099172</v>
      </c>
      <c r="G117" s="218">
        <v>2356479</v>
      </c>
      <c r="H117" s="151">
        <f t="shared" si="19"/>
        <v>12.3</v>
      </c>
      <c r="I117" s="27">
        <f>IFERROR(100/'Skjema total MA'!F117*G117,0)</f>
        <v>17.015569301412441</v>
      </c>
      <c r="J117" s="272">
        <f t="shared" si="17"/>
        <v>2099172</v>
      </c>
      <c r="K117" s="44">
        <f t="shared" si="17"/>
        <v>2356479</v>
      </c>
      <c r="L117" s="242">
        <f t="shared" si="18"/>
        <v>12.3</v>
      </c>
      <c r="M117" s="27">
        <f>IFERROR(100/'Skjema total MA'!I117*K117,0)</f>
        <v>17.015569301412441</v>
      </c>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v>26620</v>
      </c>
      <c r="C119" s="144">
        <v>19854</v>
      </c>
      <c r="D119" s="156">
        <f t="shared" si="16"/>
        <v>-25.4</v>
      </c>
      <c r="E119" s="11">
        <f>IFERROR(100/'Skjema total MA'!C119*C119,0)</f>
        <v>11.611031408556926</v>
      </c>
      <c r="F119" s="293">
        <v>2699685</v>
      </c>
      <c r="G119" s="144">
        <v>3908015</v>
      </c>
      <c r="H119" s="156">
        <f t="shared" si="19"/>
        <v>44.8</v>
      </c>
      <c r="I119" s="11">
        <f>IFERROR(100/'Skjema total MA'!F119*G119,0)</f>
        <v>13.433478601224055</v>
      </c>
      <c r="J119" s="294">
        <f t="shared" si="17"/>
        <v>2726305</v>
      </c>
      <c r="K119" s="220">
        <f t="shared" si="17"/>
        <v>3927869</v>
      </c>
      <c r="L119" s="405">
        <f t="shared" si="18"/>
        <v>44.1</v>
      </c>
      <c r="M119" s="11">
        <f>IFERROR(100/'Skjema total MA'!I119*K119,0)</f>
        <v>13.422829345784336</v>
      </c>
    </row>
    <row r="120" spans="1:14" x14ac:dyDescent="0.2">
      <c r="A120" s="21" t="s">
        <v>9</v>
      </c>
      <c r="B120" s="218">
        <v>26620</v>
      </c>
      <c r="C120" s="130">
        <v>19854</v>
      </c>
      <c r="D120" s="151">
        <f t="shared" si="16"/>
        <v>-25.4</v>
      </c>
      <c r="E120" s="27">
        <f>IFERROR(100/'Skjema total MA'!C120*C120,0)</f>
        <v>21.395060499472407</v>
      </c>
      <c r="F120" s="218"/>
      <c r="G120" s="130"/>
      <c r="H120" s="151"/>
      <c r="I120" s="27"/>
      <c r="J120" s="272">
        <f t="shared" si="17"/>
        <v>26620</v>
      </c>
      <c r="K120" s="44">
        <f t="shared" si="17"/>
        <v>19854</v>
      </c>
      <c r="L120" s="242">
        <f t="shared" si="18"/>
        <v>-25.4</v>
      </c>
      <c r="M120" s="27">
        <f>IFERROR(100/'Skjema total MA'!I120*K120,0)</f>
        <v>21.395060499472407</v>
      </c>
    </row>
    <row r="121" spans="1:14" x14ac:dyDescent="0.2">
      <c r="A121" s="21" t="s">
        <v>10</v>
      </c>
      <c r="B121" s="218"/>
      <c r="C121" s="130"/>
      <c r="D121" s="151"/>
      <c r="E121" s="27"/>
      <c r="F121" s="218">
        <v>2699685</v>
      </c>
      <c r="G121" s="130">
        <v>3908015</v>
      </c>
      <c r="H121" s="151">
        <f t="shared" si="19"/>
        <v>44.8</v>
      </c>
      <c r="I121" s="27">
        <f>IFERROR(100/'Skjema total MA'!F121*G121,0)</f>
        <v>13.433478601224055</v>
      </c>
      <c r="J121" s="272">
        <f t="shared" si="17"/>
        <v>2699685</v>
      </c>
      <c r="K121" s="44">
        <f t="shared" si="17"/>
        <v>3908015</v>
      </c>
      <c r="L121" s="242">
        <f t="shared" si="18"/>
        <v>44.8</v>
      </c>
      <c r="M121" s="27">
        <f>IFERROR(100/'Skjema total MA'!I121*K121,0)</f>
        <v>13.43110918030691</v>
      </c>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v>1307830</v>
      </c>
      <c r="G125" s="218">
        <v>1736154</v>
      </c>
      <c r="H125" s="151">
        <f t="shared" si="19"/>
        <v>32.799999999999997</v>
      </c>
      <c r="I125" s="27">
        <f>IFERROR(100/'Skjema total MA'!F125*G125,0)</f>
        <v>12.858617426525214</v>
      </c>
      <c r="J125" s="272">
        <f t="shared" si="17"/>
        <v>1307830</v>
      </c>
      <c r="K125" s="44">
        <f t="shared" si="17"/>
        <v>1736154</v>
      </c>
      <c r="L125" s="242">
        <f t="shared" si="18"/>
        <v>32.799999999999997</v>
      </c>
      <c r="M125" s="27">
        <f>IFERROR(100/'Skjema total MA'!I125*K125,0)</f>
        <v>12.856260243804268</v>
      </c>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542" priority="133">
      <formula>kvartal &lt; 4</formula>
    </cfRule>
  </conditionalFormatting>
  <conditionalFormatting sqref="B115">
    <cfRule type="expression" dxfId="541" priority="77">
      <formula>kvartal &lt; 4</formula>
    </cfRule>
  </conditionalFormatting>
  <conditionalFormatting sqref="C115">
    <cfRule type="expression" dxfId="540" priority="76">
      <formula>kvartal &lt; 4</formula>
    </cfRule>
  </conditionalFormatting>
  <conditionalFormatting sqref="B123">
    <cfRule type="expression" dxfId="539" priority="75">
      <formula>kvartal &lt; 4</formula>
    </cfRule>
  </conditionalFormatting>
  <conditionalFormatting sqref="C123">
    <cfRule type="expression" dxfId="538" priority="74">
      <formula>kvartal &lt; 4</formula>
    </cfRule>
  </conditionalFormatting>
  <conditionalFormatting sqref="F115">
    <cfRule type="expression" dxfId="537" priority="59">
      <formula>kvartal &lt; 4</formula>
    </cfRule>
  </conditionalFormatting>
  <conditionalFormatting sqref="G115">
    <cfRule type="expression" dxfId="536" priority="58">
      <formula>kvartal &lt; 4</formula>
    </cfRule>
  </conditionalFormatting>
  <conditionalFormatting sqref="F123:G123">
    <cfRule type="expression" dxfId="535" priority="57">
      <formula>kvartal &lt; 4</formula>
    </cfRule>
  </conditionalFormatting>
  <conditionalFormatting sqref="J115:K115">
    <cfRule type="expression" dxfId="534" priority="33">
      <formula>kvartal &lt; 4</formula>
    </cfRule>
  </conditionalFormatting>
  <conditionalFormatting sqref="J123:K123">
    <cfRule type="expression" dxfId="533" priority="32">
      <formula>kvartal &lt; 4</formula>
    </cfRule>
  </conditionalFormatting>
  <conditionalFormatting sqref="A50:A52">
    <cfRule type="expression" dxfId="532" priority="13">
      <formula>kvartal &lt; 4</formula>
    </cfRule>
  </conditionalFormatting>
  <conditionalFormatting sqref="A69:A74">
    <cfRule type="expression" dxfId="531" priority="11">
      <formula>kvartal &lt; 4</formula>
    </cfRule>
  </conditionalFormatting>
  <conditionalFormatting sqref="A80:A85">
    <cfRule type="expression" dxfId="530" priority="10">
      <formula>kvartal &lt; 4</formula>
    </cfRule>
  </conditionalFormatting>
  <conditionalFormatting sqref="A90:A95">
    <cfRule type="expression" dxfId="529" priority="7">
      <formula>kvartal &lt; 4</formula>
    </cfRule>
  </conditionalFormatting>
  <conditionalFormatting sqref="A101:A106">
    <cfRule type="expression" dxfId="528" priority="6">
      <formula>kvartal &lt; 4</formula>
    </cfRule>
  </conditionalFormatting>
  <conditionalFormatting sqref="A115">
    <cfRule type="expression" dxfId="527" priority="5">
      <formula>kvartal &lt; 4</formula>
    </cfRule>
  </conditionalFormatting>
  <conditionalFormatting sqref="A123">
    <cfRule type="expression" dxfId="526" priority="4">
      <formula>kvartal &lt; 4</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9"/>
  <dimension ref="A1:N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119</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246084.86087663501</v>
      </c>
      <c r="C7" s="292">
        <v>258844.42776496999</v>
      </c>
      <c r="D7" s="334">
        <f>IF(B7=0, "    ---- ", IF(ABS(ROUND(100/B7*C7-100,1))&lt;999,ROUND(100/B7*C7-100,1),IF(ROUND(100/B7*C7-100,1)&gt;999,999,-999)))</f>
        <v>5.2</v>
      </c>
      <c r="E7" s="11">
        <f>IFERROR(100/'Skjema total MA'!C7*C7,0)</f>
        <v>8.2185883808536389</v>
      </c>
      <c r="F7" s="291"/>
      <c r="G7" s="292"/>
      <c r="H7" s="334"/>
      <c r="I7" s="145"/>
      <c r="J7" s="293">
        <f t="shared" ref="J7:K9" si="0">SUM(B7,F7)</f>
        <v>246084.86087663501</v>
      </c>
      <c r="K7" s="294">
        <f t="shared" si="0"/>
        <v>258844.42776496999</v>
      </c>
      <c r="L7" s="404">
        <f>IF(J7=0, "    ---- ", IF(ABS(ROUND(100/J7*K7-100,1))&lt;999,ROUND(100/J7*K7-100,1),IF(ROUND(100/J7*K7-100,1)&gt;999,999,-999)))</f>
        <v>5.2</v>
      </c>
      <c r="M7" s="11">
        <f>IFERROR(100/'Skjema total MA'!I7*K7,0)</f>
        <v>2.3681912050435958</v>
      </c>
    </row>
    <row r="8" spans="1:14" ht="15.75" x14ac:dyDescent="0.2">
      <c r="A8" s="21" t="s">
        <v>25</v>
      </c>
      <c r="B8" s="266">
        <v>178300.34377965599</v>
      </c>
      <c r="C8" s="267">
        <v>200123.80732628601</v>
      </c>
      <c r="D8" s="151">
        <f t="shared" ref="D8:D9" si="1">IF(B8=0, "    ---- ", IF(ABS(ROUND(100/B8*C8-100,1))&lt;999,ROUND(100/B8*C8-100,1),IF(ROUND(100/B8*C8-100,1)&gt;999,999,-999)))</f>
        <v>12.2</v>
      </c>
      <c r="E8" s="27">
        <f>IFERROR(100/'Skjema total MA'!C8*C8,0)</f>
        <v>9.503412415862627</v>
      </c>
      <c r="F8" s="270"/>
      <c r="G8" s="271"/>
      <c r="H8" s="151"/>
      <c r="I8" s="161"/>
      <c r="J8" s="218">
        <f t="shared" si="0"/>
        <v>178300.34377965599</v>
      </c>
      <c r="K8" s="272">
        <f t="shared" si="0"/>
        <v>200123.80732628601</v>
      </c>
      <c r="L8" s="151">
        <f t="shared" ref="L8:L9" si="2">IF(J8=0, "    ---- ", IF(ABS(ROUND(100/J8*K8-100,1))&lt;999,ROUND(100/J8*K8-100,1),IF(ROUND(100/J8*K8-100,1)&gt;999,999,-999)))</f>
        <v>12.2</v>
      </c>
      <c r="M8" s="27">
        <f>IFERROR(100/'Skjema total MA'!I8*K8,0)</f>
        <v>9.503412415862627</v>
      </c>
    </row>
    <row r="9" spans="1:14" ht="15.75" x14ac:dyDescent="0.2">
      <c r="A9" s="21" t="s">
        <v>24</v>
      </c>
      <c r="B9" s="266">
        <v>67784.517096979005</v>
      </c>
      <c r="C9" s="267">
        <v>58720.6204386838</v>
      </c>
      <c r="D9" s="151">
        <f t="shared" si="1"/>
        <v>-13.4</v>
      </c>
      <c r="E9" s="27">
        <f>IFERROR(100/'Skjema total MA'!C9*C9,0)</f>
        <v>8.7734585250339396</v>
      </c>
      <c r="F9" s="270"/>
      <c r="G9" s="271"/>
      <c r="H9" s="151"/>
      <c r="I9" s="161"/>
      <c r="J9" s="218">
        <f t="shared" si="0"/>
        <v>67784.517096979005</v>
      </c>
      <c r="K9" s="272">
        <f t="shared" si="0"/>
        <v>58720.6204386838</v>
      </c>
      <c r="L9" s="151">
        <f t="shared" si="2"/>
        <v>-13.4</v>
      </c>
      <c r="M9" s="27">
        <f>IFERROR(100/'Skjema total MA'!I9*K9,0)</f>
        <v>8.7734585250339396</v>
      </c>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v>147261.32152449401</v>
      </c>
      <c r="C28" s="272">
        <v>172423.47870005399</v>
      </c>
      <c r="D28" s="151">
        <f t="shared" ref="D28" si="3">IF(B28=0, "    ---- ", IF(ABS(ROUND(100/B28*C28-100,1))&lt;999,ROUND(100/B28*C28-100,1),IF(ROUND(100/B28*C28-100,1)&gt;999,999,-999)))</f>
        <v>17.100000000000001</v>
      </c>
      <c r="E28" s="11">
        <f>IFERROR(100/'Skjema total MA'!C28*C28,0)</f>
        <v>10.209523551772644</v>
      </c>
      <c r="F28" s="218"/>
      <c r="G28" s="272"/>
      <c r="H28" s="151"/>
      <c r="I28" s="27"/>
      <c r="J28" s="44">
        <f t="shared" ref="J28:K28" si="4">SUM(B28,F28)</f>
        <v>147261.32152449401</v>
      </c>
      <c r="K28" s="44">
        <f t="shared" si="4"/>
        <v>172423.47870005399</v>
      </c>
      <c r="L28" s="242">
        <f t="shared" ref="L28" si="5">IF(J28=0, "    ---- ", IF(ABS(ROUND(100/J28*K28-100,1))&lt;999,ROUND(100/J28*K28-100,1),IF(ROUND(100/J28*K28-100,1)&gt;999,999,-999)))</f>
        <v>17.100000000000001</v>
      </c>
      <c r="M28" s="23">
        <f>IFERROR(100/'Skjema total MA'!I28*K28,0)</f>
        <v>10.209523551772644</v>
      </c>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143982.42000000001</v>
      </c>
      <c r="C47" s="296">
        <v>171368.97171000001</v>
      </c>
      <c r="D47" s="404">
        <f t="shared" ref="D47:D57" si="6">IF(B47=0, "    ---- ", IF(ABS(ROUND(100/B47*C47-100,1))&lt;999,ROUND(100/B47*C47-100,1),IF(ROUND(100/B47*C47-100,1)&gt;999,999,-999)))</f>
        <v>19</v>
      </c>
      <c r="E47" s="11">
        <f>IFERROR(100/'Skjema total MA'!C47*C47,0)</f>
        <v>3.2877287168479499</v>
      </c>
      <c r="F47" s="130"/>
      <c r="G47" s="33"/>
      <c r="H47" s="144"/>
      <c r="I47" s="144"/>
      <c r="J47" s="37"/>
      <c r="K47" s="37"/>
      <c r="L47" s="144"/>
      <c r="M47" s="144"/>
      <c r="N47" s="133"/>
    </row>
    <row r="48" spans="1:14" s="3" customFormat="1" ht="15.75" x14ac:dyDescent="0.2">
      <c r="A48" s="38" t="s">
        <v>333</v>
      </c>
      <c r="B48" s="266">
        <v>143982.42000000001</v>
      </c>
      <c r="C48" s="267">
        <v>171368.97171000001</v>
      </c>
      <c r="D48" s="242">
        <f t="shared" si="6"/>
        <v>19</v>
      </c>
      <c r="E48" s="27">
        <f>IFERROR(100/'Skjema total MA'!C48*C48,0)</f>
        <v>5.7743067078282566</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v>779.65700000000004</v>
      </c>
      <c r="C53" s="296">
        <v>6347.3136778481403</v>
      </c>
      <c r="D53" s="405">
        <f t="shared" si="6"/>
        <v>714.1</v>
      </c>
      <c r="E53" s="11">
        <f>IFERROR(100/'Skjema total MA'!C53*C53,0)</f>
        <v>3.9616505282963281</v>
      </c>
      <c r="F53" s="130"/>
      <c r="G53" s="33"/>
      <c r="H53" s="130"/>
      <c r="I53" s="130"/>
      <c r="J53" s="33"/>
      <c r="K53" s="33"/>
      <c r="L53" s="144"/>
      <c r="M53" s="144"/>
      <c r="N53" s="133"/>
    </row>
    <row r="54" spans="1:14" s="3" customFormat="1" ht="15.75" x14ac:dyDescent="0.2">
      <c r="A54" s="38" t="s">
        <v>333</v>
      </c>
      <c r="B54" s="266">
        <v>779.65700000000004</v>
      </c>
      <c r="C54" s="267">
        <v>6347.3136778481403</v>
      </c>
      <c r="D54" s="242">
        <f t="shared" si="6"/>
        <v>714.1</v>
      </c>
      <c r="E54" s="27">
        <f>IFERROR(100/'Skjema total MA'!C54*C54,0)</f>
        <v>3.9862569111947934</v>
      </c>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v>131.773</v>
      </c>
      <c r="C56" s="296">
        <v>0</v>
      </c>
      <c r="D56" s="405">
        <f t="shared" si="6"/>
        <v>-100</v>
      </c>
      <c r="E56" s="11">
        <f>IFERROR(100/'Skjema total MA'!C56*C56,0)</f>
        <v>0</v>
      </c>
      <c r="F56" s="130"/>
      <c r="G56" s="33"/>
      <c r="H56" s="130"/>
      <c r="I56" s="130"/>
      <c r="J56" s="33"/>
      <c r="K56" s="33"/>
      <c r="L56" s="144"/>
      <c r="M56" s="144"/>
      <c r="N56" s="133"/>
    </row>
    <row r="57" spans="1:14" s="3" customFormat="1" ht="15.75" x14ac:dyDescent="0.2">
      <c r="A57" s="38" t="s">
        <v>333</v>
      </c>
      <c r="B57" s="266">
        <v>131.773</v>
      </c>
      <c r="C57" s="267">
        <v>0</v>
      </c>
      <c r="D57" s="242">
        <f t="shared" si="6"/>
        <v>-100</v>
      </c>
      <c r="E57" s="27">
        <f>IFERROR(100/'Skjema total MA'!C57*C57,0)</f>
        <v>0</v>
      </c>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525" priority="132">
      <formula>kvartal &lt; 4</formula>
    </cfRule>
  </conditionalFormatting>
  <conditionalFormatting sqref="B115">
    <cfRule type="expression" dxfId="524" priority="76">
      <formula>kvartal &lt; 4</formula>
    </cfRule>
  </conditionalFormatting>
  <conditionalFormatting sqref="C115">
    <cfRule type="expression" dxfId="523" priority="75">
      <formula>kvartal &lt; 4</formula>
    </cfRule>
  </conditionalFormatting>
  <conditionalFormatting sqref="B123">
    <cfRule type="expression" dxfId="522" priority="74">
      <formula>kvartal &lt; 4</formula>
    </cfRule>
  </conditionalFormatting>
  <conditionalFormatting sqref="C123">
    <cfRule type="expression" dxfId="521" priority="73">
      <formula>kvartal &lt; 4</formula>
    </cfRule>
  </conditionalFormatting>
  <conditionalFormatting sqref="F115">
    <cfRule type="expression" dxfId="520" priority="58">
      <formula>kvartal &lt; 4</formula>
    </cfRule>
  </conditionalFormatting>
  <conditionalFormatting sqref="G115">
    <cfRule type="expression" dxfId="519" priority="57">
      <formula>kvartal &lt; 4</formula>
    </cfRule>
  </conditionalFormatting>
  <conditionalFormatting sqref="F123:G123">
    <cfRule type="expression" dxfId="518" priority="56">
      <formula>kvartal &lt; 4</formula>
    </cfRule>
  </conditionalFormatting>
  <conditionalFormatting sqref="J115:K115">
    <cfRule type="expression" dxfId="517" priority="32">
      <formula>kvartal &lt; 4</formula>
    </cfRule>
  </conditionalFormatting>
  <conditionalFormatting sqref="J123:K123">
    <cfRule type="expression" dxfId="516" priority="31">
      <formula>kvartal &lt; 4</formula>
    </cfRule>
  </conditionalFormatting>
  <conditionalFormatting sqref="A50:A52">
    <cfRule type="expression" dxfId="515" priority="12">
      <formula>kvartal &lt; 4</formula>
    </cfRule>
  </conditionalFormatting>
  <conditionalFormatting sqref="A69:A74">
    <cfRule type="expression" dxfId="514" priority="10">
      <formula>kvartal &lt; 4</formula>
    </cfRule>
  </conditionalFormatting>
  <conditionalFormatting sqref="A80:A85">
    <cfRule type="expression" dxfId="513" priority="9">
      <formula>kvartal &lt; 4</formula>
    </cfRule>
  </conditionalFormatting>
  <conditionalFormatting sqref="A90:A95">
    <cfRule type="expression" dxfId="512" priority="6">
      <formula>kvartal &lt; 4</formula>
    </cfRule>
  </conditionalFormatting>
  <conditionalFormatting sqref="A101:A106">
    <cfRule type="expression" dxfId="511" priority="5">
      <formula>kvartal &lt; 4</formula>
    </cfRule>
  </conditionalFormatting>
  <conditionalFormatting sqref="A115">
    <cfRule type="expression" dxfId="510" priority="4">
      <formula>kvartal &lt; 4</formula>
    </cfRule>
  </conditionalFormatting>
  <conditionalFormatting sqref="A123">
    <cfRule type="expression" dxfId="509" priority="3">
      <formula>kvartal &lt; 4</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20"/>
  <dimension ref="A1:N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61</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151"/>
      <c r="M8" s="27"/>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-21.029579999999999</v>
      </c>
      <c r="C47" s="296"/>
      <c r="D47" s="404">
        <f t="shared" ref="D47" si="0">IF(B47=0, "    ---- ", IF(ABS(ROUND(100/B47*C47-100,1))&lt;999,ROUND(100/B47*C47-100,1),IF(ROUND(100/B47*C47-100,1)&gt;999,999,-999)))</f>
        <v>-100</v>
      </c>
      <c r="E47" s="11">
        <f>IFERROR(100/'Skjema total MA'!C47*C47,0)</f>
        <v>0</v>
      </c>
      <c r="F47" s="130"/>
      <c r="G47" s="33"/>
      <c r="H47" s="144"/>
      <c r="I47" s="144"/>
      <c r="J47" s="37"/>
      <c r="K47" s="37"/>
      <c r="L47" s="144"/>
      <c r="M47" s="144"/>
      <c r="N47" s="133"/>
    </row>
    <row r="48" spans="1:14" s="3" customFormat="1" ht="15.75" x14ac:dyDescent="0.2">
      <c r="A48" s="38" t="s">
        <v>333</v>
      </c>
      <c r="B48" s="266"/>
      <c r="C48" s="267"/>
      <c r="D48" s="242"/>
      <c r="E48" s="27"/>
      <c r="F48" s="130"/>
      <c r="G48" s="33"/>
      <c r="H48" s="130"/>
      <c r="I48" s="130"/>
      <c r="J48" s="33"/>
      <c r="K48" s="33"/>
      <c r="L48" s="144"/>
      <c r="M48" s="144"/>
      <c r="N48" s="133"/>
    </row>
    <row r="49" spans="1:14" s="3" customFormat="1" ht="15.75" x14ac:dyDescent="0.2">
      <c r="A49" s="38" t="s">
        <v>334</v>
      </c>
      <c r="B49" s="44">
        <v>-21.029579999999999</v>
      </c>
      <c r="C49" s="272"/>
      <c r="D49" s="242">
        <f>IF(B49=0, "    ---- ", IF(ABS(ROUND(100/B49*C49-100,1))&lt;999,ROUND(100/B49*C49-100,1),IF(ROUND(100/B49*C49-100,1)&gt;999,999,-999)))</f>
        <v>-100</v>
      </c>
      <c r="E49" s="27">
        <f>IFERROR(100/'Skjema total MA'!C49*C49,0)</f>
        <v>0</v>
      </c>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v>50821964.539839998</v>
      </c>
      <c r="C134" s="294">
        <v>37126670.17317</v>
      </c>
      <c r="D134" s="334">
        <f t="shared" ref="D134:D137" si="1">IF(B134=0, "    ---- ", IF(ABS(ROUND(100/B134*C134-100,1))&lt;999,ROUND(100/B134*C134-100,1),IF(ROUND(100/B134*C134-100,1)&gt;999,999,-999)))</f>
        <v>-26.9</v>
      </c>
      <c r="E134" s="11">
        <f>IFERROR(100/'Skjema total MA'!C134*C134,0)</f>
        <v>93.108546005100152</v>
      </c>
      <c r="F134" s="301">
        <v>189248.239</v>
      </c>
      <c r="G134" s="302">
        <v>129541.768</v>
      </c>
      <c r="H134" s="408">
        <f t="shared" ref="H134:H136" si="2">IF(F134=0, "    ---- ", IF(ABS(ROUND(100/F134*G134-100,1))&lt;999,ROUND(100/F134*G134-100,1),IF(ROUND(100/F134*G134-100,1)&gt;999,999,-999)))</f>
        <v>-31.5</v>
      </c>
      <c r="I134" s="24">
        <f>IFERROR(100/'Skjema total MA'!F134*G134,0)</f>
        <v>100</v>
      </c>
      <c r="J134" s="303">
        <f t="shared" ref="J134:K137" si="3">SUM(B134,F134)</f>
        <v>51011212.778839998</v>
      </c>
      <c r="K134" s="303">
        <f t="shared" si="3"/>
        <v>37256211.94117</v>
      </c>
      <c r="L134" s="404">
        <f t="shared" ref="L134:L137" si="4">IF(J134=0, "    ---- ", IF(ABS(ROUND(100/J134*K134-100,1))&lt;999,ROUND(100/J134*K134-100,1),IF(ROUND(100/J134*K134-100,1)&gt;999,999,-999)))</f>
        <v>-27</v>
      </c>
      <c r="M134" s="11">
        <f>IFERROR(100/'Skjema total MA'!I134*K134,0)</f>
        <v>93.130861966851811</v>
      </c>
      <c r="N134" s="133"/>
    </row>
    <row r="135" spans="1:14" s="3" customFormat="1" ht="15.75" x14ac:dyDescent="0.2">
      <c r="A135" s="13" t="s">
        <v>349</v>
      </c>
      <c r="B135" s="220">
        <v>712385364.21757996</v>
      </c>
      <c r="C135" s="294">
        <v>775383061.84458005</v>
      </c>
      <c r="D135" s="156">
        <f t="shared" si="1"/>
        <v>8.8000000000000007</v>
      </c>
      <c r="E135" s="11">
        <f>IFERROR(100/'Skjema total MA'!C135*C135,0)</f>
        <v>87.103713924067421</v>
      </c>
      <c r="F135" s="220">
        <v>2792444.4909299999</v>
      </c>
      <c r="G135" s="294">
        <v>2890424.3207899998</v>
      </c>
      <c r="H135" s="409">
        <f t="shared" si="2"/>
        <v>3.5</v>
      </c>
      <c r="I135" s="24">
        <f>IFERROR(100/'Skjema total MA'!F135*G135,0)</f>
        <v>100.00000000000001</v>
      </c>
      <c r="J135" s="293">
        <f t="shared" si="3"/>
        <v>715177808.70850992</v>
      </c>
      <c r="K135" s="293">
        <f t="shared" si="3"/>
        <v>778273486.16537011</v>
      </c>
      <c r="L135" s="405">
        <f t="shared" si="4"/>
        <v>8.8000000000000007</v>
      </c>
      <c r="M135" s="11">
        <f>IFERROR(100/'Skjema total MA'!I135*K135,0)</f>
        <v>87.145452608442426</v>
      </c>
      <c r="N135" s="133"/>
    </row>
    <row r="136" spans="1:14" s="3" customFormat="1" ht="15.75" x14ac:dyDescent="0.2">
      <c r="A136" s="13" t="s">
        <v>346</v>
      </c>
      <c r="B136" s="220">
        <v>91093.686000000002</v>
      </c>
      <c r="C136" s="294">
        <v>1396.6179999999999</v>
      </c>
      <c r="D136" s="156">
        <f t="shared" si="1"/>
        <v>-98.5</v>
      </c>
      <c r="E136" s="11">
        <f>IFERROR(100/'Skjema total MA'!C136*C136,0)</f>
        <v>6.110923599613062E-2</v>
      </c>
      <c r="F136" s="220"/>
      <c r="G136" s="294">
        <v>-182.05500000000001</v>
      </c>
      <c r="H136" s="409" t="str">
        <f t="shared" si="2"/>
        <v xml:space="preserve">    ---- </v>
      </c>
      <c r="I136" s="24">
        <f>IFERROR(100/'Skjema total MA'!F136*G136,0)</f>
        <v>100</v>
      </c>
      <c r="J136" s="293">
        <f t="shared" si="3"/>
        <v>91093.686000000002</v>
      </c>
      <c r="K136" s="293">
        <f t="shared" si="3"/>
        <v>1214.5629999999999</v>
      </c>
      <c r="L136" s="405">
        <f t="shared" si="4"/>
        <v>-98.7</v>
      </c>
      <c r="M136" s="11">
        <f>IFERROR(100/'Skjema total MA'!I136*K136,0)</f>
        <v>5.314762504926239E-2</v>
      </c>
      <c r="N136" s="133"/>
    </row>
    <row r="137" spans="1:14" s="3" customFormat="1" ht="15.75" x14ac:dyDescent="0.2">
      <c r="A137" s="41" t="s">
        <v>347</v>
      </c>
      <c r="B137" s="261">
        <v>2121172.8709999998</v>
      </c>
      <c r="C137" s="300">
        <v>2418813.69</v>
      </c>
      <c r="D137" s="154">
        <f t="shared" si="1"/>
        <v>14</v>
      </c>
      <c r="E137" s="9">
        <f>IFERROR(100/'Skjema total MA'!C137*C137,0)</f>
        <v>105.24969336529553</v>
      </c>
      <c r="F137" s="261"/>
      <c r="G137" s="300"/>
      <c r="H137" s="410"/>
      <c r="I137" s="36"/>
      <c r="J137" s="299">
        <f t="shared" si="3"/>
        <v>2121172.8709999998</v>
      </c>
      <c r="K137" s="299">
        <f t="shared" si="3"/>
        <v>2418813.69</v>
      </c>
      <c r="L137" s="406">
        <f t="shared" si="4"/>
        <v>14</v>
      </c>
      <c r="M137" s="36">
        <f>IFERROR(100/'Skjema total MA'!I137*K137,0)</f>
        <v>105.24969336529553</v>
      </c>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508" priority="132">
      <formula>kvartal &lt; 4</formula>
    </cfRule>
  </conditionalFormatting>
  <conditionalFormatting sqref="B115">
    <cfRule type="expression" dxfId="507" priority="76">
      <formula>kvartal &lt; 4</formula>
    </cfRule>
  </conditionalFormatting>
  <conditionalFormatting sqref="C115">
    <cfRule type="expression" dxfId="506" priority="75">
      <formula>kvartal &lt; 4</formula>
    </cfRule>
  </conditionalFormatting>
  <conditionalFormatting sqref="B123">
    <cfRule type="expression" dxfId="505" priority="74">
      <formula>kvartal &lt; 4</formula>
    </cfRule>
  </conditionalFormatting>
  <conditionalFormatting sqref="C123">
    <cfRule type="expression" dxfId="504" priority="73">
      <formula>kvartal &lt; 4</formula>
    </cfRule>
  </conditionalFormatting>
  <conditionalFormatting sqref="F115">
    <cfRule type="expression" dxfId="503" priority="58">
      <formula>kvartal &lt; 4</formula>
    </cfRule>
  </conditionalFormatting>
  <conditionalFormatting sqref="G115">
    <cfRule type="expression" dxfId="502" priority="57">
      <formula>kvartal &lt; 4</formula>
    </cfRule>
  </conditionalFormatting>
  <conditionalFormatting sqref="F123:G123">
    <cfRule type="expression" dxfId="501" priority="56">
      <formula>kvartal &lt; 4</formula>
    </cfRule>
  </conditionalFormatting>
  <conditionalFormatting sqref="J115:K115">
    <cfRule type="expression" dxfId="500" priority="32">
      <formula>kvartal &lt; 4</formula>
    </cfRule>
  </conditionalFormatting>
  <conditionalFormatting sqref="J123:K123">
    <cfRule type="expression" dxfId="499" priority="31">
      <formula>kvartal &lt; 4</formula>
    </cfRule>
  </conditionalFormatting>
  <conditionalFormatting sqref="A50:A52">
    <cfRule type="expression" dxfId="498" priority="12">
      <formula>kvartal &lt; 4</formula>
    </cfRule>
  </conditionalFormatting>
  <conditionalFormatting sqref="A69:A74">
    <cfRule type="expression" dxfId="497" priority="10">
      <formula>kvartal &lt; 4</formula>
    </cfRule>
  </conditionalFormatting>
  <conditionalFormatting sqref="A80:A85">
    <cfRule type="expression" dxfId="496" priority="9">
      <formula>kvartal &lt; 4</formula>
    </cfRule>
  </conditionalFormatting>
  <conditionalFormatting sqref="A90:A95">
    <cfRule type="expression" dxfId="495" priority="6">
      <formula>kvartal &lt; 4</formula>
    </cfRule>
  </conditionalFormatting>
  <conditionalFormatting sqref="A101:A106">
    <cfRule type="expression" dxfId="494" priority="5">
      <formula>kvartal &lt; 4</formula>
    </cfRule>
  </conditionalFormatting>
  <conditionalFormatting sqref="A115">
    <cfRule type="expression" dxfId="493" priority="4">
      <formula>kvartal &lt; 4</formula>
    </cfRule>
  </conditionalFormatting>
  <conditionalFormatting sqref="A123">
    <cfRule type="expression" dxfId="492" priority="3">
      <formula>kvartal &lt; 4</formula>
    </cfRule>
  </conditionalFormatting>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2"/>
  <dimension ref="A1:N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122</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17685.441999999999</v>
      </c>
      <c r="C7" s="292">
        <v>19579.03</v>
      </c>
      <c r="D7" s="334">
        <f>IF(B7=0, "    ---- ", IF(ABS(ROUND(100/B7*C7-100,1))&lt;999,ROUND(100/B7*C7-100,1),IF(ROUND(100/B7*C7-100,1)&gt;999,999,-999)))</f>
        <v>10.7</v>
      </c>
      <c r="E7" s="11">
        <f>IFERROR(100/'Skjema total MA'!C7*C7,0)</f>
        <v>0.62165521528047896</v>
      </c>
      <c r="F7" s="291"/>
      <c r="G7" s="292"/>
      <c r="H7" s="334"/>
      <c r="I7" s="145"/>
      <c r="J7" s="293">
        <f t="shared" ref="J7:K10" si="0">SUM(B7,F7)</f>
        <v>17685.441999999999</v>
      </c>
      <c r="K7" s="294">
        <f t="shared" si="0"/>
        <v>19579.03</v>
      </c>
      <c r="L7" s="404">
        <f>IF(J7=0, "    ---- ", IF(ABS(ROUND(100/J7*K7-100,1))&lt;999,ROUND(100/J7*K7-100,1),IF(ROUND(100/J7*K7-100,1)&gt;999,999,-999)))</f>
        <v>10.7</v>
      </c>
      <c r="M7" s="11">
        <f>IFERROR(100/'Skjema total MA'!I7*K7,0)</f>
        <v>0.17913032569271961</v>
      </c>
    </row>
    <row r="8" spans="1:14" ht="15.75" x14ac:dyDescent="0.2">
      <c r="A8" s="21" t="s">
        <v>25</v>
      </c>
      <c r="B8" s="266">
        <v>16881.751</v>
      </c>
      <c r="C8" s="267">
        <v>18714.978999999999</v>
      </c>
      <c r="D8" s="151">
        <f t="shared" ref="D8:D10" si="1">IF(B8=0, "    ---- ", IF(ABS(ROUND(100/B8*C8-100,1))&lt;999,ROUND(100/B8*C8-100,1),IF(ROUND(100/B8*C8-100,1)&gt;999,999,-999)))</f>
        <v>10.9</v>
      </c>
      <c r="E8" s="27">
        <f>IFERROR(100/'Skjema total MA'!C8*C8,0)</f>
        <v>0.88873066212071383</v>
      </c>
      <c r="F8" s="270"/>
      <c r="G8" s="271"/>
      <c r="H8" s="151"/>
      <c r="I8" s="161"/>
      <c r="J8" s="218">
        <f t="shared" si="0"/>
        <v>16881.751</v>
      </c>
      <c r="K8" s="272">
        <f t="shared" si="0"/>
        <v>18714.978999999999</v>
      </c>
      <c r="L8" s="151">
        <f t="shared" ref="L8:L9" si="2">IF(J8=0, "    ---- ", IF(ABS(ROUND(100/J8*K8-100,1))&lt;999,ROUND(100/J8*K8-100,1),IF(ROUND(100/J8*K8-100,1)&gt;999,999,-999)))</f>
        <v>10.9</v>
      </c>
      <c r="M8" s="27">
        <f>IFERROR(100/'Skjema total MA'!I8*K8,0)</f>
        <v>0.88873066212071383</v>
      </c>
    </row>
    <row r="9" spans="1:14" ht="15.75" x14ac:dyDescent="0.2">
      <c r="A9" s="21" t="s">
        <v>24</v>
      </c>
      <c r="B9" s="266">
        <v>803.69100000000003</v>
      </c>
      <c r="C9" s="267">
        <v>864.05100000000004</v>
      </c>
      <c r="D9" s="151">
        <f t="shared" si="1"/>
        <v>7.5</v>
      </c>
      <c r="E9" s="27">
        <f>IFERROR(100/'Skjema total MA'!C9*C9,0)</f>
        <v>0.12909801625699616</v>
      </c>
      <c r="F9" s="270"/>
      <c r="G9" s="271"/>
      <c r="H9" s="151"/>
      <c r="I9" s="161"/>
      <c r="J9" s="218">
        <f t="shared" si="0"/>
        <v>803.69100000000003</v>
      </c>
      <c r="K9" s="272">
        <f t="shared" si="0"/>
        <v>864.05100000000004</v>
      </c>
      <c r="L9" s="151">
        <f t="shared" si="2"/>
        <v>7.5</v>
      </c>
      <c r="M9" s="27">
        <f>IFERROR(100/'Skjema total MA'!I9*K9,0)</f>
        <v>0.12909801625699616</v>
      </c>
    </row>
    <row r="10" spans="1:14" ht="15.75" x14ac:dyDescent="0.2">
      <c r="A10" s="13" t="s">
        <v>322</v>
      </c>
      <c r="B10" s="295">
        <v>23206.737000000001</v>
      </c>
      <c r="C10" s="296">
        <v>31312.559000000001</v>
      </c>
      <c r="D10" s="156">
        <f t="shared" si="1"/>
        <v>34.9</v>
      </c>
      <c r="E10" s="11">
        <f>IFERROR(100/'Skjema total MA'!C10*C10,0)</f>
        <v>0.23651190322030624</v>
      </c>
      <c r="F10" s="295"/>
      <c r="G10" s="296"/>
      <c r="H10" s="156"/>
      <c r="I10" s="145"/>
      <c r="J10" s="293">
        <f t="shared" si="0"/>
        <v>23206.737000000001</v>
      </c>
      <c r="K10" s="294">
        <f t="shared" si="0"/>
        <v>31312.559000000001</v>
      </c>
      <c r="L10" s="405">
        <f t="shared" ref="L10" si="3">IF(J10=0, "    ---- ", IF(ABS(ROUND(100/J10*K10-100,1))&lt;999,ROUND(100/J10*K10-100,1),IF(ROUND(100/J10*K10-100,1)&gt;999,999,-999)))</f>
        <v>34.9</v>
      </c>
      <c r="M10" s="11">
        <f>IFERROR(100/'Skjema total MA'!I10*K10,0)</f>
        <v>2.9260302644332152E-2</v>
      </c>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v>15340.423000000001</v>
      </c>
      <c r="C22" s="295">
        <v>17885.642</v>
      </c>
      <c r="D22" s="334">
        <f t="shared" ref="D22:D29" si="4">IF(B22=0, "    ---- ", IF(ABS(ROUND(100/B22*C22-100,1))&lt;999,ROUND(100/B22*C22-100,1),IF(ROUND(100/B22*C22-100,1)&gt;999,999,-999)))</f>
        <v>16.600000000000001</v>
      </c>
      <c r="E22" s="11">
        <f>IFERROR(100/'Skjema total MA'!C22*C22,0)</f>
        <v>1.2789560634423993</v>
      </c>
      <c r="F22" s="303"/>
      <c r="G22" s="303"/>
      <c r="H22" s="334"/>
      <c r="I22" s="11"/>
      <c r="J22" s="301">
        <f t="shared" ref="J22:K29" si="5">SUM(B22,F22)</f>
        <v>15340.423000000001</v>
      </c>
      <c r="K22" s="301">
        <f t="shared" si="5"/>
        <v>17885.642</v>
      </c>
      <c r="L22" s="404">
        <f t="shared" ref="L22:L29" si="6">IF(J22=0, "    ---- ", IF(ABS(ROUND(100/J22*K22-100,1))&lt;999,ROUND(100/J22*K22-100,1),IF(ROUND(100/J22*K22-100,1)&gt;999,999,-999)))</f>
        <v>16.600000000000001</v>
      </c>
      <c r="M22" s="24">
        <f>IFERROR(100/'Skjema total MA'!I22*K22,0)</f>
        <v>0.95331421471825695</v>
      </c>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v>15340.423000000001</v>
      </c>
      <c r="C28" s="272">
        <v>17885.642</v>
      </c>
      <c r="D28" s="151">
        <f t="shared" si="4"/>
        <v>16.600000000000001</v>
      </c>
      <c r="E28" s="11">
        <f>IFERROR(100/'Skjema total MA'!C28*C28,0)</f>
        <v>1.059043029489213</v>
      </c>
      <c r="F28" s="218"/>
      <c r="G28" s="272"/>
      <c r="H28" s="151"/>
      <c r="I28" s="27"/>
      <c r="J28" s="44">
        <f t="shared" si="5"/>
        <v>15340.423000000001</v>
      </c>
      <c r="K28" s="44">
        <f t="shared" si="5"/>
        <v>17885.642</v>
      </c>
      <c r="L28" s="242">
        <f t="shared" si="6"/>
        <v>16.600000000000001</v>
      </c>
      <c r="M28" s="23">
        <f>IFERROR(100/'Skjema total MA'!I28*K28,0)</f>
        <v>1.059043029489213</v>
      </c>
    </row>
    <row r="29" spans="1:14" s="3" customFormat="1" ht="15.75" x14ac:dyDescent="0.2">
      <c r="A29" s="13" t="s">
        <v>322</v>
      </c>
      <c r="B29" s="220">
        <v>99108.006999999998</v>
      </c>
      <c r="C29" s="220">
        <v>112845.91899999999</v>
      </c>
      <c r="D29" s="156">
        <f t="shared" si="4"/>
        <v>13.9</v>
      </c>
      <c r="E29" s="11">
        <f>IFERROR(100/'Skjema total MA'!C29*C29,0)</f>
        <v>0.25772385598814346</v>
      </c>
      <c r="F29" s="293"/>
      <c r="G29" s="293"/>
      <c r="H29" s="156"/>
      <c r="I29" s="11"/>
      <c r="J29" s="220">
        <f t="shared" si="5"/>
        <v>99108.006999999998</v>
      </c>
      <c r="K29" s="220">
        <f t="shared" si="5"/>
        <v>112845.91899999999</v>
      </c>
      <c r="L29" s="405">
        <f t="shared" si="6"/>
        <v>13.9</v>
      </c>
      <c r="M29" s="24">
        <f>IFERROR(100/'Skjema total MA'!I29*K29,0)</f>
        <v>0.1561638847745237</v>
      </c>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258768.16899999999</v>
      </c>
      <c r="C47" s="296">
        <v>285813.67800000001</v>
      </c>
      <c r="D47" s="404">
        <f t="shared" ref="D47:D48" si="7">IF(B47=0, "    ---- ", IF(ABS(ROUND(100/B47*C47-100,1))&lt;999,ROUND(100/B47*C47-100,1),IF(ROUND(100/B47*C47-100,1)&gt;999,999,-999)))</f>
        <v>10.5</v>
      </c>
      <c r="E47" s="11">
        <f>IFERROR(100/'Skjema total MA'!C47*C47,0)</f>
        <v>5.4833604208042255</v>
      </c>
      <c r="F47" s="130"/>
      <c r="G47" s="33"/>
      <c r="H47" s="144"/>
      <c r="I47" s="144"/>
      <c r="J47" s="37"/>
      <c r="K47" s="37"/>
      <c r="L47" s="144"/>
      <c r="M47" s="144"/>
      <c r="N47" s="133"/>
    </row>
    <row r="48" spans="1:14" s="3" customFormat="1" ht="15.75" x14ac:dyDescent="0.2">
      <c r="A48" s="38" t="s">
        <v>333</v>
      </c>
      <c r="B48" s="266">
        <v>258768.16899999999</v>
      </c>
      <c r="C48" s="267">
        <v>285813.67800000001</v>
      </c>
      <c r="D48" s="242">
        <f t="shared" si="7"/>
        <v>10.5</v>
      </c>
      <c r="E48" s="27">
        <f>IFERROR(100/'Skjema total MA'!C48*C48,0)</f>
        <v>9.6305405908446602</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491" priority="132">
      <formula>kvartal &lt; 4</formula>
    </cfRule>
  </conditionalFormatting>
  <conditionalFormatting sqref="B115">
    <cfRule type="expression" dxfId="490" priority="76">
      <formula>kvartal &lt; 4</formula>
    </cfRule>
  </conditionalFormatting>
  <conditionalFormatting sqref="C115">
    <cfRule type="expression" dxfId="489" priority="75">
      <formula>kvartal &lt; 4</formula>
    </cfRule>
  </conditionalFormatting>
  <conditionalFormatting sqref="B123">
    <cfRule type="expression" dxfId="488" priority="74">
      <formula>kvartal &lt; 4</formula>
    </cfRule>
  </conditionalFormatting>
  <conditionalFormatting sqref="C123">
    <cfRule type="expression" dxfId="487" priority="73">
      <formula>kvartal &lt; 4</formula>
    </cfRule>
  </conditionalFormatting>
  <conditionalFormatting sqref="F115">
    <cfRule type="expression" dxfId="486" priority="58">
      <formula>kvartal &lt; 4</formula>
    </cfRule>
  </conditionalFormatting>
  <conditionalFormatting sqref="G115">
    <cfRule type="expression" dxfId="485" priority="57">
      <formula>kvartal &lt; 4</formula>
    </cfRule>
  </conditionalFormatting>
  <conditionalFormatting sqref="F123:G123">
    <cfRule type="expression" dxfId="484" priority="56">
      <formula>kvartal &lt; 4</formula>
    </cfRule>
  </conditionalFormatting>
  <conditionalFormatting sqref="J115:K115">
    <cfRule type="expression" dxfId="483" priority="32">
      <formula>kvartal &lt; 4</formula>
    </cfRule>
  </conditionalFormatting>
  <conditionalFormatting sqref="J123:K123">
    <cfRule type="expression" dxfId="482" priority="31">
      <formula>kvartal &lt; 4</formula>
    </cfRule>
  </conditionalFormatting>
  <conditionalFormatting sqref="A50:A52">
    <cfRule type="expression" dxfId="481" priority="12">
      <formula>kvartal &lt; 4</formula>
    </cfRule>
  </conditionalFormatting>
  <conditionalFormatting sqref="A69:A74">
    <cfRule type="expression" dxfId="480" priority="10">
      <formula>kvartal &lt; 4</formula>
    </cfRule>
  </conditionalFormatting>
  <conditionalFormatting sqref="A80:A85">
    <cfRule type="expression" dxfId="479" priority="9">
      <formula>kvartal &lt; 4</formula>
    </cfRule>
  </conditionalFormatting>
  <conditionalFormatting sqref="A90:A95">
    <cfRule type="expression" dxfId="478" priority="6">
      <formula>kvartal &lt; 4</formula>
    </cfRule>
  </conditionalFormatting>
  <conditionalFormatting sqref="A101:A106">
    <cfRule type="expression" dxfId="477" priority="5">
      <formula>kvartal &lt; 4</formula>
    </cfRule>
  </conditionalFormatting>
  <conditionalFormatting sqref="A115">
    <cfRule type="expression" dxfId="476" priority="4">
      <formula>kvartal &lt; 4</formula>
    </cfRule>
  </conditionalFormatting>
  <conditionalFormatting sqref="A123">
    <cfRule type="expression" dxfId="475" priority="3">
      <formula>kvartal &lt; 4</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3"/>
  <dimension ref="A1:N144"/>
  <sheetViews>
    <sheetView showGridLines="0" zoomScaleNormal="100" workbookViewId="0">
      <selection activeCell="B1" sqref="B1"/>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361</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151"/>
      <c r="M8" s="27"/>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27211</v>
      </c>
      <c r="C47" s="296">
        <v>30587</v>
      </c>
      <c r="D47" s="404">
        <f t="shared" ref="D47:D57" si="0">IF(B47=0, "    ---- ", IF(ABS(ROUND(100/B47*C47-100,1))&lt;999,ROUND(100/B47*C47-100,1),IF(ROUND(100/B47*C47-100,1)&gt;999,999,-999)))</f>
        <v>12.4</v>
      </c>
      <c r="E47" s="11">
        <f>IFERROR(100/'Skjema total MA'!C47*C47,0)</f>
        <v>0.58681427132797626</v>
      </c>
      <c r="F47" s="130"/>
      <c r="G47" s="33"/>
      <c r="H47" s="144"/>
      <c r="I47" s="144"/>
      <c r="J47" s="37"/>
      <c r="K47" s="37"/>
      <c r="L47" s="144"/>
      <c r="M47" s="144"/>
      <c r="N47" s="133"/>
    </row>
    <row r="48" spans="1:14" s="3" customFormat="1" ht="15.75" x14ac:dyDescent="0.2">
      <c r="A48" s="38" t="s">
        <v>333</v>
      </c>
      <c r="B48" s="266">
        <v>27211</v>
      </c>
      <c r="C48" s="267">
        <v>30587</v>
      </c>
      <c r="D48" s="242">
        <f t="shared" si="0"/>
        <v>12.4</v>
      </c>
      <c r="E48" s="27">
        <f>IFERROR(100/'Skjema total MA'!C48*C48,0)</f>
        <v>1.0306341778792183</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v>2221</v>
      </c>
      <c r="D53" s="405" t="str">
        <f t="shared" si="0"/>
        <v xml:space="preserve">    ---- </v>
      </c>
      <c r="E53" s="11">
        <f>IFERROR(100/'Skjema total MA'!C53*C53,0)</f>
        <v>1.3862282959252004</v>
      </c>
      <c r="F53" s="130"/>
      <c r="G53" s="33"/>
      <c r="H53" s="130"/>
      <c r="I53" s="130"/>
      <c r="J53" s="33"/>
      <c r="K53" s="33"/>
      <c r="L53" s="144"/>
      <c r="M53" s="144"/>
      <c r="N53" s="133"/>
    </row>
    <row r="54" spans="1:14" s="3" customFormat="1" ht="15.75" x14ac:dyDescent="0.2">
      <c r="A54" s="38" t="s">
        <v>333</v>
      </c>
      <c r="B54" s="266"/>
      <c r="C54" s="267">
        <v>2221</v>
      </c>
      <c r="D54" s="242" t="str">
        <f t="shared" si="0"/>
        <v xml:space="preserve">    ---- </v>
      </c>
      <c r="E54" s="27">
        <f>IFERROR(100/'Skjema total MA'!C54*C54,0)</f>
        <v>1.3948383598343186</v>
      </c>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v>1635</v>
      </c>
      <c r="C56" s="296">
        <v>736</v>
      </c>
      <c r="D56" s="405">
        <f t="shared" si="0"/>
        <v>-55</v>
      </c>
      <c r="E56" s="11">
        <f>IFERROR(100/'Skjema total MA'!C56*C56,0)</f>
        <v>0.50319798729556353</v>
      </c>
      <c r="F56" s="130"/>
      <c r="G56" s="33"/>
      <c r="H56" s="130"/>
      <c r="I56" s="130"/>
      <c r="J56" s="33"/>
      <c r="K56" s="33"/>
      <c r="L56" s="144"/>
      <c r="M56" s="144"/>
      <c r="N56" s="133"/>
    </row>
    <row r="57" spans="1:14" s="3" customFormat="1" ht="15.75" x14ac:dyDescent="0.2">
      <c r="A57" s="38" t="s">
        <v>333</v>
      </c>
      <c r="B57" s="266">
        <v>1635</v>
      </c>
      <c r="C57" s="267">
        <v>736</v>
      </c>
      <c r="D57" s="242">
        <f t="shared" si="0"/>
        <v>-55</v>
      </c>
      <c r="E57" s="27">
        <f>IFERROR(100/'Skjema total MA'!C57*C57,0)</f>
        <v>0.50319798729556353</v>
      </c>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474" priority="132">
      <formula>kvartal &lt; 4</formula>
    </cfRule>
  </conditionalFormatting>
  <conditionalFormatting sqref="B115">
    <cfRule type="expression" dxfId="473" priority="76">
      <formula>kvartal &lt; 4</formula>
    </cfRule>
  </conditionalFormatting>
  <conditionalFormatting sqref="C115">
    <cfRule type="expression" dxfId="472" priority="75">
      <formula>kvartal &lt; 4</formula>
    </cfRule>
  </conditionalFormatting>
  <conditionalFormatting sqref="B123">
    <cfRule type="expression" dxfId="471" priority="74">
      <formula>kvartal &lt; 4</formula>
    </cfRule>
  </conditionalFormatting>
  <conditionalFormatting sqref="C123">
    <cfRule type="expression" dxfId="470" priority="73">
      <formula>kvartal &lt; 4</formula>
    </cfRule>
  </conditionalFormatting>
  <conditionalFormatting sqref="F115">
    <cfRule type="expression" dxfId="469" priority="58">
      <formula>kvartal &lt; 4</formula>
    </cfRule>
  </conditionalFormatting>
  <conditionalFormatting sqref="G115">
    <cfRule type="expression" dxfId="468" priority="57">
      <formula>kvartal &lt; 4</formula>
    </cfRule>
  </conditionalFormatting>
  <conditionalFormatting sqref="F123:G123">
    <cfRule type="expression" dxfId="467" priority="56">
      <formula>kvartal &lt; 4</formula>
    </cfRule>
  </conditionalFormatting>
  <conditionalFormatting sqref="J115:K115">
    <cfRule type="expression" dxfId="466" priority="32">
      <formula>kvartal &lt; 4</formula>
    </cfRule>
  </conditionalFormatting>
  <conditionalFormatting sqref="J123:K123">
    <cfRule type="expression" dxfId="465" priority="31">
      <formula>kvartal &lt; 4</formula>
    </cfRule>
  </conditionalFormatting>
  <conditionalFormatting sqref="A50:A52">
    <cfRule type="expression" dxfId="464" priority="12">
      <formula>kvartal &lt; 4</formula>
    </cfRule>
  </conditionalFormatting>
  <conditionalFormatting sqref="A69:A74">
    <cfRule type="expression" dxfId="463" priority="10">
      <formula>kvartal &lt; 4</formula>
    </cfRule>
  </conditionalFormatting>
  <conditionalFormatting sqref="A80:A85">
    <cfRule type="expression" dxfId="462" priority="9">
      <formula>kvartal &lt; 4</formula>
    </cfRule>
  </conditionalFormatting>
  <conditionalFormatting sqref="A90:A95">
    <cfRule type="expression" dxfId="461" priority="6">
      <formula>kvartal &lt; 4</formula>
    </cfRule>
  </conditionalFormatting>
  <conditionalFormatting sqref="A101:A106">
    <cfRule type="expression" dxfId="460" priority="5">
      <formula>kvartal &lt; 4</formula>
    </cfRule>
  </conditionalFormatting>
  <conditionalFormatting sqref="A115">
    <cfRule type="expression" dxfId="459" priority="4">
      <formula>kvartal &lt; 4</formula>
    </cfRule>
  </conditionalFormatting>
  <conditionalFormatting sqref="A123">
    <cfRule type="expression" dxfId="458" priority="3">
      <formula>kvartal &lt; 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N58"/>
  <sheetViews>
    <sheetView showGridLines="0" tabSelected="1" zoomScale="70" zoomScaleNormal="70" workbookViewId="0"/>
  </sheetViews>
  <sheetFormatPr baseColWidth="10" defaultColWidth="11.42578125" defaultRowHeight="25.5" x14ac:dyDescent="0.35"/>
  <cols>
    <col min="1" max="1" width="11.42578125" style="51"/>
    <col min="2" max="2" width="25" style="51" customWidth="1"/>
    <col min="3" max="3" width="141.7109375" style="51" customWidth="1"/>
    <col min="4" max="16384" width="11.42578125" style="51"/>
  </cols>
  <sheetData>
    <row r="1" spans="1:14" ht="20.100000000000001" customHeight="1" x14ac:dyDescent="0.35">
      <c r="C1" s="52"/>
      <c r="D1" s="53"/>
      <c r="E1" s="53"/>
      <c r="F1" s="53"/>
      <c r="G1" s="53"/>
      <c r="H1" s="53"/>
      <c r="I1" s="53"/>
      <c r="J1" s="53"/>
      <c r="K1" s="53"/>
      <c r="L1" s="53"/>
      <c r="M1" s="53"/>
      <c r="N1" s="53"/>
    </row>
    <row r="2" spans="1:14" ht="20.100000000000001" customHeight="1" x14ac:dyDescent="0.35">
      <c r="C2" s="260" t="s">
        <v>31</v>
      </c>
      <c r="D2" s="53"/>
      <c r="E2" s="53"/>
      <c r="F2" s="53"/>
      <c r="G2" s="53"/>
      <c r="H2" s="53"/>
      <c r="I2" s="53"/>
      <c r="J2" s="53"/>
      <c r="K2" s="53"/>
      <c r="L2" s="53"/>
      <c r="M2" s="53"/>
      <c r="N2" s="53"/>
    </row>
    <row r="3" spans="1:14" ht="20.100000000000001" customHeight="1" x14ac:dyDescent="0.35">
      <c r="C3" s="54"/>
      <c r="D3" s="53"/>
      <c r="E3" s="53"/>
      <c r="F3" s="53"/>
      <c r="G3" s="53"/>
      <c r="H3" s="53"/>
      <c r="I3" s="53"/>
      <c r="J3" s="53"/>
      <c r="K3" s="53"/>
      <c r="L3" s="53"/>
      <c r="M3" s="53"/>
      <c r="N3" s="53"/>
    </row>
    <row r="4" spans="1:14" ht="20.100000000000001" customHeight="1" x14ac:dyDescent="0.35">
      <c r="C4" s="54"/>
      <c r="D4" s="53"/>
      <c r="E4" s="53"/>
      <c r="F4" s="53"/>
      <c r="G4" s="53"/>
      <c r="H4" s="53"/>
      <c r="I4" s="53"/>
      <c r="J4" s="53"/>
      <c r="K4" s="53"/>
      <c r="L4" s="53"/>
      <c r="M4" s="53"/>
      <c r="N4" s="53"/>
    </row>
    <row r="5" spans="1:14" ht="20.100000000000001" customHeight="1" x14ac:dyDescent="0.35">
      <c r="A5" s="54"/>
      <c r="B5" s="54"/>
      <c r="C5" s="54"/>
      <c r="D5" s="53"/>
      <c r="E5" s="53"/>
      <c r="F5" s="53"/>
      <c r="G5" s="53"/>
      <c r="H5" s="53"/>
      <c r="I5" s="53"/>
      <c r="J5" s="53"/>
      <c r="K5" s="53"/>
      <c r="L5" s="53"/>
      <c r="M5" s="53"/>
      <c r="N5" s="53"/>
    </row>
    <row r="6" spans="1:14" ht="20.100000000000001" customHeight="1" x14ac:dyDescent="0.35">
      <c r="A6" s="55" t="s">
        <v>32</v>
      </c>
      <c r="B6" s="55"/>
      <c r="C6" s="54"/>
      <c r="D6" s="53"/>
      <c r="E6" s="53"/>
      <c r="F6" s="53"/>
      <c r="G6" s="53"/>
      <c r="H6" s="53"/>
      <c r="I6" s="53"/>
      <c r="J6" s="53"/>
      <c r="K6" s="53"/>
      <c r="L6" s="53"/>
      <c r="M6" s="53"/>
      <c r="N6" s="53"/>
    </row>
    <row r="7" spans="1:14" ht="20.100000000000001" customHeight="1" x14ac:dyDescent="0.35">
      <c r="A7" s="54"/>
      <c r="B7" s="54" t="s">
        <v>33</v>
      </c>
      <c r="C7" s="54" t="s">
        <v>34</v>
      </c>
      <c r="D7" s="53"/>
      <c r="E7" s="53"/>
      <c r="F7" s="53"/>
      <c r="G7" s="53"/>
      <c r="H7" s="53"/>
      <c r="I7" s="53"/>
      <c r="J7" s="53"/>
      <c r="K7" s="53"/>
      <c r="L7" s="53"/>
      <c r="M7" s="53"/>
      <c r="N7" s="53"/>
    </row>
    <row r="8" spans="1:14" ht="20.100000000000001" customHeight="1" x14ac:dyDescent="0.35">
      <c r="A8" s="54"/>
      <c r="B8" s="54" t="s">
        <v>35</v>
      </c>
      <c r="C8" s="54" t="s">
        <v>36</v>
      </c>
      <c r="D8" s="53"/>
      <c r="E8" s="53"/>
      <c r="F8" s="53"/>
      <c r="G8" s="53"/>
      <c r="H8" s="53"/>
      <c r="I8" s="53"/>
      <c r="J8" s="53"/>
      <c r="K8" s="53"/>
      <c r="L8" s="53"/>
      <c r="M8" s="53"/>
      <c r="N8" s="53"/>
    </row>
    <row r="9" spans="1:14" ht="20.100000000000001" customHeight="1" x14ac:dyDescent="0.35">
      <c r="A9" s="54"/>
      <c r="B9" s="54" t="s">
        <v>37</v>
      </c>
      <c r="C9" s="54" t="s">
        <v>40</v>
      </c>
      <c r="D9" s="53"/>
      <c r="E9" s="53"/>
      <c r="F9" s="53"/>
      <c r="G9" s="53"/>
      <c r="H9" s="53"/>
      <c r="I9" s="53"/>
      <c r="J9" s="53"/>
      <c r="K9" s="53"/>
      <c r="L9" s="53"/>
      <c r="M9" s="53"/>
      <c r="N9" s="53"/>
    </row>
    <row r="10" spans="1:14" ht="20.100000000000001" customHeight="1" x14ac:dyDescent="0.35">
      <c r="A10" s="54"/>
      <c r="B10" s="54" t="s">
        <v>38</v>
      </c>
      <c r="C10" s="54" t="s">
        <v>42</v>
      </c>
      <c r="D10" s="53"/>
      <c r="E10" s="53"/>
      <c r="F10" s="53"/>
      <c r="G10" s="53"/>
      <c r="H10" s="53"/>
      <c r="I10" s="53"/>
      <c r="J10" s="53"/>
      <c r="K10" s="53"/>
      <c r="L10" s="53"/>
      <c r="M10" s="53"/>
      <c r="N10" s="53"/>
    </row>
    <row r="11" spans="1:14" ht="20.100000000000001" customHeight="1" x14ac:dyDescent="0.35">
      <c r="A11" s="54"/>
      <c r="B11" s="54" t="s">
        <v>39</v>
      </c>
      <c r="C11" s="54" t="s">
        <v>43</v>
      </c>
      <c r="D11" s="53"/>
      <c r="E11" s="53"/>
      <c r="F11" s="53"/>
      <c r="G11" s="53"/>
      <c r="H11" s="53"/>
      <c r="I11" s="53"/>
      <c r="J11" s="53"/>
      <c r="K11" s="53"/>
      <c r="L11" s="53"/>
      <c r="M11" s="53"/>
      <c r="N11" s="53"/>
    </row>
    <row r="12" spans="1:14" ht="20.100000000000001" customHeight="1" x14ac:dyDescent="0.35">
      <c r="A12" s="54"/>
      <c r="B12" s="54" t="s">
        <v>41</v>
      </c>
      <c r="C12" s="54" t="s">
        <v>44</v>
      </c>
      <c r="D12" s="53"/>
      <c r="E12" s="53"/>
      <c r="F12" s="53"/>
      <c r="G12" s="53"/>
      <c r="H12" s="53"/>
      <c r="I12" s="53"/>
      <c r="J12" s="53"/>
      <c r="K12" s="53"/>
      <c r="L12" s="53"/>
      <c r="M12" s="53"/>
      <c r="N12" s="53"/>
    </row>
    <row r="13" spans="1:14" ht="18.75" customHeight="1" x14ac:dyDescent="0.35">
      <c r="A13" s="54"/>
      <c r="B13" s="54"/>
      <c r="C13" s="54"/>
      <c r="D13" s="53"/>
      <c r="E13" s="53"/>
      <c r="F13" s="53"/>
      <c r="G13" s="53"/>
      <c r="H13" s="53"/>
      <c r="I13" s="53"/>
      <c r="J13" s="53"/>
      <c r="K13" s="53"/>
      <c r="L13" s="53"/>
      <c r="M13" s="53"/>
      <c r="N13" s="53"/>
    </row>
    <row r="14" spans="1:14" ht="20.100000000000001" customHeight="1" x14ac:dyDescent="0.35">
      <c r="A14" s="259" t="s">
        <v>45</v>
      </c>
      <c r="B14" s="55"/>
      <c r="C14" s="54"/>
      <c r="D14" s="53"/>
      <c r="E14" s="53"/>
      <c r="F14" s="53"/>
      <c r="G14" s="53"/>
      <c r="H14" s="53"/>
      <c r="I14" s="53"/>
      <c r="J14" s="53"/>
      <c r="K14" s="53"/>
      <c r="L14" s="53"/>
      <c r="M14" s="53"/>
      <c r="N14" s="53"/>
    </row>
    <row r="15" spans="1:14" ht="20.100000000000001" customHeight="1" x14ac:dyDescent="0.35">
      <c r="A15" s="54"/>
      <c r="B15" s="54" t="s">
        <v>46</v>
      </c>
      <c r="C15" s="54"/>
      <c r="D15" s="53"/>
      <c r="E15" s="53"/>
      <c r="F15" s="53"/>
      <c r="G15" s="53"/>
      <c r="H15" s="53"/>
      <c r="I15" s="53"/>
      <c r="J15" s="53"/>
      <c r="K15" s="53"/>
      <c r="L15" s="53"/>
      <c r="M15" s="53"/>
      <c r="N15" s="53"/>
    </row>
    <row r="16" spans="1:14" ht="20.100000000000001" customHeight="1" x14ac:dyDescent="0.35">
      <c r="A16" s="54"/>
      <c r="B16" s="55" t="s">
        <v>47</v>
      </c>
      <c r="C16" s="54" t="s">
        <v>48</v>
      </c>
      <c r="D16" s="53"/>
      <c r="E16" s="53"/>
      <c r="F16" s="53"/>
      <c r="G16" s="53"/>
      <c r="H16" s="53"/>
      <c r="I16" s="53"/>
      <c r="J16" s="53"/>
      <c r="K16" s="53"/>
      <c r="L16" s="53"/>
      <c r="M16" s="53"/>
      <c r="N16" s="53"/>
    </row>
    <row r="17" spans="1:14" ht="20.100000000000001" customHeight="1" x14ac:dyDescent="0.35">
      <c r="A17" s="54"/>
      <c r="B17" s="55" t="s">
        <v>49</v>
      </c>
      <c r="C17" s="54" t="s">
        <v>50</v>
      </c>
      <c r="D17" s="53"/>
      <c r="E17" s="53"/>
      <c r="F17" s="53"/>
      <c r="G17" s="53"/>
      <c r="H17" s="53"/>
      <c r="I17" s="53"/>
      <c r="J17" s="53"/>
      <c r="K17" s="53"/>
      <c r="L17" s="53"/>
      <c r="M17" s="53"/>
      <c r="N17" s="53"/>
    </row>
    <row r="18" spans="1:14" ht="20.100000000000001" customHeight="1" x14ac:dyDescent="0.35">
      <c r="A18" s="54"/>
      <c r="B18" s="55" t="s">
        <v>301</v>
      </c>
      <c r="C18" s="54" t="s">
        <v>302</v>
      </c>
      <c r="D18" s="53"/>
      <c r="E18" s="53"/>
      <c r="F18" s="53"/>
      <c r="G18" s="53"/>
      <c r="H18" s="53"/>
      <c r="I18" s="53"/>
      <c r="J18" s="53"/>
      <c r="K18" s="53"/>
      <c r="L18" s="53"/>
      <c r="M18" s="53"/>
      <c r="N18" s="53"/>
    </row>
    <row r="19" spans="1:14" ht="20.100000000000001" customHeight="1" x14ac:dyDescent="0.35">
      <c r="A19" s="54"/>
      <c r="B19" s="54" t="s">
        <v>303</v>
      </c>
      <c r="C19" s="54" t="s">
        <v>241</v>
      </c>
      <c r="D19" s="53"/>
      <c r="E19" s="53"/>
      <c r="F19" s="53"/>
      <c r="G19" s="53"/>
      <c r="H19" s="53"/>
      <c r="I19" s="53"/>
      <c r="J19" s="53"/>
      <c r="K19" s="53"/>
      <c r="L19" s="53"/>
      <c r="M19" s="53"/>
      <c r="N19" s="53"/>
    </row>
    <row r="20" spans="1:14" s="332" customFormat="1" ht="20.100000000000001" customHeight="1" x14ac:dyDescent="0.35">
      <c r="A20" s="330"/>
      <c r="B20" s="330" t="s">
        <v>305</v>
      </c>
      <c r="C20" s="330" t="s">
        <v>304</v>
      </c>
      <c r="D20" s="331"/>
      <c r="E20" s="331"/>
      <c r="F20" s="331"/>
      <c r="G20" s="331"/>
      <c r="H20" s="331"/>
      <c r="I20" s="331"/>
      <c r="J20" s="331"/>
      <c r="K20" s="331"/>
      <c r="L20" s="331"/>
      <c r="M20" s="331"/>
      <c r="N20" s="331"/>
    </row>
    <row r="21" spans="1:14" ht="20.100000000000001" customHeight="1" x14ac:dyDescent="0.35">
      <c r="A21" s="54"/>
      <c r="B21" s="54"/>
      <c r="C21" s="54"/>
    </row>
    <row r="22" spans="1:14" ht="18.75" customHeight="1" x14ac:dyDescent="0.35">
      <c r="A22" s="54"/>
      <c r="B22" s="330" t="s">
        <v>225</v>
      </c>
      <c r="C22" s="330"/>
    </row>
    <row r="23" spans="1:14" ht="20.100000000000001" customHeight="1" x14ac:dyDescent="0.35">
      <c r="A23" s="54"/>
      <c r="B23" s="333" t="s">
        <v>226</v>
      </c>
      <c r="C23" s="330" t="s">
        <v>227</v>
      </c>
    </row>
    <row r="24" spans="1:14" ht="20.100000000000001" hidden="1" customHeight="1" x14ac:dyDescent="0.35">
      <c r="A24" s="54"/>
      <c r="B24" s="333" t="s">
        <v>228</v>
      </c>
      <c r="C24" s="330" t="s">
        <v>229</v>
      </c>
    </row>
    <row r="25" spans="1:14" ht="20.100000000000001" hidden="1" customHeight="1" x14ac:dyDescent="0.35">
      <c r="A25" s="54"/>
      <c r="B25" s="333" t="s">
        <v>230</v>
      </c>
      <c r="C25" s="330" t="s">
        <v>231</v>
      </c>
    </row>
    <row r="26" spans="1:14" ht="20.100000000000001" hidden="1" customHeight="1" x14ac:dyDescent="0.35">
      <c r="A26" s="54"/>
      <c r="B26" s="333" t="s">
        <v>232</v>
      </c>
      <c r="C26" s="330" t="s">
        <v>233</v>
      </c>
    </row>
    <row r="27" spans="1:14" ht="20.100000000000001" customHeight="1" x14ac:dyDescent="0.35">
      <c r="A27" s="54"/>
      <c r="B27" s="333" t="s">
        <v>153</v>
      </c>
      <c r="C27" s="330" t="s">
        <v>234</v>
      </c>
    </row>
    <row r="28" spans="1:14" ht="20.100000000000001" hidden="1" customHeight="1" x14ac:dyDescent="0.35">
      <c r="A28" s="54"/>
      <c r="B28" s="327" t="s">
        <v>235</v>
      </c>
      <c r="C28" s="258" t="s">
        <v>236</v>
      </c>
    </row>
    <row r="29" spans="1:14" ht="20.100000000000001" hidden="1" customHeight="1" x14ac:dyDescent="0.35">
      <c r="A29" s="54"/>
      <c r="B29" s="327" t="s">
        <v>237</v>
      </c>
      <c r="C29" s="258" t="s">
        <v>238</v>
      </c>
    </row>
    <row r="30" spans="1:14" ht="18.75" customHeight="1" x14ac:dyDescent="0.35">
      <c r="A30" s="54"/>
      <c r="B30" s="333" t="s">
        <v>239</v>
      </c>
      <c r="C30" s="330" t="s">
        <v>240</v>
      </c>
    </row>
    <row r="31" spans="1:14" ht="18.75" customHeight="1" x14ac:dyDescent="0.35">
      <c r="A31" s="54"/>
      <c r="B31" s="333"/>
      <c r="C31" s="330"/>
    </row>
    <row r="32" spans="1:14" ht="20.100000000000001" customHeight="1" x14ac:dyDescent="0.35">
      <c r="A32" s="54"/>
      <c r="B32" s="54"/>
      <c r="C32" s="54"/>
    </row>
    <row r="33" spans="1:14" x14ac:dyDescent="0.35">
      <c r="A33" s="55" t="s">
        <v>51</v>
      </c>
      <c r="B33" s="54"/>
      <c r="C33" s="54"/>
    </row>
    <row r="34" spans="1:14" ht="26.25" hidden="1" customHeight="1" x14ac:dyDescent="0.4">
      <c r="C34" s="56"/>
    </row>
    <row r="35" spans="1:14" ht="26.25" hidden="1" customHeight="1" x14ac:dyDescent="0.4">
      <c r="C35" s="56"/>
    </row>
    <row r="36" spans="1:14" ht="18.75" customHeight="1" x14ac:dyDescent="0.4">
      <c r="C36" s="328"/>
      <c r="D36" s="329"/>
    </row>
    <row r="37" spans="1:14" ht="26.25" x14ac:dyDescent="0.4">
      <c r="C37" s="56"/>
    </row>
    <row r="38" spans="1:14" ht="26.25" x14ac:dyDescent="0.4">
      <c r="C38" s="56"/>
    </row>
    <row r="39" spans="1:14" ht="26.25" x14ac:dyDescent="0.4">
      <c r="C39" s="328"/>
      <c r="D39" s="332"/>
      <c r="E39" s="332"/>
      <c r="F39" s="332"/>
      <c r="G39" s="332"/>
      <c r="H39" s="332"/>
      <c r="I39" s="332"/>
      <c r="J39" s="332"/>
      <c r="K39" s="332"/>
      <c r="L39" s="332"/>
      <c r="M39" s="332"/>
      <c r="N39" s="332"/>
    </row>
    <row r="40" spans="1:14" ht="26.25" x14ac:dyDescent="0.4">
      <c r="C40" s="56"/>
    </row>
    <row r="41" spans="1:14" ht="26.25" x14ac:dyDescent="0.4">
      <c r="C41" s="56"/>
    </row>
    <row r="42" spans="1:14" ht="26.25" x14ac:dyDescent="0.4">
      <c r="C42" s="56"/>
    </row>
    <row r="43" spans="1:14" ht="26.25" x14ac:dyDescent="0.4">
      <c r="C43" s="56"/>
    </row>
    <row r="44" spans="1:14" ht="26.25" x14ac:dyDescent="0.4">
      <c r="C44" s="56"/>
    </row>
    <row r="45" spans="1:14" ht="26.25" x14ac:dyDescent="0.4">
      <c r="C45" s="56"/>
    </row>
    <row r="46" spans="1:14" ht="26.25" x14ac:dyDescent="0.4">
      <c r="C46" s="56"/>
    </row>
    <row r="47" spans="1:14" ht="26.25" x14ac:dyDescent="0.4">
      <c r="C47" s="56"/>
    </row>
    <row r="48" spans="1:14" ht="26.25" x14ac:dyDescent="0.4">
      <c r="C48" s="56"/>
    </row>
    <row r="49" spans="3:3" ht="26.25" x14ac:dyDescent="0.4">
      <c r="C49" s="56"/>
    </row>
    <row r="50" spans="3:3" ht="26.25" x14ac:dyDescent="0.4">
      <c r="C50" s="56"/>
    </row>
    <row r="51" spans="3:3" ht="26.25" x14ac:dyDescent="0.4">
      <c r="C51" s="56"/>
    </row>
    <row r="52" spans="3:3" ht="26.25" x14ac:dyDescent="0.4">
      <c r="C52" s="56"/>
    </row>
    <row r="53" spans="3:3" ht="26.25" x14ac:dyDescent="0.4">
      <c r="C53" s="56"/>
    </row>
    <row r="54" spans="3:3" ht="26.25" x14ac:dyDescent="0.4">
      <c r="C54" s="56"/>
    </row>
    <row r="55" spans="3:3" ht="26.25" x14ac:dyDescent="0.4">
      <c r="C55" s="56"/>
    </row>
    <row r="56" spans="3:3" ht="26.25" x14ac:dyDescent="0.4">
      <c r="C56" s="56"/>
    </row>
    <row r="57" spans="3:3" ht="26.25" x14ac:dyDescent="0.4">
      <c r="C57" s="56"/>
    </row>
    <row r="58" spans="3:3" ht="26.25" x14ac:dyDescent="0.4">
      <c r="C58" s="56"/>
    </row>
  </sheetData>
  <hyperlinks>
    <hyperlink ref="A6" location="Figurer!A1" display="FIGURER" xr:uid="{00000000-0004-0000-0100-000000000000}"/>
    <hyperlink ref="A14" location="'Tabel 1.1'!A1" display="TABELLER" xr:uid="{00000000-0004-0000-0100-000001000000}"/>
    <hyperlink ref="B16" location="'Tabell 1.1'!A1" display="Tabell 1.1" xr:uid="{00000000-0004-0000-0100-000002000000}"/>
    <hyperlink ref="B17" location="'Tabell 1.2'!A1" display="Tabell 1.2" xr:uid="{00000000-0004-0000-0100-000003000000}"/>
    <hyperlink ref="A33" location="'Noter og kommentarer'!A1" display="NOTER OG KOMMENTARER" xr:uid="{00000000-0004-0000-0100-000004000000}"/>
    <hyperlink ref="B23" location="'Tabell 4'!A1" display="Tabell 4" xr:uid="{00000000-0004-0000-0100-000005000000}"/>
    <hyperlink ref="B27" location="'Tabell 6'!A1" display="Tabell 6" xr:uid="{00000000-0004-0000-0100-000006000000}"/>
    <hyperlink ref="B30" location="'Tabell 8'!A1" display="Tabell 8" xr:uid="{00000000-0004-0000-0100-000007000000}"/>
    <hyperlink ref="B24" location="'Tabell 5.1'!A1" display="Tabell 5.1" xr:uid="{00000000-0004-0000-0100-000008000000}"/>
    <hyperlink ref="B25" location="'Tabell 5.2'!A1" display="Tabell 5.2" xr:uid="{00000000-0004-0000-0100-000009000000}"/>
    <hyperlink ref="B26" location="'Tabell 5.3'!A1" display="Tabell 5.3" xr:uid="{00000000-0004-0000-0100-00000A000000}"/>
    <hyperlink ref="B28" location="'Tabell 7a'!A1" display="Tabell 7a" xr:uid="{00000000-0004-0000-0100-00000B000000}"/>
    <hyperlink ref="B29" location="'Tabell 7b'!A1" display="Tabell 7b" xr:uid="{00000000-0004-0000-0100-00000C000000}"/>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D853-0DF0-4C61-8584-51A962037551}">
  <dimension ref="A1:N144"/>
  <sheetViews>
    <sheetView showGridLines="0" workbookViewId="0">
      <selection activeCell="B1" sqref="B1"/>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371</v>
      </c>
      <c r="D1" s="26"/>
      <c r="E1" s="26"/>
      <c r="F1" s="26"/>
      <c r="G1" s="26"/>
      <c r="H1" s="26"/>
      <c r="I1" s="26"/>
      <c r="J1" s="26"/>
      <c r="K1" s="26"/>
      <c r="L1" s="26"/>
      <c r="M1" s="26"/>
    </row>
    <row r="2" spans="1:14" ht="15.75" x14ac:dyDescent="0.25">
      <c r="A2" s="150" t="s">
        <v>28</v>
      </c>
      <c r="B2" s="717"/>
      <c r="C2" s="717"/>
      <c r="D2" s="717"/>
      <c r="E2" s="519"/>
      <c r="F2" s="717"/>
      <c r="G2" s="717"/>
      <c r="H2" s="717"/>
      <c r="I2" s="519"/>
      <c r="J2" s="717"/>
      <c r="K2" s="717"/>
      <c r="L2" s="717"/>
      <c r="M2" s="519"/>
    </row>
    <row r="3" spans="1:14" ht="15.75" x14ac:dyDescent="0.25">
      <c r="A3" s="148"/>
      <c r="B3" s="519"/>
      <c r="C3" s="519"/>
      <c r="D3" s="519"/>
      <c r="E3" s="519"/>
      <c r="F3" s="519"/>
      <c r="G3" s="519"/>
      <c r="H3" s="519"/>
      <c r="I3" s="519"/>
      <c r="J3" s="519"/>
      <c r="K3" s="519"/>
      <c r="L3" s="519"/>
      <c r="M3" s="519"/>
    </row>
    <row r="4" spans="1:14" x14ac:dyDescent="0.2">
      <c r="A4" s="129"/>
      <c r="B4" s="715" t="s">
        <v>0</v>
      </c>
      <c r="C4" s="716"/>
      <c r="D4" s="716"/>
      <c r="E4" s="517"/>
      <c r="F4" s="715" t="s">
        <v>1</v>
      </c>
      <c r="G4" s="716"/>
      <c r="H4" s="716"/>
      <c r="I4" s="518"/>
      <c r="J4" s="715" t="s">
        <v>2</v>
      </c>
      <c r="K4" s="716"/>
      <c r="L4" s="716"/>
      <c r="M4" s="518"/>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151"/>
      <c r="M8" s="27"/>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519"/>
      <c r="F18" s="714"/>
      <c r="G18" s="714"/>
      <c r="H18" s="714"/>
      <c r="I18" s="519"/>
      <c r="J18" s="714"/>
      <c r="K18" s="714"/>
      <c r="L18" s="714"/>
      <c r="M18" s="519"/>
    </row>
    <row r="19" spans="1:14" x14ac:dyDescent="0.2">
      <c r="A19" s="129"/>
      <c r="B19" s="715" t="s">
        <v>0</v>
      </c>
      <c r="C19" s="716"/>
      <c r="D19" s="716"/>
      <c r="E19" s="517"/>
      <c r="F19" s="715" t="s">
        <v>1</v>
      </c>
      <c r="G19" s="716"/>
      <c r="H19" s="716"/>
      <c r="I19" s="518"/>
      <c r="J19" s="715" t="s">
        <v>2</v>
      </c>
      <c r="K19" s="716"/>
      <c r="L19" s="716"/>
      <c r="M19" s="518"/>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520"/>
    </row>
    <row r="41" spans="1:14" x14ac:dyDescent="0.2">
      <c r="A41" s="140"/>
    </row>
    <row r="42" spans="1:14" ht="15.75" x14ac:dyDescent="0.25">
      <c r="A42" s="132" t="s">
        <v>243</v>
      </c>
      <c r="B42" s="717"/>
      <c r="C42" s="717"/>
      <c r="D42" s="717"/>
      <c r="E42" s="519"/>
      <c r="F42" s="719"/>
      <c r="G42" s="719"/>
      <c r="H42" s="719"/>
      <c r="I42" s="520"/>
      <c r="J42" s="719"/>
      <c r="K42" s="719"/>
      <c r="L42" s="719"/>
      <c r="M42" s="520"/>
    </row>
    <row r="43" spans="1:14" ht="15.75" x14ac:dyDescent="0.25">
      <c r="A43" s="148"/>
      <c r="B43" s="515"/>
      <c r="C43" s="515"/>
      <c r="D43" s="515"/>
      <c r="E43" s="515"/>
      <c r="F43" s="520"/>
      <c r="G43" s="520"/>
      <c r="H43" s="520"/>
      <c r="I43" s="520"/>
      <c r="J43" s="520"/>
      <c r="K43" s="520"/>
      <c r="L43" s="520"/>
      <c r="M43" s="520"/>
    </row>
    <row r="44" spans="1:14" ht="15.75" x14ac:dyDescent="0.25">
      <c r="A44" s="232"/>
      <c r="B44" s="715" t="s">
        <v>0</v>
      </c>
      <c r="C44" s="716"/>
      <c r="D44" s="716"/>
      <c r="E44" s="228"/>
      <c r="F44" s="520"/>
      <c r="G44" s="520"/>
      <c r="H44" s="520"/>
      <c r="I44" s="520"/>
      <c r="J44" s="520"/>
      <c r="K44" s="520"/>
      <c r="L44" s="520"/>
      <c r="M44" s="520"/>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17589.487000000001</v>
      </c>
      <c r="C47" s="296">
        <v>21876</v>
      </c>
      <c r="D47" s="404">
        <f t="shared" ref="D47:D48" si="0">IF(B47=0, "    ---- ", IF(ABS(ROUND(100/B47*C47-100,1))&lt;999,ROUND(100/B47*C47-100,1),IF(ROUND(100/B47*C47-100,1)&gt;999,999,-999)))</f>
        <v>24.4</v>
      </c>
      <c r="E47" s="11">
        <f>IFERROR(100/'Skjema total MA'!C47*C47,0)</f>
        <v>0.41969297412530843</v>
      </c>
      <c r="F47" s="130"/>
      <c r="G47" s="33"/>
      <c r="H47" s="144"/>
      <c r="I47" s="144"/>
      <c r="J47" s="37"/>
      <c r="K47" s="37"/>
      <c r="L47" s="144"/>
      <c r="M47" s="144"/>
      <c r="N47" s="133"/>
    </row>
    <row r="48" spans="1:14" s="3" customFormat="1" ht="15.75" x14ac:dyDescent="0.2">
      <c r="A48" s="38" t="s">
        <v>333</v>
      </c>
      <c r="B48" s="266">
        <v>17589.487000000001</v>
      </c>
      <c r="C48" s="267">
        <v>21876</v>
      </c>
      <c r="D48" s="242">
        <f t="shared" si="0"/>
        <v>24.4</v>
      </c>
      <c r="E48" s="27">
        <f>IFERROR(100/'Skjema total MA'!C48*C48,0)</f>
        <v>0.73711554828148496</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519"/>
      <c r="F62" s="714"/>
      <c r="G62" s="714"/>
      <c r="H62" s="714"/>
      <c r="I62" s="519"/>
      <c r="J62" s="714"/>
      <c r="K62" s="714"/>
      <c r="L62" s="714"/>
      <c r="M62" s="519"/>
    </row>
    <row r="63" spans="1:14" x14ac:dyDescent="0.2">
      <c r="A63" s="129"/>
      <c r="B63" s="715" t="s">
        <v>0</v>
      </c>
      <c r="C63" s="716"/>
      <c r="D63" s="720"/>
      <c r="E63" s="516"/>
      <c r="F63" s="716" t="s">
        <v>1</v>
      </c>
      <c r="G63" s="716"/>
      <c r="H63" s="716"/>
      <c r="I63" s="518"/>
      <c r="J63" s="715" t="s">
        <v>2</v>
      </c>
      <c r="K63" s="716"/>
      <c r="L63" s="716"/>
      <c r="M63" s="518"/>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519"/>
      <c r="F130" s="714"/>
      <c r="G130" s="714"/>
      <c r="H130" s="714"/>
      <c r="I130" s="519"/>
      <c r="J130" s="714"/>
      <c r="K130" s="714"/>
      <c r="L130" s="714"/>
      <c r="M130" s="519"/>
    </row>
    <row r="131" spans="1:14" s="3" customFormat="1" x14ac:dyDescent="0.2">
      <c r="A131" s="129"/>
      <c r="B131" s="715" t="s">
        <v>0</v>
      </c>
      <c r="C131" s="716"/>
      <c r="D131" s="716"/>
      <c r="E131" s="517"/>
      <c r="F131" s="715" t="s">
        <v>1</v>
      </c>
      <c r="G131" s="716"/>
      <c r="H131" s="716"/>
      <c r="I131" s="518"/>
      <c r="J131" s="715" t="s">
        <v>2</v>
      </c>
      <c r="K131" s="716"/>
      <c r="L131" s="716"/>
      <c r="M131" s="518"/>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2:D2"/>
    <mergeCell ref="F2:H2"/>
    <mergeCell ref="J2:L2"/>
    <mergeCell ref="B4:D4"/>
    <mergeCell ref="F4:H4"/>
    <mergeCell ref="J4:L4"/>
    <mergeCell ref="B18:D18"/>
    <mergeCell ref="F18:H18"/>
    <mergeCell ref="J18:L18"/>
    <mergeCell ref="B19:D19"/>
    <mergeCell ref="F19:H19"/>
    <mergeCell ref="J19:L19"/>
    <mergeCell ref="D40:F40"/>
    <mergeCell ref="G40:I40"/>
    <mergeCell ref="J40:L40"/>
    <mergeCell ref="B42:D42"/>
    <mergeCell ref="F42:H42"/>
    <mergeCell ref="J42:L42"/>
    <mergeCell ref="B44:D44"/>
    <mergeCell ref="B62:D62"/>
    <mergeCell ref="F62:H62"/>
    <mergeCell ref="J62:L62"/>
    <mergeCell ref="B63:D63"/>
    <mergeCell ref="F63:H63"/>
    <mergeCell ref="J63:L63"/>
    <mergeCell ref="B130:D130"/>
    <mergeCell ref="F130:H130"/>
    <mergeCell ref="J130:L130"/>
    <mergeCell ref="B131:D131"/>
    <mergeCell ref="F131:H131"/>
    <mergeCell ref="J131:L131"/>
  </mergeCells>
  <conditionalFormatting sqref="B50:C52">
    <cfRule type="expression" dxfId="457" priority="59">
      <formula>kvartal &lt; 4</formula>
    </cfRule>
  </conditionalFormatting>
  <conditionalFormatting sqref="B115">
    <cfRule type="expression" dxfId="456" priority="42">
      <formula>kvartal &lt; 4</formula>
    </cfRule>
  </conditionalFormatting>
  <conditionalFormatting sqref="C115">
    <cfRule type="expression" dxfId="455" priority="41">
      <formula>kvartal &lt; 4</formula>
    </cfRule>
  </conditionalFormatting>
  <conditionalFormatting sqref="B123">
    <cfRule type="expression" dxfId="454" priority="40">
      <formula>kvartal &lt; 4</formula>
    </cfRule>
  </conditionalFormatting>
  <conditionalFormatting sqref="C123">
    <cfRule type="expression" dxfId="453" priority="39">
      <formula>kvartal &lt; 4</formula>
    </cfRule>
  </conditionalFormatting>
  <conditionalFormatting sqref="F115">
    <cfRule type="expression" dxfId="452" priority="28">
      <formula>kvartal &lt; 4</formula>
    </cfRule>
  </conditionalFormatting>
  <conditionalFormatting sqref="G115">
    <cfRule type="expression" dxfId="451" priority="27">
      <formula>kvartal &lt; 4</formula>
    </cfRule>
  </conditionalFormatting>
  <conditionalFormatting sqref="F123:G123">
    <cfRule type="expression" dxfId="450" priority="26">
      <formula>kvartal &lt; 4</formula>
    </cfRule>
  </conditionalFormatting>
  <conditionalFormatting sqref="J115:K115">
    <cfRule type="expression" dxfId="449" priority="9">
      <formula>kvartal &lt; 4</formula>
    </cfRule>
  </conditionalFormatting>
  <conditionalFormatting sqref="J123:K123">
    <cfRule type="expression" dxfId="448" priority="8">
      <formula>kvartal &lt; 4</formula>
    </cfRule>
  </conditionalFormatting>
  <conditionalFormatting sqref="A50:A52">
    <cfRule type="expression" dxfId="447" priority="7">
      <formula>kvartal &lt; 4</formula>
    </cfRule>
  </conditionalFormatting>
  <conditionalFormatting sqref="A69:A74">
    <cfRule type="expression" dxfId="446" priority="6">
      <formula>kvartal &lt; 4</formula>
    </cfRule>
  </conditionalFormatting>
  <conditionalFormatting sqref="A80:A85">
    <cfRule type="expression" dxfId="445" priority="5">
      <formula>kvartal &lt; 4</formula>
    </cfRule>
  </conditionalFormatting>
  <conditionalFormatting sqref="A90:A95">
    <cfRule type="expression" dxfId="444" priority="4">
      <formula>kvartal &lt; 4</formula>
    </cfRule>
  </conditionalFormatting>
  <conditionalFormatting sqref="A101:A106">
    <cfRule type="expression" dxfId="443" priority="3">
      <formula>kvartal &lt; 4</formula>
    </cfRule>
  </conditionalFormatting>
  <conditionalFormatting sqref="A115">
    <cfRule type="expression" dxfId="442" priority="2">
      <formula>kvartal &lt; 4</formula>
    </cfRule>
  </conditionalFormatting>
  <conditionalFormatting sqref="A123">
    <cfRule type="expression" dxfId="441" priority="1">
      <formula>kvartal &lt; 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25"/>
  <dimension ref="A1:N144"/>
  <sheetViews>
    <sheetView showGridLines="0" zoomScaleNormal="100" workbookViewId="0">
      <selection activeCell="B1" sqref="B1"/>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120</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269196.47305040498</v>
      </c>
      <c r="C7" s="292">
        <v>281039.85092824203</v>
      </c>
      <c r="D7" s="334">
        <f>IF(B7=0, "    ---- ", IF(ABS(ROUND(100/B7*C7-100,1))&lt;999,ROUND(100/B7*C7-100,1),IF(ROUND(100/B7*C7-100,1)&gt;999,999,-999)))</f>
        <v>4.4000000000000004</v>
      </c>
      <c r="E7" s="11">
        <f>IFERROR(100/'Skjema total MA'!C7*C7,0)</f>
        <v>8.9233168870567141</v>
      </c>
      <c r="F7" s="291">
        <v>3962882.7439899999</v>
      </c>
      <c r="G7" s="292">
        <v>6335243.1922700005</v>
      </c>
      <c r="H7" s="334">
        <f>IF(F7=0, "    ---- ", IF(ABS(ROUND(100/F7*G7-100,1))&lt;999,ROUND(100/F7*G7-100,1),IF(ROUND(100/F7*G7-100,1)&gt;999,999,-999)))</f>
        <v>59.9</v>
      </c>
      <c r="I7" s="145">
        <f>IFERROR(100/'Skjema total MA'!F7*G7,0)</f>
        <v>81.424127511228633</v>
      </c>
      <c r="J7" s="293">
        <f t="shared" ref="J7:K12" si="0">SUM(B7,F7)</f>
        <v>4232079.2170404047</v>
      </c>
      <c r="K7" s="294">
        <f t="shared" si="0"/>
        <v>6616283.0431982428</v>
      </c>
      <c r="L7" s="404">
        <f>IF(J7=0, "    ---- ", IF(ABS(ROUND(100/J7*K7-100,1))&lt;999,ROUND(100/J7*K7-100,1),IF(ROUND(100/J7*K7-100,1)&gt;999,999,-999)))</f>
        <v>56.3</v>
      </c>
      <c r="M7" s="11">
        <f>IFERROR(100/'Skjema total MA'!I7*K7,0)</f>
        <v>60.53297514755937</v>
      </c>
    </row>
    <row r="8" spans="1:14" ht="15.75" x14ac:dyDescent="0.2">
      <c r="A8" s="21" t="s">
        <v>25</v>
      </c>
      <c r="B8" s="266">
        <v>232809.83299845899</v>
      </c>
      <c r="C8" s="267">
        <v>245617.59401011601</v>
      </c>
      <c r="D8" s="151">
        <f t="shared" ref="D8:D10" si="1">IF(B8=0, "    ---- ", IF(ABS(ROUND(100/B8*C8-100,1))&lt;999,ROUND(100/B8*C8-100,1),IF(ROUND(100/B8*C8-100,1)&gt;999,999,-999)))</f>
        <v>5.5</v>
      </c>
      <c r="E8" s="27">
        <f>IFERROR(100/'Skjema total MA'!C8*C8,0)</f>
        <v>11.663806139088219</v>
      </c>
      <c r="F8" s="270"/>
      <c r="G8" s="271"/>
      <c r="H8" s="151"/>
      <c r="I8" s="161"/>
      <c r="J8" s="218">
        <f t="shared" si="0"/>
        <v>232809.83299845899</v>
      </c>
      <c r="K8" s="272">
        <f t="shared" si="0"/>
        <v>245617.59401011601</v>
      </c>
      <c r="L8" s="151">
        <f t="shared" ref="L8:L9" si="2">IF(J8=0, "    ---- ", IF(ABS(ROUND(100/J8*K8-100,1))&lt;999,ROUND(100/J8*K8-100,1),IF(ROUND(100/J8*K8-100,1)&gt;999,999,-999)))</f>
        <v>5.5</v>
      </c>
      <c r="M8" s="27">
        <f>IFERROR(100/'Skjema total MA'!I8*K8,0)</f>
        <v>11.663806139088219</v>
      </c>
    </row>
    <row r="9" spans="1:14" ht="15.75" x14ac:dyDescent="0.2">
      <c r="A9" s="21" t="s">
        <v>24</v>
      </c>
      <c r="B9" s="266">
        <v>33641.763767958597</v>
      </c>
      <c r="C9" s="267">
        <v>32880.336963582697</v>
      </c>
      <c r="D9" s="151">
        <f t="shared" si="1"/>
        <v>-2.2999999999999998</v>
      </c>
      <c r="E9" s="27">
        <f>IFERROR(100/'Skjema total MA'!C9*C9,0)</f>
        <v>4.9126570953104736</v>
      </c>
      <c r="F9" s="270"/>
      <c r="G9" s="271"/>
      <c r="H9" s="151"/>
      <c r="I9" s="161"/>
      <c r="J9" s="218">
        <f t="shared" si="0"/>
        <v>33641.763767958597</v>
      </c>
      <c r="K9" s="272">
        <f t="shared" si="0"/>
        <v>32880.336963582697</v>
      </c>
      <c r="L9" s="151">
        <f t="shared" si="2"/>
        <v>-2.2999999999999998</v>
      </c>
      <c r="M9" s="27">
        <f>IFERROR(100/'Skjema total MA'!I9*K9,0)</f>
        <v>4.9126570953104736</v>
      </c>
    </row>
    <row r="10" spans="1:14" ht="15.75" x14ac:dyDescent="0.2">
      <c r="A10" s="13" t="s">
        <v>322</v>
      </c>
      <c r="B10" s="295">
        <v>645608.27252671402</v>
      </c>
      <c r="C10" s="296">
        <v>564205.42667375598</v>
      </c>
      <c r="D10" s="156">
        <f t="shared" si="1"/>
        <v>-12.6</v>
      </c>
      <c r="E10" s="11">
        <f>IFERROR(100/'Skjema total MA'!C10*C10,0)</f>
        <v>4.2615903500520336</v>
      </c>
      <c r="F10" s="295">
        <v>49700943.30675</v>
      </c>
      <c r="G10" s="296">
        <v>60532039.801385</v>
      </c>
      <c r="H10" s="156">
        <f t="shared" ref="H10:H12" si="3">IF(F10=0, "    ---- ", IF(ABS(ROUND(100/F10*G10-100,1))&lt;999,ROUND(100/F10*G10-100,1),IF(ROUND(100/F10*G10-100,1)&gt;999,999,-999)))</f>
        <v>21.8</v>
      </c>
      <c r="I10" s="145">
        <f>IFERROR(100/'Skjema total MA'!F10*G10,0)</f>
        <v>64.550657593418833</v>
      </c>
      <c r="J10" s="293">
        <f t="shared" si="0"/>
        <v>50346551.579276711</v>
      </c>
      <c r="K10" s="294">
        <f t="shared" si="0"/>
        <v>61096245.228058755</v>
      </c>
      <c r="L10" s="405">
        <f t="shared" ref="L10:L12" si="4">IF(J10=0, "    ---- ", IF(ABS(ROUND(100/J10*K10-100,1))&lt;999,ROUND(100/J10*K10-100,1),IF(ROUND(100/J10*K10-100,1)&gt;999,999,-999)))</f>
        <v>21.4</v>
      </c>
      <c r="M10" s="11">
        <f>IFERROR(100/'Skjema total MA'!I10*K10,0)</f>
        <v>57.091936363467866</v>
      </c>
    </row>
    <row r="11" spans="1:14" s="43" customFormat="1" ht="15.75" x14ac:dyDescent="0.2">
      <c r="A11" s="13" t="s">
        <v>323</v>
      </c>
      <c r="B11" s="295"/>
      <c r="C11" s="296"/>
      <c r="D11" s="156"/>
      <c r="E11" s="11"/>
      <c r="F11" s="295">
        <v>52964.682529999998</v>
      </c>
      <c r="G11" s="296">
        <v>88772.450700000001</v>
      </c>
      <c r="H11" s="156">
        <f t="shared" si="3"/>
        <v>67.599999999999994</v>
      </c>
      <c r="I11" s="145">
        <f>IFERROR(100/'Skjema total MA'!F11*G11,0)</f>
        <v>43.608220445181217</v>
      </c>
      <c r="J11" s="293">
        <f t="shared" si="0"/>
        <v>52964.682529999998</v>
      </c>
      <c r="K11" s="294">
        <f t="shared" si="0"/>
        <v>88772.450700000001</v>
      </c>
      <c r="L11" s="405">
        <f t="shared" si="4"/>
        <v>67.599999999999994</v>
      </c>
      <c r="M11" s="11">
        <f>IFERROR(100/'Skjema total MA'!I11*K11,0)</f>
        <v>43.608220445181217</v>
      </c>
      <c r="N11" s="128"/>
    </row>
    <row r="12" spans="1:14" s="43" customFormat="1" ht="15.75" x14ac:dyDescent="0.2">
      <c r="A12" s="41" t="s">
        <v>324</v>
      </c>
      <c r="B12" s="297"/>
      <c r="C12" s="298"/>
      <c r="D12" s="154"/>
      <c r="E12" s="36"/>
      <c r="F12" s="297">
        <v>37203.217449999996</v>
      </c>
      <c r="G12" s="298">
        <v>65311.044580000002</v>
      </c>
      <c r="H12" s="154">
        <f t="shared" si="3"/>
        <v>75.599999999999994</v>
      </c>
      <c r="I12" s="154">
        <f>IFERROR(100/'Skjema total MA'!F12*G12,0)</f>
        <v>30.225735566121028</v>
      </c>
      <c r="J12" s="299">
        <f t="shared" si="0"/>
        <v>37203.217449999996</v>
      </c>
      <c r="K12" s="300">
        <f t="shared" si="0"/>
        <v>65311.044580000002</v>
      </c>
      <c r="L12" s="406">
        <f t="shared" si="4"/>
        <v>75.599999999999994</v>
      </c>
      <c r="M12" s="36">
        <f>IFERROR(100/'Skjema total MA'!I12*K12,0)</f>
        <v>30.225735566121028</v>
      </c>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v>109028.12967537899</v>
      </c>
      <c r="C22" s="295">
        <v>121516.592108813</v>
      </c>
      <c r="D22" s="334">
        <f t="shared" ref="D22:D34" si="5">IF(B22=0, "    ---- ", IF(ABS(ROUND(100/B22*C22-100,1))&lt;999,ROUND(100/B22*C22-100,1),IF(ROUND(100/B22*C22-100,1)&gt;999,999,-999)))</f>
        <v>11.5</v>
      </c>
      <c r="E22" s="11">
        <f>IFERROR(100/'Skjema total MA'!C22*C22,0)</f>
        <v>8.689337642250873</v>
      </c>
      <c r="F22" s="303">
        <v>112836.21464000001</v>
      </c>
      <c r="G22" s="303">
        <v>123147.85874</v>
      </c>
      <c r="H22" s="334">
        <f t="shared" ref="H22:H35" si="6">IF(F22=0, "    ---- ", IF(ABS(ROUND(100/F22*G22-100,1))&lt;999,ROUND(100/F22*G22-100,1),IF(ROUND(100/F22*G22-100,1)&gt;999,999,-999)))</f>
        <v>9.1</v>
      </c>
      <c r="I22" s="11">
        <f>IFERROR(100/'Skjema total MA'!F22*G22,0)</f>
        <v>25.779459855787454</v>
      </c>
      <c r="J22" s="301">
        <f t="shared" ref="J22:K35" si="7">SUM(B22,F22)</f>
        <v>221864.34431537898</v>
      </c>
      <c r="K22" s="301">
        <f t="shared" si="7"/>
        <v>244664.45084881299</v>
      </c>
      <c r="L22" s="404">
        <f t="shared" ref="L22:L35" si="8">IF(J22=0, "    ---- ", IF(ABS(ROUND(100/J22*K22-100,1))&lt;999,ROUND(100/J22*K22-100,1),IF(ROUND(100/J22*K22-100,1)&gt;999,999,-999)))</f>
        <v>10.3</v>
      </c>
      <c r="M22" s="24">
        <f>IFERROR(100/'Skjema total MA'!I22*K22,0)</f>
        <v>13.04074513122927</v>
      </c>
    </row>
    <row r="23" spans="1:14" ht="15.75" x14ac:dyDescent="0.2">
      <c r="A23" s="453" t="s">
        <v>325</v>
      </c>
      <c r="B23" s="266">
        <v>108918.441675379</v>
      </c>
      <c r="C23" s="266">
        <v>121438.07610881299</v>
      </c>
      <c r="D23" s="151">
        <f t="shared" si="5"/>
        <v>11.5</v>
      </c>
      <c r="E23" s="11">
        <f>IFERROR(100/'Skjema total MA'!C23*C23,0)</f>
        <v>13.527104058019765</v>
      </c>
      <c r="F23" s="275">
        <v>1198.538</v>
      </c>
      <c r="G23" s="275">
        <v>969.13400000000001</v>
      </c>
      <c r="H23" s="151">
        <f t="shared" si="6"/>
        <v>-19.100000000000001</v>
      </c>
      <c r="I23" s="394">
        <f>IFERROR(100/'Skjema total MA'!F23*G23,0)</f>
        <v>4.0342882657347028</v>
      </c>
      <c r="J23" s="275">
        <f t="shared" ref="J23:J26" si="9">SUM(B23,F23)</f>
        <v>110116.979675379</v>
      </c>
      <c r="K23" s="275">
        <f t="shared" ref="K23:K26" si="10">SUM(C23,G23)</f>
        <v>122407.210108813</v>
      </c>
      <c r="L23" s="151">
        <f t="shared" si="8"/>
        <v>11.2</v>
      </c>
      <c r="M23" s="23">
        <f>IFERROR(100/'Skjema total MA'!I23*K23,0)</f>
        <v>13.279707604475448</v>
      </c>
    </row>
    <row r="24" spans="1:14" ht="15.75" x14ac:dyDescent="0.2">
      <c r="A24" s="453" t="s">
        <v>326</v>
      </c>
      <c r="B24" s="266">
        <v>109.688</v>
      </c>
      <c r="C24" s="266">
        <v>78.516000000000005</v>
      </c>
      <c r="D24" s="151">
        <f t="shared" si="5"/>
        <v>-28.4</v>
      </c>
      <c r="E24" s="11">
        <f>IFERROR(100/'Skjema total MA'!C24*C24,0)</f>
        <v>1.1252254152429986</v>
      </c>
      <c r="F24" s="275"/>
      <c r="G24" s="275"/>
      <c r="H24" s="151"/>
      <c r="I24" s="394"/>
      <c r="J24" s="275">
        <f t="shared" si="9"/>
        <v>109.688</v>
      </c>
      <c r="K24" s="275">
        <f t="shared" si="10"/>
        <v>78.516000000000005</v>
      </c>
      <c r="L24" s="151">
        <f t="shared" si="8"/>
        <v>-28.4</v>
      </c>
      <c r="M24" s="23">
        <f>IFERROR(100/'Skjema total MA'!I24*K24,0)</f>
        <v>1.0031959392848135</v>
      </c>
    </row>
    <row r="25" spans="1:14" ht="15.75" x14ac:dyDescent="0.2">
      <c r="A25" s="453" t="s">
        <v>327</v>
      </c>
      <c r="B25" s="266"/>
      <c r="C25" s="266"/>
      <c r="D25" s="151"/>
      <c r="E25" s="11"/>
      <c r="F25" s="275">
        <v>445.6</v>
      </c>
      <c r="G25" s="275">
        <v>431.45</v>
      </c>
      <c r="H25" s="151">
        <f t="shared" si="6"/>
        <v>-3.2</v>
      </c>
      <c r="I25" s="394">
        <f>IFERROR(100/'Skjema total MA'!F25*G25,0)</f>
        <v>6.1048121839639222</v>
      </c>
      <c r="J25" s="275">
        <f t="shared" si="9"/>
        <v>445.6</v>
      </c>
      <c r="K25" s="275">
        <f t="shared" si="10"/>
        <v>431.45</v>
      </c>
      <c r="L25" s="151">
        <f t="shared" si="8"/>
        <v>-3.2</v>
      </c>
      <c r="M25" s="23">
        <f>IFERROR(100/'Skjema total MA'!I25*K25,0)</f>
        <v>2.4857151831214219</v>
      </c>
    </row>
    <row r="26" spans="1:14" ht="15.75" x14ac:dyDescent="0.2">
      <c r="A26" s="453" t="s">
        <v>328</v>
      </c>
      <c r="B26" s="266"/>
      <c r="C26" s="266"/>
      <c r="D26" s="151"/>
      <c r="E26" s="11"/>
      <c r="F26" s="275">
        <v>111192.07664</v>
      </c>
      <c r="G26" s="275">
        <v>121747.27473999999</v>
      </c>
      <c r="H26" s="151">
        <f t="shared" si="6"/>
        <v>9.5</v>
      </c>
      <c r="I26" s="394">
        <f>IFERROR(100/'Skjema total MA'!F26*G26,0)</f>
        <v>27.312353539354536</v>
      </c>
      <c r="J26" s="275">
        <f t="shared" si="9"/>
        <v>111192.07664</v>
      </c>
      <c r="K26" s="275">
        <f t="shared" si="10"/>
        <v>121747.27473999999</v>
      </c>
      <c r="L26" s="151">
        <f t="shared" si="8"/>
        <v>9.5</v>
      </c>
      <c r="M26" s="23">
        <f>IFERROR(100/'Skjema total MA'!I26*K26,0)</f>
        <v>27.312353539354536</v>
      </c>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v>112889.34869383799</v>
      </c>
      <c r="C28" s="272">
        <v>125771.105472568</v>
      </c>
      <c r="D28" s="151">
        <f t="shared" si="5"/>
        <v>11.4</v>
      </c>
      <c r="E28" s="11">
        <f>IFERROR(100/'Skjema total MA'!C28*C28,0)</f>
        <v>7.4471474136559239</v>
      </c>
      <c r="F28" s="218"/>
      <c r="G28" s="272"/>
      <c r="H28" s="151"/>
      <c r="I28" s="27"/>
      <c r="J28" s="44">
        <f t="shared" si="7"/>
        <v>112889.34869383799</v>
      </c>
      <c r="K28" s="44">
        <f t="shared" si="7"/>
        <v>125771.105472568</v>
      </c>
      <c r="L28" s="242">
        <f t="shared" si="8"/>
        <v>11.4</v>
      </c>
      <c r="M28" s="23">
        <f>IFERROR(100/'Skjema total MA'!I28*K28,0)</f>
        <v>7.4471474136559239</v>
      </c>
    </row>
    <row r="29" spans="1:14" s="3" customFormat="1" ht="15.75" x14ac:dyDescent="0.2">
      <c r="A29" s="13" t="s">
        <v>322</v>
      </c>
      <c r="B29" s="220">
        <v>3995833.87691649</v>
      </c>
      <c r="C29" s="220">
        <v>4006481.7096369499</v>
      </c>
      <c r="D29" s="156">
        <f t="shared" si="5"/>
        <v>0.3</v>
      </c>
      <c r="E29" s="11">
        <f>IFERROR(100/'Skjema total MA'!C29*C29,0)</f>
        <v>9.1502282431108934</v>
      </c>
      <c r="F29" s="293">
        <v>5803892.9699999997</v>
      </c>
      <c r="G29" s="293">
        <v>6579937.2599999998</v>
      </c>
      <c r="H29" s="156">
        <f t="shared" si="6"/>
        <v>13.4</v>
      </c>
      <c r="I29" s="11">
        <f>IFERROR(100/'Skjema total MA'!F29*G29,0)</f>
        <v>23.107265287985953</v>
      </c>
      <c r="J29" s="220">
        <f t="shared" si="7"/>
        <v>9799726.8469164893</v>
      </c>
      <c r="K29" s="220">
        <f t="shared" si="7"/>
        <v>10586418.969636951</v>
      </c>
      <c r="L29" s="405">
        <f t="shared" si="8"/>
        <v>8</v>
      </c>
      <c r="M29" s="24">
        <f>IFERROR(100/'Skjema total MA'!I29*K29,0)</f>
        <v>14.650209124081986</v>
      </c>
      <c r="N29" s="133"/>
    </row>
    <row r="30" spans="1:14" s="3" customFormat="1" ht="15.75" x14ac:dyDescent="0.2">
      <c r="A30" s="453" t="s">
        <v>325</v>
      </c>
      <c r="B30" s="266">
        <v>518558.08789313398</v>
      </c>
      <c r="C30" s="266">
        <v>461433.23317284801</v>
      </c>
      <c r="D30" s="151">
        <f t="shared" si="5"/>
        <v>-11</v>
      </c>
      <c r="E30" s="11">
        <f>IFERROR(100/'Skjema total MA'!C30*C30,0)</f>
        <v>2.5617714575099892</v>
      </c>
      <c r="F30" s="275">
        <v>390069.49725415802</v>
      </c>
      <c r="G30" s="275">
        <v>388247.14165942202</v>
      </c>
      <c r="H30" s="151">
        <f t="shared" si="6"/>
        <v>-0.5</v>
      </c>
      <c r="I30" s="394">
        <f>IFERROR(100/'Skjema total MA'!F30*G30,0)</f>
        <v>10.305544824377346</v>
      </c>
      <c r="J30" s="275">
        <f t="shared" ref="J30:J33" si="11">SUM(B30,F30)</f>
        <v>908627.585147292</v>
      </c>
      <c r="K30" s="275">
        <f t="shared" ref="K30:K33" si="12">SUM(C30,G30)</f>
        <v>849680.37483226997</v>
      </c>
      <c r="L30" s="151">
        <f t="shared" si="8"/>
        <v>-6.5</v>
      </c>
      <c r="M30" s="23">
        <f>IFERROR(100/'Skjema total MA'!I30*K30,0)</f>
        <v>3.9012611693997821</v>
      </c>
      <c r="N30" s="133"/>
    </row>
    <row r="31" spans="1:14" s="3" customFormat="1" ht="15.75" x14ac:dyDescent="0.2">
      <c r="A31" s="453" t="s">
        <v>326</v>
      </c>
      <c r="B31" s="266">
        <v>2702928.3611676502</v>
      </c>
      <c r="C31" s="266">
        <v>2660044.3463964099</v>
      </c>
      <c r="D31" s="151">
        <f t="shared" si="5"/>
        <v>-1.6</v>
      </c>
      <c r="E31" s="11">
        <f>IFERROR(100/'Skjema total MA'!C31*C31,0)</f>
        <v>11.395996588378964</v>
      </c>
      <c r="F31" s="275">
        <v>695535.35506444401</v>
      </c>
      <c r="G31" s="275">
        <v>687685.93319440703</v>
      </c>
      <c r="H31" s="151">
        <f t="shared" si="6"/>
        <v>-1.1000000000000001</v>
      </c>
      <c r="I31" s="394">
        <f>IFERROR(100/'Skjema total MA'!F31*G31,0)</f>
        <v>8.8679191619529689</v>
      </c>
      <c r="J31" s="275">
        <f t="shared" si="11"/>
        <v>3398463.716232094</v>
      </c>
      <c r="K31" s="275">
        <f t="shared" si="12"/>
        <v>3347730.2795908172</v>
      </c>
      <c r="L31" s="151">
        <f t="shared" si="8"/>
        <v>-1.5</v>
      </c>
      <c r="M31" s="23">
        <f>IFERROR(100/'Skjema total MA'!I31*K31,0)</f>
        <v>10.765555143798805</v>
      </c>
      <c r="N31" s="133"/>
    </row>
    <row r="32" spans="1:14" ht="15.75" x14ac:dyDescent="0.2">
      <c r="A32" s="453" t="s">
        <v>327</v>
      </c>
      <c r="B32" s="266">
        <v>774347.42785570503</v>
      </c>
      <c r="C32" s="266">
        <v>885004.13006769097</v>
      </c>
      <c r="D32" s="151">
        <f t="shared" si="5"/>
        <v>14.3</v>
      </c>
      <c r="E32" s="11">
        <f>IFERROR(100/'Skjema total MA'!C32*C32,0)</f>
        <v>38.170485440947807</v>
      </c>
      <c r="F32" s="275">
        <v>2453227.8864674298</v>
      </c>
      <c r="G32" s="275">
        <v>2683300.68218579</v>
      </c>
      <c r="H32" s="151">
        <f t="shared" si="6"/>
        <v>9.4</v>
      </c>
      <c r="I32" s="394">
        <f>IFERROR(100/'Skjema total MA'!F32*G32,0)</f>
        <v>40.993775673563739</v>
      </c>
      <c r="J32" s="275">
        <f t="shared" si="11"/>
        <v>3227575.3143231347</v>
      </c>
      <c r="K32" s="275">
        <f t="shared" si="12"/>
        <v>3568304.8122534808</v>
      </c>
      <c r="L32" s="151">
        <f t="shared" si="8"/>
        <v>10.6</v>
      </c>
      <c r="M32" s="23">
        <f>IFERROR(100/'Skjema total MA'!I32*K32,0)</f>
        <v>40.255303225715188</v>
      </c>
    </row>
    <row r="33" spans="1:14" ht="15.75" x14ac:dyDescent="0.2">
      <c r="A33" s="453" t="s">
        <v>328</v>
      </c>
      <c r="B33" s="266"/>
      <c r="C33" s="266"/>
      <c r="D33" s="151"/>
      <c r="E33" s="11"/>
      <c r="F33" s="275">
        <v>2265060.2312139701</v>
      </c>
      <c r="G33" s="275">
        <v>2820703.5029603802</v>
      </c>
      <c r="H33" s="151">
        <f t="shared" si="6"/>
        <v>24.5</v>
      </c>
      <c r="I33" s="394">
        <f>IFERROR(100/'Skjema total MA'!F33*G33,0)</f>
        <v>27.101643623417054</v>
      </c>
      <c r="J33" s="275">
        <f t="shared" si="11"/>
        <v>2265060.2312139701</v>
      </c>
      <c r="K33" s="275">
        <f t="shared" si="12"/>
        <v>2820703.5029603802</v>
      </c>
      <c r="L33" s="151">
        <f t="shared" si="8"/>
        <v>24.5</v>
      </c>
      <c r="M33" s="23">
        <f>IFERROR(100/'Skjema total MA'!I33*K33,0)</f>
        <v>27.101643623417054</v>
      </c>
    </row>
    <row r="34" spans="1:14" ht="15.75" x14ac:dyDescent="0.2">
      <c r="A34" s="13" t="s">
        <v>323</v>
      </c>
      <c r="B34" s="220">
        <v>753.56042000000002</v>
      </c>
      <c r="C34" s="294">
        <v>0</v>
      </c>
      <c r="D34" s="156">
        <f t="shared" si="5"/>
        <v>-100</v>
      </c>
      <c r="E34" s="11">
        <f>IFERROR(100/'Skjema total MA'!C34*C34,0)</f>
        <v>0</v>
      </c>
      <c r="F34" s="293">
        <v>11853.714190000001</v>
      </c>
      <c r="G34" s="294">
        <v>29884.88637</v>
      </c>
      <c r="H34" s="156">
        <f t="shared" si="6"/>
        <v>152.1</v>
      </c>
      <c r="I34" s="11">
        <f>IFERROR(100/'Skjema total MA'!F34*G34,0)</f>
        <v>-29.239304688788437</v>
      </c>
      <c r="J34" s="220">
        <f t="shared" si="7"/>
        <v>12607.27461</v>
      </c>
      <c r="K34" s="220">
        <f t="shared" si="7"/>
        <v>29884.88637</v>
      </c>
      <c r="L34" s="405">
        <f t="shared" si="8"/>
        <v>137</v>
      </c>
      <c r="M34" s="24">
        <f>IFERROR(100/'Skjema total MA'!I34*K34,0)</f>
        <v>-32.881082198183634</v>
      </c>
    </row>
    <row r="35" spans="1:14" ht="15.75" x14ac:dyDescent="0.2">
      <c r="A35" s="13" t="s">
        <v>324</v>
      </c>
      <c r="B35" s="220"/>
      <c r="C35" s="294"/>
      <c r="D35" s="156"/>
      <c r="E35" s="11"/>
      <c r="F35" s="293">
        <v>19288.149669999999</v>
      </c>
      <c r="G35" s="294">
        <v>28897.262849999999</v>
      </c>
      <c r="H35" s="156">
        <f t="shared" si="6"/>
        <v>49.8</v>
      </c>
      <c r="I35" s="11">
        <f>IFERROR(100/'Skjema total MA'!F35*G35,0)</f>
        <v>26.321828810571485</v>
      </c>
      <c r="J35" s="220">
        <f t="shared" si="7"/>
        <v>19288.149669999999</v>
      </c>
      <c r="K35" s="220">
        <f t="shared" si="7"/>
        <v>28897.262849999999</v>
      </c>
      <c r="L35" s="405">
        <f t="shared" si="8"/>
        <v>49.8</v>
      </c>
      <c r="M35" s="24">
        <f>IFERROR(100/'Skjema total MA'!I35*K35,0)</f>
        <v>-35.03925467760574</v>
      </c>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c r="C47" s="296"/>
      <c r="D47" s="404"/>
      <c r="E47" s="11"/>
      <c r="F47" s="130"/>
      <c r="G47" s="33"/>
      <c r="H47" s="144"/>
      <c r="I47" s="144"/>
      <c r="J47" s="37"/>
      <c r="K47" s="37"/>
      <c r="L47" s="144"/>
      <c r="M47" s="144"/>
      <c r="N47" s="133"/>
    </row>
    <row r="48" spans="1:14" s="3" customFormat="1" ht="15.75" x14ac:dyDescent="0.2">
      <c r="A48" s="38" t="s">
        <v>333</v>
      </c>
      <c r="B48" s="266"/>
      <c r="C48" s="267"/>
      <c r="D48" s="242"/>
      <c r="E48" s="27"/>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v>671424</v>
      </c>
      <c r="C66" s="337">
        <v>699300</v>
      </c>
      <c r="D66" s="334">
        <f t="shared" ref="D66:D109" si="13">IF(B66=0, "    ---- ", IF(ABS(ROUND(100/B66*C66-100,1))&lt;999,ROUND(100/B66*C66-100,1),IF(ROUND(100/B66*C66-100,1)&gt;999,999,-999)))</f>
        <v>4.2</v>
      </c>
      <c r="E66" s="11">
        <f>IFERROR(100/'Skjema total MA'!C66*C66,0)</f>
        <v>14.318586012544829</v>
      </c>
      <c r="F66" s="336">
        <v>3873201.4190000002</v>
      </c>
      <c r="G66" s="336">
        <v>4233425.4060000004</v>
      </c>
      <c r="H66" s="334">
        <f t="shared" ref="H66:H111" si="14">IF(F66=0, "    ---- ", IF(ABS(ROUND(100/F66*G66-100,1))&lt;999,ROUND(100/F66*G66-100,1),IF(ROUND(100/F66*G66-100,1)&gt;999,999,-999)))</f>
        <v>9.3000000000000007</v>
      </c>
      <c r="I66" s="11">
        <f>IFERROR(100/'Skjema total MA'!F66*G66,0)</f>
        <v>16.113386455602605</v>
      </c>
      <c r="J66" s="294">
        <f t="shared" ref="J66:K86" si="15">SUM(B66,F66)</f>
        <v>4544625.4189999998</v>
      </c>
      <c r="K66" s="301">
        <f t="shared" si="15"/>
        <v>4932725.4060000004</v>
      </c>
      <c r="L66" s="405">
        <f t="shared" ref="L66:L111" si="16">IF(J66=0, "    ---- ", IF(ABS(ROUND(100/J66*K66-100,1))&lt;999,ROUND(100/J66*K66-100,1),IF(ROUND(100/J66*K66-100,1)&gt;999,999,-999)))</f>
        <v>8.5</v>
      </c>
      <c r="M66" s="11">
        <f>IFERROR(100/'Skjema total MA'!I66*K66,0)</f>
        <v>15.832047603763687</v>
      </c>
    </row>
    <row r="67" spans="1:14" x14ac:dyDescent="0.2">
      <c r="A67" s="396" t="s">
        <v>9</v>
      </c>
      <c r="B67" s="44">
        <v>469592.88685459498</v>
      </c>
      <c r="C67" s="130">
        <v>464855.945338374</v>
      </c>
      <c r="D67" s="151">
        <f t="shared" si="13"/>
        <v>-1</v>
      </c>
      <c r="E67" s="27">
        <f>IFERROR(100/'Skjema total MA'!C67*C67,0)</f>
        <v>16.030039913691649</v>
      </c>
      <c r="F67" s="218"/>
      <c r="G67" s="130"/>
      <c r="H67" s="151"/>
      <c r="I67" s="27"/>
      <c r="J67" s="272">
        <f t="shared" si="15"/>
        <v>469592.88685459498</v>
      </c>
      <c r="K67" s="44">
        <f t="shared" si="15"/>
        <v>464855.945338374</v>
      </c>
      <c r="L67" s="242">
        <f t="shared" si="16"/>
        <v>-1</v>
      </c>
      <c r="M67" s="27">
        <f>IFERROR(100/'Skjema total MA'!I67*K67,0)</f>
        <v>16.030039913691649</v>
      </c>
    </row>
    <row r="68" spans="1:14" x14ac:dyDescent="0.2">
      <c r="A68" s="21" t="s">
        <v>10</v>
      </c>
      <c r="B68" s="277">
        <v>879</v>
      </c>
      <c r="C68" s="278">
        <v>409</v>
      </c>
      <c r="D68" s="151">
        <f t="shared" si="13"/>
        <v>-53.5</v>
      </c>
      <c r="E68" s="27">
        <f>IFERROR(100/'Skjema total MA'!C68*C68,0)</f>
        <v>2.4137270880836419</v>
      </c>
      <c r="F68" s="277">
        <v>3873201.4190000002</v>
      </c>
      <c r="G68" s="278">
        <v>4233425.4060000004</v>
      </c>
      <c r="H68" s="151">
        <f t="shared" si="14"/>
        <v>9.3000000000000007</v>
      </c>
      <c r="I68" s="27">
        <f>IFERROR(100/'Skjema total MA'!F68*G68,0)</f>
        <v>16.768614391249219</v>
      </c>
      <c r="J68" s="272">
        <f t="shared" si="15"/>
        <v>3874080.4190000002</v>
      </c>
      <c r="K68" s="44">
        <f t="shared" si="15"/>
        <v>4233834.4060000004</v>
      </c>
      <c r="L68" s="242">
        <f t="shared" si="16"/>
        <v>9.3000000000000007</v>
      </c>
      <c r="M68" s="27">
        <f>IFERROR(100/'Skjema total MA'!I68*K68,0)</f>
        <v>16.758986109196243</v>
      </c>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v>200952.11314540499</v>
      </c>
      <c r="C76" s="130">
        <v>234035.054661626</v>
      </c>
      <c r="D76" s="151">
        <f t="shared" ref="D76" si="17">IF(B76=0, "    ---- ", IF(ABS(ROUND(100/B76*C76-100,1))&lt;999,ROUND(100/B76*C76-100,1),IF(ROUND(100/B76*C76-100,1)&gt;999,999,-999)))</f>
        <v>16.5</v>
      </c>
      <c r="E76" s="27">
        <f>IFERROR(100/'Skjema total MA'!C77*C76,0)</f>
        <v>8.2210613155752323</v>
      </c>
      <c r="F76" s="218"/>
      <c r="G76" s="130"/>
      <c r="H76" s="151"/>
      <c r="I76" s="27"/>
      <c r="J76" s="272">
        <f t="shared" ref="J76" si="18">SUM(B76,F76)</f>
        <v>200952.11314540499</v>
      </c>
      <c r="K76" s="44">
        <f t="shared" ref="K76" si="19">SUM(C76,G76)</f>
        <v>234035.054661626</v>
      </c>
      <c r="L76" s="242">
        <f t="shared" ref="L76" si="20">IF(J76=0, "    ---- ", IF(ABS(ROUND(100/J76*K76-100,1))&lt;999,ROUND(100/J76*K76-100,1),IF(ROUND(100/J76*K76-100,1)&gt;999,999,-999)))</f>
        <v>16.5</v>
      </c>
      <c r="M76" s="27">
        <f>IFERROR(100/'Skjema total MA'!I77*K76,0)</f>
        <v>0.83327060365672201</v>
      </c>
      <c r="N76" s="133"/>
    </row>
    <row r="77" spans="1:14" ht="15.75" x14ac:dyDescent="0.2">
      <c r="A77" s="21" t="s">
        <v>339</v>
      </c>
      <c r="B77" s="218">
        <v>464599.46485459502</v>
      </c>
      <c r="C77" s="218">
        <v>460198.92733837402</v>
      </c>
      <c r="D77" s="151">
        <f t="shared" si="13"/>
        <v>-0.9</v>
      </c>
      <c r="E77" s="27">
        <f>IFERROR(100/'Skjema total MA'!C77*C77,0)</f>
        <v>16.165627856394217</v>
      </c>
      <c r="F77" s="218">
        <v>3871688.9509999999</v>
      </c>
      <c r="G77" s="130">
        <v>4231874.9859999996</v>
      </c>
      <c r="H77" s="151">
        <f t="shared" si="14"/>
        <v>9.3000000000000007</v>
      </c>
      <c r="I77" s="27">
        <f>IFERROR(100/'Skjema total MA'!F77*G77,0)</f>
        <v>16.766842375483471</v>
      </c>
      <c r="J77" s="272">
        <f t="shared" si="15"/>
        <v>4336288.4158545947</v>
      </c>
      <c r="K77" s="44">
        <f t="shared" si="15"/>
        <v>4692073.9133383734</v>
      </c>
      <c r="L77" s="242">
        <f t="shared" si="16"/>
        <v>8.1999999999999993</v>
      </c>
      <c r="M77" s="27">
        <f>IFERROR(100/'Skjema total MA'!I77*K77,0)</f>
        <v>16.705904454451357</v>
      </c>
    </row>
    <row r="78" spans="1:14" x14ac:dyDescent="0.2">
      <c r="A78" s="21" t="s">
        <v>9</v>
      </c>
      <c r="B78" s="218">
        <v>463720.46485459502</v>
      </c>
      <c r="C78" s="130">
        <v>459789.92733837402</v>
      </c>
      <c r="D78" s="151">
        <f t="shared" si="13"/>
        <v>-0.8</v>
      </c>
      <c r="E78" s="27">
        <f>IFERROR(100/'Skjema total MA'!C78*C78,0)</f>
        <v>16.247972927217898</v>
      </c>
      <c r="F78" s="218"/>
      <c r="G78" s="130"/>
      <c r="H78" s="151"/>
      <c r="I78" s="27"/>
      <c r="J78" s="272">
        <f t="shared" si="15"/>
        <v>463720.46485459502</v>
      </c>
      <c r="K78" s="44">
        <f t="shared" si="15"/>
        <v>459789.92733837402</v>
      </c>
      <c r="L78" s="242">
        <f t="shared" si="16"/>
        <v>-0.8</v>
      </c>
      <c r="M78" s="27">
        <f>IFERROR(100/'Skjema total MA'!I78*K78,0)</f>
        <v>16.247972927217898</v>
      </c>
    </row>
    <row r="79" spans="1:14" x14ac:dyDescent="0.2">
      <c r="A79" s="38" t="s">
        <v>368</v>
      </c>
      <c r="B79" s="277">
        <v>879</v>
      </c>
      <c r="C79" s="278">
        <v>409</v>
      </c>
      <c r="D79" s="151">
        <f t="shared" si="13"/>
        <v>-53.5</v>
      </c>
      <c r="E79" s="27">
        <f>IFERROR(100/'Skjema total MA'!C79*C79,0)</f>
        <v>2.4137270880836419</v>
      </c>
      <c r="F79" s="277">
        <v>3871688.9509999999</v>
      </c>
      <c r="G79" s="278">
        <v>4231874.9859999996</v>
      </c>
      <c r="H79" s="151">
        <f t="shared" si="14"/>
        <v>9.3000000000000007</v>
      </c>
      <c r="I79" s="27">
        <f>IFERROR(100/'Skjema total MA'!F79*G79,0)</f>
        <v>16.766842375483471</v>
      </c>
      <c r="J79" s="272">
        <f t="shared" si="15"/>
        <v>3872567.9509999999</v>
      </c>
      <c r="K79" s="44">
        <f t="shared" si="15"/>
        <v>4232283.9859999996</v>
      </c>
      <c r="L79" s="242">
        <f t="shared" si="16"/>
        <v>9.3000000000000007</v>
      </c>
      <c r="M79" s="27">
        <f>IFERROR(100/'Skjema total MA'!I79*K79,0)</f>
        <v>16.757212774322305</v>
      </c>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v>5872.5240000000003</v>
      </c>
      <c r="C86" s="130">
        <v>5066.1220000000003</v>
      </c>
      <c r="D86" s="151">
        <f t="shared" si="13"/>
        <v>-13.7</v>
      </c>
      <c r="E86" s="27">
        <f>IFERROR(100/'Skjema total MA'!C86*C86,0)</f>
        <v>7.2294959642874348</v>
      </c>
      <c r="F86" s="218">
        <v>1512.4680000000001</v>
      </c>
      <c r="G86" s="130">
        <v>1550.42</v>
      </c>
      <c r="H86" s="151">
        <f t="shared" si="14"/>
        <v>2.5</v>
      </c>
      <c r="I86" s="27">
        <f>IFERROR(100/'Skjema total MA'!F86*G86,0)</f>
        <v>23.566962050445174</v>
      </c>
      <c r="J86" s="272">
        <f t="shared" si="15"/>
        <v>7384.9920000000002</v>
      </c>
      <c r="K86" s="44">
        <f t="shared" si="15"/>
        <v>6616.5420000000004</v>
      </c>
      <c r="L86" s="242">
        <f t="shared" si="16"/>
        <v>-10.4</v>
      </c>
      <c r="M86" s="27">
        <f>IFERROR(100/'Skjema total MA'!I86*K86,0)</f>
        <v>8.6316402888988328</v>
      </c>
    </row>
    <row r="87" spans="1:13" ht="15.75" x14ac:dyDescent="0.2">
      <c r="A87" s="13" t="s">
        <v>322</v>
      </c>
      <c r="B87" s="337">
        <v>50125477.850554265</v>
      </c>
      <c r="C87" s="337">
        <v>50107252.863688305</v>
      </c>
      <c r="D87" s="156">
        <f t="shared" si="13"/>
        <v>0</v>
      </c>
      <c r="E87" s="11">
        <f>IFERROR(100/'Skjema total MA'!C87*C87,0)</f>
        <v>12.403900082030322</v>
      </c>
      <c r="F87" s="336">
        <v>81752913.723250002</v>
      </c>
      <c r="G87" s="336">
        <v>100462472.93861499</v>
      </c>
      <c r="H87" s="156">
        <f t="shared" si="14"/>
        <v>22.9</v>
      </c>
      <c r="I87" s="11">
        <f>IFERROR(100/'Skjema total MA'!F87*G87,0)</f>
        <v>16.39729822836642</v>
      </c>
      <c r="J87" s="294">
        <f t="shared" ref="J87:K111" si="21">SUM(B87,F87)</f>
        <v>131878391.57380426</v>
      </c>
      <c r="K87" s="220">
        <f t="shared" si="21"/>
        <v>150569725.80230331</v>
      </c>
      <c r="L87" s="405">
        <f t="shared" si="16"/>
        <v>14.2</v>
      </c>
      <c r="M87" s="11">
        <f>IFERROR(100/'Skjema total MA'!I87*K87,0)</f>
        <v>14.810515510643059</v>
      </c>
    </row>
    <row r="88" spans="1:13" x14ac:dyDescent="0.2">
      <c r="A88" s="21" t="s">
        <v>9</v>
      </c>
      <c r="B88" s="218">
        <v>48349734.810361698</v>
      </c>
      <c r="C88" s="130">
        <v>48157767.241044</v>
      </c>
      <c r="D88" s="151">
        <f t="shared" si="13"/>
        <v>-0.4</v>
      </c>
      <c r="E88" s="27">
        <f>IFERROR(100/'Skjema total MA'!C88*C88,0)</f>
        <v>12.53682510996552</v>
      </c>
      <c r="F88" s="218"/>
      <c r="G88" s="130"/>
      <c r="H88" s="151"/>
      <c r="I88" s="27"/>
      <c r="J88" s="272">
        <f t="shared" si="21"/>
        <v>48349734.810361698</v>
      </c>
      <c r="K88" s="44">
        <f t="shared" si="21"/>
        <v>48157767.241044</v>
      </c>
      <c r="L88" s="242">
        <f t="shared" si="16"/>
        <v>-0.4</v>
      </c>
      <c r="M88" s="27">
        <f>IFERROR(100/'Skjema total MA'!I88*K88,0)</f>
        <v>12.53682510996552</v>
      </c>
    </row>
    <row r="89" spans="1:13" x14ac:dyDescent="0.2">
      <c r="A89" s="21" t="s">
        <v>10</v>
      </c>
      <c r="B89" s="218">
        <v>1437399.87619257</v>
      </c>
      <c r="C89" s="130">
        <v>1614007.2166442999</v>
      </c>
      <c r="D89" s="151">
        <f t="shared" si="13"/>
        <v>12.3</v>
      </c>
      <c r="E89" s="27">
        <f>IFERROR(100/'Skjema total MA'!C89*C89,0)</f>
        <v>67.398206464957411</v>
      </c>
      <c r="F89" s="218">
        <v>81752913.723250002</v>
      </c>
      <c r="G89" s="130">
        <v>100462472.93861499</v>
      </c>
      <c r="H89" s="151">
        <f t="shared" si="14"/>
        <v>22.9</v>
      </c>
      <c r="I89" s="27">
        <f>IFERROR(100/'Skjema total MA'!F89*G89,0)</f>
        <v>16.648772471613285</v>
      </c>
      <c r="J89" s="272">
        <f t="shared" si="21"/>
        <v>83190313.599442571</v>
      </c>
      <c r="K89" s="44">
        <f t="shared" si="21"/>
        <v>102076480.1552593</v>
      </c>
      <c r="L89" s="242">
        <f t="shared" si="16"/>
        <v>22.7</v>
      </c>
      <c r="M89" s="27">
        <f>IFERROR(100/'Skjema total MA'!I89*K89,0)</f>
        <v>16.84937969481383</v>
      </c>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v>338343.16399999999</v>
      </c>
      <c r="C97" s="130">
        <v>335478.40600000002</v>
      </c>
      <c r="D97" s="151">
        <f t="shared" ref="D97" si="22">IF(B97=0, "    ---- ", IF(ABS(ROUND(100/B97*C97-100,1))&lt;999,ROUND(100/B97*C97-100,1),IF(ROUND(100/B97*C97-100,1)&gt;999,999,-999)))</f>
        <v>-0.8</v>
      </c>
      <c r="E97" s="27">
        <f>IFERROR(100/'Skjema total MA'!C98*C97,0)</f>
        <v>8.77678259958177E-2</v>
      </c>
      <c r="F97" s="218"/>
      <c r="G97" s="130"/>
      <c r="H97" s="151"/>
      <c r="I97" s="27"/>
      <c r="J97" s="272">
        <f t="shared" ref="J97" si="23">SUM(B97,F97)</f>
        <v>338343.16399999999</v>
      </c>
      <c r="K97" s="44">
        <f t="shared" ref="K97" si="24">SUM(C97,G97)</f>
        <v>335478.40600000002</v>
      </c>
      <c r="L97" s="242">
        <f t="shared" ref="L97" si="25">IF(J97=0, "    ---- ", IF(ABS(ROUND(100/J97*K97-100,1))&lt;999,ROUND(100/J97*K97-100,1),IF(ROUND(100/J97*K97-100,1)&gt;999,999,-999)))</f>
        <v>-0.8</v>
      </c>
      <c r="M97" s="27">
        <f>IFERROR(100/'Skjema total MA'!I98*K97,0)</f>
        <v>3.4050007184031013E-2</v>
      </c>
    </row>
    <row r="98" spans="1:13" ht="15.75" x14ac:dyDescent="0.2">
      <c r="A98" s="21" t="s">
        <v>339</v>
      </c>
      <c r="B98" s="218">
        <v>49770877.108554266</v>
      </c>
      <c r="C98" s="218">
        <v>49755517.191688299</v>
      </c>
      <c r="D98" s="151">
        <f t="shared" si="13"/>
        <v>0</v>
      </c>
      <c r="E98" s="27">
        <f>IFERROR(100/'Skjema total MA'!C98*C98,0)</f>
        <v>13.01703327877388</v>
      </c>
      <c r="F98" s="277">
        <v>81737811.357250005</v>
      </c>
      <c r="G98" s="277">
        <v>100445825.124615</v>
      </c>
      <c r="H98" s="151">
        <f t="shared" si="14"/>
        <v>22.9</v>
      </c>
      <c r="I98" s="27">
        <f>IFERROR(100/'Skjema total MA'!F98*G98,0)</f>
        <v>16.657180764343021</v>
      </c>
      <c r="J98" s="272">
        <f t="shared" si="21"/>
        <v>131508688.46580428</v>
      </c>
      <c r="K98" s="44">
        <f t="shared" si="21"/>
        <v>150201342.31630331</v>
      </c>
      <c r="L98" s="242">
        <f t="shared" si="16"/>
        <v>14.2</v>
      </c>
      <c r="M98" s="27">
        <f>IFERROR(100/'Skjema total MA'!I98*K98,0)</f>
        <v>15.244965677228207</v>
      </c>
    </row>
    <row r="99" spans="1:13" x14ac:dyDescent="0.2">
      <c r="A99" s="21" t="s">
        <v>9</v>
      </c>
      <c r="B99" s="277">
        <v>48333477.232361697</v>
      </c>
      <c r="C99" s="278">
        <v>48141509.975043997</v>
      </c>
      <c r="D99" s="151">
        <f t="shared" si="13"/>
        <v>-0.4</v>
      </c>
      <c r="E99" s="27">
        <f>IFERROR(100/'Skjema total MA'!C99*C99,0)</f>
        <v>12.67418187487433</v>
      </c>
      <c r="F99" s="218"/>
      <c r="G99" s="130"/>
      <c r="H99" s="151"/>
      <c r="I99" s="27"/>
      <c r="J99" s="272">
        <f t="shared" si="21"/>
        <v>48333477.232361697</v>
      </c>
      <c r="K99" s="44">
        <f t="shared" si="21"/>
        <v>48141509.975043997</v>
      </c>
      <c r="L99" s="242">
        <f t="shared" si="16"/>
        <v>-0.4</v>
      </c>
      <c r="M99" s="27">
        <f>IFERROR(100/'Skjema total MA'!I99*K99,0)</f>
        <v>12.67418187487433</v>
      </c>
    </row>
    <row r="100" spans="1:13" x14ac:dyDescent="0.2">
      <c r="A100" s="38" t="s">
        <v>368</v>
      </c>
      <c r="B100" s="277">
        <v>1437399.87619257</v>
      </c>
      <c r="C100" s="278">
        <v>1614007.2166442999</v>
      </c>
      <c r="D100" s="151">
        <f t="shared" si="13"/>
        <v>12.3</v>
      </c>
      <c r="E100" s="27">
        <f>IFERROR(100/'Skjema total MA'!C100*C100,0)</f>
        <v>67.398206464957411</v>
      </c>
      <c r="F100" s="218">
        <v>81737811.357250005</v>
      </c>
      <c r="G100" s="218">
        <v>100445825.124615</v>
      </c>
      <c r="H100" s="151">
        <f t="shared" si="14"/>
        <v>22.9</v>
      </c>
      <c r="I100" s="27">
        <f>IFERROR(100/'Skjema total MA'!F100*G100,0)</f>
        <v>16.657180764343021</v>
      </c>
      <c r="J100" s="272">
        <f t="shared" si="21"/>
        <v>83175211.233442575</v>
      </c>
      <c r="K100" s="44">
        <f t="shared" si="21"/>
        <v>102059832.3412593</v>
      </c>
      <c r="L100" s="242">
        <f t="shared" si="16"/>
        <v>22.7</v>
      </c>
      <c r="M100" s="27">
        <f>IFERROR(100/'Skjema total MA'!I100*K100,0)</f>
        <v>16.857888775804685</v>
      </c>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v>16257.578</v>
      </c>
      <c r="C107" s="130">
        <v>16257.266</v>
      </c>
      <c r="D107" s="151">
        <f t="shared" si="13"/>
        <v>0</v>
      </c>
      <c r="E107" s="27">
        <f>IFERROR(100/'Skjema total MA'!C107*C107,0)</f>
        <v>0.37884289396769205</v>
      </c>
      <c r="F107" s="218">
        <v>15102.366</v>
      </c>
      <c r="G107" s="130">
        <v>16647.813999999998</v>
      </c>
      <c r="H107" s="151">
        <f t="shared" si="14"/>
        <v>10.199999999999999</v>
      </c>
      <c r="I107" s="27">
        <f>IFERROR(100/'Skjema total MA'!F107*G107,0)</f>
        <v>4.1152183300322225</v>
      </c>
      <c r="J107" s="272">
        <f t="shared" si="21"/>
        <v>31359.944</v>
      </c>
      <c r="K107" s="44">
        <f t="shared" si="21"/>
        <v>32905.08</v>
      </c>
      <c r="L107" s="242">
        <f t="shared" si="16"/>
        <v>4.9000000000000004</v>
      </c>
      <c r="M107" s="27">
        <f>IFERROR(100/'Skjema total MA'!I107*K107,0)</f>
        <v>0.70072865885118729</v>
      </c>
    </row>
    <row r="108" spans="1:13" ht="15.75" x14ac:dyDescent="0.2">
      <c r="A108" s="21" t="s">
        <v>341</v>
      </c>
      <c r="B108" s="218">
        <v>38863756.520528398</v>
      </c>
      <c r="C108" s="218">
        <v>39869371.65253</v>
      </c>
      <c r="D108" s="151">
        <f t="shared" si="13"/>
        <v>2.6</v>
      </c>
      <c r="E108" s="27">
        <f>IFERROR(100/'Skjema total MA'!C108*C108,0)</f>
        <v>12.031334136058172</v>
      </c>
      <c r="F108" s="218"/>
      <c r="G108" s="218"/>
      <c r="H108" s="151"/>
      <c r="I108" s="27"/>
      <c r="J108" s="272">
        <f t="shared" si="21"/>
        <v>38863756.520528398</v>
      </c>
      <c r="K108" s="44">
        <f t="shared" si="21"/>
        <v>39869371.65253</v>
      </c>
      <c r="L108" s="242">
        <f t="shared" si="16"/>
        <v>2.6</v>
      </c>
      <c r="M108" s="27">
        <f>IFERROR(100/'Skjema total MA'!I108*K108,0)</f>
        <v>11.269164920297923</v>
      </c>
    </row>
    <row r="109" spans="1:13" ht="15.75" x14ac:dyDescent="0.2">
      <c r="A109" s="38" t="s">
        <v>382</v>
      </c>
      <c r="B109" s="218">
        <v>1084557.1209467701</v>
      </c>
      <c r="C109" s="218">
        <v>1207917.2678048401</v>
      </c>
      <c r="D109" s="151">
        <f t="shared" si="13"/>
        <v>11.4</v>
      </c>
      <c r="E109" s="27">
        <f>IFERROR(100/'Skjema total MA'!C109*C109,0)</f>
        <v>51.474427025857153</v>
      </c>
      <c r="F109" s="218">
        <v>33188602.763</v>
      </c>
      <c r="G109" s="218">
        <v>42424098.567819998</v>
      </c>
      <c r="H109" s="151">
        <f t="shared" si="14"/>
        <v>27.8</v>
      </c>
      <c r="I109" s="27">
        <f>IFERROR(100/'Skjema total MA'!F109*G109,0)</f>
        <v>18.605447016875683</v>
      </c>
      <c r="J109" s="272">
        <f t="shared" si="21"/>
        <v>34273159.883946769</v>
      </c>
      <c r="K109" s="44">
        <f t="shared" si="21"/>
        <v>43632015.835624836</v>
      </c>
      <c r="L109" s="242">
        <f t="shared" si="16"/>
        <v>27.3</v>
      </c>
      <c r="M109" s="27">
        <f>IFERROR(100/'Skjema total MA'!I109*K109,0)</f>
        <v>18.940268055194498</v>
      </c>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v>7649063.0599999996</v>
      </c>
      <c r="G111" s="144">
        <v>5834428.2609999999</v>
      </c>
      <c r="H111" s="156">
        <f t="shared" si="14"/>
        <v>-23.7</v>
      </c>
      <c r="I111" s="11">
        <f>IFERROR(100/'Skjema total MA'!F111*G111,0)</f>
        <v>22.13394991521335</v>
      </c>
      <c r="J111" s="294">
        <f t="shared" si="21"/>
        <v>7649063.0599999996</v>
      </c>
      <c r="K111" s="220">
        <f t="shared" si="21"/>
        <v>5834428.2609999999</v>
      </c>
      <c r="L111" s="405">
        <f t="shared" si="16"/>
        <v>-23.7</v>
      </c>
      <c r="M111" s="11">
        <f>IFERROR(100/'Skjema total MA'!I111*K111,0)</f>
        <v>21.854271919521985</v>
      </c>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v>7649063.0599999996</v>
      </c>
      <c r="G113" s="130">
        <v>5834428.2609999999</v>
      </c>
      <c r="H113" s="151">
        <f t="shared" ref="H113:H125" si="26">IF(F113=0, "    ---- ", IF(ABS(ROUND(100/F113*G113-100,1))&lt;999,ROUND(100/F113*G113-100,1),IF(ROUND(100/F113*G113-100,1)&gt;999,999,-999)))</f>
        <v>-23.7</v>
      </c>
      <c r="I113" s="27">
        <f>IFERROR(100/'Skjema total MA'!F113*G113,0)</f>
        <v>22.134775872901233</v>
      </c>
      <c r="J113" s="272">
        <f t="shared" ref="J113:K125" si="27">SUM(B113,F113)</f>
        <v>7649063.0599999996</v>
      </c>
      <c r="K113" s="44">
        <f t="shared" si="27"/>
        <v>5834428.2609999999</v>
      </c>
      <c r="L113" s="242">
        <f t="shared" ref="L113:L125" si="28">IF(J113=0, "    ---- ", IF(ABS(ROUND(100/J113*K113-100,1))&lt;999,ROUND(100/J113*K113-100,1),IF(ROUND(100/J113*K113-100,1)&gt;999,999,-999)))</f>
        <v>-23.7</v>
      </c>
      <c r="M113" s="27">
        <f>IFERROR(100/'Skjema total MA'!I113*K113,0)</f>
        <v>22.134775872901233</v>
      </c>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v>4397728.9179999996</v>
      </c>
      <c r="G117" s="218">
        <v>3425127.1009999998</v>
      </c>
      <c r="H117" s="151">
        <f t="shared" si="26"/>
        <v>-22.1</v>
      </c>
      <c r="I117" s="27">
        <f>IFERROR(100/'Skjema total MA'!F117*G117,0)</f>
        <v>24.732020761997621</v>
      </c>
      <c r="J117" s="272">
        <f t="shared" si="27"/>
        <v>4397728.9179999996</v>
      </c>
      <c r="K117" s="44">
        <f t="shared" si="27"/>
        <v>3425127.1009999998</v>
      </c>
      <c r="L117" s="242">
        <f t="shared" si="28"/>
        <v>-22.1</v>
      </c>
      <c r="M117" s="27">
        <f>IFERROR(100/'Skjema total MA'!I117*K117,0)</f>
        <v>24.732020761997621</v>
      </c>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v>77177.845880000896</v>
      </c>
      <c r="C119" s="144">
        <v>14590.871569999499</v>
      </c>
      <c r="D119" s="156">
        <f t="shared" ref="D119:D120" si="29">IF(B119=0, "    ---- ", IF(ABS(ROUND(100/B119*C119-100,1))&lt;999,ROUND(100/B119*C119-100,1),IF(ROUND(100/B119*C119-100,1)&gt;999,999,-999)))</f>
        <v>-81.099999999999994</v>
      </c>
      <c r="E119" s="11">
        <f>IFERROR(100/'Skjema total MA'!C119*C119,0)</f>
        <v>8.5330446296708224</v>
      </c>
      <c r="F119" s="293">
        <v>4441330.7869999995</v>
      </c>
      <c r="G119" s="144">
        <v>5667200.8210000005</v>
      </c>
      <c r="H119" s="156">
        <f t="shared" si="26"/>
        <v>27.6</v>
      </c>
      <c r="I119" s="11">
        <f>IFERROR(100/'Skjema total MA'!F119*G119,0)</f>
        <v>19.480534480482522</v>
      </c>
      <c r="J119" s="294">
        <f t="shared" si="27"/>
        <v>4518508.6328800004</v>
      </c>
      <c r="K119" s="220">
        <f t="shared" si="27"/>
        <v>5681791.69257</v>
      </c>
      <c r="L119" s="405">
        <f t="shared" si="28"/>
        <v>25.7</v>
      </c>
      <c r="M119" s="11">
        <f>IFERROR(100/'Skjema total MA'!I119*K119,0)</f>
        <v>19.416564113432056</v>
      </c>
    </row>
    <row r="120" spans="1:14" x14ac:dyDescent="0.2">
      <c r="A120" s="21" t="s">
        <v>9</v>
      </c>
      <c r="B120" s="218">
        <v>77177.845880000896</v>
      </c>
      <c r="C120" s="130">
        <v>14590.871569999499</v>
      </c>
      <c r="D120" s="151">
        <f t="shared" si="29"/>
        <v>-81.099999999999994</v>
      </c>
      <c r="E120" s="27">
        <f>IFERROR(100/'Skjema total MA'!C120*C120,0)</f>
        <v>15.723409891214427</v>
      </c>
      <c r="F120" s="218"/>
      <c r="G120" s="130"/>
      <c r="H120" s="151"/>
      <c r="I120" s="27"/>
      <c r="J120" s="272">
        <f t="shared" si="27"/>
        <v>77177.845880000896</v>
      </c>
      <c r="K120" s="44">
        <f t="shared" si="27"/>
        <v>14590.871569999499</v>
      </c>
      <c r="L120" s="242">
        <f t="shared" si="28"/>
        <v>-81.099999999999994</v>
      </c>
      <c r="M120" s="27">
        <f>IFERROR(100/'Skjema total MA'!I120*K120,0)</f>
        <v>15.723409891214427</v>
      </c>
    </row>
    <row r="121" spans="1:14" x14ac:dyDescent="0.2">
      <c r="A121" s="21" t="s">
        <v>10</v>
      </c>
      <c r="B121" s="218"/>
      <c r="C121" s="130"/>
      <c r="D121" s="151"/>
      <c r="E121" s="27"/>
      <c r="F121" s="218">
        <v>4441330.7869999995</v>
      </c>
      <c r="G121" s="130">
        <v>5667200.8210000005</v>
      </c>
      <c r="H121" s="151">
        <f t="shared" si="26"/>
        <v>27.6</v>
      </c>
      <c r="I121" s="27">
        <f>IFERROR(100/'Skjema total MA'!F121*G121,0)</f>
        <v>19.480534480482522</v>
      </c>
      <c r="J121" s="272">
        <f t="shared" si="27"/>
        <v>4441330.7869999995</v>
      </c>
      <c r="K121" s="44">
        <f t="shared" si="27"/>
        <v>5667200.8210000005</v>
      </c>
      <c r="L121" s="242">
        <f t="shared" si="28"/>
        <v>27.6</v>
      </c>
      <c r="M121" s="27">
        <f>IFERROR(100/'Skjema total MA'!I121*K121,0)</f>
        <v>19.477098469063186</v>
      </c>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v>2811531.5830000001</v>
      </c>
      <c r="G125" s="218">
        <v>3154159.6490000002</v>
      </c>
      <c r="H125" s="151">
        <f t="shared" si="26"/>
        <v>12.2</v>
      </c>
      <c r="I125" s="27">
        <f>IFERROR(100/'Skjema total MA'!F125*G125,0)</f>
        <v>23.360907055868349</v>
      </c>
      <c r="J125" s="272">
        <f t="shared" si="27"/>
        <v>2811531.5830000001</v>
      </c>
      <c r="K125" s="44">
        <f t="shared" si="27"/>
        <v>3154159.6490000002</v>
      </c>
      <c r="L125" s="242">
        <f t="shared" si="28"/>
        <v>12.2</v>
      </c>
      <c r="M125" s="27">
        <f>IFERROR(100/'Skjema total MA'!I125*K125,0)</f>
        <v>23.356624641621842</v>
      </c>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440" priority="132">
      <formula>kvartal &lt; 4</formula>
    </cfRule>
  </conditionalFormatting>
  <conditionalFormatting sqref="B115">
    <cfRule type="expression" dxfId="439" priority="76">
      <formula>kvartal &lt; 4</formula>
    </cfRule>
  </conditionalFormatting>
  <conditionalFormatting sqref="C115">
    <cfRule type="expression" dxfId="438" priority="75">
      <formula>kvartal &lt; 4</formula>
    </cfRule>
  </conditionalFormatting>
  <conditionalFormatting sqref="B123">
    <cfRule type="expression" dxfId="437" priority="74">
      <formula>kvartal &lt; 4</formula>
    </cfRule>
  </conditionalFormatting>
  <conditionalFormatting sqref="C123">
    <cfRule type="expression" dxfId="436" priority="73">
      <formula>kvartal &lt; 4</formula>
    </cfRule>
  </conditionalFormatting>
  <conditionalFormatting sqref="F115">
    <cfRule type="expression" dxfId="435" priority="58">
      <formula>kvartal &lt; 4</formula>
    </cfRule>
  </conditionalFormatting>
  <conditionalFormatting sqref="G115">
    <cfRule type="expression" dxfId="434" priority="57">
      <formula>kvartal &lt; 4</formula>
    </cfRule>
  </conditionalFormatting>
  <conditionalFormatting sqref="F123:G123">
    <cfRule type="expression" dxfId="433" priority="56">
      <formula>kvartal &lt; 4</formula>
    </cfRule>
  </conditionalFormatting>
  <conditionalFormatting sqref="J115:K115">
    <cfRule type="expression" dxfId="432" priority="32">
      <formula>kvartal &lt; 4</formula>
    </cfRule>
  </conditionalFormatting>
  <conditionalFormatting sqref="J123:K123">
    <cfRule type="expression" dxfId="431" priority="31">
      <formula>kvartal &lt; 4</formula>
    </cfRule>
  </conditionalFormatting>
  <conditionalFormatting sqref="A50:A52">
    <cfRule type="expression" dxfId="430" priority="12">
      <formula>kvartal &lt; 4</formula>
    </cfRule>
  </conditionalFormatting>
  <conditionalFormatting sqref="A69:A74">
    <cfRule type="expression" dxfId="429" priority="10">
      <formula>kvartal &lt; 4</formula>
    </cfRule>
  </conditionalFormatting>
  <conditionalFormatting sqref="A80:A85">
    <cfRule type="expression" dxfId="428" priority="9">
      <formula>kvartal &lt; 4</formula>
    </cfRule>
  </conditionalFormatting>
  <conditionalFormatting sqref="A90:A95">
    <cfRule type="expression" dxfId="427" priority="6">
      <formula>kvartal &lt; 4</formula>
    </cfRule>
  </conditionalFormatting>
  <conditionalFormatting sqref="A101:A106">
    <cfRule type="expression" dxfId="426" priority="5">
      <formula>kvartal &lt; 4</formula>
    </cfRule>
  </conditionalFormatting>
  <conditionalFormatting sqref="A115">
    <cfRule type="expression" dxfId="425" priority="4">
      <formula>kvartal &lt; 4</formula>
    </cfRule>
  </conditionalFormatting>
  <conditionalFormatting sqref="A123">
    <cfRule type="expression" dxfId="424" priority="3">
      <formula>kvartal &lt; 4</formula>
    </cfRule>
  </conditionalFormatting>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FCAE9-D5F2-4A61-80DB-C3B7691ABF8D}">
  <dimension ref="A1:N144"/>
  <sheetViews>
    <sheetView showGridLines="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452" t="s">
        <v>409</v>
      </c>
      <c r="D1" s="26"/>
      <c r="E1" s="26"/>
      <c r="F1" s="26"/>
      <c r="G1" s="26"/>
      <c r="H1" s="26"/>
      <c r="I1" s="26"/>
      <c r="J1" s="26"/>
      <c r="K1" s="26"/>
      <c r="L1" s="26"/>
      <c r="M1" s="26"/>
    </row>
    <row r="2" spans="1:14" ht="15.75" x14ac:dyDescent="0.25">
      <c r="A2" s="150" t="s">
        <v>28</v>
      </c>
      <c r="B2" s="717"/>
      <c r="C2" s="717"/>
      <c r="D2" s="717"/>
      <c r="E2" s="630"/>
      <c r="F2" s="717"/>
      <c r="G2" s="717"/>
      <c r="H2" s="717"/>
      <c r="I2" s="630"/>
      <c r="J2" s="717"/>
      <c r="K2" s="717"/>
      <c r="L2" s="717"/>
      <c r="M2" s="630"/>
    </row>
    <row r="3" spans="1:14" ht="15.75" x14ac:dyDescent="0.25">
      <c r="A3" s="148"/>
      <c r="B3" s="630"/>
      <c r="C3" s="630"/>
      <c r="D3" s="630"/>
      <c r="E3" s="630"/>
      <c r="F3" s="630"/>
      <c r="G3" s="630"/>
      <c r="H3" s="630"/>
      <c r="I3" s="630"/>
      <c r="J3" s="630"/>
      <c r="K3" s="630"/>
      <c r="L3" s="630"/>
      <c r="M3" s="630"/>
    </row>
    <row r="4" spans="1:14" x14ac:dyDescent="0.2">
      <c r="A4" s="129"/>
      <c r="B4" s="715" t="s">
        <v>0</v>
      </c>
      <c r="C4" s="716"/>
      <c r="D4" s="716"/>
      <c r="E4" s="627"/>
      <c r="F4" s="715" t="s">
        <v>1</v>
      </c>
      <c r="G4" s="716"/>
      <c r="H4" s="716"/>
      <c r="I4" s="628"/>
      <c r="J4" s="715" t="s">
        <v>2</v>
      </c>
      <c r="K4" s="716"/>
      <c r="L4" s="716"/>
      <c r="M4" s="628"/>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151"/>
      <c r="M8" s="27"/>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630"/>
      <c r="F18" s="714"/>
      <c r="G18" s="714"/>
      <c r="H18" s="714"/>
      <c r="I18" s="630"/>
      <c r="J18" s="714"/>
      <c r="K18" s="714"/>
      <c r="L18" s="714"/>
      <c r="M18" s="630"/>
    </row>
    <row r="19" spans="1:14" x14ac:dyDescent="0.2">
      <c r="A19" s="129"/>
      <c r="B19" s="715" t="s">
        <v>0</v>
      </c>
      <c r="C19" s="716"/>
      <c r="D19" s="716"/>
      <c r="E19" s="627"/>
      <c r="F19" s="715" t="s">
        <v>1</v>
      </c>
      <c r="G19" s="716"/>
      <c r="H19" s="716"/>
      <c r="I19" s="628"/>
      <c r="J19" s="715" t="s">
        <v>2</v>
      </c>
      <c r="K19" s="716"/>
      <c r="L19" s="716"/>
      <c r="M19" s="628"/>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631"/>
    </row>
    <row r="41" spans="1:14" x14ac:dyDescent="0.2">
      <c r="A41" s="140"/>
    </row>
    <row r="42" spans="1:14" ht="15.75" x14ac:dyDescent="0.25">
      <c r="A42" s="132" t="s">
        <v>243</v>
      </c>
      <c r="B42" s="717"/>
      <c r="C42" s="717"/>
      <c r="D42" s="717"/>
      <c r="E42" s="630"/>
      <c r="F42" s="719"/>
      <c r="G42" s="719"/>
      <c r="H42" s="719"/>
      <c r="I42" s="631"/>
      <c r="J42" s="719"/>
      <c r="K42" s="719"/>
      <c r="L42" s="719"/>
      <c r="M42" s="631"/>
    </row>
    <row r="43" spans="1:14" ht="15.75" x14ac:dyDescent="0.25">
      <c r="A43" s="148"/>
      <c r="B43" s="629"/>
      <c r="C43" s="629"/>
      <c r="D43" s="629"/>
      <c r="E43" s="629"/>
      <c r="F43" s="631"/>
      <c r="G43" s="631"/>
      <c r="H43" s="631"/>
      <c r="I43" s="631"/>
      <c r="J43" s="631"/>
      <c r="K43" s="631"/>
      <c r="L43" s="631"/>
      <c r="M43" s="631"/>
    </row>
    <row r="44" spans="1:14" ht="15.75" x14ac:dyDescent="0.25">
      <c r="A44" s="232"/>
      <c r="B44" s="715" t="s">
        <v>0</v>
      </c>
      <c r="C44" s="716"/>
      <c r="D44" s="716"/>
      <c r="E44" s="228"/>
      <c r="F44" s="631"/>
      <c r="G44" s="631"/>
      <c r="H44" s="631"/>
      <c r="I44" s="631"/>
      <c r="J44" s="631"/>
      <c r="K44" s="631"/>
      <c r="L44" s="631"/>
      <c r="M44" s="631"/>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c r="C47" s="296">
        <v>16932</v>
      </c>
      <c r="D47" s="404" t="str">
        <f t="shared" ref="D47:D48" si="0">IF(B47=0, "    ---- ", IF(ABS(ROUND(100/B47*C47-100,1))&lt;999,ROUND(100/B47*C47-100,1),IF(ROUND(100/B47*C47-100,1)&gt;999,999,-999)))</f>
        <v xml:space="preserve">    ---- </v>
      </c>
      <c r="E47" s="11">
        <f>IFERROR(100/'Skjema total MA'!C47*C47,0)</f>
        <v>0.32484190153088877</v>
      </c>
      <c r="F47" s="130"/>
      <c r="G47" s="33"/>
      <c r="H47" s="144"/>
      <c r="I47" s="144"/>
      <c r="J47" s="37"/>
      <c r="K47" s="37"/>
      <c r="L47" s="144"/>
      <c r="M47" s="144"/>
      <c r="N47" s="133"/>
    </row>
    <row r="48" spans="1:14" s="3" customFormat="1" ht="15.75" x14ac:dyDescent="0.2">
      <c r="A48" s="38" t="s">
        <v>333</v>
      </c>
      <c r="B48" s="266"/>
      <c r="C48" s="267">
        <v>16932</v>
      </c>
      <c r="D48" s="242" t="str">
        <f t="shared" si="0"/>
        <v xml:space="preserve">    ---- </v>
      </c>
      <c r="E48" s="27">
        <f>IFERROR(100/'Skjema total MA'!C48*C48,0)</f>
        <v>0.57052662568577905</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630"/>
      <c r="F62" s="714"/>
      <c r="G62" s="714"/>
      <c r="H62" s="714"/>
      <c r="I62" s="630"/>
      <c r="J62" s="714"/>
      <c r="K62" s="714"/>
      <c r="L62" s="714"/>
      <c r="M62" s="630"/>
    </row>
    <row r="63" spans="1:14" x14ac:dyDescent="0.2">
      <c r="A63" s="129"/>
      <c r="B63" s="715" t="s">
        <v>0</v>
      </c>
      <c r="C63" s="716"/>
      <c r="D63" s="720"/>
      <c r="E63" s="626"/>
      <c r="F63" s="716" t="s">
        <v>1</v>
      </c>
      <c r="G63" s="716"/>
      <c r="H63" s="716"/>
      <c r="I63" s="628"/>
      <c r="J63" s="715" t="s">
        <v>2</v>
      </c>
      <c r="K63" s="716"/>
      <c r="L63" s="716"/>
      <c r="M63" s="628"/>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630"/>
      <c r="F130" s="714"/>
      <c r="G130" s="714"/>
      <c r="H130" s="714"/>
      <c r="I130" s="630"/>
      <c r="J130" s="714"/>
      <c r="K130" s="714"/>
      <c r="L130" s="714"/>
      <c r="M130" s="630"/>
    </row>
    <row r="131" spans="1:14" s="3" customFormat="1" x14ac:dyDescent="0.2">
      <c r="A131" s="129"/>
      <c r="B131" s="715" t="s">
        <v>0</v>
      </c>
      <c r="C131" s="716"/>
      <c r="D131" s="716"/>
      <c r="E131" s="627"/>
      <c r="F131" s="715" t="s">
        <v>1</v>
      </c>
      <c r="G131" s="716"/>
      <c r="H131" s="716"/>
      <c r="I131" s="628"/>
      <c r="J131" s="715" t="s">
        <v>2</v>
      </c>
      <c r="K131" s="716"/>
      <c r="L131" s="716"/>
      <c r="M131" s="628"/>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666"/>
      <c r="C134" s="294"/>
      <c r="D134" s="334"/>
      <c r="E134" s="11"/>
      <c r="F134" s="301"/>
      <c r="G134" s="302"/>
      <c r="H134" s="408"/>
      <c r="I134" s="24"/>
      <c r="J134" s="303"/>
      <c r="K134" s="303"/>
      <c r="L134" s="404"/>
      <c r="M134" s="11"/>
      <c r="N134" s="133"/>
    </row>
    <row r="135" spans="1:14" s="3" customFormat="1" ht="15.75" x14ac:dyDescent="0.2">
      <c r="A135" s="13" t="s">
        <v>349</v>
      </c>
      <c r="B135" s="666"/>
      <c r="C135" s="294"/>
      <c r="D135" s="156"/>
      <c r="E135" s="11"/>
      <c r="F135" s="220"/>
      <c r="G135" s="294"/>
      <c r="H135" s="409"/>
      <c r="I135" s="24"/>
      <c r="J135" s="293"/>
      <c r="K135" s="293"/>
      <c r="L135" s="405"/>
      <c r="M135" s="11"/>
      <c r="N135" s="133"/>
    </row>
    <row r="136" spans="1:14" s="3" customFormat="1" ht="15.75" x14ac:dyDescent="0.2">
      <c r="A136" s="13" t="s">
        <v>346</v>
      </c>
      <c r="B136" s="666"/>
      <c r="C136" s="294"/>
      <c r="D136" s="156"/>
      <c r="E136" s="11"/>
      <c r="F136" s="220"/>
      <c r="G136" s="294"/>
      <c r="H136" s="409"/>
      <c r="I136" s="24"/>
      <c r="J136" s="293"/>
      <c r="K136" s="293"/>
      <c r="L136" s="405"/>
      <c r="M136" s="11"/>
      <c r="N136" s="133"/>
    </row>
    <row r="137" spans="1:14" s="3" customFormat="1" ht="15.75" x14ac:dyDescent="0.2">
      <c r="A137" s="41" t="s">
        <v>347</v>
      </c>
      <c r="B137" s="667"/>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0:D130"/>
    <mergeCell ref="F130:H130"/>
    <mergeCell ref="J130:L130"/>
    <mergeCell ref="B131:D131"/>
    <mergeCell ref="F131:H131"/>
    <mergeCell ref="J131:L131"/>
    <mergeCell ref="B44:D44"/>
    <mergeCell ref="B62:D62"/>
    <mergeCell ref="F62:H62"/>
    <mergeCell ref="J62:L62"/>
    <mergeCell ref="B63:D63"/>
    <mergeCell ref="F63:H63"/>
    <mergeCell ref="J63:L63"/>
    <mergeCell ref="D40:F40"/>
    <mergeCell ref="G40:I40"/>
    <mergeCell ref="J40:L40"/>
    <mergeCell ref="B42:D42"/>
    <mergeCell ref="F42:H42"/>
    <mergeCell ref="J42:L42"/>
    <mergeCell ref="B18:D18"/>
    <mergeCell ref="F18:H18"/>
    <mergeCell ref="J18:L18"/>
    <mergeCell ref="B19:D19"/>
    <mergeCell ref="F19:H19"/>
    <mergeCell ref="J19:L19"/>
    <mergeCell ref="B2:D2"/>
    <mergeCell ref="F2:H2"/>
    <mergeCell ref="J2:L2"/>
    <mergeCell ref="B4:D4"/>
    <mergeCell ref="F4:H4"/>
    <mergeCell ref="J4:L4"/>
  </mergeCells>
  <conditionalFormatting sqref="B50:C52">
    <cfRule type="expression" dxfId="423" priority="59">
      <formula>kvartal &lt; 4</formula>
    </cfRule>
  </conditionalFormatting>
  <conditionalFormatting sqref="B115">
    <cfRule type="expression" dxfId="422" priority="42">
      <formula>kvartal &lt; 4</formula>
    </cfRule>
  </conditionalFormatting>
  <conditionalFormatting sqref="C115">
    <cfRule type="expression" dxfId="421" priority="41">
      <formula>kvartal &lt; 4</formula>
    </cfRule>
  </conditionalFormatting>
  <conditionalFormatting sqref="B123">
    <cfRule type="expression" dxfId="420" priority="40">
      <formula>kvartal &lt; 4</formula>
    </cfRule>
  </conditionalFormatting>
  <conditionalFormatting sqref="C123">
    <cfRule type="expression" dxfId="419" priority="39">
      <formula>kvartal &lt; 4</formula>
    </cfRule>
  </conditionalFormatting>
  <conditionalFormatting sqref="F115">
    <cfRule type="expression" dxfId="418" priority="28">
      <formula>kvartal &lt; 4</formula>
    </cfRule>
  </conditionalFormatting>
  <conditionalFormatting sqref="G115">
    <cfRule type="expression" dxfId="417" priority="27">
      <formula>kvartal &lt; 4</formula>
    </cfRule>
  </conditionalFormatting>
  <conditionalFormatting sqref="F123:G123">
    <cfRule type="expression" dxfId="416" priority="26">
      <formula>kvartal &lt; 4</formula>
    </cfRule>
  </conditionalFormatting>
  <conditionalFormatting sqref="J115:K115">
    <cfRule type="expression" dxfId="415" priority="9">
      <formula>kvartal &lt; 4</formula>
    </cfRule>
  </conditionalFormatting>
  <conditionalFormatting sqref="J123:K123">
    <cfRule type="expression" dxfId="414" priority="8">
      <formula>kvartal &lt; 4</formula>
    </cfRule>
  </conditionalFormatting>
  <conditionalFormatting sqref="A50:A52">
    <cfRule type="expression" dxfId="413" priority="7">
      <formula>kvartal &lt; 4</formula>
    </cfRule>
  </conditionalFormatting>
  <conditionalFormatting sqref="A69:A74">
    <cfRule type="expression" dxfId="412" priority="6">
      <formula>kvartal &lt; 4</formula>
    </cfRule>
  </conditionalFormatting>
  <conditionalFormatting sqref="A80:A85">
    <cfRule type="expression" dxfId="411" priority="5">
      <formula>kvartal &lt; 4</formula>
    </cfRule>
  </conditionalFormatting>
  <conditionalFormatting sqref="A90:A95">
    <cfRule type="expression" dxfId="410" priority="4">
      <formula>kvartal &lt; 4</formula>
    </cfRule>
  </conditionalFormatting>
  <conditionalFormatting sqref="A101:A106">
    <cfRule type="expression" dxfId="409" priority="3">
      <formula>kvartal &lt; 4</formula>
    </cfRule>
  </conditionalFormatting>
  <conditionalFormatting sqref="A115">
    <cfRule type="expression" dxfId="408" priority="2">
      <formula>kvartal &lt; 4</formula>
    </cfRule>
  </conditionalFormatting>
  <conditionalFormatting sqref="A123">
    <cfRule type="expression" dxfId="407" priority="1">
      <formula>kvartal &lt; 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6"/>
  <dimension ref="A1:N144"/>
  <sheetViews>
    <sheetView showGridLines="0" zoomScaleNormal="100" workbookViewId="0">
      <selection activeCell="B1" sqref="B1"/>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88</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151"/>
      <c r="M8" s="27"/>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17000</v>
      </c>
      <c r="C47" s="296"/>
      <c r="D47" s="404">
        <f t="shared" ref="D47:D48" si="0">IF(B47=0, "    ---- ", IF(ABS(ROUND(100/B47*C47-100,1))&lt;999,ROUND(100/B47*C47-100,1),IF(ROUND(100/B47*C47-100,1)&gt;999,999,-999)))</f>
        <v>-100</v>
      </c>
      <c r="E47" s="11">
        <f>IFERROR(100/'Skjema total MA'!C47*C47,0)</f>
        <v>0</v>
      </c>
      <c r="F47" s="130"/>
      <c r="G47" s="33"/>
      <c r="H47" s="144"/>
      <c r="I47" s="144"/>
      <c r="J47" s="37"/>
      <c r="K47" s="37"/>
      <c r="L47" s="144"/>
      <c r="M47" s="144"/>
      <c r="N47" s="133"/>
    </row>
    <row r="48" spans="1:14" s="3" customFormat="1" ht="15.75" x14ac:dyDescent="0.2">
      <c r="A48" s="38" t="s">
        <v>333</v>
      </c>
      <c r="B48" s="266">
        <v>17000</v>
      </c>
      <c r="C48" s="267"/>
      <c r="D48" s="242">
        <f t="shared" si="0"/>
        <v>-100</v>
      </c>
      <c r="E48" s="27">
        <f>IFERROR(100/'Skjema total MA'!C48*C48,0)</f>
        <v>0</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v>1611400</v>
      </c>
      <c r="C134" s="294">
        <v>1975000</v>
      </c>
      <c r="D134" s="334">
        <f t="shared" ref="D134:D137" si="1">IF(B134=0, "    ---- ", IF(ABS(ROUND(100/B134*C134-100,1))&lt;999,ROUND(100/B134*C134-100,1),IF(ROUND(100/B134*C134-100,1)&gt;999,999,-999)))</f>
        <v>22.6</v>
      </c>
      <c r="E134" s="11">
        <f>IFERROR(100/'Skjema total MA'!C134*C134,0)</f>
        <v>4.9530264228479748</v>
      </c>
      <c r="F134" s="301"/>
      <c r="G134" s="302"/>
      <c r="H134" s="408"/>
      <c r="I134" s="24"/>
      <c r="J134" s="303">
        <f t="shared" ref="J134:K137" si="2">SUM(B134,F134)</f>
        <v>1611400</v>
      </c>
      <c r="K134" s="303">
        <f t="shared" si="2"/>
        <v>1975000</v>
      </c>
      <c r="L134" s="404">
        <f t="shared" ref="L134:L137" si="3">IF(J134=0, "    ---- ", IF(ABS(ROUND(100/J134*K134-100,1))&lt;999,ROUND(100/J134*K134-100,1),IF(ROUND(100/J134*K134-100,1)&gt;999,999,-999)))</f>
        <v>22.6</v>
      </c>
      <c r="M134" s="11">
        <f>IFERROR(100/'Skjema total MA'!I134*K134,0)</f>
        <v>4.9369874928501938</v>
      </c>
      <c r="N134" s="133"/>
    </row>
    <row r="135" spans="1:14" s="3" customFormat="1" ht="15.75" x14ac:dyDescent="0.2">
      <c r="A135" s="13" t="s">
        <v>349</v>
      </c>
      <c r="B135" s="220">
        <v>89562000</v>
      </c>
      <c r="C135" s="294">
        <v>92155000</v>
      </c>
      <c r="D135" s="156">
        <f t="shared" si="1"/>
        <v>2.9</v>
      </c>
      <c r="E135" s="11">
        <f>IFERROR(100/'Skjema total MA'!C135*C135,0)</f>
        <v>10.352357630274618</v>
      </c>
      <c r="F135" s="220"/>
      <c r="G135" s="294"/>
      <c r="H135" s="409"/>
      <c r="I135" s="24"/>
      <c r="J135" s="293">
        <f t="shared" si="2"/>
        <v>89562000</v>
      </c>
      <c r="K135" s="293">
        <f t="shared" si="2"/>
        <v>92155000</v>
      </c>
      <c r="L135" s="405">
        <f t="shared" si="3"/>
        <v>2.9</v>
      </c>
      <c r="M135" s="11">
        <f>IFERROR(100/'Skjema total MA'!I135*K135,0)</f>
        <v>10.318852341610649</v>
      </c>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v>-121000</v>
      </c>
      <c r="D137" s="154" t="str">
        <f t="shared" si="1"/>
        <v xml:space="preserve">    ---- </v>
      </c>
      <c r="E137" s="9">
        <f>IFERROR(100/'Skjema total MA'!C137*C137,0)</f>
        <v>-5.2650656600181387</v>
      </c>
      <c r="F137" s="261"/>
      <c r="G137" s="300"/>
      <c r="H137" s="410"/>
      <c r="I137" s="36"/>
      <c r="J137" s="299"/>
      <c r="K137" s="299">
        <f t="shared" si="2"/>
        <v>-121000</v>
      </c>
      <c r="L137" s="406" t="str">
        <f t="shared" si="3"/>
        <v xml:space="preserve">    ---- </v>
      </c>
      <c r="M137" s="36">
        <f>IFERROR(100/'Skjema total MA'!I137*K137,0)</f>
        <v>-5.2650656600181387</v>
      </c>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406" priority="132">
      <formula>kvartal &lt; 4</formula>
    </cfRule>
  </conditionalFormatting>
  <conditionalFormatting sqref="B115">
    <cfRule type="expression" dxfId="405" priority="76">
      <formula>kvartal &lt; 4</formula>
    </cfRule>
  </conditionalFormatting>
  <conditionalFormatting sqref="C115">
    <cfRule type="expression" dxfId="404" priority="75">
      <formula>kvartal &lt; 4</formula>
    </cfRule>
  </conditionalFormatting>
  <conditionalFormatting sqref="B123">
    <cfRule type="expression" dxfId="403" priority="74">
      <formula>kvartal &lt; 4</formula>
    </cfRule>
  </conditionalFormatting>
  <conditionalFormatting sqref="C123">
    <cfRule type="expression" dxfId="402" priority="73">
      <formula>kvartal &lt; 4</formula>
    </cfRule>
  </conditionalFormatting>
  <conditionalFormatting sqref="F115">
    <cfRule type="expression" dxfId="401" priority="58">
      <formula>kvartal &lt; 4</formula>
    </cfRule>
  </conditionalFormatting>
  <conditionalFormatting sqref="G115">
    <cfRule type="expression" dxfId="400" priority="57">
      <formula>kvartal &lt; 4</formula>
    </cfRule>
  </conditionalFormatting>
  <conditionalFormatting sqref="F123:G123">
    <cfRule type="expression" dxfId="399" priority="56">
      <formula>kvartal &lt; 4</formula>
    </cfRule>
  </conditionalFormatting>
  <conditionalFormatting sqref="J115:K115">
    <cfRule type="expression" dxfId="398" priority="32">
      <formula>kvartal &lt; 4</formula>
    </cfRule>
  </conditionalFormatting>
  <conditionalFormatting sqref="J123:K123">
    <cfRule type="expression" dxfId="397" priority="31">
      <formula>kvartal &lt; 4</formula>
    </cfRule>
  </conditionalFormatting>
  <conditionalFormatting sqref="A50:A52">
    <cfRule type="expression" dxfId="396" priority="12">
      <formula>kvartal &lt; 4</formula>
    </cfRule>
  </conditionalFormatting>
  <conditionalFormatting sqref="A69:A74">
    <cfRule type="expression" dxfId="395" priority="10">
      <formula>kvartal &lt; 4</formula>
    </cfRule>
  </conditionalFormatting>
  <conditionalFormatting sqref="A80:A85">
    <cfRule type="expression" dxfId="394" priority="9">
      <formula>kvartal &lt; 4</formula>
    </cfRule>
  </conditionalFormatting>
  <conditionalFormatting sqref="A90:A95">
    <cfRule type="expression" dxfId="393" priority="6">
      <formula>kvartal &lt; 4</formula>
    </cfRule>
  </conditionalFormatting>
  <conditionalFormatting sqref="A101:A106">
    <cfRule type="expression" dxfId="392" priority="5">
      <formula>kvartal &lt; 4</formula>
    </cfRule>
  </conditionalFormatting>
  <conditionalFormatting sqref="A115">
    <cfRule type="expression" dxfId="391" priority="4">
      <formula>kvartal &lt; 4</formula>
    </cfRule>
  </conditionalFormatting>
  <conditionalFormatting sqref="A123">
    <cfRule type="expression" dxfId="390" priority="3">
      <formula>kvartal &lt; 4</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452" t="s">
        <v>321</v>
      </c>
      <c r="D1" s="26"/>
      <c r="E1" s="26"/>
      <c r="F1" s="26"/>
      <c r="G1" s="26"/>
      <c r="H1" s="26"/>
      <c r="I1" s="26"/>
      <c r="J1" s="26"/>
      <c r="K1" s="26"/>
      <c r="L1" s="26"/>
      <c r="M1" s="26"/>
    </row>
    <row r="2" spans="1:14" ht="15.75" x14ac:dyDescent="0.25">
      <c r="A2" s="150" t="s">
        <v>28</v>
      </c>
      <c r="B2" s="717"/>
      <c r="C2" s="717"/>
      <c r="D2" s="717"/>
      <c r="E2" s="449"/>
      <c r="F2" s="717"/>
      <c r="G2" s="717"/>
      <c r="H2" s="717"/>
      <c r="I2" s="449"/>
      <c r="J2" s="717"/>
      <c r="K2" s="717"/>
      <c r="L2" s="717"/>
      <c r="M2" s="449"/>
    </row>
    <row r="3" spans="1:14" ht="15.75" x14ac:dyDescent="0.25">
      <c r="A3" s="148"/>
      <c r="B3" s="449"/>
      <c r="C3" s="449"/>
      <c r="D3" s="449"/>
      <c r="E3" s="449"/>
      <c r="F3" s="449"/>
      <c r="G3" s="449"/>
      <c r="H3" s="449"/>
      <c r="I3" s="449"/>
      <c r="J3" s="449"/>
      <c r="K3" s="449"/>
      <c r="L3" s="449"/>
      <c r="M3" s="449"/>
    </row>
    <row r="4" spans="1:14" x14ac:dyDescent="0.2">
      <c r="A4" s="129"/>
      <c r="B4" s="715" t="s">
        <v>0</v>
      </c>
      <c r="C4" s="716"/>
      <c r="D4" s="716"/>
      <c r="E4" s="447"/>
      <c r="F4" s="715" t="s">
        <v>1</v>
      </c>
      <c r="G4" s="716"/>
      <c r="H4" s="716"/>
      <c r="I4" s="448"/>
      <c r="J4" s="715" t="s">
        <v>2</v>
      </c>
      <c r="K4" s="716"/>
      <c r="L4" s="716"/>
      <c r="M4" s="448"/>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937.14497504657697</v>
      </c>
      <c r="C7" s="292">
        <v>5286</v>
      </c>
      <c r="D7" s="334">
        <f>IF(B7=0, "    ---- ", IF(ABS(ROUND(100/B7*C7-100,1))&lt;999,ROUND(100/B7*C7-100,1),IF(ROUND(100/B7*C7-100,1)&gt;999,999,-999)))</f>
        <v>464.1</v>
      </c>
      <c r="E7" s="11">
        <f>IFERROR(100/'Skjema total MA'!C7*C7,0)</f>
        <v>0.16783617308787063</v>
      </c>
      <c r="F7" s="291"/>
      <c r="G7" s="292"/>
      <c r="H7" s="334"/>
      <c r="I7" s="145"/>
      <c r="J7" s="293">
        <f t="shared" ref="J7:K9" si="0">SUM(B7,F7)</f>
        <v>937.14497504657697</v>
      </c>
      <c r="K7" s="294">
        <f t="shared" si="0"/>
        <v>5286</v>
      </c>
      <c r="L7" s="404">
        <f>IF(J7=0, "    ---- ", IF(ABS(ROUND(100/J7*K7-100,1))&lt;999,ROUND(100/J7*K7-100,1),IF(ROUND(100/J7*K7-100,1)&gt;999,999,-999)))</f>
        <v>464.1</v>
      </c>
      <c r="M7" s="11">
        <f>IFERROR(100/'Skjema total MA'!I7*K7,0)</f>
        <v>4.8362094629392567E-2</v>
      </c>
    </row>
    <row r="8" spans="1:14" ht="15.75" x14ac:dyDescent="0.2">
      <c r="A8" s="21" t="s">
        <v>25</v>
      </c>
      <c r="B8" s="266"/>
      <c r="C8" s="267"/>
      <c r="D8" s="151"/>
      <c r="E8" s="27"/>
      <c r="F8" s="270"/>
      <c r="G8" s="271"/>
      <c r="H8" s="151"/>
      <c r="I8" s="161"/>
      <c r="J8" s="218"/>
      <c r="K8" s="272"/>
      <c r="L8" s="151"/>
      <c r="M8" s="27"/>
    </row>
    <row r="9" spans="1:14" ht="15.75" x14ac:dyDescent="0.2">
      <c r="A9" s="21" t="s">
        <v>24</v>
      </c>
      <c r="B9" s="266">
        <v>937.14497504657697</v>
      </c>
      <c r="C9" s="267">
        <v>5286</v>
      </c>
      <c r="D9" s="151">
        <f t="shared" ref="D9" si="1">IF(B9=0, "    ---- ", IF(ABS(ROUND(100/B9*C9-100,1))&lt;999,ROUND(100/B9*C9-100,1),IF(ROUND(100/B9*C9-100,1)&gt;999,999,-999)))</f>
        <v>464.1</v>
      </c>
      <c r="E9" s="27">
        <f>IFERROR(100/'Skjema total MA'!C9*C9,0)</f>
        <v>0.78978221648314928</v>
      </c>
      <c r="F9" s="270"/>
      <c r="G9" s="271"/>
      <c r="H9" s="151"/>
      <c r="I9" s="161"/>
      <c r="J9" s="218">
        <f t="shared" si="0"/>
        <v>937.14497504657697</v>
      </c>
      <c r="K9" s="272">
        <f t="shared" si="0"/>
        <v>5286</v>
      </c>
      <c r="L9" s="151">
        <f t="shared" ref="L9" si="2">IF(J9=0, "    ---- ", IF(ABS(ROUND(100/J9*K9-100,1))&lt;999,ROUND(100/J9*K9-100,1),IF(ROUND(100/J9*K9-100,1)&gt;999,999,-999)))</f>
        <v>464.1</v>
      </c>
      <c r="M9" s="27">
        <f>IFERROR(100/'Skjema total MA'!I9*K9,0)</f>
        <v>0.78978221648314928</v>
      </c>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449"/>
      <c r="F18" s="714"/>
      <c r="G18" s="714"/>
      <c r="H18" s="714"/>
      <c r="I18" s="449"/>
      <c r="J18" s="714"/>
      <c r="K18" s="714"/>
      <c r="L18" s="714"/>
      <c r="M18" s="449"/>
    </row>
    <row r="19" spans="1:14" x14ac:dyDescent="0.2">
      <c r="A19" s="129"/>
      <c r="B19" s="715" t="s">
        <v>0</v>
      </c>
      <c r="C19" s="716"/>
      <c r="D19" s="716"/>
      <c r="E19" s="447"/>
      <c r="F19" s="715" t="s">
        <v>1</v>
      </c>
      <c r="G19" s="716"/>
      <c r="H19" s="716"/>
      <c r="I19" s="448"/>
      <c r="J19" s="715" t="s">
        <v>2</v>
      </c>
      <c r="K19" s="716"/>
      <c r="L19" s="716"/>
      <c r="M19" s="448"/>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451"/>
    </row>
    <row r="41" spans="1:14" x14ac:dyDescent="0.2">
      <c r="A41" s="140"/>
    </row>
    <row r="42" spans="1:14" ht="15.75" x14ac:dyDescent="0.25">
      <c r="A42" s="132" t="s">
        <v>243</v>
      </c>
      <c r="B42" s="717"/>
      <c r="C42" s="717"/>
      <c r="D42" s="717"/>
      <c r="E42" s="449"/>
      <c r="F42" s="719"/>
      <c r="G42" s="719"/>
      <c r="H42" s="719"/>
      <c r="I42" s="451"/>
      <c r="J42" s="719"/>
      <c r="K42" s="719"/>
      <c r="L42" s="719"/>
      <c r="M42" s="451"/>
    </row>
    <row r="43" spans="1:14" ht="15.75" x14ac:dyDescent="0.25">
      <c r="A43" s="148"/>
      <c r="B43" s="450"/>
      <c r="C43" s="450"/>
      <c r="D43" s="450"/>
      <c r="E43" s="450"/>
      <c r="F43" s="451"/>
      <c r="G43" s="451"/>
      <c r="H43" s="451"/>
      <c r="I43" s="451"/>
      <c r="J43" s="451"/>
      <c r="K43" s="451"/>
      <c r="L43" s="451"/>
      <c r="M43" s="451"/>
    </row>
    <row r="44" spans="1:14" ht="15.75" x14ac:dyDescent="0.25">
      <c r="A44" s="232"/>
      <c r="B44" s="715" t="s">
        <v>0</v>
      </c>
      <c r="C44" s="716"/>
      <c r="D44" s="716"/>
      <c r="E44" s="228"/>
      <c r="F44" s="451"/>
      <c r="G44" s="451"/>
      <c r="H44" s="451"/>
      <c r="I44" s="451"/>
      <c r="J44" s="451"/>
      <c r="K44" s="451"/>
      <c r="L44" s="451"/>
      <c r="M44" s="451"/>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343583.74983962101</v>
      </c>
      <c r="C47" s="296">
        <v>364384</v>
      </c>
      <c r="D47" s="404">
        <f t="shared" ref="D47:D48" si="3">IF(B47=0, "    ---- ", IF(ABS(ROUND(100/B47*C47-100,1))&lt;999,ROUND(100/B47*C47-100,1),IF(ROUND(100/B47*C47-100,1)&gt;999,999,-999)))</f>
        <v>6.1</v>
      </c>
      <c r="E47" s="11">
        <f>IFERROR(100/'Skjema total MA'!C47*C47,0)</f>
        <v>6.9907389231887178</v>
      </c>
      <c r="F47" s="130"/>
      <c r="G47" s="33"/>
      <c r="H47" s="144"/>
      <c r="I47" s="144"/>
      <c r="J47" s="37"/>
      <c r="K47" s="37"/>
      <c r="L47" s="144"/>
      <c r="M47" s="144"/>
      <c r="N47" s="133"/>
    </row>
    <row r="48" spans="1:14" s="3" customFormat="1" ht="15.75" x14ac:dyDescent="0.2">
      <c r="A48" s="38" t="s">
        <v>333</v>
      </c>
      <c r="B48" s="266">
        <v>343583.74983962101</v>
      </c>
      <c r="C48" s="267">
        <v>364384</v>
      </c>
      <c r="D48" s="242">
        <f t="shared" si="3"/>
        <v>6.1</v>
      </c>
      <c r="E48" s="27">
        <f>IFERROR(100/'Skjema total MA'!C48*C48,0)</f>
        <v>12.277980981212316</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449"/>
      <c r="F62" s="714"/>
      <c r="G62" s="714"/>
      <c r="H62" s="714"/>
      <c r="I62" s="449"/>
      <c r="J62" s="714"/>
      <c r="K62" s="714"/>
      <c r="L62" s="714"/>
      <c r="M62" s="449"/>
    </row>
    <row r="63" spans="1:14" x14ac:dyDescent="0.2">
      <c r="A63" s="129"/>
      <c r="B63" s="715" t="s">
        <v>0</v>
      </c>
      <c r="C63" s="716"/>
      <c r="D63" s="720"/>
      <c r="E63" s="446"/>
      <c r="F63" s="716" t="s">
        <v>1</v>
      </c>
      <c r="G63" s="716"/>
      <c r="H63" s="716"/>
      <c r="I63" s="448"/>
      <c r="J63" s="715" t="s">
        <v>2</v>
      </c>
      <c r="K63" s="716"/>
      <c r="L63" s="716"/>
      <c r="M63" s="448"/>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449"/>
      <c r="F130" s="714"/>
      <c r="G130" s="714"/>
      <c r="H130" s="714"/>
      <c r="I130" s="449"/>
      <c r="J130" s="714"/>
      <c r="K130" s="714"/>
      <c r="L130" s="714"/>
      <c r="M130" s="449"/>
    </row>
    <row r="131" spans="1:14" s="3" customFormat="1" x14ac:dyDescent="0.2">
      <c r="A131" s="129"/>
      <c r="B131" s="715" t="s">
        <v>0</v>
      </c>
      <c r="C131" s="716"/>
      <c r="D131" s="716"/>
      <c r="E131" s="447"/>
      <c r="F131" s="715" t="s">
        <v>1</v>
      </c>
      <c r="G131" s="716"/>
      <c r="H131" s="716"/>
      <c r="I131" s="448"/>
      <c r="J131" s="715" t="s">
        <v>2</v>
      </c>
      <c r="K131" s="716"/>
      <c r="L131" s="716"/>
      <c r="M131" s="448"/>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0:D130"/>
    <mergeCell ref="F130:H130"/>
    <mergeCell ref="J130:L130"/>
    <mergeCell ref="B131:D131"/>
    <mergeCell ref="F131:H131"/>
    <mergeCell ref="J131:L131"/>
    <mergeCell ref="B44:D44"/>
    <mergeCell ref="B62:D62"/>
    <mergeCell ref="F62:H62"/>
    <mergeCell ref="J62:L62"/>
    <mergeCell ref="B63:D63"/>
    <mergeCell ref="F63:H63"/>
    <mergeCell ref="J63:L63"/>
    <mergeCell ref="D40:F40"/>
    <mergeCell ref="G40:I40"/>
    <mergeCell ref="J40:L40"/>
    <mergeCell ref="B42:D42"/>
    <mergeCell ref="F42:H42"/>
    <mergeCell ref="J42:L42"/>
    <mergeCell ref="B18:D18"/>
    <mergeCell ref="F18:H18"/>
    <mergeCell ref="J18:L18"/>
    <mergeCell ref="B19:D19"/>
    <mergeCell ref="F19:H19"/>
    <mergeCell ref="J19:L19"/>
    <mergeCell ref="B2:D2"/>
    <mergeCell ref="F2:H2"/>
    <mergeCell ref="J2:L2"/>
    <mergeCell ref="B4:D4"/>
    <mergeCell ref="F4:H4"/>
    <mergeCell ref="J4:L4"/>
  </mergeCells>
  <conditionalFormatting sqref="B50:C52">
    <cfRule type="expression" dxfId="389" priority="82">
      <formula>kvartal &lt; 4</formula>
    </cfRule>
  </conditionalFormatting>
  <conditionalFormatting sqref="B115">
    <cfRule type="expression" dxfId="388" priority="45">
      <formula>kvartal &lt; 4</formula>
    </cfRule>
  </conditionalFormatting>
  <conditionalFormatting sqref="C115">
    <cfRule type="expression" dxfId="387" priority="44">
      <formula>kvartal &lt; 4</formula>
    </cfRule>
  </conditionalFormatting>
  <conditionalFormatting sqref="B123">
    <cfRule type="expression" dxfId="386" priority="43">
      <formula>kvartal &lt; 4</formula>
    </cfRule>
  </conditionalFormatting>
  <conditionalFormatting sqref="C123">
    <cfRule type="expression" dxfId="385" priority="42">
      <formula>kvartal &lt; 4</formula>
    </cfRule>
  </conditionalFormatting>
  <conditionalFormatting sqref="F115">
    <cfRule type="expression" dxfId="384" priority="31">
      <formula>kvartal &lt; 4</formula>
    </cfRule>
  </conditionalFormatting>
  <conditionalFormatting sqref="G115">
    <cfRule type="expression" dxfId="383" priority="30">
      <formula>kvartal &lt; 4</formula>
    </cfRule>
  </conditionalFormatting>
  <conditionalFormatting sqref="F123:G123">
    <cfRule type="expression" dxfId="382" priority="29">
      <formula>kvartal &lt; 4</formula>
    </cfRule>
  </conditionalFormatting>
  <conditionalFormatting sqref="J115:K115">
    <cfRule type="expression" dxfId="381" priority="12">
      <formula>kvartal &lt; 4</formula>
    </cfRule>
  </conditionalFormatting>
  <conditionalFormatting sqref="J123:K123">
    <cfRule type="expression" dxfId="380" priority="11">
      <formula>kvartal &lt; 4</formula>
    </cfRule>
  </conditionalFormatting>
  <conditionalFormatting sqref="A50:A52">
    <cfRule type="expression" dxfId="379" priority="8">
      <formula>kvartal &lt; 4</formula>
    </cfRule>
  </conditionalFormatting>
  <conditionalFormatting sqref="A69:A74">
    <cfRule type="expression" dxfId="378" priority="7">
      <formula>kvartal &lt; 4</formula>
    </cfRule>
  </conditionalFormatting>
  <conditionalFormatting sqref="A80:A85">
    <cfRule type="expression" dxfId="377" priority="6">
      <formula>kvartal &lt; 4</formula>
    </cfRule>
  </conditionalFormatting>
  <conditionalFormatting sqref="A90:A95">
    <cfRule type="expression" dxfId="376" priority="5">
      <formula>kvartal &lt; 4</formula>
    </cfRule>
  </conditionalFormatting>
  <conditionalFormatting sqref="A101:A106">
    <cfRule type="expression" dxfId="375" priority="4">
      <formula>kvartal &lt; 4</formula>
    </cfRule>
  </conditionalFormatting>
  <conditionalFormatting sqref="A115">
    <cfRule type="expression" dxfId="374" priority="3">
      <formula>kvartal &lt; 4</formula>
    </cfRule>
  </conditionalFormatting>
  <conditionalFormatting sqref="A123">
    <cfRule type="expression" dxfId="373" priority="2">
      <formula>kvartal &lt; 4</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9"/>
  <dimension ref="A1:N144"/>
  <sheetViews>
    <sheetView showGridLines="0" zoomScaleNormal="100" workbookViewId="0">
      <selection activeCell="B1" sqref="B1"/>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370</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2191.1765</v>
      </c>
      <c r="C7" s="292">
        <v>1895.0361</v>
      </c>
      <c r="D7" s="334">
        <f>IF(B7=0, "    ---- ", IF(ABS(ROUND(100/B7*C7-100,1))&lt;999,ROUND(100/B7*C7-100,1),IF(ROUND(100/B7*C7-100,1)&gt;999,999,-999)))</f>
        <v>-13.5</v>
      </c>
      <c r="E7" s="11">
        <f>IFERROR(100/'Skjema total MA'!C7*C7,0)</f>
        <v>6.0169429982475091E-2</v>
      </c>
      <c r="F7" s="291">
        <v>337418.38136</v>
      </c>
      <c r="G7" s="292">
        <v>381224.17911000003</v>
      </c>
      <c r="H7" s="334">
        <f>IF(F7=0, "    ---- ", IF(ABS(ROUND(100/F7*G7-100,1))&lt;999,ROUND(100/F7*G7-100,1),IF(ROUND(100/F7*G7-100,1)&gt;999,999,-999)))</f>
        <v>13</v>
      </c>
      <c r="I7" s="145">
        <f>IFERROR(100/'Skjema total MA'!F7*G7,0)</f>
        <v>4.8997086975431117</v>
      </c>
      <c r="J7" s="293">
        <f t="shared" ref="J7:K12" si="0">SUM(B7,F7)</f>
        <v>339609.55786</v>
      </c>
      <c r="K7" s="294">
        <f t="shared" si="0"/>
        <v>383119.21521000005</v>
      </c>
      <c r="L7" s="404">
        <f>IF(J7=0, "    ---- ", IF(ABS(ROUND(100/J7*K7-100,1))&lt;999,ROUND(100/J7*K7-100,1),IF(ROUND(100/J7*K7-100,1)&gt;999,999,-999)))</f>
        <v>12.8</v>
      </c>
      <c r="M7" s="11">
        <f>IFERROR(100/'Skjema total MA'!I7*K7,0)</f>
        <v>3.505192535059523</v>
      </c>
    </row>
    <row r="8" spans="1:14" ht="15.75" x14ac:dyDescent="0.2">
      <c r="A8" s="21" t="s">
        <v>25</v>
      </c>
      <c r="B8" s="266">
        <v>2325.7482500000001</v>
      </c>
      <c r="C8" s="267">
        <v>2110.2873100000002</v>
      </c>
      <c r="D8" s="151">
        <f t="shared" ref="D8:D10" si="1">IF(B8=0, "    ---- ", IF(ABS(ROUND(100/B8*C8-100,1))&lt;999,ROUND(100/B8*C8-100,1),IF(ROUND(100/B8*C8-100,1)&gt;999,999,-999)))</f>
        <v>-9.3000000000000007</v>
      </c>
      <c r="E8" s="27">
        <f>IFERROR(100/'Skjema total MA'!C8*C8,0)</f>
        <v>0.10021261783308655</v>
      </c>
      <c r="F8" s="270"/>
      <c r="G8" s="271"/>
      <c r="H8" s="151"/>
      <c r="I8" s="161"/>
      <c r="J8" s="218">
        <f t="shared" si="0"/>
        <v>2325.7482500000001</v>
      </c>
      <c r="K8" s="272">
        <f t="shared" si="0"/>
        <v>2110.2873100000002</v>
      </c>
      <c r="L8" s="151">
        <f t="shared" ref="L8:L9" si="2">IF(J8=0, "    ---- ", IF(ABS(ROUND(100/J8*K8-100,1))&lt;999,ROUND(100/J8*K8-100,1),IF(ROUND(100/J8*K8-100,1)&gt;999,999,-999)))</f>
        <v>-9.3000000000000007</v>
      </c>
      <c r="M8" s="27">
        <f>IFERROR(100/'Skjema total MA'!I8*K8,0)</f>
        <v>0.10021261783308655</v>
      </c>
    </row>
    <row r="9" spans="1:14" ht="15.75" x14ac:dyDescent="0.2">
      <c r="A9" s="21" t="s">
        <v>24</v>
      </c>
      <c r="B9" s="266">
        <v>906.83789000000002</v>
      </c>
      <c r="C9" s="267">
        <v>795.02342999999996</v>
      </c>
      <c r="D9" s="151">
        <f t="shared" si="1"/>
        <v>-12.3</v>
      </c>
      <c r="E9" s="27">
        <f>IFERROR(100/'Skjema total MA'!C9*C9,0)</f>
        <v>0.11878459453299958</v>
      </c>
      <c r="F9" s="270"/>
      <c r="G9" s="271"/>
      <c r="H9" s="151"/>
      <c r="I9" s="161"/>
      <c r="J9" s="218">
        <f t="shared" si="0"/>
        <v>906.83789000000002</v>
      </c>
      <c r="K9" s="272">
        <f t="shared" si="0"/>
        <v>795.02342999999996</v>
      </c>
      <c r="L9" s="151">
        <f t="shared" si="2"/>
        <v>-12.3</v>
      </c>
      <c r="M9" s="27">
        <f>IFERROR(100/'Skjema total MA'!I9*K9,0)</f>
        <v>0.11878459453299958</v>
      </c>
    </row>
    <row r="10" spans="1:14" ht="15.75" x14ac:dyDescent="0.2">
      <c r="A10" s="13" t="s">
        <v>322</v>
      </c>
      <c r="B10" s="295">
        <v>326164.34681000002</v>
      </c>
      <c r="C10" s="296">
        <v>305572.70413999999</v>
      </c>
      <c r="D10" s="156">
        <f t="shared" si="1"/>
        <v>-6.3</v>
      </c>
      <c r="E10" s="11">
        <f>IFERROR(100/'Skjema total MA'!C10*C10,0)</f>
        <v>2.308070120628817</v>
      </c>
      <c r="F10" s="295">
        <v>4893983.8464200003</v>
      </c>
      <c r="G10" s="296">
        <v>5970319.6886600005</v>
      </c>
      <c r="H10" s="156">
        <f t="shared" ref="H10:H12" si="3">IF(F10=0, "    ---- ", IF(ABS(ROUND(100/F10*G10-100,1))&lt;999,ROUND(100/F10*G10-100,1),IF(ROUND(100/F10*G10-100,1)&gt;999,999,-999)))</f>
        <v>22</v>
      </c>
      <c r="I10" s="145">
        <f>IFERROR(100/'Skjema total MA'!F10*G10,0)</f>
        <v>6.3666789226078704</v>
      </c>
      <c r="J10" s="293">
        <f t="shared" si="0"/>
        <v>5220148.1932300003</v>
      </c>
      <c r="K10" s="294">
        <f t="shared" si="0"/>
        <v>6275892.3928000005</v>
      </c>
      <c r="L10" s="405">
        <f t="shared" ref="L10:L12" si="4">IF(J10=0, "    ---- ", IF(ABS(ROUND(100/J10*K10-100,1))&lt;999,ROUND(100/J10*K10-100,1),IF(ROUND(100/J10*K10-100,1)&gt;999,999,-999)))</f>
        <v>20.2</v>
      </c>
      <c r="M10" s="11">
        <f>IFERROR(100/'Skjema total MA'!I10*K10,0)</f>
        <v>5.8645641442652412</v>
      </c>
    </row>
    <row r="11" spans="1:14" s="43" customFormat="1" ht="15.75" x14ac:dyDescent="0.2">
      <c r="A11" s="13" t="s">
        <v>323</v>
      </c>
      <c r="B11" s="295"/>
      <c r="C11" s="296"/>
      <c r="D11" s="156"/>
      <c r="E11" s="11"/>
      <c r="F11" s="295">
        <v>19384.811699999998</v>
      </c>
      <c r="G11" s="296">
        <v>34915.366280000002</v>
      </c>
      <c r="H11" s="156">
        <f t="shared" si="3"/>
        <v>80.099999999999994</v>
      </c>
      <c r="I11" s="145">
        <f>IFERROR(100/'Skjema total MA'!F11*G11,0)</f>
        <v>17.151683632211441</v>
      </c>
      <c r="J11" s="293">
        <f t="shared" si="0"/>
        <v>19384.811699999998</v>
      </c>
      <c r="K11" s="294">
        <f t="shared" si="0"/>
        <v>34915.366280000002</v>
      </c>
      <c r="L11" s="405">
        <f t="shared" si="4"/>
        <v>80.099999999999994</v>
      </c>
      <c r="M11" s="11">
        <f>IFERROR(100/'Skjema total MA'!I11*K11,0)</f>
        <v>17.151683632211441</v>
      </c>
      <c r="N11" s="128"/>
    </row>
    <row r="12" spans="1:14" s="43" customFormat="1" ht="15.75" x14ac:dyDescent="0.2">
      <c r="A12" s="41" t="s">
        <v>324</v>
      </c>
      <c r="B12" s="297"/>
      <c r="C12" s="298"/>
      <c r="D12" s="154"/>
      <c r="E12" s="36"/>
      <c r="F12" s="297">
        <v>5397.9750299999996</v>
      </c>
      <c r="G12" s="298">
        <v>18533.906019999999</v>
      </c>
      <c r="H12" s="154">
        <f t="shared" si="3"/>
        <v>243.3</v>
      </c>
      <c r="I12" s="154">
        <f>IFERROR(100/'Skjema total MA'!F12*G12,0)</f>
        <v>8.577430447949185</v>
      </c>
      <c r="J12" s="299">
        <f t="shared" si="0"/>
        <v>5397.9750299999996</v>
      </c>
      <c r="K12" s="300">
        <f t="shared" si="0"/>
        <v>18533.906019999999</v>
      </c>
      <c r="L12" s="406">
        <f t="shared" si="4"/>
        <v>243.3</v>
      </c>
      <c r="M12" s="36">
        <f>IFERROR(100/'Skjema total MA'!I12*K12,0)</f>
        <v>8.577430447949185</v>
      </c>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v>1912.3506500000001</v>
      </c>
      <c r="C22" s="295">
        <v>5291.60275</v>
      </c>
      <c r="D22" s="334">
        <f t="shared" ref="D22:D35" si="5">IF(B22=0, "    ---- ", IF(ABS(ROUND(100/B22*C22-100,1))&lt;999,ROUND(100/B22*C22-100,1),IF(ROUND(100/B22*C22-100,1)&gt;999,999,-999)))</f>
        <v>176.7</v>
      </c>
      <c r="E22" s="11">
        <f>IFERROR(100/'Skjema total MA'!C22*C22,0)</f>
        <v>0.37838884522238425</v>
      </c>
      <c r="F22" s="303">
        <v>157865.93732999999</v>
      </c>
      <c r="G22" s="303">
        <v>177851.75122000001</v>
      </c>
      <c r="H22" s="334">
        <f t="shared" ref="H22:H35" si="6">IF(F22=0, "    ---- ", IF(ABS(ROUND(100/F22*G22-100,1))&lt;999,ROUND(100/F22*G22-100,1),IF(ROUND(100/F22*G22-100,1)&gt;999,999,-999)))</f>
        <v>12.7</v>
      </c>
      <c r="I22" s="11">
        <f>IFERROR(100/'Skjema total MA'!F22*G22,0)</f>
        <v>37.231033716449396</v>
      </c>
      <c r="J22" s="301">
        <f t="shared" ref="J22:K35" si="7">SUM(B22,F22)</f>
        <v>159778.28797999999</v>
      </c>
      <c r="K22" s="301">
        <f t="shared" si="7"/>
        <v>183143.35397</v>
      </c>
      <c r="L22" s="404">
        <f t="shared" ref="L22:L35" si="8">IF(J22=0, "    ---- ", IF(ABS(ROUND(100/J22*K22-100,1))&lt;999,ROUND(100/J22*K22-100,1),IF(ROUND(100/J22*K22-100,1)&gt;999,999,-999)))</f>
        <v>14.6</v>
      </c>
      <c r="M22" s="24">
        <f>IFERROR(100/'Skjema total MA'!I22*K22,0)</f>
        <v>9.7616380038680362</v>
      </c>
    </row>
    <row r="23" spans="1:14" ht="15.75" x14ac:dyDescent="0.2">
      <c r="A23" s="453" t="s">
        <v>325</v>
      </c>
      <c r="B23" s="266">
        <v>1911.39726</v>
      </c>
      <c r="C23" s="266">
        <v>5290.6549400000004</v>
      </c>
      <c r="D23" s="151">
        <f t="shared" si="5"/>
        <v>176.8</v>
      </c>
      <c r="E23" s="11">
        <f>IFERROR(100/'Skjema total MA'!C23*C23,0)</f>
        <v>0.58933114062453884</v>
      </c>
      <c r="F23" s="275">
        <v>3622.1289999999999</v>
      </c>
      <c r="G23" s="275">
        <v>2515.1933600000002</v>
      </c>
      <c r="H23" s="151">
        <f t="shared" si="6"/>
        <v>-30.6</v>
      </c>
      <c r="I23" s="394">
        <f>IFERROR(100/'Skjema total MA'!F23*G23,0)</f>
        <v>10.470187877323303</v>
      </c>
      <c r="J23" s="275">
        <f t="shared" ref="J23:J26" si="9">SUM(B23,F23)</f>
        <v>5533.5262599999996</v>
      </c>
      <c r="K23" s="275">
        <f t="shared" ref="K23:K26" si="10">SUM(C23,G23)</f>
        <v>7805.8483000000006</v>
      </c>
      <c r="L23" s="151">
        <f t="shared" si="8"/>
        <v>41.1</v>
      </c>
      <c r="M23" s="23">
        <f>IFERROR(100/'Skjema total MA'!I23*K23,0)</f>
        <v>0.84684050013675249</v>
      </c>
    </row>
    <row r="24" spans="1:14" ht="15.75" x14ac:dyDescent="0.2">
      <c r="A24" s="453" t="s">
        <v>326</v>
      </c>
      <c r="B24" s="266">
        <v>0.95338999999999996</v>
      </c>
      <c r="C24" s="266">
        <v>0.94781000000000004</v>
      </c>
      <c r="D24" s="151">
        <f t="shared" si="5"/>
        <v>-0.6</v>
      </c>
      <c r="E24" s="11">
        <f>IFERROR(100/'Skjema total MA'!C24*C24,0)</f>
        <v>1.3583217443851782E-2</v>
      </c>
      <c r="F24" s="275">
        <v>0</v>
      </c>
      <c r="G24" s="275">
        <v>-4.4999999999999698</v>
      </c>
      <c r="H24" s="151" t="str">
        <f t="shared" si="6"/>
        <v xml:space="preserve">    ---- </v>
      </c>
      <c r="I24" s="394">
        <f>IFERROR(100/'Skjema total MA'!F24*G24,0)</f>
        <v>-0.53016969530228286</v>
      </c>
      <c r="J24" s="275">
        <f t="shared" si="9"/>
        <v>0.95338999999999996</v>
      </c>
      <c r="K24" s="275">
        <f t="shared" si="10"/>
        <v>-3.5521899999999698</v>
      </c>
      <c r="L24" s="151">
        <f t="shared" si="8"/>
        <v>-472.6</v>
      </c>
      <c r="M24" s="23">
        <f>IFERROR(100/'Skjema total MA'!I24*K24,0)</f>
        <v>-4.5386196234755864E-2</v>
      </c>
    </row>
    <row r="25" spans="1:14" ht="15.75" x14ac:dyDescent="0.2">
      <c r="A25" s="453" t="s">
        <v>327</v>
      </c>
      <c r="B25" s="266"/>
      <c r="C25" s="266"/>
      <c r="D25" s="151"/>
      <c r="E25" s="11"/>
      <c r="F25" s="275">
        <v>3780.9860899999999</v>
      </c>
      <c r="G25" s="275">
        <v>2774.9222599999998</v>
      </c>
      <c r="H25" s="151">
        <f t="shared" si="6"/>
        <v>-26.6</v>
      </c>
      <c r="I25" s="394">
        <f>IFERROR(100/'Skjema total MA'!F25*G25,0)</f>
        <v>39.263829464365983</v>
      </c>
      <c r="J25" s="275">
        <f t="shared" si="9"/>
        <v>3780.9860899999999</v>
      </c>
      <c r="K25" s="275">
        <f t="shared" si="10"/>
        <v>2774.9222599999998</v>
      </c>
      <c r="L25" s="151">
        <f t="shared" si="8"/>
        <v>-26.6</v>
      </c>
      <c r="M25" s="23">
        <f>IFERROR(100/'Skjema total MA'!I25*K25,0)</f>
        <v>15.987174397180691</v>
      </c>
    </row>
    <row r="26" spans="1:14" ht="15.75" x14ac:dyDescent="0.2">
      <c r="A26" s="453" t="s">
        <v>328</v>
      </c>
      <c r="B26" s="266"/>
      <c r="C26" s="266"/>
      <c r="D26" s="151"/>
      <c r="E26" s="11"/>
      <c r="F26" s="275">
        <v>150462.82224000001</v>
      </c>
      <c r="G26" s="275">
        <v>172566.13560000001</v>
      </c>
      <c r="H26" s="151">
        <f t="shared" si="6"/>
        <v>14.7</v>
      </c>
      <c r="I26" s="394">
        <f>IFERROR(100/'Skjema total MA'!F26*G26,0)</f>
        <v>38.712877265571187</v>
      </c>
      <c r="J26" s="275">
        <f t="shared" si="9"/>
        <v>150462.82224000001</v>
      </c>
      <c r="K26" s="275">
        <f t="shared" si="10"/>
        <v>172566.13560000001</v>
      </c>
      <c r="L26" s="151">
        <f t="shared" si="8"/>
        <v>14.7</v>
      </c>
      <c r="M26" s="23">
        <f>IFERROR(100/'Skjema total MA'!I26*K26,0)</f>
        <v>38.712877265571187</v>
      </c>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v>2367131.0315299998</v>
      </c>
      <c r="C29" s="220">
        <v>2521457.3624900002</v>
      </c>
      <c r="D29" s="156">
        <f t="shared" si="5"/>
        <v>6.5</v>
      </c>
      <c r="E29" s="11">
        <f>IFERROR(100/'Skjema total MA'!C29*C29,0)</f>
        <v>5.7586461249929375</v>
      </c>
      <c r="F29" s="293">
        <v>4194524.39965</v>
      </c>
      <c r="G29" s="293">
        <v>4905661.8436200004</v>
      </c>
      <c r="H29" s="156">
        <f t="shared" si="6"/>
        <v>17</v>
      </c>
      <c r="I29" s="11">
        <f>IFERROR(100/'Skjema total MA'!F29*G29,0)</f>
        <v>17.227585181211531</v>
      </c>
      <c r="J29" s="220">
        <f t="shared" si="7"/>
        <v>6561655.4311800003</v>
      </c>
      <c r="K29" s="220">
        <f t="shared" si="7"/>
        <v>7427119.2061100006</v>
      </c>
      <c r="L29" s="405">
        <f t="shared" si="8"/>
        <v>13.2</v>
      </c>
      <c r="M29" s="24">
        <f>IFERROR(100/'Skjema total MA'!I29*K29,0)</f>
        <v>10.2781544799118</v>
      </c>
      <c r="N29" s="133"/>
    </row>
    <row r="30" spans="1:14" s="3" customFormat="1" ht="15.75" x14ac:dyDescent="0.2">
      <c r="A30" s="453" t="s">
        <v>325</v>
      </c>
      <c r="B30" s="266">
        <v>1358004.20285654</v>
      </c>
      <c r="C30" s="266">
        <v>1446539.9886932999</v>
      </c>
      <c r="D30" s="151">
        <f t="shared" si="5"/>
        <v>6.5</v>
      </c>
      <c r="E30" s="11">
        <f>IFERROR(100/'Skjema total MA'!C30*C30,0)</f>
        <v>8.0308581800678418</v>
      </c>
      <c r="F30" s="275">
        <v>626766.71607999899</v>
      </c>
      <c r="G30" s="275">
        <v>650337.76729999902</v>
      </c>
      <c r="H30" s="151">
        <f t="shared" si="6"/>
        <v>3.8</v>
      </c>
      <c r="I30" s="394">
        <f>IFERROR(100/'Skjema total MA'!F30*G30,0)</f>
        <v>17.262419455942378</v>
      </c>
      <c r="J30" s="275">
        <f t="shared" ref="J30:J33" si="11">SUM(B30,F30)</f>
        <v>1984770.918936539</v>
      </c>
      <c r="K30" s="275">
        <f t="shared" ref="K30:K33" si="12">SUM(C30,G30)</f>
        <v>2096877.755993299</v>
      </c>
      <c r="L30" s="151">
        <f t="shared" si="8"/>
        <v>5.6</v>
      </c>
      <c r="M30" s="23">
        <f>IFERROR(100/'Skjema total MA'!I30*K30,0)</f>
        <v>9.6277000254944838</v>
      </c>
      <c r="N30" s="133"/>
    </row>
    <row r="31" spans="1:14" s="3" customFormat="1" ht="15.75" x14ac:dyDescent="0.2">
      <c r="A31" s="453" t="s">
        <v>326</v>
      </c>
      <c r="B31" s="266">
        <v>1009126.8286734601</v>
      </c>
      <c r="C31" s="266">
        <v>1074917.3737967</v>
      </c>
      <c r="D31" s="151">
        <f t="shared" si="5"/>
        <v>6.5</v>
      </c>
      <c r="E31" s="11">
        <f>IFERROR(100/'Skjema total MA'!C31*C31,0)</f>
        <v>4.6050941749040168</v>
      </c>
      <c r="F31" s="275">
        <v>819344.611139999</v>
      </c>
      <c r="G31" s="275">
        <v>820765.14075999905</v>
      </c>
      <c r="H31" s="151">
        <f t="shared" si="6"/>
        <v>0.2</v>
      </c>
      <c r="I31" s="394">
        <f>IFERROR(100/'Skjema total MA'!F31*G31,0)</f>
        <v>10.584015998988034</v>
      </c>
      <c r="J31" s="275">
        <f t="shared" si="11"/>
        <v>1828471.4398134591</v>
      </c>
      <c r="K31" s="275">
        <f t="shared" si="12"/>
        <v>1895682.514556699</v>
      </c>
      <c r="L31" s="151">
        <f t="shared" si="8"/>
        <v>3.7</v>
      </c>
      <c r="M31" s="23">
        <f>IFERROR(100/'Skjema total MA'!I31*K31,0)</f>
        <v>6.0960928573044235</v>
      </c>
      <c r="N31" s="133"/>
    </row>
    <row r="32" spans="1:14" ht="15.75" x14ac:dyDescent="0.2">
      <c r="A32" s="453" t="s">
        <v>327</v>
      </c>
      <c r="B32" s="266"/>
      <c r="C32" s="266"/>
      <c r="D32" s="151"/>
      <c r="E32" s="11"/>
      <c r="F32" s="275">
        <v>588987.47904000001</v>
      </c>
      <c r="G32" s="275">
        <v>672869.80105000001</v>
      </c>
      <c r="H32" s="151">
        <f t="shared" si="6"/>
        <v>14.2</v>
      </c>
      <c r="I32" s="394">
        <f>IFERROR(100/'Skjema total MA'!F32*G32,0)</f>
        <v>10.279680493834906</v>
      </c>
      <c r="J32" s="275">
        <f t="shared" si="11"/>
        <v>588987.47904000001</v>
      </c>
      <c r="K32" s="275">
        <f t="shared" si="12"/>
        <v>672869.80105000001</v>
      </c>
      <c r="L32" s="151">
        <f t="shared" si="8"/>
        <v>14.2</v>
      </c>
      <c r="M32" s="23">
        <f>IFERROR(100/'Skjema total MA'!I32*K32,0)</f>
        <v>7.590881188086759</v>
      </c>
    </row>
    <row r="33" spans="1:14" ht="15.75" x14ac:dyDescent="0.2">
      <c r="A33" s="453" t="s">
        <v>328</v>
      </c>
      <c r="B33" s="266"/>
      <c r="C33" s="266"/>
      <c r="D33" s="151"/>
      <c r="E33" s="11"/>
      <c r="F33" s="275">
        <v>2159425.5933900001</v>
      </c>
      <c r="G33" s="275">
        <v>2761689.1345099998</v>
      </c>
      <c r="H33" s="151">
        <f t="shared" si="6"/>
        <v>27.9</v>
      </c>
      <c r="I33" s="394">
        <f>IFERROR(100/'Skjema total MA'!F33*G33,0)</f>
        <v>26.534626784984852</v>
      </c>
      <c r="J33" s="275">
        <f t="shared" si="11"/>
        <v>2159425.5933900001</v>
      </c>
      <c r="K33" s="275">
        <f t="shared" si="12"/>
        <v>2761689.1345099998</v>
      </c>
      <c r="L33" s="151">
        <f t="shared" si="8"/>
        <v>27.9</v>
      </c>
      <c r="M33" s="23">
        <f>IFERROR(100/'Skjema total MA'!I33*K33,0)</f>
        <v>26.534626784984852</v>
      </c>
    </row>
    <row r="34" spans="1:14" ht="15.75" x14ac:dyDescent="0.2">
      <c r="A34" s="13" t="s">
        <v>323</v>
      </c>
      <c r="B34" s="220"/>
      <c r="C34" s="294"/>
      <c r="D34" s="156"/>
      <c r="E34" s="11"/>
      <c r="F34" s="293">
        <v>22926.6561</v>
      </c>
      <c r="G34" s="294">
        <v>32959.372439999999</v>
      </c>
      <c r="H34" s="156">
        <f t="shared" si="6"/>
        <v>43.8</v>
      </c>
      <c r="I34" s="11">
        <f>IFERROR(100/'Skjema total MA'!F34*G34,0)</f>
        <v>-32.247374850045858</v>
      </c>
      <c r="J34" s="220">
        <f t="shared" si="7"/>
        <v>22926.6561</v>
      </c>
      <c r="K34" s="220">
        <f t="shared" si="7"/>
        <v>32959.372439999999</v>
      </c>
      <c r="L34" s="405">
        <f t="shared" si="8"/>
        <v>43.8</v>
      </c>
      <c r="M34" s="24">
        <f>IFERROR(100/'Skjema total MA'!I34*K34,0)</f>
        <v>-36.263809772691737</v>
      </c>
    </row>
    <row r="35" spans="1:14" ht="15.75" x14ac:dyDescent="0.2">
      <c r="A35" s="13" t="s">
        <v>324</v>
      </c>
      <c r="B35" s="220"/>
      <c r="C35" s="294">
        <v>530.74874</v>
      </c>
      <c r="D35" s="156" t="str">
        <f t="shared" si="5"/>
        <v xml:space="preserve">    ---- </v>
      </c>
      <c r="E35" s="11">
        <f>IFERROR(100/'Skjema total MA'!C35*C35,0)</f>
        <v>-0.27606424632825388</v>
      </c>
      <c r="F35" s="293">
        <v>7413.3944300000003</v>
      </c>
      <c r="G35" s="294">
        <v>16766.066030000002</v>
      </c>
      <c r="H35" s="156">
        <f t="shared" si="6"/>
        <v>126.2</v>
      </c>
      <c r="I35" s="11">
        <f>IFERROR(100/'Skjema total MA'!F35*G35,0)</f>
        <v>15.27181041883342</v>
      </c>
      <c r="J35" s="220">
        <f t="shared" si="7"/>
        <v>7413.3944300000003</v>
      </c>
      <c r="K35" s="220">
        <f t="shared" si="7"/>
        <v>17296.814770000001</v>
      </c>
      <c r="L35" s="405">
        <f t="shared" si="8"/>
        <v>133.30000000000001</v>
      </c>
      <c r="M35" s="24">
        <f>IFERROR(100/'Skjema total MA'!I35*K35,0)</f>
        <v>-20.973180089179365</v>
      </c>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c r="C47" s="296"/>
      <c r="D47" s="404"/>
      <c r="E47" s="11"/>
      <c r="F47" s="130"/>
      <c r="G47" s="33"/>
      <c r="H47" s="144"/>
      <c r="I47" s="144"/>
      <c r="J47" s="37"/>
      <c r="K47" s="37"/>
      <c r="L47" s="144"/>
      <c r="M47" s="144"/>
      <c r="N47" s="133"/>
    </row>
    <row r="48" spans="1:14" s="3" customFormat="1" ht="15.75" x14ac:dyDescent="0.2">
      <c r="A48" s="38" t="s">
        <v>333</v>
      </c>
      <c r="B48" s="266"/>
      <c r="C48" s="267"/>
      <c r="D48" s="242"/>
      <c r="E48" s="27"/>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v>443040.93341000006</v>
      </c>
      <c r="C66" s="337">
        <v>476704.91330999997</v>
      </c>
      <c r="D66" s="334">
        <f t="shared" ref="D66:D111" si="13">IF(B66=0, "    ---- ", IF(ABS(ROUND(100/B66*C66-100,1))&lt;999,ROUND(100/B66*C66-100,1),IF(ROUND(100/B66*C66-100,1)&gt;999,999,-999)))</f>
        <v>7.6</v>
      </c>
      <c r="E66" s="11">
        <f>IFERROR(100/'Skjema total MA'!C66*C66,0)</f>
        <v>9.7608183952981005</v>
      </c>
      <c r="F66" s="336">
        <v>2902168.1477899998</v>
      </c>
      <c r="G66" s="336">
        <v>3188292.3846299998</v>
      </c>
      <c r="H66" s="334">
        <f t="shared" ref="H66:H111" si="14">IF(F66=0, "    ---- ", IF(ABS(ROUND(100/F66*G66-100,1))&lt;999,ROUND(100/F66*G66-100,1),IF(ROUND(100/F66*G66-100,1)&gt;999,999,-999)))</f>
        <v>9.9</v>
      </c>
      <c r="I66" s="11">
        <f>IFERROR(100/'Skjema total MA'!F66*G66,0)</f>
        <v>12.135370864025555</v>
      </c>
      <c r="J66" s="294">
        <f t="shared" ref="J66:K86" si="15">SUM(B66,F66)</f>
        <v>3345209.0811999999</v>
      </c>
      <c r="K66" s="301">
        <f t="shared" si="15"/>
        <v>3664997.29794</v>
      </c>
      <c r="L66" s="405">
        <f t="shared" ref="L66:L111" si="16">IF(J66=0, "    ---- ", IF(ABS(ROUND(100/J66*K66-100,1))&lt;999,ROUND(100/J66*K66-100,1),IF(ROUND(100/J66*K66-100,1)&gt;999,999,-999)))</f>
        <v>9.6</v>
      </c>
      <c r="M66" s="11">
        <f>IFERROR(100/'Skjema total MA'!I66*K66,0)</f>
        <v>11.763154628082972</v>
      </c>
    </row>
    <row r="67" spans="1:14" x14ac:dyDescent="0.2">
      <c r="A67" s="396" t="s">
        <v>9</v>
      </c>
      <c r="B67" s="44">
        <v>94300.444199999998</v>
      </c>
      <c r="C67" s="130">
        <v>112396.24744000001</v>
      </c>
      <c r="D67" s="151">
        <f t="shared" si="13"/>
        <v>19.2</v>
      </c>
      <c r="E67" s="27">
        <f>IFERROR(100/'Skjema total MA'!C67*C67,0)</f>
        <v>3.8758595015943551</v>
      </c>
      <c r="F67" s="218"/>
      <c r="G67" s="130"/>
      <c r="H67" s="151"/>
      <c r="I67" s="27"/>
      <c r="J67" s="272">
        <f t="shared" si="15"/>
        <v>94300.444199999998</v>
      </c>
      <c r="K67" s="44">
        <f t="shared" si="15"/>
        <v>112396.24744000001</v>
      </c>
      <c r="L67" s="242">
        <f t="shared" si="16"/>
        <v>19.2</v>
      </c>
      <c r="M67" s="27">
        <f>IFERROR(100/'Skjema total MA'!I67*K67,0)</f>
        <v>3.8758595015943551</v>
      </c>
    </row>
    <row r="68" spans="1:14" x14ac:dyDescent="0.2">
      <c r="A68" s="21" t="s">
        <v>10</v>
      </c>
      <c r="B68" s="277">
        <v>18286.067630000001</v>
      </c>
      <c r="C68" s="278">
        <v>16535.74914</v>
      </c>
      <c r="D68" s="151">
        <f t="shared" si="13"/>
        <v>-9.6</v>
      </c>
      <c r="E68" s="27">
        <f>IFERROR(100/'Skjema total MA'!C68*C68,0)</f>
        <v>97.586272911916353</v>
      </c>
      <c r="F68" s="277">
        <v>2720760.3493499998</v>
      </c>
      <c r="G68" s="278">
        <v>2981091.1416699998</v>
      </c>
      <c r="H68" s="151">
        <f t="shared" si="14"/>
        <v>9.6</v>
      </c>
      <c r="I68" s="27">
        <f>IFERROR(100/'Skjema total MA'!F68*G68,0)</f>
        <v>11.808113531180789</v>
      </c>
      <c r="J68" s="272">
        <f t="shared" si="15"/>
        <v>2739046.4169799997</v>
      </c>
      <c r="K68" s="44">
        <f t="shared" si="15"/>
        <v>2997626.8908099998</v>
      </c>
      <c r="L68" s="242">
        <f t="shared" si="16"/>
        <v>9.4</v>
      </c>
      <c r="M68" s="27">
        <f>IFERROR(100/'Skjema total MA'!I68*K68,0)</f>
        <v>11.865647686277956</v>
      </c>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v>195789.61876000001</v>
      </c>
      <c r="C75" s="130">
        <v>194530.54936999999</v>
      </c>
      <c r="D75" s="151">
        <f t="shared" si="13"/>
        <v>-0.6</v>
      </c>
      <c r="E75" s="27">
        <f>IFERROR(100/'Skjema total MA'!C75*C75,0)</f>
        <v>49.394613735392603</v>
      </c>
      <c r="F75" s="218">
        <v>181407.79844000001</v>
      </c>
      <c r="G75" s="130">
        <v>207201.24296</v>
      </c>
      <c r="H75" s="151">
        <f t="shared" si="14"/>
        <v>14.2</v>
      </c>
      <c r="I75" s="27">
        <f>IFERROR(100/'Skjema total MA'!F75*G75,0)</f>
        <v>20.183293712970588</v>
      </c>
      <c r="J75" s="272">
        <f t="shared" si="15"/>
        <v>377197.41720000003</v>
      </c>
      <c r="K75" s="44">
        <f t="shared" si="15"/>
        <v>401731.79232999997</v>
      </c>
      <c r="L75" s="242">
        <f t="shared" si="16"/>
        <v>6.5</v>
      </c>
      <c r="M75" s="27">
        <f>IFERROR(100/'Skjema total MA'!I75*K75,0)</f>
        <v>28.282461718933789</v>
      </c>
      <c r="N75" s="133"/>
    </row>
    <row r="76" spans="1:14" s="3" customFormat="1" x14ac:dyDescent="0.2">
      <c r="A76" s="21" t="s">
        <v>308</v>
      </c>
      <c r="B76" s="218">
        <v>134664.80282000001</v>
      </c>
      <c r="C76" s="130">
        <v>153242.36736</v>
      </c>
      <c r="D76" s="151">
        <f t="shared" ref="D76" si="17">IF(B76=0, "    ---- ", IF(ABS(ROUND(100/B76*C76-100,1))&lt;999,ROUND(100/B76*C76-100,1),IF(ROUND(100/B76*C76-100,1)&gt;999,999,-999)))</f>
        <v>13.8</v>
      </c>
      <c r="E76" s="27">
        <f>IFERROR(100/'Skjema total MA'!C77*C76,0)</f>
        <v>5.3830179416153623</v>
      </c>
      <c r="F76" s="218"/>
      <c r="G76" s="130"/>
      <c r="H76" s="151"/>
      <c r="I76" s="27"/>
      <c r="J76" s="272">
        <f t="shared" ref="J76" si="18">SUM(B76,F76)</f>
        <v>134664.80282000001</v>
      </c>
      <c r="K76" s="44">
        <f t="shared" ref="K76" si="19">SUM(C76,G76)</f>
        <v>153242.36736</v>
      </c>
      <c r="L76" s="242">
        <f t="shared" ref="L76" si="20">IF(J76=0, "    ---- ", IF(ABS(ROUND(100/J76*K76-100,1))&lt;999,ROUND(100/J76*K76-100,1),IF(ROUND(100/J76*K76-100,1)&gt;999,999,-999)))</f>
        <v>13.8</v>
      </c>
      <c r="M76" s="27">
        <f>IFERROR(100/'Skjema total MA'!I77*K76,0)</f>
        <v>0.54561210986308573</v>
      </c>
      <c r="N76" s="133"/>
    </row>
    <row r="77" spans="1:14" ht="15.75" x14ac:dyDescent="0.2">
      <c r="A77" s="21" t="s">
        <v>339</v>
      </c>
      <c r="B77" s="218">
        <v>112586.51183</v>
      </c>
      <c r="C77" s="218">
        <v>128931.99658000001</v>
      </c>
      <c r="D77" s="151">
        <f t="shared" si="13"/>
        <v>14.5</v>
      </c>
      <c r="E77" s="27">
        <f>IFERROR(100/'Skjema total MA'!C77*C77,0)</f>
        <v>4.5290559183803945</v>
      </c>
      <c r="F77" s="218">
        <v>2715483.2211600002</v>
      </c>
      <c r="G77" s="130">
        <v>2976065.7756699999</v>
      </c>
      <c r="H77" s="151">
        <f t="shared" si="14"/>
        <v>9.6</v>
      </c>
      <c r="I77" s="27">
        <f>IFERROR(100/'Skjema total MA'!F77*G77,0)</f>
        <v>11.791280679322469</v>
      </c>
      <c r="J77" s="272">
        <f t="shared" si="15"/>
        <v>2828069.7329900004</v>
      </c>
      <c r="K77" s="44">
        <f t="shared" si="15"/>
        <v>3104997.7722499999</v>
      </c>
      <c r="L77" s="242">
        <f t="shared" si="16"/>
        <v>9.8000000000000007</v>
      </c>
      <c r="M77" s="27">
        <f>IFERROR(100/'Skjema total MA'!I77*K77,0)</f>
        <v>11.055195862757934</v>
      </c>
    </row>
    <row r="78" spans="1:14" x14ac:dyDescent="0.2">
      <c r="A78" s="21" t="s">
        <v>9</v>
      </c>
      <c r="B78" s="218">
        <v>94300.444199999998</v>
      </c>
      <c r="C78" s="130">
        <v>112396.24744000001</v>
      </c>
      <c r="D78" s="151">
        <f t="shared" si="13"/>
        <v>19.2</v>
      </c>
      <c r="E78" s="27">
        <f>IFERROR(100/'Skjema total MA'!C78*C78,0)</f>
        <v>3.9718381742235018</v>
      </c>
      <c r="F78" s="218"/>
      <c r="G78" s="130"/>
      <c r="H78" s="151"/>
      <c r="I78" s="27"/>
      <c r="J78" s="272">
        <f t="shared" si="15"/>
        <v>94300.444199999998</v>
      </c>
      <c r="K78" s="44">
        <f t="shared" si="15"/>
        <v>112396.24744000001</v>
      </c>
      <c r="L78" s="242">
        <f t="shared" si="16"/>
        <v>19.2</v>
      </c>
      <c r="M78" s="27">
        <f>IFERROR(100/'Skjema total MA'!I78*K78,0)</f>
        <v>3.9718381742235018</v>
      </c>
    </row>
    <row r="79" spans="1:14" x14ac:dyDescent="0.2">
      <c r="A79" s="38" t="s">
        <v>368</v>
      </c>
      <c r="B79" s="277">
        <v>18286.067630000001</v>
      </c>
      <c r="C79" s="278">
        <v>16535.74914</v>
      </c>
      <c r="D79" s="151">
        <f t="shared" si="13"/>
        <v>-9.6</v>
      </c>
      <c r="E79" s="27">
        <f>IFERROR(100/'Skjema total MA'!C79*C79,0)</f>
        <v>97.586272911916353</v>
      </c>
      <c r="F79" s="277">
        <v>2715483.2211600002</v>
      </c>
      <c r="G79" s="278">
        <v>2976065.7756699999</v>
      </c>
      <c r="H79" s="151">
        <f t="shared" si="14"/>
        <v>9.6</v>
      </c>
      <c r="I79" s="27">
        <f>IFERROR(100/'Skjema total MA'!F79*G79,0)</f>
        <v>11.791280679322469</v>
      </c>
      <c r="J79" s="272">
        <f t="shared" si="15"/>
        <v>2733769.2887900001</v>
      </c>
      <c r="K79" s="44">
        <f t="shared" si="15"/>
        <v>2992601.5248099999</v>
      </c>
      <c r="L79" s="242">
        <f t="shared" si="16"/>
        <v>9.5</v>
      </c>
      <c r="M79" s="27">
        <f>IFERROR(100/'Skjema total MA'!I79*K79,0)</f>
        <v>11.848841114132775</v>
      </c>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v>5277.1281900000004</v>
      </c>
      <c r="G86" s="130">
        <v>5025.366</v>
      </c>
      <c r="H86" s="151">
        <f t="shared" si="14"/>
        <v>-4.8</v>
      </c>
      <c r="I86" s="27">
        <f>IFERROR(100/'Skjema total MA'!F86*G86,0)</f>
        <v>76.387436831050593</v>
      </c>
      <c r="J86" s="272">
        <f t="shared" si="15"/>
        <v>5277.1281900000004</v>
      </c>
      <c r="K86" s="44">
        <f t="shared" si="15"/>
        <v>5025.366</v>
      </c>
      <c r="L86" s="242">
        <f t="shared" si="16"/>
        <v>-4.8</v>
      </c>
      <c r="M86" s="27">
        <f>IFERROR(100/'Skjema total MA'!I86*K86,0)</f>
        <v>6.5558643218863217</v>
      </c>
    </row>
    <row r="87" spans="1:13" ht="15.75" x14ac:dyDescent="0.2">
      <c r="A87" s="13" t="s">
        <v>322</v>
      </c>
      <c r="B87" s="337">
        <v>16784379.691020001</v>
      </c>
      <c r="C87" s="337">
        <v>19182684.463880002</v>
      </c>
      <c r="D87" s="156">
        <f t="shared" si="13"/>
        <v>14.3</v>
      </c>
      <c r="E87" s="11">
        <f>IFERROR(100/'Skjema total MA'!C87*C87,0)</f>
        <v>4.7486159746648822</v>
      </c>
      <c r="F87" s="336">
        <v>54652702.861999907</v>
      </c>
      <c r="G87" s="336">
        <v>67564230.328959897</v>
      </c>
      <c r="H87" s="156">
        <f t="shared" si="14"/>
        <v>23.6</v>
      </c>
      <c r="I87" s="11">
        <f>IFERROR(100/'Skjema total MA'!F87*G87,0)</f>
        <v>11.0277081766734</v>
      </c>
      <c r="J87" s="294">
        <f t="shared" ref="J87:K111" si="21">SUM(B87,F87)</f>
        <v>71437082.553019911</v>
      </c>
      <c r="K87" s="220">
        <f t="shared" si="21"/>
        <v>86746914.7928399</v>
      </c>
      <c r="L87" s="405">
        <f t="shared" si="16"/>
        <v>21.4</v>
      </c>
      <c r="M87" s="11">
        <f>IFERROR(100/'Skjema total MA'!I87*K87,0)</f>
        <v>8.5327015121663567</v>
      </c>
    </row>
    <row r="88" spans="1:13" x14ac:dyDescent="0.2">
      <c r="A88" s="21" t="s">
        <v>9</v>
      </c>
      <c r="B88" s="218">
        <v>12186551.33014</v>
      </c>
      <c r="C88" s="130">
        <v>13588043.28772</v>
      </c>
      <c r="D88" s="151">
        <f t="shared" si="13"/>
        <v>11.5</v>
      </c>
      <c r="E88" s="27">
        <f>IFERROR(100/'Skjema total MA'!C88*C88,0)</f>
        <v>3.5373509206132692</v>
      </c>
      <c r="F88" s="218"/>
      <c r="G88" s="130"/>
      <c r="H88" s="151"/>
      <c r="I88" s="27"/>
      <c r="J88" s="272">
        <f t="shared" si="21"/>
        <v>12186551.33014</v>
      </c>
      <c r="K88" s="44">
        <f t="shared" si="21"/>
        <v>13588043.28772</v>
      </c>
      <c r="L88" s="242">
        <f t="shared" si="16"/>
        <v>11.5</v>
      </c>
      <c r="M88" s="27">
        <f>IFERROR(100/'Skjema total MA'!I88*K88,0)</f>
        <v>3.5373509206132692</v>
      </c>
    </row>
    <row r="89" spans="1:13" x14ac:dyDescent="0.2">
      <c r="A89" s="21" t="s">
        <v>10</v>
      </c>
      <c r="B89" s="218">
        <v>659094.94188000006</v>
      </c>
      <c r="C89" s="130">
        <v>648963.10707000003</v>
      </c>
      <c r="D89" s="151">
        <f t="shared" si="13"/>
        <v>-1.5</v>
      </c>
      <c r="E89" s="27">
        <f>IFERROR(100/'Skjema total MA'!C89*C89,0)</f>
        <v>27.099599696575243</v>
      </c>
      <c r="F89" s="218">
        <v>52598091.637969904</v>
      </c>
      <c r="G89" s="130">
        <v>64932198.879489899</v>
      </c>
      <c r="H89" s="151">
        <f t="shared" si="14"/>
        <v>23.4</v>
      </c>
      <c r="I89" s="27">
        <f>IFERROR(100/'Skjema total MA'!F89*G89,0)</f>
        <v>10.760648962789448</v>
      </c>
      <c r="J89" s="272">
        <f t="shared" si="21"/>
        <v>53257186.579849906</v>
      </c>
      <c r="K89" s="44">
        <f t="shared" si="21"/>
        <v>65581161.986559898</v>
      </c>
      <c r="L89" s="242">
        <f t="shared" si="16"/>
        <v>23.1</v>
      </c>
      <c r="M89" s="27">
        <f>IFERROR(100/'Skjema total MA'!I89*K89,0)</f>
        <v>10.825235132108009</v>
      </c>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v>2616033.9384099999</v>
      </c>
      <c r="C96" s="130">
        <v>3340539.6485100002</v>
      </c>
      <c r="D96" s="151">
        <f t="shared" si="13"/>
        <v>27.7</v>
      </c>
      <c r="E96" s="27">
        <f>IFERROR(100/'Skjema total MA'!C96*C96,0)</f>
        <v>55.947869866784224</v>
      </c>
      <c r="F96" s="218">
        <v>2054611.2240299999</v>
      </c>
      <c r="G96" s="130">
        <v>2632031.4494699999</v>
      </c>
      <c r="H96" s="151">
        <f t="shared" si="14"/>
        <v>28.1</v>
      </c>
      <c r="I96" s="27">
        <f>IFERROR(100/'Skjema total MA'!F96*G96,0)</f>
        <v>28.441219469714095</v>
      </c>
      <c r="J96" s="272">
        <f t="shared" si="21"/>
        <v>4670645.1624400001</v>
      </c>
      <c r="K96" s="44">
        <f t="shared" si="21"/>
        <v>5972571.0979800001</v>
      </c>
      <c r="L96" s="242">
        <f t="shared" si="16"/>
        <v>27.9</v>
      </c>
      <c r="M96" s="27">
        <f>IFERROR(100/'Skjema total MA'!I96*K96,0)</f>
        <v>39.22847201536284</v>
      </c>
    </row>
    <row r="97" spans="1:13" x14ac:dyDescent="0.2">
      <c r="A97" s="21" t="s">
        <v>306</v>
      </c>
      <c r="B97" s="218">
        <v>1322699.4805900001</v>
      </c>
      <c r="C97" s="130">
        <v>1605138.4205799999</v>
      </c>
      <c r="D97" s="151">
        <f t="shared" ref="D97" si="22">IF(B97=0, "    ---- ", IF(ABS(ROUND(100/B97*C97-100,1))&lt;999,ROUND(100/B97*C97-100,1),IF(ROUND(100/B97*C97-100,1)&gt;999,999,-999)))</f>
        <v>21.4</v>
      </c>
      <c r="E97" s="27">
        <f>IFERROR(100/'Skjema total MA'!C98*C97,0)</f>
        <v>0.4199361481306999</v>
      </c>
      <c r="F97" s="218"/>
      <c r="G97" s="130"/>
      <c r="H97" s="151"/>
      <c r="I97" s="27"/>
      <c r="J97" s="272">
        <f t="shared" ref="J97" si="23">SUM(B97,F97)</f>
        <v>1322699.4805900001</v>
      </c>
      <c r="K97" s="44">
        <f t="shared" ref="K97" si="24">SUM(C97,G97)</f>
        <v>1605138.4205799999</v>
      </c>
      <c r="L97" s="242">
        <f t="shared" ref="L97" si="25">IF(J97=0, "    ---- ", IF(ABS(ROUND(100/J97*K97-100,1))&lt;999,ROUND(100/J97*K97-100,1),IF(ROUND(100/J97*K97-100,1)&gt;999,999,-999)))</f>
        <v>21.4</v>
      </c>
      <c r="M97" s="27">
        <f>IFERROR(100/'Skjema total MA'!I98*K97,0)</f>
        <v>0.16291652092836398</v>
      </c>
    </row>
    <row r="98" spans="1:13" ht="15.75" x14ac:dyDescent="0.2">
      <c r="A98" s="21" t="s">
        <v>339</v>
      </c>
      <c r="B98" s="218">
        <v>12845646.272020001</v>
      </c>
      <c r="C98" s="218">
        <v>14237006.394790001</v>
      </c>
      <c r="D98" s="151">
        <f t="shared" si="13"/>
        <v>10.8</v>
      </c>
      <c r="E98" s="27">
        <f>IFERROR(100/'Skjema total MA'!C98*C98,0)</f>
        <v>3.7246841454208908</v>
      </c>
      <c r="F98" s="277">
        <v>52512690.912959903</v>
      </c>
      <c r="G98" s="277">
        <v>64842089.2786799</v>
      </c>
      <c r="H98" s="151">
        <f t="shared" si="14"/>
        <v>23.5</v>
      </c>
      <c r="I98" s="27">
        <f>IFERROR(100/'Skjema total MA'!F98*G98,0)</f>
        <v>10.752924782216324</v>
      </c>
      <c r="J98" s="272">
        <f t="shared" si="21"/>
        <v>65358337.184979901</v>
      </c>
      <c r="K98" s="44">
        <f t="shared" si="21"/>
        <v>79079095.673469901</v>
      </c>
      <c r="L98" s="242">
        <f t="shared" si="16"/>
        <v>21</v>
      </c>
      <c r="M98" s="27">
        <f>IFERROR(100/'Skjema total MA'!I98*K98,0)</f>
        <v>8.0262804628573505</v>
      </c>
    </row>
    <row r="99" spans="1:13" x14ac:dyDescent="0.2">
      <c r="A99" s="21" t="s">
        <v>9</v>
      </c>
      <c r="B99" s="277">
        <v>12186551.33014</v>
      </c>
      <c r="C99" s="278">
        <v>13588043.28772</v>
      </c>
      <c r="D99" s="151">
        <f t="shared" si="13"/>
        <v>11.5</v>
      </c>
      <c r="E99" s="27">
        <f>IFERROR(100/'Skjema total MA'!C99*C99,0)</f>
        <v>3.5773147132589758</v>
      </c>
      <c r="F99" s="218"/>
      <c r="G99" s="130"/>
      <c r="H99" s="151"/>
      <c r="I99" s="27"/>
      <c r="J99" s="272">
        <f t="shared" si="21"/>
        <v>12186551.33014</v>
      </c>
      <c r="K99" s="44">
        <f t="shared" si="21"/>
        <v>13588043.28772</v>
      </c>
      <c r="L99" s="242">
        <f t="shared" si="16"/>
        <v>11.5</v>
      </c>
      <c r="M99" s="27">
        <f>IFERROR(100/'Skjema total MA'!I99*K99,0)</f>
        <v>3.5773147132589758</v>
      </c>
    </row>
    <row r="100" spans="1:13" x14ac:dyDescent="0.2">
      <c r="A100" s="38" t="s">
        <v>368</v>
      </c>
      <c r="B100" s="277">
        <v>659094.94188000006</v>
      </c>
      <c r="C100" s="278">
        <v>648963.10707000003</v>
      </c>
      <c r="D100" s="151">
        <f t="shared" si="13"/>
        <v>-1.5</v>
      </c>
      <c r="E100" s="27">
        <f>IFERROR(100/'Skjema total MA'!C100*C100,0)</f>
        <v>27.099599696575243</v>
      </c>
      <c r="F100" s="218">
        <v>52512690.912959903</v>
      </c>
      <c r="G100" s="218">
        <v>64842089.2786799</v>
      </c>
      <c r="H100" s="151">
        <f t="shared" si="14"/>
        <v>23.5</v>
      </c>
      <c r="I100" s="27">
        <f>IFERROR(100/'Skjema total MA'!F100*G100,0)</f>
        <v>10.752924782216324</v>
      </c>
      <c r="J100" s="272">
        <f t="shared" si="21"/>
        <v>53171785.854839906</v>
      </c>
      <c r="K100" s="44">
        <f t="shared" si="21"/>
        <v>65491052.385749899</v>
      </c>
      <c r="L100" s="242">
        <f t="shared" si="16"/>
        <v>23.2</v>
      </c>
      <c r="M100" s="27">
        <f>IFERROR(100/'Skjema total MA'!I100*K100,0)</f>
        <v>10.817584661885085</v>
      </c>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v>85400.725009999893</v>
      </c>
      <c r="G107" s="130">
        <v>90109.600809999902</v>
      </c>
      <c r="H107" s="151">
        <f t="shared" si="14"/>
        <v>5.5</v>
      </c>
      <c r="I107" s="27">
        <f>IFERROR(100/'Skjema total MA'!F107*G107,0)</f>
        <v>22.274436809853718</v>
      </c>
      <c r="J107" s="272">
        <f t="shared" si="21"/>
        <v>85400.725009999893</v>
      </c>
      <c r="K107" s="44">
        <f t="shared" si="21"/>
        <v>90109.600809999902</v>
      </c>
      <c r="L107" s="242">
        <f t="shared" si="16"/>
        <v>5.5</v>
      </c>
      <c r="M107" s="27">
        <f>IFERROR(100/'Skjema total MA'!I107*K107,0)</f>
        <v>1.9189249722294275</v>
      </c>
    </row>
    <row r="108" spans="1:13" ht="15.75" x14ac:dyDescent="0.2">
      <c r="A108" s="21" t="s">
        <v>341</v>
      </c>
      <c r="B108" s="218">
        <v>9379721.2268499993</v>
      </c>
      <c r="C108" s="218">
        <v>10834889.53324</v>
      </c>
      <c r="D108" s="151">
        <f t="shared" si="13"/>
        <v>15.5</v>
      </c>
      <c r="E108" s="27">
        <f>IFERROR(100/'Skjema total MA'!C108*C108,0)</f>
        <v>3.2696320734068465</v>
      </c>
      <c r="F108" s="218"/>
      <c r="G108" s="218"/>
      <c r="H108" s="151"/>
      <c r="I108" s="27"/>
      <c r="J108" s="272">
        <f t="shared" si="21"/>
        <v>9379721.2268499993</v>
      </c>
      <c r="K108" s="44">
        <f t="shared" si="21"/>
        <v>10834889.53324</v>
      </c>
      <c r="L108" s="242">
        <f t="shared" si="16"/>
        <v>15.5</v>
      </c>
      <c r="M108" s="27">
        <f>IFERROR(100/'Skjema total MA'!I108*K108,0)</f>
        <v>3.0625051758382353</v>
      </c>
    </row>
    <row r="109" spans="1:13" ht="15.75" x14ac:dyDescent="0.2">
      <c r="A109" s="38" t="s">
        <v>382</v>
      </c>
      <c r="B109" s="218">
        <v>407696.50003</v>
      </c>
      <c r="C109" s="218">
        <v>440340.55963999999</v>
      </c>
      <c r="D109" s="151">
        <f t="shared" si="13"/>
        <v>8</v>
      </c>
      <c r="E109" s="27">
        <f>IFERROR(100/'Skjema total MA'!C109*C109,0)</f>
        <v>18.764760309210519</v>
      </c>
      <c r="F109" s="218">
        <v>21316919.782930002</v>
      </c>
      <c r="G109" s="218">
        <v>26853336.683449998</v>
      </c>
      <c r="H109" s="151">
        <f t="shared" si="14"/>
        <v>26</v>
      </c>
      <c r="I109" s="27">
        <f>IFERROR(100/'Skjema total MA'!F109*G109,0)</f>
        <v>11.776757780523102</v>
      </c>
      <c r="J109" s="272">
        <f t="shared" si="21"/>
        <v>21724616.282960001</v>
      </c>
      <c r="K109" s="44">
        <f t="shared" si="21"/>
        <v>27293677.24309</v>
      </c>
      <c r="L109" s="242">
        <f t="shared" si="16"/>
        <v>25.6</v>
      </c>
      <c r="M109" s="27">
        <f>IFERROR(100/'Skjema total MA'!I109*K109,0)</f>
        <v>11.847941317760652</v>
      </c>
    </row>
    <row r="110" spans="1:13" ht="15.75" x14ac:dyDescent="0.2">
      <c r="A110" s="21" t="s">
        <v>342</v>
      </c>
      <c r="B110" s="218">
        <v>960841.81490999996</v>
      </c>
      <c r="C110" s="218">
        <v>1290589.31308</v>
      </c>
      <c r="D110" s="151">
        <f t="shared" si="13"/>
        <v>34.299999999999997</v>
      </c>
      <c r="E110" s="27">
        <f>IFERROR(100/'Skjema total MA'!C110*C110,0)</f>
        <v>45.532681301469751</v>
      </c>
      <c r="F110" s="218"/>
      <c r="G110" s="218"/>
      <c r="H110" s="151"/>
      <c r="I110" s="27"/>
      <c r="J110" s="272">
        <f t="shared" si="21"/>
        <v>960841.81490999996</v>
      </c>
      <c r="K110" s="44">
        <f t="shared" si="21"/>
        <v>1290589.31308</v>
      </c>
      <c r="L110" s="242">
        <f t="shared" si="16"/>
        <v>34.299999999999997</v>
      </c>
      <c r="M110" s="27">
        <f>IFERROR(100/'Skjema total MA'!I110*K110,0)</f>
        <v>45.532681301469751</v>
      </c>
    </row>
    <row r="111" spans="1:13" ht="15.75" x14ac:dyDescent="0.2">
      <c r="A111" s="13" t="s">
        <v>323</v>
      </c>
      <c r="B111" s="293">
        <v>12306.364729999999</v>
      </c>
      <c r="C111" s="144">
        <v>20032.845719999998</v>
      </c>
      <c r="D111" s="156">
        <f t="shared" si="13"/>
        <v>62.8</v>
      </c>
      <c r="E111" s="11">
        <f>IFERROR(100/'Skjema total MA'!C111*C111,0)</f>
        <v>5.938562190491556</v>
      </c>
      <c r="F111" s="293">
        <v>2347492.2400799999</v>
      </c>
      <c r="G111" s="144">
        <v>2846989.0455499999</v>
      </c>
      <c r="H111" s="156">
        <f t="shared" si="14"/>
        <v>21.3</v>
      </c>
      <c r="I111" s="11">
        <f>IFERROR(100/'Skjema total MA'!F111*G111,0)</f>
        <v>10.800563504154594</v>
      </c>
      <c r="J111" s="294">
        <f t="shared" si="21"/>
        <v>2359798.6048099999</v>
      </c>
      <c r="K111" s="220">
        <f t="shared" si="21"/>
        <v>2867021.89127</v>
      </c>
      <c r="L111" s="405">
        <f t="shared" si="16"/>
        <v>21.5</v>
      </c>
      <c r="M111" s="11">
        <f>IFERROR(100/'Skjema total MA'!I111*K111,0)</f>
        <v>10.739128704326145</v>
      </c>
    </row>
    <row r="112" spans="1:13" x14ac:dyDescent="0.2">
      <c r="A112" s="21" t="s">
        <v>9</v>
      </c>
      <c r="B112" s="218">
        <v>0</v>
      </c>
      <c r="C112" s="130">
        <v>194.98938000000001</v>
      </c>
      <c r="D112" s="151" t="str">
        <f t="shared" ref="D112:D125" si="26">IF(B112=0, "    ---- ", IF(ABS(ROUND(100/B112*C112-100,1))&lt;999,ROUND(100/B112*C112-100,1),IF(ROUND(100/B112*C112-100,1)&gt;999,999,-999)))</f>
        <v xml:space="preserve">    ---- </v>
      </c>
      <c r="E112" s="27">
        <f>IFERROR(100/'Skjema total MA'!C112*C112,0)</f>
        <v>8.246709779513009E-2</v>
      </c>
      <c r="F112" s="218"/>
      <c r="G112" s="130"/>
      <c r="H112" s="151"/>
      <c r="I112" s="27"/>
      <c r="J112" s="272">
        <f t="shared" ref="J112:K125" si="27">SUM(B112,F112)</f>
        <v>0</v>
      </c>
      <c r="K112" s="44">
        <f t="shared" si="27"/>
        <v>194.98938000000001</v>
      </c>
      <c r="L112" s="242" t="str">
        <f t="shared" ref="L112:L125" si="28">IF(J112=0, "    ---- ", IF(ABS(ROUND(100/J112*K112-100,1))&lt;999,ROUND(100/J112*K112-100,1),IF(ROUND(100/J112*K112-100,1)&gt;999,999,-999)))</f>
        <v xml:space="preserve">    ---- </v>
      </c>
      <c r="M112" s="27">
        <f>IFERROR(100/'Skjema total MA'!I112*K112,0)</f>
        <v>8.2125457093778026E-2</v>
      </c>
    </row>
    <row r="113" spans="1:14" x14ac:dyDescent="0.2">
      <c r="A113" s="21" t="s">
        <v>10</v>
      </c>
      <c r="B113" s="218"/>
      <c r="C113" s="130"/>
      <c r="D113" s="151"/>
      <c r="E113" s="27"/>
      <c r="F113" s="218">
        <v>2347492.2400799999</v>
      </c>
      <c r="G113" s="130">
        <v>2846989.0455499999</v>
      </c>
      <c r="H113" s="151">
        <f t="shared" ref="H113:H125" si="29">IF(F113=0, "    ---- ", IF(ABS(ROUND(100/F113*G113-100,1))&lt;999,ROUND(100/F113*G113-100,1),IF(ROUND(100/F113*G113-100,1)&gt;999,999,-999)))</f>
        <v>21.3</v>
      </c>
      <c r="I113" s="27">
        <f>IFERROR(100/'Skjema total MA'!F113*G113,0)</f>
        <v>10.800966541501923</v>
      </c>
      <c r="J113" s="272">
        <f t="shared" si="27"/>
        <v>2347492.2400799999</v>
      </c>
      <c r="K113" s="44">
        <f t="shared" si="27"/>
        <v>2846989.0455499999</v>
      </c>
      <c r="L113" s="242">
        <f t="shared" si="28"/>
        <v>21.3</v>
      </c>
      <c r="M113" s="27">
        <f>IFERROR(100/'Skjema total MA'!I113*K113,0)</f>
        <v>10.800966541501923</v>
      </c>
    </row>
    <row r="114" spans="1:14" x14ac:dyDescent="0.2">
      <c r="A114" s="21" t="s">
        <v>26</v>
      </c>
      <c r="B114" s="218">
        <v>12306.364729999999</v>
      </c>
      <c r="C114" s="130">
        <v>19837.856339999998</v>
      </c>
      <c r="D114" s="151">
        <f t="shared" si="26"/>
        <v>61.2</v>
      </c>
      <c r="E114" s="27">
        <f>IFERROR(100/'Skjema total MA'!C114*C114,0)</f>
        <v>19.662878870254072</v>
      </c>
      <c r="F114" s="218"/>
      <c r="G114" s="130"/>
      <c r="H114" s="151"/>
      <c r="I114" s="27"/>
      <c r="J114" s="272">
        <f t="shared" si="27"/>
        <v>12306.364729999999</v>
      </c>
      <c r="K114" s="44">
        <f t="shared" si="27"/>
        <v>19837.856339999998</v>
      </c>
      <c r="L114" s="242">
        <f t="shared" si="28"/>
        <v>61.2</v>
      </c>
      <c r="M114" s="27">
        <f>IFERROR(100/'Skjema total MA'!I114*K114,0)</f>
        <v>19.662878870254072</v>
      </c>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v>164.11304000000001</v>
      </c>
      <c r="D116" s="151" t="str">
        <f t="shared" si="26"/>
        <v xml:space="preserve">    ---- </v>
      </c>
      <c r="E116" s="27">
        <f>IFERROR(100/'Skjema total MA'!C116*C116,0)</f>
        <v>0.45075774931960333</v>
      </c>
      <c r="F116" s="218"/>
      <c r="G116" s="218"/>
      <c r="H116" s="151"/>
      <c r="I116" s="27"/>
      <c r="J116" s="272"/>
      <c r="K116" s="44">
        <f t="shared" si="27"/>
        <v>164.11304000000001</v>
      </c>
      <c r="L116" s="242" t="str">
        <f t="shared" si="28"/>
        <v xml:space="preserve">    ---- </v>
      </c>
      <c r="M116" s="27">
        <f>IFERROR(100/'Skjema total MA'!I116*K116,0)</f>
        <v>0.43890038601829534</v>
      </c>
    </row>
    <row r="117" spans="1:14" ht="15.75" x14ac:dyDescent="0.2">
      <c r="A117" s="38" t="s">
        <v>382</v>
      </c>
      <c r="B117" s="218"/>
      <c r="C117" s="218"/>
      <c r="D117" s="151"/>
      <c r="E117" s="27"/>
      <c r="F117" s="218">
        <v>1629747.2756399999</v>
      </c>
      <c r="G117" s="218">
        <v>1902978.25758</v>
      </c>
      <c r="H117" s="151">
        <f t="shared" si="29"/>
        <v>16.8</v>
      </c>
      <c r="I117" s="27">
        <f>IFERROR(100/'Skjema total MA'!F117*G117,0)</f>
        <v>13.740949281081472</v>
      </c>
      <c r="J117" s="272">
        <f t="shared" si="27"/>
        <v>1629747.2756399999</v>
      </c>
      <c r="K117" s="44">
        <f t="shared" si="27"/>
        <v>1902978.25758</v>
      </c>
      <c r="L117" s="242">
        <f t="shared" si="28"/>
        <v>16.8</v>
      </c>
      <c r="M117" s="27">
        <f>IFERROR(100/'Skjema total MA'!I117*K117,0)</f>
        <v>13.740949281081472</v>
      </c>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v>32662.856480000002</v>
      </c>
      <c r="C119" s="144">
        <v>13399.14774</v>
      </c>
      <c r="D119" s="156">
        <f t="shared" si="26"/>
        <v>-59</v>
      </c>
      <c r="E119" s="11">
        <f>IFERROR(100/'Skjema total MA'!C119*C119,0)</f>
        <v>7.8360997913284258</v>
      </c>
      <c r="F119" s="293">
        <v>2826552.7418900002</v>
      </c>
      <c r="G119" s="144">
        <v>3085746.9376500002</v>
      </c>
      <c r="H119" s="156">
        <f t="shared" si="29"/>
        <v>9.1999999999999993</v>
      </c>
      <c r="I119" s="11">
        <f>IFERROR(100/'Skjema total MA'!F119*G119,0)</f>
        <v>10.607000089742218</v>
      </c>
      <c r="J119" s="294">
        <f t="shared" si="27"/>
        <v>2859215.5983700003</v>
      </c>
      <c r="K119" s="220">
        <f t="shared" si="27"/>
        <v>3099146.0853900001</v>
      </c>
      <c r="L119" s="405">
        <f t="shared" si="28"/>
        <v>8.4</v>
      </c>
      <c r="M119" s="11">
        <f>IFERROR(100/'Skjema total MA'!I119*K119,0)</f>
        <v>10.590808660330969</v>
      </c>
    </row>
    <row r="120" spans="1:14" x14ac:dyDescent="0.2">
      <c r="A120" s="21" t="s">
        <v>9</v>
      </c>
      <c r="B120" s="218">
        <v>531.72731999999996</v>
      </c>
      <c r="C120" s="130">
        <v>17.624590000000001</v>
      </c>
      <c r="D120" s="151">
        <f t="shared" si="26"/>
        <v>-96.7</v>
      </c>
      <c r="E120" s="27">
        <f>IFERROR(100/'Skjema total MA'!C120*C120,0)</f>
        <v>1.8992604479117377E-2</v>
      </c>
      <c r="F120" s="218"/>
      <c r="G120" s="130"/>
      <c r="H120" s="151"/>
      <c r="I120" s="27"/>
      <c r="J120" s="272">
        <f t="shared" si="27"/>
        <v>531.72731999999996</v>
      </c>
      <c r="K120" s="44">
        <f t="shared" si="27"/>
        <v>17.624590000000001</v>
      </c>
      <c r="L120" s="242">
        <f t="shared" si="28"/>
        <v>-96.7</v>
      </c>
      <c r="M120" s="27">
        <f>IFERROR(100/'Skjema total MA'!I120*K120,0)</f>
        <v>1.8992604479117377E-2</v>
      </c>
    </row>
    <row r="121" spans="1:14" x14ac:dyDescent="0.2">
      <c r="A121" s="21" t="s">
        <v>10</v>
      </c>
      <c r="B121" s="218">
        <v>4414.3245999999999</v>
      </c>
      <c r="C121" s="130">
        <v>5132.13501</v>
      </c>
      <c r="D121" s="151">
        <f t="shared" si="26"/>
        <v>16.3</v>
      </c>
      <c r="E121" s="27">
        <f>IFERROR(100/'Skjema total MA'!C121*C121,0)</f>
        <v>100</v>
      </c>
      <c r="F121" s="218">
        <v>2826552.7418900002</v>
      </c>
      <c r="G121" s="130">
        <v>3085746.9376500002</v>
      </c>
      <c r="H121" s="151">
        <f t="shared" si="29"/>
        <v>9.1999999999999993</v>
      </c>
      <c r="I121" s="27">
        <f>IFERROR(100/'Skjema total MA'!F121*G121,0)</f>
        <v>10.607000089742218</v>
      </c>
      <c r="J121" s="272">
        <f t="shared" si="27"/>
        <v>2830967.0664900001</v>
      </c>
      <c r="K121" s="44">
        <f t="shared" si="27"/>
        <v>3090879.0726600001</v>
      </c>
      <c r="L121" s="242">
        <f t="shared" si="28"/>
        <v>9.1999999999999993</v>
      </c>
      <c r="M121" s="27">
        <f>IFERROR(100/'Skjema total MA'!I121*K121,0)</f>
        <v>10.622767386517769</v>
      </c>
    </row>
    <row r="122" spans="1:14" x14ac:dyDescent="0.2">
      <c r="A122" s="21" t="s">
        <v>26</v>
      </c>
      <c r="B122" s="218">
        <v>27716.80456</v>
      </c>
      <c r="C122" s="130">
        <v>8249.3881399999991</v>
      </c>
      <c r="D122" s="151">
        <f t="shared" si="26"/>
        <v>-70.2</v>
      </c>
      <c r="E122" s="27">
        <f>IFERROR(100/'Skjema total MA'!C122*C122,0)</f>
        <v>11.290740285134323</v>
      </c>
      <c r="F122" s="218"/>
      <c r="G122" s="130"/>
      <c r="H122" s="151"/>
      <c r="I122" s="27"/>
      <c r="J122" s="272">
        <f t="shared" si="27"/>
        <v>27716.80456</v>
      </c>
      <c r="K122" s="44">
        <f t="shared" si="27"/>
        <v>8249.3881399999991</v>
      </c>
      <c r="L122" s="242">
        <f t="shared" si="28"/>
        <v>-70.2</v>
      </c>
      <c r="M122" s="27">
        <f>IFERROR(100/'Skjema total MA'!I122*K122,0)</f>
        <v>11.290740285134323</v>
      </c>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v>152.75234</v>
      </c>
      <c r="C125" s="218">
        <v>2444.2839100000001</v>
      </c>
      <c r="D125" s="151">
        <f t="shared" si="26"/>
        <v>999</v>
      </c>
      <c r="E125" s="27">
        <f>IFERROR(100/'Skjema total MA'!C125*C125,0)</f>
        <v>98.736808467722483</v>
      </c>
      <c r="F125" s="218">
        <v>1235551.3492999999</v>
      </c>
      <c r="G125" s="218">
        <v>1557675.48551</v>
      </c>
      <c r="H125" s="151">
        <f t="shared" si="29"/>
        <v>26.1</v>
      </c>
      <c r="I125" s="27">
        <f>IFERROR(100/'Skjema total MA'!F125*G125,0)</f>
        <v>11.53673760671577</v>
      </c>
      <c r="J125" s="272">
        <f t="shared" si="27"/>
        <v>1235704.1016399998</v>
      </c>
      <c r="K125" s="44">
        <f t="shared" si="27"/>
        <v>1560119.76942</v>
      </c>
      <c r="L125" s="242">
        <f t="shared" si="28"/>
        <v>26.3</v>
      </c>
      <c r="M125" s="27">
        <f>IFERROR(100/'Skjema total MA'!I125*K125,0)</f>
        <v>11.552722723426278</v>
      </c>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372" priority="132">
      <formula>kvartal &lt; 4</formula>
    </cfRule>
  </conditionalFormatting>
  <conditionalFormatting sqref="B115">
    <cfRule type="expression" dxfId="371" priority="76">
      <formula>kvartal &lt; 4</formula>
    </cfRule>
  </conditionalFormatting>
  <conditionalFormatting sqref="C115">
    <cfRule type="expression" dxfId="370" priority="75">
      <formula>kvartal &lt; 4</formula>
    </cfRule>
  </conditionalFormatting>
  <conditionalFormatting sqref="B123">
    <cfRule type="expression" dxfId="369" priority="74">
      <formula>kvartal &lt; 4</formula>
    </cfRule>
  </conditionalFormatting>
  <conditionalFormatting sqref="C123">
    <cfRule type="expression" dxfId="368" priority="73">
      <formula>kvartal &lt; 4</formula>
    </cfRule>
  </conditionalFormatting>
  <conditionalFormatting sqref="F115">
    <cfRule type="expression" dxfId="367" priority="58">
      <formula>kvartal &lt; 4</formula>
    </cfRule>
  </conditionalFormatting>
  <conditionalFormatting sqref="G115">
    <cfRule type="expression" dxfId="366" priority="57">
      <formula>kvartal &lt; 4</formula>
    </cfRule>
  </conditionalFormatting>
  <conditionalFormatting sqref="F123:G123">
    <cfRule type="expression" dxfId="365" priority="56">
      <formula>kvartal &lt; 4</formula>
    </cfRule>
  </conditionalFormatting>
  <conditionalFormatting sqref="J115:K115">
    <cfRule type="expression" dxfId="364" priority="32">
      <formula>kvartal &lt; 4</formula>
    </cfRule>
  </conditionalFormatting>
  <conditionalFormatting sqref="J123:K123">
    <cfRule type="expression" dxfId="363" priority="31">
      <formula>kvartal &lt; 4</formula>
    </cfRule>
  </conditionalFormatting>
  <conditionalFormatting sqref="A50:A52">
    <cfRule type="expression" dxfId="362" priority="12">
      <formula>kvartal &lt; 4</formula>
    </cfRule>
  </conditionalFormatting>
  <conditionalFormatting sqref="A69:A74">
    <cfRule type="expression" dxfId="361" priority="10">
      <formula>kvartal &lt; 4</formula>
    </cfRule>
  </conditionalFormatting>
  <conditionalFormatting sqref="A80:A85">
    <cfRule type="expression" dxfId="360" priority="9">
      <formula>kvartal &lt; 4</formula>
    </cfRule>
  </conditionalFormatting>
  <conditionalFormatting sqref="A90:A95">
    <cfRule type="expression" dxfId="359" priority="6">
      <formula>kvartal &lt; 4</formula>
    </cfRule>
  </conditionalFormatting>
  <conditionalFormatting sqref="A101:A106">
    <cfRule type="expression" dxfId="358" priority="5">
      <formula>kvartal &lt; 4</formula>
    </cfRule>
  </conditionalFormatting>
  <conditionalFormatting sqref="A115">
    <cfRule type="expression" dxfId="357" priority="4">
      <formula>kvartal &lt; 4</formula>
    </cfRule>
  </conditionalFormatting>
  <conditionalFormatting sqref="A123">
    <cfRule type="expression" dxfId="356" priority="3">
      <formula>kvartal &lt; 4</formula>
    </cfRule>
  </conditionalFormatting>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30"/>
  <dimension ref="A1:N144"/>
  <sheetViews>
    <sheetView showGridLines="0" zoomScaleNormal="100" workbookViewId="0">
      <selection activeCell="B1" sqref="B1"/>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89</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717439.23892000003</v>
      </c>
      <c r="C7" s="292">
        <v>599343.17461999995</v>
      </c>
      <c r="D7" s="334">
        <f>IF(B7=0, "    ---- ", IF(ABS(ROUND(100/B7*C7-100,1))&lt;999,ROUND(100/B7*C7-100,1),IF(ROUND(100/B7*C7-100,1)&gt;999,999,-999)))</f>
        <v>-16.5</v>
      </c>
      <c r="E7" s="11">
        <f>IFERROR(100/'Skjema total MA'!C7*C7,0)</f>
        <v>19.029789026590272</v>
      </c>
      <c r="F7" s="291">
        <v>577554.59641</v>
      </c>
      <c r="G7" s="292">
        <v>682526.46611000004</v>
      </c>
      <c r="H7" s="334">
        <f>IF(F7=0, "    ---- ", IF(ABS(ROUND(100/F7*G7-100,1))&lt;999,ROUND(100/F7*G7-100,1),IF(ROUND(100/F7*G7-100,1)&gt;999,999,-999)))</f>
        <v>18.2</v>
      </c>
      <c r="I7" s="145">
        <f>IFERROR(100/'Skjema total MA'!F7*G7,0)</f>
        <v>8.7722160491231254</v>
      </c>
      <c r="J7" s="293">
        <f t="shared" ref="J7:K12" si="0">SUM(B7,F7)</f>
        <v>1294993.8353300001</v>
      </c>
      <c r="K7" s="294">
        <f t="shared" si="0"/>
        <v>1281869.6407300001</v>
      </c>
      <c r="L7" s="404">
        <f>IF(J7=0, "    ---- ", IF(ABS(ROUND(100/J7*K7-100,1))&lt;999,ROUND(100/J7*K7-100,1),IF(ROUND(100/J7*K7-100,1)&gt;999,999,-999)))</f>
        <v>-1</v>
      </c>
      <c r="M7" s="11">
        <f>IFERROR(100/'Skjema total MA'!I7*K7,0)</f>
        <v>11.727941896997676</v>
      </c>
    </row>
    <row r="8" spans="1:14" ht="15.75" x14ac:dyDescent="0.2">
      <c r="A8" s="21" t="s">
        <v>25</v>
      </c>
      <c r="B8" s="266">
        <v>197041.335910002</v>
      </c>
      <c r="C8" s="267">
        <v>196103.13083000001</v>
      </c>
      <c r="D8" s="151">
        <f t="shared" ref="D8:D10" si="1">IF(B8=0, "    ---- ", IF(ABS(ROUND(100/B8*C8-100,1))&lt;999,ROUND(100/B8*C8-100,1),IF(ROUND(100/B8*C8-100,1)&gt;999,999,-999)))</f>
        <v>-0.5</v>
      </c>
      <c r="E8" s="27">
        <f>IFERROR(100/'Skjema total MA'!C8*C8,0)</f>
        <v>9.3124798754244331</v>
      </c>
      <c r="F8" s="270"/>
      <c r="G8" s="271"/>
      <c r="H8" s="151"/>
      <c r="I8" s="161"/>
      <c r="J8" s="218">
        <f t="shared" si="0"/>
        <v>197041.335910002</v>
      </c>
      <c r="K8" s="272">
        <f t="shared" si="0"/>
        <v>196103.13083000001</v>
      </c>
      <c r="L8" s="151">
        <f t="shared" ref="L8:L9" si="2">IF(J8=0, "    ---- ", IF(ABS(ROUND(100/J8*K8-100,1))&lt;999,ROUND(100/J8*K8-100,1),IF(ROUND(100/J8*K8-100,1)&gt;999,999,-999)))</f>
        <v>-0.5</v>
      </c>
      <c r="M8" s="27">
        <f>IFERROR(100/'Skjema total MA'!I8*K8,0)</f>
        <v>9.3124798754244331</v>
      </c>
    </row>
    <row r="9" spans="1:14" ht="15.75" x14ac:dyDescent="0.2">
      <c r="A9" s="21" t="s">
        <v>24</v>
      </c>
      <c r="B9" s="266">
        <v>89031.732320006005</v>
      </c>
      <c r="C9" s="267">
        <v>80081.283489997004</v>
      </c>
      <c r="D9" s="151">
        <f t="shared" si="1"/>
        <v>-10.1</v>
      </c>
      <c r="E9" s="27">
        <f>IFERROR(100/'Skjema total MA'!C9*C9,0)</f>
        <v>11.964959056667661</v>
      </c>
      <c r="F9" s="270"/>
      <c r="G9" s="271"/>
      <c r="H9" s="151"/>
      <c r="I9" s="161"/>
      <c r="J9" s="218">
        <f t="shared" si="0"/>
        <v>89031.732320006005</v>
      </c>
      <c r="K9" s="272">
        <f t="shared" si="0"/>
        <v>80081.283489997004</v>
      </c>
      <c r="L9" s="151">
        <f t="shared" si="2"/>
        <v>-10.1</v>
      </c>
      <c r="M9" s="27">
        <f>IFERROR(100/'Skjema total MA'!I9*K9,0)</f>
        <v>11.964959056667661</v>
      </c>
    </row>
    <row r="10" spans="1:14" ht="15.75" x14ac:dyDescent="0.2">
      <c r="A10" s="13" t="s">
        <v>322</v>
      </c>
      <c r="B10" s="295">
        <v>4854670.8690099996</v>
      </c>
      <c r="C10" s="296">
        <v>5045588.2828500001</v>
      </c>
      <c r="D10" s="156">
        <f t="shared" si="1"/>
        <v>3.9</v>
      </c>
      <c r="E10" s="11">
        <f>IFERROR(100/'Skjema total MA'!C10*C10,0)</f>
        <v>38.110640770143711</v>
      </c>
      <c r="F10" s="295">
        <v>14270144.413009999</v>
      </c>
      <c r="G10" s="296">
        <v>15842600.788210001</v>
      </c>
      <c r="H10" s="156">
        <f t="shared" ref="H10:H12" si="3">IF(F10=0, "    ---- ", IF(ABS(ROUND(100/F10*G10-100,1))&lt;999,ROUND(100/F10*G10-100,1),IF(ROUND(100/F10*G10-100,1)&gt;999,999,-999)))</f>
        <v>11</v>
      </c>
      <c r="I10" s="145">
        <f>IFERROR(100/'Skjema total MA'!F10*G10,0)</f>
        <v>16.894363748924455</v>
      </c>
      <c r="J10" s="293">
        <f t="shared" si="0"/>
        <v>19124815.282019999</v>
      </c>
      <c r="K10" s="294">
        <f t="shared" si="0"/>
        <v>20888189.071060002</v>
      </c>
      <c r="L10" s="405">
        <f t="shared" ref="L10:L12" si="4">IF(J10=0, "    ---- ", IF(ABS(ROUND(100/J10*K10-100,1))&lt;999,ROUND(100/J10*K10-100,1),IF(ROUND(100/J10*K10-100,1)&gt;999,999,-999)))</f>
        <v>9.1999999999999993</v>
      </c>
      <c r="M10" s="11">
        <f>IFERROR(100/'Skjema total MA'!I10*K10,0)</f>
        <v>19.519156320352064</v>
      </c>
    </row>
    <row r="11" spans="1:14" s="43" customFormat="1" ht="15.75" x14ac:dyDescent="0.2">
      <c r="A11" s="13" t="s">
        <v>323</v>
      </c>
      <c r="B11" s="295"/>
      <c r="C11" s="296"/>
      <c r="D11" s="156"/>
      <c r="E11" s="11"/>
      <c r="F11" s="295">
        <v>27161.271430000099</v>
      </c>
      <c r="G11" s="296">
        <v>25737.340110000001</v>
      </c>
      <c r="H11" s="156">
        <f t="shared" si="3"/>
        <v>-5.2</v>
      </c>
      <c r="I11" s="145">
        <f>IFERROR(100/'Skjema total MA'!F11*G11,0)</f>
        <v>12.64310709391607</v>
      </c>
      <c r="J11" s="293">
        <f t="shared" si="0"/>
        <v>27161.271430000099</v>
      </c>
      <c r="K11" s="294">
        <f t="shared" si="0"/>
        <v>25737.340110000001</v>
      </c>
      <c r="L11" s="405">
        <f t="shared" si="4"/>
        <v>-5.2</v>
      </c>
      <c r="M11" s="11">
        <f>IFERROR(100/'Skjema total MA'!I11*K11,0)</f>
        <v>12.64310709391607</v>
      </c>
      <c r="N11" s="128"/>
    </row>
    <row r="12" spans="1:14" s="43" customFormat="1" ht="15.75" x14ac:dyDescent="0.2">
      <c r="A12" s="41" t="s">
        <v>324</v>
      </c>
      <c r="B12" s="297"/>
      <c r="C12" s="298"/>
      <c r="D12" s="154"/>
      <c r="E12" s="36"/>
      <c r="F12" s="297">
        <v>45027.904600000002</v>
      </c>
      <c r="G12" s="298">
        <v>78217.651339999997</v>
      </c>
      <c r="H12" s="154">
        <f t="shared" si="3"/>
        <v>73.7</v>
      </c>
      <c r="I12" s="154">
        <f>IFERROR(100/'Skjema total MA'!F12*G12,0)</f>
        <v>36.198870515843339</v>
      </c>
      <c r="J12" s="299">
        <f t="shared" si="0"/>
        <v>45027.904600000002</v>
      </c>
      <c r="K12" s="300">
        <f t="shared" si="0"/>
        <v>78217.651339999997</v>
      </c>
      <c r="L12" s="406">
        <f t="shared" si="4"/>
        <v>73.7</v>
      </c>
      <c r="M12" s="36">
        <f>IFERROR(100/'Skjema total MA'!I12*K12,0)</f>
        <v>36.198870515843339</v>
      </c>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v>8409.0124899999992</v>
      </c>
      <c r="C22" s="295">
        <v>2758.3160800000001</v>
      </c>
      <c r="D22" s="334">
        <f t="shared" ref="D22:D37" si="5">IF(B22=0, "    ---- ", IF(ABS(ROUND(100/B22*C22-100,1))&lt;999,ROUND(100/B22*C22-100,1),IF(ROUND(100/B22*C22-100,1)&gt;999,999,-999)))</f>
        <v>-67.2</v>
      </c>
      <c r="E22" s="11">
        <f>IFERROR(100/'Skjema total MA'!C22*C22,0)</f>
        <v>0.19724005855683963</v>
      </c>
      <c r="F22" s="303">
        <v>131461.71304999999</v>
      </c>
      <c r="G22" s="303">
        <v>132116.98118</v>
      </c>
      <c r="H22" s="334">
        <f t="shared" ref="H22:H35" si="6">IF(F22=0, "    ---- ", IF(ABS(ROUND(100/F22*G22-100,1))&lt;999,ROUND(100/F22*G22-100,1),IF(ROUND(100/F22*G22-100,1)&gt;999,999,-999)))</f>
        <v>0.5</v>
      </c>
      <c r="I22" s="11">
        <f>IFERROR(100/'Skjema total MA'!F22*G22,0)</f>
        <v>27.657033158720733</v>
      </c>
      <c r="J22" s="301">
        <f t="shared" ref="J22:K35" si="7">SUM(B22,F22)</f>
        <v>139870.72553999998</v>
      </c>
      <c r="K22" s="301">
        <f t="shared" si="7"/>
        <v>134875.29725999999</v>
      </c>
      <c r="L22" s="404">
        <f t="shared" ref="L22:L35" si="8">IF(J22=0, "    ---- ", IF(ABS(ROUND(100/J22*K22-100,1))&lt;999,ROUND(100/J22*K22-100,1),IF(ROUND(100/J22*K22-100,1)&gt;999,999,-999)))</f>
        <v>-3.6</v>
      </c>
      <c r="M22" s="24">
        <f>IFERROR(100/'Skjema total MA'!I22*K22,0)</f>
        <v>7.1889249540110649</v>
      </c>
    </row>
    <row r="23" spans="1:14" ht="15.75" x14ac:dyDescent="0.2">
      <c r="A23" s="453" t="s">
        <v>325</v>
      </c>
      <c r="B23" s="266">
        <v>538.38826040310005</v>
      </c>
      <c r="C23" s="266">
        <v>441.04924264665101</v>
      </c>
      <c r="D23" s="151">
        <f t="shared" si="5"/>
        <v>-18.100000000000001</v>
      </c>
      <c r="E23" s="11">
        <f>IFERROR(100/'Skjema total MA'!C23*C23,0)</f>
        <v>4.9128899198355169E-2</v>
      </c>
      <c r="F23" s="275">
        <v>13613.078579999999</v>
      </c>
      <c r="G23" s="275">
        <v>13782.10079</v>
      </c>
      <c r="H23" s="151">
        <f t="shared" si="6"/>
        <v>1.2</v>
      </c>
      <c r="I23" s="394">
        <f>IFERROR(100/'Skjema total MA'!F23*G23,0)</f>
        <v>57.371805647382075</v>
      </c>
      <c r="J23" s="275">
        <f t="shared" ref="J23:J26" si="9">SUM(B23,F23)</f>
        <v>14151.4668404031</v>
      </c>
      <c r="K23" s="275">
        <f t="shared" ref="K23:K26" si="10">SUM(C23,G23)</f>
        <v>14223.150032646652</v>
      </c>
      <c r="L23" s="151">
        <f t="shared" si="8"/>
        <v>0.5</v>
      </c>
      <c r="M23" s="23">
        <f>IFERROR(100/'Skjema total MA'!I23*K23,0)</f>
        <v>1.543040426133641</v>
      </c>
    </row>
    <row r="24" spans="1:14" ht="15.75" x14ac:dyDescent="0.2">
      <c r="A24" s="453" t="s">
        <v>326</v>
      </c>
      <c r="B24" s="266">
        <v>3067.3217995968998</v>
      </c>
      <c r="C24" s="266">
        <v>2317.2668373533502</v>
      </c>
      <c r="D24" s="151">
        <f t="shared" si="5"/>
        <v>-24.5</v>
      </c>
      <c r="E24" s="11">
        <f>IFERROR(100/'Skjema total MA'!C24*C24,0)</f>
        <v>33.209123481707593</v>
      </c>
      <c r="F24" s="275">
        <v>95.083749999998105</v>
      </c>
      <c r="G24" s="275">
        <v>820.28484000000003</v>
      </c>
      <c r="H24" s="151">
        <f t="shared" si="6"/>
        <v>762.7</v>
      </c>
      <c r="I24" s="394">
        <f>IFERROR(100/'Skjema total MA'!F24*G24,0)</f>
        <v>96.642258596418856</v>
      </c>
      <c r="J24" s="275">
        <f t="shared" si="9"/>
        <v>3162.4055495968978</v>
      </c>
      <c r="K24" s="275">
        <f t="shared" si="10"/>
        <v>3137.55167735335</v>
      </c>
      <c r="L24" s="151">
        <f t="shared" si="8"/>
        <v>-0.8</v>
      </c>
      <c r="M24" s="23">
        <f>IFERROR(100/'Skjema total MA'!I24*K24,0)</f>
        <v>40.088378190650772</v>
      </c>
    </row>
    <row r="25" spans="1:14" ht="15.75" x14ac:dyDescent="0.2">
      <c r="A25" s="453" t="s">
        <v>327</v>
      </c>
      <c r="B25" s="266"/>
      <c r="C25" s="266"/>
      <c r="D25" s="151"/>
      <c r="E25" s="11"/>
      <c r="F25" s="275">
        <v>549.15769999999998</v>
      </c>
      <c r="G25" s="275">
        <v>451.00322999999997</v>
      </c>
      <c r="H25" s="151">
        <f t="shared" si="6"/>
        <v>-17.899999999999999</v>
      </c>
      <c r="I25" s="394">
        <f>IFERROR(100/'Skjema total MA'!F25*G25,0)</f>
        <v>6.3814810835811402</v>
      </c>
      <c r="J25" s="275">
        <f t="shared" si="9"/>
        <v>549.15769999999998</v>
      </c>
      <c r="K25" s="275">
        <f t="shared" si="10"/>
        <v>451.00322999999997</v>
      </c>
      <c r="L25" s="151">
        <f t="shared" si="8"/>
        <v>-17.899999999999999</v>
      </c>
      <c r="M25" s="23">
        <f>IFERROR(100/'Skjema total MA'!I25*K25,0)</f>
        <v>2.5983673112708372</v>
      </c>
    </row>
    <row r="26" spans="1:14" ht="15.75" x14ac:dyDescent="0.2">
      <c r="A26" s="453" t="s">
        <v>328</v>
      </c>
      <c r="B26" s="266"/>
      <c r="C26" s="266"/>
      <c r="D26" s="151"/>
      <c r="E26" s="11"/>
      <c r="F26" s="275">
        <v>117204.39302</v>
      </c>
      <c r="G26" s="275">
        <v>117063.59232</v>
      </c>
      <c r="H26" s="151">
        <f t="shared" si="6"/>
        <v>-0.1</v>
      </c>
      <c r="I26" s="394">
        <f>IFERROR(100/'Skjema total MA'!F26*G26,0)</f>
        <v>26.26163277049719</v>
      </c>
      <c r="J26" s="275">
        <f t="shared" si="9"/>
        <v>117204.39302</v>
      </c>
      <c r="K26" s="275">
        <f t="shared" si="10"/>
        <v>117063.59232</v>
      </c>
      <c r="L26" s="151">
        <f t="shared" si="8"/>
        <v>-0.1</v>
      </c>
      <c r="M26" s="23">
        <f>IFERROR(100/'Skjema total MA'!I26*K26,0)</f>
        <v>26.26163277049719</v>
      </c>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v>171235.010889995</v>
      </c>
      <c r="C28" s="272">
        <v>197995.01312000101</v>
      </c>
      <c r="D28" s="151">
        <f t="shared" si="5"/>
        <v>15.6</v>
      </c>
      <c r="E28" s="11">
        <f>IFERROR(100/'Skjema total MA'!C28*C28,0)</f>
        <v>11.723662953690024</v>
      </c>
      <c r="F28" s="218"/>
      <c r="G28" s="272"/>
      <c r="H28" s="151"/>
      <c r="I28" s="27"/>
      <c r="J28" s="44">
        <f t="shared" si="7"/>
        <v>171235.010889995</v>
      </c>
      <c r="K28" s="44">
        <f t="shared" si="7"/>
        <v>197995.01312000101</v>
      </c>
      <c r="L28" s="242">
        <f t="shared" si="8"/>
        <v>15.6</v>
      </c>
      <c r="M28" s="23">
        <f>IFERROR(100/'Skjema total MA'!I28*K28,0)</f>
        <v>11.723662953690024</v>
      </c>
    </row>
    <row r="29" spans="1:14" s="3" customFormat="1" ht="15.75" x14ac:dyDescent="0.2">
      <c r="A29" s="13" t="s">
        <v>322</v>
      </c>
      <c r="B29" s="220">
        <v>7317162.0062600002</v>
      </c>
      <c r="C29" s="220">
        <v>6659931.5236600004</v>
      </c>
      <c r="D29" s="156">
        <f t="shared" si="5"/>
        <v>-9</v>
      </c>
      <c r="E29" s="11">
        <f>IFERROR(100/'Skjema total MA'!C29*C29,0)</f>
        <v>15.210326151844683</v>
      </c>
      <c r="F29" s="293">
        <v>8728348.3756600004</v>
      </c>
      <c r="G29" s="293">
        <v>9535387.7800900005</v>
      </c>
      <c r="H29" s="156">
        <f t="shared" si="6"/>
        <v>9.1999999999999993</v>
      </c>
      <c r="I29" s="11">
        <f>IFERROR(100/'Skjema total MA'!F29*G29,0)</f>
        <v>33.486145285579681</v>
      </c>
      <c r="J29" s="220">
        <f t="shared" si="7"/>
        <v>16045510.381920001</v>
      </c>
      <c r="K29" s="220">
        <f t="shared" si="7"/>
        <v>16195319.303750001</v>
      </c>
      <c r="L29" s="405">
        <f t="shared" si="8"/>
        <v>0.9</v>
      </c>
      <c r="M29" s="24">
        <f>IFERROR(100/'Skjema total MA'!I29*K29,0)</f>
        <v>22.412188230195856</v>
      </c>
      <c r="N29" s="133"/>
    </row>
    <row r="30" spans="1:14" s="3" customFormat="1" ht="15.75" x14ac:dyDescent="0.2">
      <c r="A30" s="453" t="s">
        <v>325</v>
      </c>
      <c r="B30" s="266">
        <v>1092564.97137022</v>
      </c>
      <c r="C30" s="266">
        <v>1064909.7744406399</v>
      </c>
      <c r="D30" s="151">
        <f t="shared" si="5"/>
        <v>-2.5</v>
      </c>
      <c r="E30" s="11">
        <f>IFERROR(100/'Skjema total MA'!C30*C30,0)</f>
        <v>5.9121347767414303</v>
      </c>
      <c r="F30" s="275">
        <v>1089356.9421999999</v>
      </c>
      <c r="G30" s="275">
        <v>1091454.72282</v>
      </c>
      <c r="H30" s="151">
        <f t="shared" si="6"/>
        <v>0.2</v>
      </c>
      <c r="I30" s="394">
        <f>IFERROR(100/'Skjema total MA'!F30*G30,0)</f>
        <v>28.971328730777515</v>
      </c>
      <c r="J30" s="275">
        <f t="shared" ref="J30:J33" si="11">SUM(B30,F30)</f>
        <v>2181921.9135702197</v>
      </c>
      <c r="K30" s="275">
        <f t="shared" ref="K30:K33" si="12">SUM(C30,G30)</f>
        <v>2156364.4972606399</v>
      </c>
      <c r="L30" s="151">
        <f t="shared" si="8"/>
        <v>-1.2</v>
      </c>
      <c r="M30" s="23">
        <f>IFERROR(100/'Skjema total MA'!I30*K30,0)</f>
        <v>9.9008301585121163</v>
      </c>
      <c r="N30" s="133"/>
    </row>
    <row r="31" spans="1:14" s="3" customFormat="1" ht="15.75" x14ac:dyDescent="0.2">
      <c r="A31" s="453" t="s">
        <v>326</v>
      </c>
      <c r="B31" s="266">
        <v>6224594.03488978</v>
      </c>
      <c r="C31" s="266">
        <v>5595021.7492193598</v>
      </c>
      <c r="D31" s="151">
        <f t="shared" si="5"/>
        <v>-10.1</v>
      </c>
      <c r="E31" s="11">
        <f>IFERROR(100/'Skjema total MA'!C31*C31,0)</f>
        <v>23.969844281877265</v>
      </c>
      <c r="F31" s="275">
        <v>2346784.26908</v>
      </c>
      <c r="G31" s="275">
        <v>2304198.8867100002</v>
      </c>
      <c r="H31" s="151">
        <f t="shared" si="6"/>
        <v>-1.8</v>
      </c>
      <c r="I31" s="394">
        <f>IFERROR(100/'Skjema total MA'!F31*G31,0)</f>
        <v>29.713345110157757</v>
      </c>
      <c r="J31" s="275">
        <f t="shared" si="11"/>
        <v>8571378.30396978</v>
      </c>
      <c r="K31" s="275">
        <f t="shared" si="12"/>
        <v>7899220.6359293601</v>
      </c>
      <c r="L31" s="151">
        <f t="shared" si="8"/>
        <v>-7.8</v>
      </c>
      <c r="M31" s="23">
        <f>IFERROR(100/'Skjema total MA'!I31*K31,0)</f>
        <v>25.40213465450541</v>
      </c>
      <c r="N31" s="133"/>
    </row>
    <row r="32" spans="1:14" ht="15.75" x14ac:dyDescent="0.2">
      <c r="A32" s="453" t="s">
        <v>327</v>
      </c>
      <c r="B32" s="266"/>
      <c r="C32" s="266"/>
      <c r="D32" s="151"/>
      <c r="E32" s="11"/>
      <c r="F32" s="275">
        <v>2180832.76516</v>
      </c>
      <c r="G32" s="275">
        <v>2486838.0375799998</v>
      </c>
      <c r="H32" s="151">
        <f t="shared" si="6"/>
        <v>14</v>
      </c>
      <c r="I32" s="394">
        <f>IFERROR(100/'Skjema total MA'!F32*G32,0)</f>
        <v>37.992343282973671</v>
      </c>
      <c r="J32" s="275">
        <f t="shared" si="11"/>
        <v>2180832.76516</v>
      </c>
      <c r="K32" s="275">
        <f t="shared" si="12"/>
        <v>2486838.0375799998</v>
      </c>
      <c r="L32" s="151">
        <f t="shared" si="8"/>
        <v>14</v>
      </c>
      <c r="M32" s="23">
        <f>IFERROR(100/'Skjema total MA'!I32*K32,0)</f>
        <v>28.054895683870747</v>
      </c>
    </row>
    <row r="33" spans="1:14" ht="15.75" x14ac:dyDescent="0.2">
      <c r="A33" s="453" t="s">
        <v>328</v>
      </c>
      <c r="B33" s="266"/>
      <c r="C33" s="266"/>
      <c r="D33" s="151"/>
      <c r="E33" s="11"/>
      <c r="F33" s="275">
        <v>3111374.39922</v>
      </c>
      <c r="G33" s="275">
        <v>3652896.1329800002</v>
      </c>
      <c r="H33" s="151">
        <f t="shared" si="6"/>
        <v>17.399999999999999</v>
      </c>
      <c r="I33" s="394">
        <f>IFERROR(100/'Skjema total MA'!F33*G33,0)</f>
        <v>35.097446110688509</v>
      </c>
      <c r="J33" s="275">
        <f t="shared" si="11"/>
        <v>3111374.39922</v>
      </c>
      <c r="K33" s="275">
        <f t="shared" si="12"/>
        <v>3652896.1329800002</v>
      </c>
      <c r="L33" s="151">
        <f t="shared" si="8"/>
        <v>17.399999999999999</v>
      </c>
      <c r="M33" s="23">
        <f>IFERROR(100/'Skjema total MA'!I33*K33,0)</f>
        <v>35.097446110688509</v>
      </c>
    </row>
    <row r="34" spans="1:14" ht="15.75" x14ac:dyDescent="0.2">
      <c r="A34" s="13" t="s">
        <v>323</v>
      </c>
      <c r="B34" s="220">
        <v>5580.5879999999997</v>
      </c>
      <c r="C34" s="294">
        <v>4538.1419999999998</v>
      </c>
      <c r="D34" s="156">
        <f t="shared" si="5"/>
        <v>-18.7</v>
      </c>
      <c r="E34" s="11">
        <f>IFERROR(100/'Skjema total MA'!C34*C34,0)</f>
        <v>40.089090755221974</v>
      </c>
      <c r="F34" s="293">
        <v>17307.855230000001</v>
      </c>
      <c r="G34" s="294">
        <v>14162.816999999999</v>
      </c>
      <c r="H34" s="156">
        <f t="shared" si="6"/>
        <v>-18.2</v>
      </c>
      <c r="I34" s="11">
        <f>IFERROR(100/'Skjema total MA'!F34*G34,0)</f>
        <v>-13.856867862487796</v>
      </c>
      <c r="J34" s="220">
        <f t="shared" si="7"/>
        <v>22888.443230000001</v>
      </c>
      <c r="K34" s="220">
        <f t="shared" si="7"/>
        <v>18700.958999999999</v>
      </c>
      <c r="L34" s="405">
        <f t="shared" si="8"/>
        <v>-18.3</v>
      </c>
      <c r="M34" s="24">
        <f>IFERROR(100/'Skjema total MA'!I34*K34,0)</f>
        <v>-20.575877801601354</v>
      </c>
    </row>
    <row r="35" spans="1:14" ht="15.75" x14ac:dyDescent="0.2">
      <c r="A35" s="13" t="s">
        <v>324</v>
      </c>
      <c r="B35" s="220">
        <v>70.545330000000007</v>
      </c>
      <c r="C35" s="294">
        <v>454.73572000000001</v>
      </c>
      <c r="D35" s="156">
        <f t="shared" si="5"/>
        <v>544.6</v>
      </c>
      <c r="E35" s="11">
        <f>IFERROR(100/'Skjema total MA'!C35*C35,0)</f>
        <v>-0.23652674864632914</v>
      </c>
      <c r="F35" s="293">
        <v>31294.271959999998</v>
      </c>
      <c r="G35" s="294">
        <v>45598.074999999997</v>
      </c>
      <c r="H35" s="156">
        <f t="shared" si="6"/>
        <v>45.7</v>
      </c>
      <c r="I35" s="11">
        <f>IFERROR(100/'Skjema total MA'!F35*G35,0)</f>
        <v>41.534201023527018</v>
      </c>
      <c r="J35" s="220">
        <f t="shared" si="7"/>
        <v>31364.817289999999</v>
      </c>
      <c r="K35" s="220">
        <f t="shared" si="7"/>
        <v>46052.810719999994</v>
      </c>
      <c r="L35" s="405">
        <f t="shared" si="8"/>
        <v>46.8</v>
      </c>
      <c r="M35" s="24">
        <f>IFERROR(100/'Skjema total MA'!I35*K35,0)</f>
        <v>-55.841142180621837</v>
      </c>
    </row>
    <row r="36" spans="1:14" ht="15.75" x14ac:dyDescent="0.2">
      <c r="A36" s="12" t="s">
        <v>254</v>
      </c>
      <c r="B36" s="220">
        <v>33.872</v>
      </c>
      <c r="C36" s="294">
        <v>29.727</v>
      </c>
      <c r="D36" s="156">
        <f t="shared" si="5"/>
        <v>-12.2</v>
      </c>
      <c r="E36" s="11">
        <f>IFERROR(100/'Skjema total MA'!C36*C36,0)</f>
        <v>0.41186096398492211</v>
      </c>
      <c r="F36" s="304"/>
      <c r="G36" s="305"/>
      <c r="H36" s="156"/>
      <c r="I36" s="411"/>
      <c r="J36" s="220">
        <f t="shared" ref="J36:J37" si="13">SUM(B36,F36)</f>
        <v>33.872</v>
      </c>
      <c r="K36" s="220">
        <f t="shared" ref="K36:K37" si="14">SUM(C36,G36)</f>
        <v>29.727</v>
      </c>
      <c r="L36" s="405"/>
      <c r="M36" s="24">
        <f>IFERROR(100/'Skjema total MA'!I36*K36,0)</f>
        <v>0.41186096398492211</v>
      </c>
    </row>
    <row r="37" spans="1:14" ht="15.75" x14ac:dyDescent="0.2">
      <c r="A37" s="12" t="s">
        <v>330</v>
      </c>
      <c r="B37" s="220">
        <v>414308.24189</v>
      </c>
      <c r="C37" s="294">
        <v>395815.49664000003</v>
      </c>
      <c r="D37" s="156">
        <f t="shared" si="5"/>
        <v>-4.5</v>
      </c>
      <c r="E37" s="11">
        <f>IFERROR(100/'Skjema total MA'!C37*C37,0)</f>
        <v>15.267359746511572</v>
      </c>
      <c r="F37" s="304"/>
      <c r="G37" s="306"/>
      <c r="H37" s="156"/>
      <c r="I37" s="411"/>
      <c r="J37" s="220">
        <f t="shared" si="13"/>
        <v>414308.24189</v>
      </c>
      <c r="K37" s="220">
        <f t="shared" si="14"/>
        <v>395815.49664000003</v>
      </c>
      <c r="L37" s="405"/>
      <c r="M37" s="24">
        <f>IFERROR(100/'Skjema total MA'!I37*K37,0)</f>
        <v>15.267359746511572</v>
      </c>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809110.67489000002</v>
      </c>
      <c r="C47" s="296">
        <v>923013.67852999992</v>
      </c>
      <c r="D47" s="404">
        <f t="shared" ref="D47:D57" si="15">IF(B47=0, "    ---- ", IF(ABS(ROUND(100/B47*C47-100,1))&lt;999,ROUND(100/B47*C47-100,1),IF(ROUND(100/B47*C47-100,1)&gt;999,999,-999)))</f>
        <v>14.1</v>
      </c>
      <c r="E47" s="11">
        <f>IFERROR(100/'Skjema total MA'!C47*C47,0)</f>
        <v>17.70809818525311</v>
      </c>
      <c r="F47" s="130"/>
      <c r="G47" s="33"/>
      <c r="H47" s="144"/>
      <c r="I47" s="144"/>
      <c r="J47" s="37"/>
      <c r="K47" s="37"/>
      <c r="L47" s="144"/>
      <c r="M47" s="144"/>
      <c r="N47" s="133"/>
    </row>
    <row r="48" spans="1:14" s="3" customFormat="1" ht="15.75" x14ac:dyDescent="0.2">
      <c r="A48" s="38" t="s">
        <v>333</v>
      </c>
      <c r="B48" s="266">
        <v>317036.37062</v>
      </c>
      <c r="C48" s="267">
        <v>357970.63099999999</v>
      </c>
      <c r="D48" s="242">
        <f t="shared" si="15"/>
        <v>12.9</v>
      </c>
      <c r="E48" s="27">
        <f>IFERROR(100/'Skjema total MA'!C48*C48,0)</f>
        <v>12.061881419740086</v>
      </c>
      <c r="F48" s="130"/>
      <c r="G48" s="33"/>
      <c r="H48" s="130"/>
      <c r="I48" s="130"/>
      <c r="J48" s="33"/>
      <c r="K48" s="33"/>
      <c r="L48" s="144"/>
      <c r="M48" s="144"/>
      <c r="N48" s="133"/>
    </row>
    <row r="49" spans="1:14" s="3" customFormat="1" ht="15.75" x14ac:dyDescent="0.2">
      <c r="A49" s="38" t="s">
        <v>334</v>
      </c>
      <c r="B49" s="44">
        <v>492074.30427000002</v>
      </c>
      <c r="C49" s="272">
        <v>565043.04752999998</v>
      </c>
      <c r="D49" s="242">
        <f>IF(B49=0, "    ---- ", IF(ABS(ROUND(100/B49*C49-100,1))&lt;999,ROUND(100/B49*C49-100,1),IF(ROUND(100/B49*C49-100,1)&gt;999,999,-999)))</f>
        <v>14.8</v>
      </c>
      <c r="E49" s="27">
        <f>IFERROR(100/'Skjema total MA'!C49*C49,0)</f>
        <v>25.178360650718087</v>
      </c>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v>45269.016000000003</v>
      </c>
      <c r="C53" s="296">
        <v>21004.953000000001</v>
      </c>
      <c r="D53" s="405">
        <f t="shared" si="15"/>
        <v>-53.6</v>
      </c>
      <c r="E53" s="11">
        <f>IFERROR(100/'Skjema total MA'!C53*C53,0)</f>
        <v>13.110157678153502</v>
      </c>
      <c r="F53" s="130"/>
      <c r="G53" s="33"/>
      <c r="H53" s="130"/>
      <c r="I53" s="130"/>
      <c r="J53" s="33"/>
      <c r="K53" s="33"/>
      <c r="L53" s="144"/>
      <c r="M53" s="144"/>
      <c r="N53" s="133"/>
    </row>
    <row r="54" spans="1:14" s="3" customFormat="1" ht="15.75" x14ac:dyDescent="0.2">
      <c r="A54" s="38" t="s">
        <v>333</v>
      </c>
      <c r="B54" s="266">
        <v>45269.016000000003</v>
      </c>
      <c r="C54" s="267">
        <v>21004.953000000001</v>
      </c>
      <c r="D54" s="242">
        <f t="shared" si="15"/>
        <v>-53.6</v>
      </c>
      <c r="E54" s="27">
        <f>IFERROR(100/'Skjema total MA'!C54*C54,0)</f>
        <v>13.191586758629875</v>
      </c>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v>1455.8889999999999</v>
      </c>
      <c r="D56" s="405" t="str">
        <f t="shared" si="15"/>
        <v xml:space="preserve">    ---- </v>
      </c>
      <c r="E56" s="11">
        <f>IFERROR(100/'Skjema total MA'!C56*C56,0)</f>
        <v>0.99538099799694368</v>
      </c>
      <c r="F56" s="130"/>
      <c r="G56" s="33"/>
      <c r="H56" s="130"/>
      <c r="I56" s="130"/>
      <c r="J56" s="33"/>
      <c r="K56" s="33"/>
      <c r="L56" s="144"/>
      <c r="M56" s="144"/>
      <c r="N56" s="133"/>
    </row>
    <row r="57" spans="1:14" s="3" customFormat="1" ht="15.75" x14ac:dyDescent="0.2">
      <c r="A57" s="38" t="s">
        <v>333</v>
      </c>
      <c r="B57" s="266"/>
      <c r="C57" s="267">
        <v>1455.8889999999999</v>
      </c>
      <c r="D57" s="242" t="str">
        <f t="shared" si="15"/>
        <v xml:space="preserve">    ---- </v>
      </c>
      <c r="E57" s="27">
        <f>IFERROR(100/'Skjema total MA'!C57*C57,0)</f>
        <v>0.99538099799694368</v>
      </c>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v>2275885.0091599999</v>
      </c>
      <c r="C66" s="337">
        <v>2195147.21796</v>
      </c>
      <c r="D66" s="334">
        <f t="shared" ref="D66:D111" si="16">IF(B66=0, "    ---- ", IF(ABS(ROUND(100/B66*C66-100,1))&lt;999,ROUND(100/B66*C66-100,1),IF(ROUND(100/B66*C66-100,1)&gt;999,999,-999)))</f>
        <v>-3.5</v>
      </c>
      <c r="E66" s="11">
        <f>IFERROR(100/'Skjema total MA'!C66*C66,0)</f>
        <v>44.946953025252043</v>
      </c>
      <c r="F66" s="336">
        <v>7875704.2136500003</v>
      </c>
      <c r="G66" s="336">
        <v>8171979.3123899996</v>
      </c>
      <c r="H66" s="334">
        <f t="shared" ref="H66:H111" si="17">IF(F66=0, "    ---- ", IF(ABS(ROUND(100/F66*G66-100,1))&lt;999,ROUND(100/F66*G66-100,1),IF(ROUND(100/F66*G66-100,1)&gt;999,999,-999)))</f>
        <v>3.8</v>
      </c>
      <c r="I66" s="11">
        <f>IFERROR(100/'Skjema total MA'!F66*G66,0)</f>
        <v>31.104424464667108</v>
      </c>
      <c r="J66" s="294">
        <f t="shared" ref="J66:K86" si="18">SUM(B66,F66)</f>
        <v>10151589.22281</v>
      </c>
      <c r="K66" s="301">
        <f t="shared" si="18"/>
        <v>10367126.53035</v>
      </c>
      <c r="L66" s="405">
        <f t="shared" ref="L66:L111" si="19">IF(J66=0, "    ---- ", IF(ABS(ROUND(100/J66*K66-100,1))&lt;999,ROUND(100/J66*K66-100,1),IF(ROUND(100/J66*K66-100,1)&gt;999,999,-999)))</f>
        <v>2.1</v>
      </c>
      <c r="M66" s="11">
        <f>IFERROR(100/'Skjema total MA'!I66*K66,0)</f>
        <v>33.274270759750181</v>
      </c>
    </row>
    <row r="67" spans="1:14" x14ac:dyDescent="0.2">
      <c r="A67" s="396" t="s">
        <v>9</v>
      </c>
      <c r="B67" s="44">
        <v>1296355.6769000001</v>
      </c>
      <c r="C67" s="130">
        <v>1067993.9094</v>
      </c>
      <c r="D67" s="151">
        <f t="shared" si="16"/>
        <v>-17.600000000000001</v>
      </c>
      <c r="E67" s="27">
        <f>IFERROR(100/'Skjema total MA'!C67*C67,0)</f>
        <v>36.828581342118255</v>
      </c>
      <c r="F67" s="218"/>
      <c r="G67" s="130"/>
      <c r="H67" s="151"/>
      <c r="I67" s="27"/>
      <c r="J67" s="272">
        <f t="shared" si="18"/>
        <v>1296355.6769000001</v>
      </c>
      <c r="K67" s="44">
        <f t="shared" si="18"/>
        <v>1067993.9094</v>
      </c>
      <c r="L67" s="242">
        <f t="shared" si="19"/>
        <v>-17.600000000000001</v>
      </c>
      <c r="M67" s="27">
        <f>IFERROR(100/'Skjema total MA'!I67*K67,0)</f>
        <v>36.828581342118255</v>
      </c>
    </row>
    <row r="68" spans="1:14" x14ac:dyDescent="0.2">
      <c r="A68" s="21" t="s">
        <v>10</v>
      </c>
      <c r="B68" s="277"/>
      <c r="C68" s="278"/>
      <c r="D68" s="151"/>
      <c r="E68" s="27"/>
      <c r="F68" s="277">
        <v>6953749.8190900004</v>
      </c>
      <c r="G68" s="278">
        <v>7352582.78639</v>
      </c>
      <c r="H68" s="151">
        <f t="shared" si="17"/>
        <v>5.7</v>
      </c>
      <c r="I68" s="27">
        <f>IFERROR(100/'Skjema total MA'!F68*G68,0)</f>
        <v>29.123608827492031</v>
      </c>
      <c r="J68" s="272">
        <f t="shared" si="18"/>
        <v>6953749.8190900004</v>
      </c>
      <c r="K68" s="44">
        <f t="shared" si="18"/>
        <v>7352582.78639</v>
      </c>
      <c r="L68" s="242">
        <f t="shared" si="19"/>
        <v>5.7</v>
      </c>
      <c r="M68" s="27">
        <f>IFERROR(100/'Skjema total MA'!I68*K68,0)</f>
        <v>29.104074691537527</v>
      </c>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v>193787.36043999999</v>
      </c>
      <c r="C75" s="130">
        <v>199298.92850000001</v>
      </c>
      <c r="D75" s="151">
        <f t="shared" si="16"/>
        <v>2.8</v>
      </c>
      <c r="E75" s="27">
        <f>IFERROR(100/'Skjema total MA'!C75*C75,0)</f>
        <v>50.605386264607397</v>
      </c>
      <c r="F75" s="218">
        <v>921954.39456000004</v>
      </c>
      <c r="G75" s="130">
        <v>819396.52599999995</v>
      </c>
      <c r="H75" s="151">
        <f t="shared" si="17"/>
        <v>-11.1</v>
      </c>
      <c r="I75" s="27">
        <f>IFERROR(100/'Skjema total MA'!F75*G75,0)</f>
        <v>79.816706287029419</v>
      </c>
      <c r="J75" s="272">
        <f t="shared" si="18"/>
        <v>1115741.7550000001</v>
      </c>
      <c r="K75" s="44">
        <f t="shared" si="18"/>
        <v>1018695.4545</v>
      </c>
      <c r="L75" s="242">
        <f t="shared" si="19"/>
        <v>-8.6999999999999993</v>
      </c>
      <c r="M75" s="27">
        <f>IFERROR(100/'Skjema total MA'!I75*K75,0)</f>
        <v>71.717538281066197</v>
      </c>
      <c r="N75" s="133"/>
    </row>
    <row r="76" spans="1:14" s="3" customFormat="1" x14ac:dyDescent="0.2">
      <c r="A76" s="21" t="s">
        <v>308</v>
      </c>
      <c r="B76" s="218">
        <v>785741.97181999998</v>
      </c>
      <c r="C76" s="130">
        <v>927854.38006</v>
      </c>
      <c r="D76" s="151">
        <f t="shared" ref="D76" si="20">IF(B76=0, "    ---- ", IF(ABS(ROUND(100/B76*C76-100,1))&lt;999,ROUND(100/B76*C76-100,1),IF(ROUND(100/B76*C76-100,1)&gt;999,999,-999)))</f>
        <v>18.100000000000001</v>
      </c>
      <c r="E76" s="27">
        <f>IFERROR(100/'Skjema total MA'!C77*C76,0)</f>
        <v>32.593184646748718</v>
      </c>
      <c r="F76" s="218"/>
      <c r="G76" s="130"/>
      <c r="H76" s="151"/>
      <c r="I76" s="27"/>
      <c r="J76" s="272">
        <f t="shared" ref="J76" si="21">SUM(B76,F76)</f>
        <v>785741.97181999998</v>
      </c>
      <c r="K76" s="44">
        <f t="shared" ref="K76" si="22">SUM(C76,G76)</f>
        <v>927854.38006</v>
      </c>
      <c r="L76" s="242">
        <f t="shared" ref="L76" si="23">IF(J76=0, "    ---- ", IF(ABS(ROUND(100/J76*K76-100,1))&lt;999,ROUND(100/J76*K76-100,1),IF(ROUND(100/J76*K76-100,1)&gt;999,999,-999)))</f>
        <v>18.100000000000001</v>
      </c>
      <c r="M76" s="27">
        <f>IFERROR(100/'Skjema total MA'!I77*K76,0)</f>
        <v>3.3035810831671166</v>
      </c>
      <c r="N76" s="133"/>
    </row>
    <row r="77" spans="1:14" ht="15.75" x14ac:dyDescent="0.2">
      <c r="A77" s="21" t="s">
        <v>339</v>
      </c>
      <c r="B77" s="218">
        <v>1244232.6739000001</v>
      </c>
      <c r="C77" s="218">
        <v>1019570.3024</v>
      </c>
      <c r="D77" s="151">
        <f t="shared" si="16"/>
        <v>-18.100000000000001</v>
      </c>
      <c r="E77" s="27">
        <f>IFERROR(100/'Skjema total MA'!C77*C77,0)</f>
        <v>35.814933723022072</v>
      </c>
      <c r="F77" s="218">
        <v>6953749.8190900004</v>
      </c>
      <c r="G77" s="130">
        <v>7352582.78639</v>
      </c>
      <c r="H77" s="151">
        <f t="shared" si="17"/>
        <v>5.7</v>
      </c>
      <c r="I77" s="27">
        <f>IFERROR(100/'Skjema total MA'!F77*G77,0)</f>
        <v>29.131200009435766</v>
      </c>
      <c r="J77" s="272">
        <f t="shared" si="18"/>
        <v>8197982.4929900002</v>
      </c>
      <c r="K77" s="44">
        <f t="shared" si="18"/>
        <v>8372153.0887900004</v>
      </c>
      <c r="L77" s="242">
        <f t="shared" si="19"/>
        <v>2.1</v>
      </c>
      <c r="M77" s="27">
        <f>IFERROR(100/'Skjema total MA'!I77*K77,0)</f>
        <v>29.808650111364752</v>
      </c>
    </row>
    <row r="78" spans="1:14" x14ac:dyDescent="0.2">
      <c r="A78" s="21" t="s">
        <v>9</v>
      </c>
      <c r="B78" s="218">
        <v>1244232.6739000001</v>
      </c>
      <c r="C78" s="130">
        <v>1019570.3024</v>
      </c>
      <c r="D78" s="151">
        <f t="shared" si="16"/>
        <v>-18.100000000000001</v>
      </c>
      <c r="E78" s="27">
        <f>IFERROR(100/'Skjema total MA'!C78*C78,0)</f>
        <v>36.029390131896378</v>
      </c>
      <c r="F78" s="218"/>
      <c r="G78" s="130"/>
      <c r="H78" s="151"/>
      <c r="I78" s="27"/>
      <c r="J78" s="272">
        <f t="shared" si="18"/>
        <v>1244232.6739000001</v>
      </c>
      <c r="K78" s="44">
        <f t="shared" si="18"/>
        <v>1019570.3024</v>
      </c>
      <c r="L78" s="242">
        <f t="shared" si="19"/>
        <v>-18.100000000000001</v>
      </c>
      <c r="M78" s="27">
        <f>IFERROR(100/'Skjema total MA'!I78*K78,0)</f>
        <v>36.029390131896378</v>
      </c>
    </row>
    <row r="79" spans="1:14" x14ac:dyDescent="0.2">
      <c r="A79" s="38" t="s">
        <v>368</v>
      </c>
      <c r="B79" s="277"/>
      <c r="C79" s="278"/>
      <c r="D79" s="151"/>
      <c r="E79" s="27"/>
      <c r="F79" s="277">
        <v>6953749.8190900004</v>
      </c>
      <c r="G79" s="278">
        <v>7352582.78639</v>
      </c>
      <c r="H79" s="151">
        <f t="shared" si="17"/>
        <v>5.7</v>
      </c>
      <c r="I79" s="27">
        <f>IFERROR(100/'Skjema total MA'!F79*G79,0)</f>
        <v>29.131200009435766</v>
      </c>
      <c r="J79" s="272">
        <f t="shared" si="18"/>
        <v>6953749.8190900004</v>
      </c>
      <c r="K79" s="44">
        <f t="shared" si="18"/>
        <v>7352582.78639</v>
      </c>
      <c r="L79" s="242">
        <f t="shared" si="19"/>
        <v>5.7</v>
      </c>
      <c r="M79" s="27">
        <f>IFERROR(100/'Skjema total MA'!I79*K79,0)</f>
        <v>29.111655692273953</v>
      </c>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v>52123.002999999997</v>
      </c>
      <c r="C86" s="130">
        <v>48423.607000000004</v>
      </c>
      <c r="D86" s="151">
        <f t="shared" si="16"/>
        <v>-7.1</v>
      </c>
      <c r="E86" s="27">
        <f>IFERROR(100/'Skjema total MA'!C86*C86,0)</f>
        <v>69.101824113738431</v>
      </c>
      <c r="F86" s="218"/>
      <c r="G86" s="130"/>
      <c r="H86" s="151"/>
      <c r="I86" s="27"/>
      <c r="J86" s="272">
        <f t="shared" si="18"/>
        <v>52123.002999999997</v>
      </c>
      <c r="K86" s="44">
        <f t="shared" si="18"/>
        <v>48423.607000000004</v>
      </c>
      <c r="L86" s="242">
        <f t="shared" si="19"/>
        <v>-7.1</v>
      </c>
      <c r="M86" s="27">
        <f>IFERROR(100/'Skjema total MA'!I86*K86,0)</f>
        <v>63.171239163146481</v>
      </c>
    </row>
    <row r="87" spans="1:13" ht="15.75" x14ac:dyDescent="0.2">
      <c r="A87" s="13" t="s">
        <v>322</v>
      </c>
      <c r="B87" s="337">
        <v>170492521.29902002</v>
      </c>
      <c r="C87" s="337">
        <v>174656915.80374998</v>
      </c>
      <c r="D87" s="156">
        <f t="shared" si="16"/>
        <v>2.4</v>
      </c>
      <c r="E87" s="11">
        <f>IFERROR(100/'Skjema total MA'!C87*C87,0)</f>
        <v>43.235795387922025</v>
      </c>
      <c r="F87" s="336">
        <v>173542874.23056</v>
      </c>
      <c r="G87" s="336">
        <v>207053679.97442999</v>
      </c>
      <c r="H87" s="156">
        <f t="shared" si="17"/>
        <v>19.3</v>
      </c>
      <c r="I87" s="11">
        <f>IFERROR(100/'Skjema total MA'!F87*G87,0)</f>
        <v>33.794917052220775</v>
      </c>
      <c r="J87" s="294">
        <f t="shared" ref="J87:K111" si="24">SUM(B87,F87)</f>
        <v>344035395.52958</v>
      </c>
      <c r="K87" s="220">
        <f t="shared" si="24"/>
        <v>381710595.77818</v>
      </c>
      <c r="L87" s="405">
        <f t="shared" si="19"/>
        <v>11</v>
      </c>
      <c r="M87" s="11">
        <f>IFERROR(100/'Skjema total MA'!I87*K87,0)</f>
        <v>37.546264159186357</v>
      </c>
    </row>
    <row r="88" spans="1:13" x14ac:dyDescent="0.2">
      <c r="A88" s="21" t="s">
        <v>9</v>
      </c>
      <c r="B88" s="218">
        <v>160983377.71008</v>
      </c>
      <c r="C88" s="130">
        <v>162547060.60813999</v>
      </c>
      <c r="D88" s="151">
        <f t="shared" si="16"/>
        <v>1</v>
      </c>
      <c r="E88" s="27">
        <f>IFERROR(100/'Skjema total MA'!C88*C88,0)</f>
        <v>42.31558454077198</v>
      </c>
      <c r="F88" s="218"/>
      <c r="G88" s="130"/>
      <c r="H88" s="151"/>
      <c r="I88" s="27"/>
      <c r="J88" s="272">
        <f t="shared" si="24"/>
        <v>160983377.71008</v>
      </c>
      <c r="K88" s="44">
        <f t="shared" si="24"/>
        <v>162547060.60813999</v>
      </c>
      <c r="L88" s="242">
        <f t="shared" si="19"/>
        <v>1</v>
      </c>
      <c r="M88" s="27">
        <f>IFERROR(100/'Skjema total MA'!I88*K88,0)</f>
        <v>42.31558454077198</v>
      </c>
    </row>
    <row r="89" spans="1:13" x14ac:dyDescent="0.2">
      <c r="A89" s="21" t="s">
        <v>10</v>
      </c>
      <c r="B89" s="218">
        <v>47782.353020000002</v>
      </c>
      <c r="C89" s="130">
        <v>47116.861779999999</v>
      </c>
      <c r="D89" s="151">
        <f t="shared" si="16"/>
        <v>-1.4</v>
      </c>
      <c r="E89" s="27">
        <f>IFERROR(100/'Skjema total MA'!C89*C89,0)</f>
        <v>1.9675203093773699</v>
      </c>
      <c r="F89" s="218">
        <v>168659891.31707999</v>
      </c>
      <c r="G89" s="130">
        <v>200431426.62689</v>
      </c>
      <c r="H89" s="151">
        <f t="shared" si="17"/>
        <v>18.8</v>
      </c>
      <c r="I89" s="27">
        <f>IFERROR(100/'Skjema total MA'!F89*G89,0)</f>
        <v>33.215758287284984</v>
      </c>
      <c r="J89" s="272">
        <f t="shared" si="24"/>
        <v>168707673.6701</v>
      </c>
      <c r="K89" s="44">
        <f t="shared" si="24"/>
        <v>200478543.48866999</v>
      </c>
      <c r="L89" s="242">
        <f t="shared" si="19"/>
        <v>18.8</v>
      </c>
      <c r="M89" s="27">
        <f>IFERROR(100/'Skjema total MA'!I89*K89,0)</f>
        <v>33.092237259415391</v>
      </c>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v>1645311.26183</v>
      </c>
      <c r="C96" s="130">
        <v>2630267.9201500001</v>
      </c>
      <c r="D96" s="151">
        <f t="shared" si="16"/>
        <v>59.9</v>
      </c>
      <c r="E96" s="27">
        <f>IFERROR(100/'Skjema total MA'!C96*C96,0)</f>
        <v>44.052130133215769</v>
      </c>
      <c r="F96" s="218">
        <v>4882982.9134799996</v>
      </c>
      <c r="G96" s="130">
        <v>6622253.3475400005</v>
      </c>
      <c r="H96" s="151">
        <f t="shared" si="17"/>
        <v>35.6</v>
      </c>
      <c r="I96" s="27">
        <f>IFERROR(100/'Skjema total MA'!F96*G96,0)</f>
        <v>71.558780530285901</v>
      </c>
      <c r="J96" s="272">
        <f t="shared" si="24"/>
        <v>6528294.1753099998</v>
      </c>
      <c r="K96" s="44">
        <f t="shared" si="24"/>
        <v>9252521.2676900011</v>
      </c>
      <c r="L96" s="242">
        <f t="shared" si="19"/>
        <v>41.7</v>
      </c>
      <c r="M96" s="27">
        <f>IFERROR(100/'Skjema total MA'!I96*K96,0)</f>
        <v>60.771527984637167</v>
      </c>
    </row>
    <row r="97" spans="1:13" x14ac:dyDescent="0.2">
      <c r="A97" s="21" t="s">
        <v>306</v>
      </c>
      <c r="B97" s="218">
        <v>7816049.9740899997</v>
      </c>
      <c r="C97" s="130">
        <v>9432470.4136800002</v>
      </c>
      <c r="D97" s="151">
        <f t="shared" ref="D97" si="25">IF(B97=0, "    ---- ", IF(ABS(ROUND(100/B97*C97-100,1))&lt;999,ROUND(100/B97*C97-100,1),IF(ROUND(100/B97*C97-100,1)&gt;999,999,-999)))</f>
        <v>20.7</v>
      </c>
      <c r="E97" s="27">
        <f>IFERROR(100/'Skjema total MA'!C98*C97,0)</f>
        <v>2.4677219373057495</v>
      </c>
      <c r="F97" s="218"/>
      <c r="G97" s="130"/>
      <c r="H97" s="151"/>
      <c r="I97" s="27"/>
      <c r="J97" s="272">
        <f t="shared" ref="J97" si="26">SUM(B97,F97)</f>
        <v>7816049.9740899997</v>
      </c>
      <c r="K97" s="44">
        <f t="shared" ref="K97" si="27">SUM(C97,G97)</f>
        <v>9432470.4136800002</v>
      </c>
      <c r="L97" s="242">
        <f t="shared" ref="L97" si="28">IF(J97=0, "    ---- ", IF(ABS(ROUND(100/J97*K97-100,1))&lt;999,ROUND(100/J97*K97-100,1),IF(ROUND(100/J97*K97-100,1)&gt;999,999,-999)))</f>
        <v>20.7</v>
      </c>
      <c r="M97" s="27">
        <f>IFERROR(100/'Skjema total MA'!I98*K97,0)</f>
        <v>0.95736619587063376</v>
      </c>
    </row>
    <row r="98" spans="1:13" ht="15.75" x14ac:dyDescent="0.2">
      <c r="A98" s="21" t="s">
        <v>339</v>
      </c>
      <c r="B98" s="218">
        <v>157797123.71010002</v>
      </c>
      <c r="C98" s="218">
        <v>159448364.19591999</v>
      </c>
      <c r="D98" s="151">
        <f t="shared" si="16"/>
        <v>1</v>
      </c>
      <c r="E98" s="27">
        <f>IFERROR(100/'Skjema total MA'!C98*C98,0)</f>
        <v>41.71486460462458</v>
      </c>
      <c r="F98" s="277">
        <v>168659891.31707999</v>
      </c>
      <c r="G98" s="277">
        <v>200431426.62689</v>
      </c>
      <c r="H98" s="151">
        <f t="shared" si="17"/>
        <v>18.8</v>
      </c>
      <c r="I98" s="27">
        <f>IFERROR(100/'Skjema total MA'!F98*G98,0)</f>
        <v>33.23804150184742</v>
      </c>
      <c r="J98" s="272">
        <f t="shared" si="24"/>
        <v>326457015.02718002</v>
      </c>
      <c r="K98" s="44">
        <f t="shared" si="24"/>
        <v>359879790.82280999</v>
      </c>
      <c r="L98" s="242">
        <f t="shared" si="19"/>
        <v>10.199999999999999</v>
      </c>
      <c r="M98" s="27">
        <f>IFERROR(100/'Skjema total MA'!I98*K98,0)</f>
        <v>36.526671296107978</v>
      </c>
    </row>
    <row r="99" spans="1:13" x14ac:dyDescent="0.2">
      <c r="A99" s="21" t="s">
        <v>9</v>
      </c>
      <c r="B99" s="277">
        <v>157749341.35708001</v>
      </c>
      <c r="C99" s="278">
        <v>159401247.33414</v>
      </c>
      <c r="D99" s="151">
        <f t="shared" si="16"/>
        <v>1</v>
      </c>
      <c r="E99" s="27">
        <f>IFERROR(100/'Skjema total MA'!C99*C99,0)</f>
        <v>41.96545560872535</v>
      </c>
      <c r="F99" s="218"/>
      <c r="G99" s="130"/>
      <c r="H99" s="151"/>
      <c r="I99" s="27"/>
      <c r="J99" s="272">
        <f t="shared" si="24"/>
        <v>157749341.35708001</v>
      </c>
      <c r="K99" s="44">
        <f t="shared" si="24"/>
        <v>159401247.33414</v>
      </c>
      <c r="L99" s="242">
        <f t="shared" si="19"/>
        <v>1</v>
      </c>
      <c r="M99" s="27">
        <f>IFERROR(100/'Skjema total MA'!I99*K99,0)</f>
        <v>41.96545560872535</v>
      </c>
    </row>
    <row r="100" spans="1:13" x14ac:dyDescent="0.2">
      <c r="A100" s="38" t="s">
        <v>368</v>
      </c>
      <c r="B100" s="277">
        <v>47782.353020000002</v>
      </c>
      <c r="C100" s="278">
        <v>47116.861779999999</v>
      </c>
      <c r="D100" s="151">
        <f t="shared" si="16"/>
        <v>-1.4</v>
      </c>
      <c r="E100" s="27">
        <f>IFERROR(100/'Skjema total MA'!C100*C100,0)</f>
        <v>1.9675203093773699</v>
      </c>
      <c r="F100" s="218">
        <v>168659891.31707999</v>
      </c>
      <c r="G100" s="218">
        <v>200431426.62689</v>
      </c>
      <c r="H100" s="151">
        <f t="shared" si="17"/>
        <v>18.8</v>
      </c>
      <c r="I100" s="27">
        <f>IFERROR(100/'Skjema total MA'!F100*G100,0)</f>
        <v>33.23804150184742</v>
      </c>
      <c r="J100" s="272">
        <f t="shared" si="24"/>
        <v>168707673.6701</v>
      </c>
      <c r="K100" s="44">
        <f t="shared" si="24"/>
        <v>200478543.48866999</v>
      </c>
      <c r="L100" s="242">
        <f t="shared" si="19"/>
        <v>18.8</v>
      </c>
      <c r="M100" s="27">
        <f>IFERROR(100/'Skjema total MA'!I100*K100,0)</f>
        <v>33.114349794018295</v>
      </c>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v>3234036.3530000001</v>
      </c>
      <c r="C107" s="130">
        <v>3145813.2740000002</v>
      </c>
      <c r="D107" s="151">
        <f t="shared" si="16"/>
        <v>-2.7</v>
      </c>
      <c r="E107" s="27">
        <f>IFERROR(100/'Skjema total MA'!C107*C107,0)</f>
        <v>73.306852739208452</v>
      </c>
      <c r="F107" s="218"/>
      <c r="G107" s="130"/>
      <c r="H107" s="151"/>
      <c r="I107" s="27"/>
      <c r="J107" s="272">
        <f t="shared" si="24"/>
        <v>3234036.3530000001</v>
      </c>
      <c r="K107" s="44">
        <f t="shared" si="24"/>
        <v>3145813.2740000002</v>
      </c>
      <c r="L107" s="242">
        <f t="shared" si="19"/>
        <v>-2.7</v>
      </c>
      <c r="M107" s="27">
        <f>IFERROR(100/'Skjema total MA'!I107*K107,0)</f>
        <v>66.991525821735806</v>
      </c>
    </row>
    <row r="108" spans="1:13" ht="15.75" x14ac:dyDescent="0.2">
      <c r="A108" s="21" t="s">
        <v>341</v>
      </c>
      <c r="B108" s="218">
        <v>140885958.75358301</v>
      </c>
      <c r="C108" s="218">
        <v>142707831.79420999</v>
      </c>
      <c r="D108" s="151">
        <f t="shared" si="16"/>
        <v>1.3</v>
      </c>
      <c r="E108" s="27">
        <f>IFERROR(100/'Skjema total MA'!C108*C108,0)</f>
        <v>43.064777220776001</v>
      </c>
      <c r="F108" s="218">
        <v>19383230.888390001</v>
      </c>
      <c r="G108" s="218">
        <v>20876899.869210001</v>
      </c>
      <c r="H108" s="151">
        <f t="shared" si="17"/>
        <v>7.7</v>
      </c>
      <c r="I108" s="27">
        <f>IFERROR(100/'Skjema total MA'!F108*G108,0)</f>
        <v>93.149544704887276</v>
      </c>
      <c r="J108" s="272">
        <f t="shared" si="24"/>
        <v>160269189.64197302</v>
      </c>
      <c r="K108" s="44">
        <f t="shared" si="24"/>
        <v>163584731.66341999</v>
      </c>
      <c r="L108" s="242">
        <f t="shared" si="19"/>
        <v>2.1</v>
      </c>
      <c r="M108" s="27">
        <f>IFERROR(100/'Skjema total MA'!I108*K108,0)</f>
        <v>46.237581460373491</v>
      </c>
    </row>
    <row r="109" spans="1:13" ht="15.75" x14ac:dyDescent="0.2">
      <c r="A109" s="38" t="s">
        <v>382</v>
      </c>
      <c r="B109" s="218">
        <v>451986.07717</v>
      </c>
      <c r="C109" s="218">
        <v>613731.84699999995</v>
      </c>
      <c r="D109" s="151">
        <f t="shared" si="16"/>
        <v>35.799999999999997</v>
      </c>
      <c r="E109" s="27">
        <f>IFERROR(100/'Skjema total MA'!C109*C109,0)</f>
        <v>26.153691162357138</v>
      </c>
      <c r="F109" s="218">
        <v>54360407.414580002</v>
      </c>
      <c r="G109" s="218">
        <v>66380174.512999997</v>
      </c>
      <c r="H109" s="151">
        <f t="shared" si="17"/>
        <v>22.1</v>
      </c>
      <c r="I109" s="27">
        <f>IFERROR(100/'Skjema total MA'!F109*G109,0)</f>
        <v>29.111586611515985</v>
      </c>
      <c r="J109" s="272">
        <f t="shared" si="24"/>
        <v>54812393.491750002</v>
      </c>
      <c r="K109" s="44">
        <f t="shared" si="24"/>
        <v>66993906.359999999</v>
      </c>
      <c r="L109" s="242">
        <f t="shared" si="19"/>
        <v>22.2</v>
      </c>
      <c r="M109" s="27">
        <f>IFERROR(100/'Skjema total MA'!I109*K109,0)</f>
        <v>29.081455903923132</v>
      </c>
    </row>
    <row r="110" spans="1:13" ht="15.75" x14ac:dyDescent="0.2">
      <c r="A110" s="21" t="s">
        <v>342</v>
      </c>
      <c r="B110" s="218">
        <v>858192.70265999995</v>
      </c>
      <c r="C110" s="218">
        <v>1543834.8328100001</v>
      </c>
      <c r="D110" s="151">
        <f t="shared" si="16"/>
        <v>79.900000000000006</v>
      </c>
      <c r="E110" s="27">
        <f>IFERROR(100/'Skjema total MA'!C110*C110,0)</f>
        <v>54.467318698530235</v>
      </c>
      <c r="F110" s="218"/>
      <c r="G110" s="218"/>
      <c r="H110" s="151"/>
      <c r="I110" s="27"/>
      <c r="J110" s="272">
        <f t="shared" si="24"/>
        <v>858192.70265999995</v>
      </c>
      <c r="K110" s="44">
        <f t="shared" si="24"/>
        <v>1543834.8328100001</v>
      </c>
      <c r="L110" s="242">
        <f t="shared" si="19"/>
        <v>79.900000000000006</v>
      </c>
      <c r="M110" s="27">
        <f>IFERROR(100/'Skjema total MA'!I110*K110,0)</f>
        <v>54.467318698530235</v>
      </c>
    </row>
    <row r="111" spans="1:13" ht="15.75" x14ac:dyDescent="0.2">
      <c r="A111" s="13" t="s">
        <v>323</v>
      </c>
      <c r="B111" s="293">
        <v>126815.10342</v>
      </c>
      <c r="C111" s="144">
        <v>100850.103</v>
      </c>
      <c r="D111" s="156">
        <f t="shared" si="16"/>
        <v>-20.5</v>
      </c>
      <c r="E111" s="11">
        <f>IFERROR(100/'Skjema total MA'!C111*C111,0)</f>
        <v>29.896132429405998</v>
      </c>
      <c r="F111" s="293">
        <v>4920103.0176299997</v>
      </c>
      <c r="G111" s="144">
        <v>5351123.0259999996</v>
      </c>
      <c r="H111" s="156">
        <f t="shared" si="17"/>
        <v>8.8000000000000007</v>
      </c>
      <c r="I111" s="11">
        <f>IFERROR(100/'Skjema total MA'!F111*G111,0)</f>
        <v>20.300444833531717</v>
      </c>
      <c r="J111" s="294">
        <f t="shared" si="24"/>
        <v>5046918.1210499993</v>
      </c>
      <c r="K111" s="220">
        <f t="shared" si="24"/>
        <v>5451973.1289999997</v>
      </c>
      <c r="L111" s="405">
        <f t="shared" si="19"/>
        <v>8</v>
      </c>
      <c r="M111" s="11">
        <f>IFERROR(100/'Skjema total MA'!I111*K111,0)</f>
        <v>20.421693082686289</v>
      </c>
    </row>
    <row r="112" spans="1:13" x14ac:dyDescent="0.2">
      <c r="A112" s="21" t="s">
        <v>9</v>
      </c>
      <c r="B112" s="218">
        <v>19350.682420000001</v>
      </c>
      <c r="C112" s="130">
        <v>25024.072</v>
      </c>
      <c r="D112" s="151">
        <f t="shared" ref="D112:D125" si="29">IF(B112=0, "    ---- ", IF(ABS(ROUND(100/B112*C112-100,1))&lt;999,ROUND(100/B112*C112-100,1),IF(ROUND(100/B112*C112-100,1)&gt;999,999,-999)))</f>
        <v>29.3</v>
      </c>
      <c r="E112" s="27">
        <f>IFERROR(100/'Skjema total MA'!C112*C112,0)</f>
        <v>10.583461483165785</v>
      </c>
      <c r="F112" s="218">
        <v>1965.529</v>
      </c>
      <c r="G112" s="130">
        <v>983.60799999999995</v>
      </c>
      <c r="H112" s="151">
        <f t="shared" ref="H112:H125" si="30">IF(F112=0, "    ---- ", IF(ABS(ROUND(100/F112*G112-100,1))&lt;999,ROUND(100/F112*G112-100,1),IF(ROUND(100/F112*G112-100,1)&gt;999,999,-999)))</f>
        <v>-50</v>
      </c>
      <c r="I112" s="27">
        <f>IFERROR(100/'Skjema total MA'!F112*G112,0)</f>
        <v>100</v>
      </c>
      <c r="J112" s="272">
        <f t="shared" ref="J112:K125" si="31">SUM(B112,F112)</f>
        <v>21316.21142</v>
      </c>
      <c r="K112" s="44">
        <f t="shared" si="31"/>
        <v>26007.68</v>
      </c>
      <c r="L112" s="242">
        <f t="shared" ref="L112:L125" si="32">IF(J112=0, "    ---- ", IF(ABS(ROUND(100/J112*K112-100,1))&lt;999,ROUND(100/J112*K112-100,1),IF(ROUND(100/J112*K112-100,1)&gt;999,999,-999)))</f>
        <v>22</v>
      </c>
      <c r="M112" s="27">
        <f>IFERROR(100/'Skjema total MA'!I112*K112,0)</f>
        <v>10.953891991187975</v>
      </c>
    </row>
    <row r="113" spans="1:14" x14ac:dyDescent="0.2">
      <c r="A113" s="21" t="s">
        <v>10</v>
      </c>
      <c r="B113" s="218"/>
      <c r="C113" s="130"/>
      <c r="D113" s="151"/>
      <c r="E113" s="27"/>
      <c r="F113" s="218">
        <v>4909857.6366299996</v>
      </c>
      <c r="G113" s="130">
        <v>5350139.4179999996</v>
      </c>
      <c r="H113" s="151">
        <f t="shared" si="30"/>
        <v>9</v>
      </c>
      <c r="I113" s="27">
        <f>IFERROR(100/'Skjema total MA'!F113*G113,0)</f>
        <v>20.297470738959223</v>
      </c>
      <c r="J113" s="272">
        <f t="shared" si="31"/>
        <v>4909857.6366299996</v>
      </c>
      <c r="K113" s="44">
        <f t="shared" si="31"/>
        <v>5350139.4179999996</v>
      </c>
      <c r="L113" s="242">
        <f t="shared" si="32"/>
        <v>9</v>
      </c>
      <c r="M113" s="27">
        <f>IFERROR(100/'Skjema total MA'!I113*K113,0)</f>
        <v>20.297470738959223</v>
      </c>
    </row>
    <row r="114" spans="1:14" x14ac:dyDescent="0.2">
      <c r="A114" s="21" t="s">
        <v>26</v>
      </c>
      <c r="B114" s="218">
        <v>107464.421</v>
      </c>
      <c r="C114" s="130">
        <v>75826.031000000003</v>
      </c>
      <c r="D114" s="151">
        <f t="shared" si="29"/>
        <v>-29.4</v>
      </c>
      <c r="E114" s="27">
        <f>IFERROR(100/'Skjema total MA'!C114*C114,0)</f>
        <v>75.157216445752852</v>
      </c>
      <c r="F114" s="218">
        <v>8279.8520000000008</v>
      </c>
      <c r="G114" s="130">
        <v>0</v>
      </c>
      <c r="H114" s="151">
        <f t="shared" si="30"/>
        <v>-100</v>
      </c>
      <c r="I114" s="27">
        <f>IFERROR(100/'Skjema total MA'!F114*G114,0)</f>
        <v>0</v>
      </c>
      <c r="J114" s="272">
        <f t="shared" si="31"/>
        <v>115744.273</v>
      </c>
      <c r="K114" s="44">
        <f t="shared" si="31"/>
        <v>75826.031000000003</v>
      </c>
      <c r="L114" s="242">
        <f t="shared" si="32"/>
        <v>-34.5</v>
      </c>
      <c r="M114" s="27">
        <f>IFERROR(100/'Skjema total MA'!I114*K114,0)</f>
        <v>75.157216445752852</v>
      </c>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v>6943.7240000000002</v>
      </c>
      <c r="C116" s="218">
        <v>5352.1440000000002</v>
      </c>
      <c r="D116" s="151">
        <f t="shared" si="29"/>
        <v>-22.9</v>
      </c>
      <c r="E116" s="27">
        <f>IFERROR(100/'Skjema total MA'!C116*C116,0)</f>
        <v>14.700357652715585</v>
      </c>
      <c r="F116" s="218">
        <v>1965.529</v>
      </c>
      <c r="G116" s="218">
        <v>983.60799999999995</v>
      </c>
      <c r="H116" s="151">
        <f t="shared" si="30"/>
        <v>-50</v>
      </c>
      <c r="I116" s="27">
        <f>IFERROR(100/'Skjema total MA'!F116*G116,0)</f>
        <v>100</v>
      </c>
      <c r="J116" s="272">
        <f t="shared" si="31"/>
        <v>8909.2530000000006</v>
      </c>
      <c r="K116" s="44">
        <f t="shared" si="31"/>
        <v>6335.7520000000004</v>
      </c>
      <c r="L116" s="242">
        <f t="shared" si="32"/>
        <v>-28.9</v>
      </c>
      <c r="M116" s="27">
        <f>IFERROR(100/'Skjema total MA'!I116*K116,0)</f>
        <v>16.94419894065814</v>
      </c>
    </row>
    <row r="117" spans="1:14" ht="15.75" x14ac:dyDescent="0.2">
      <c r="A117" s="38" t="s">
        <v>382</v>
      </c>
      <c r="B117" s="218"/>
      <c r="C117" s="218"/>
      <c r="D117" s="151"/>
      <c r="E117" s="27"/>
      <c r="F117" s="218">
        <v>960106.55840999598</v>
      </c>
      <c r="G117" s="218">
        <v>508241.37099999998</v>
      </c>
      <c r="H117" s="151">
        <f t="shared" si="30"/>
        <v>-47.1</v>
      </c>
      <c r="I117" s="27">
        <f>IFERROR(100/'Skjema total MA'!F117*G117,0)</f>
        <v>3.6698889614952526</v>
      </c>
      <c r="J117" s="272">
        <f t="shared" si="31"/>
        <v>960106.55840999598</v>
      </c>
      <c r="K117" s="44">
        <f t="shared" si="31"/>
        <v>508241.37099999998</v>
      </c>
      <c r="L117" s="242">
        <f t="shared" si="32"/>
        <v>-47.1</v>
      </c>
      <c r="M117" s="27">
        <f>IFERROR(100/'Skjema total MA'!I117*K117,0)</f>
        <v>3.6698889614952526</v>
      </c>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v>123591.48180000001</v>
      </c>
      <c r="C119" s="144">
        <v>66603.542000000001</v>
      </c>
      <c r="D119" s="156">
        <f t="shared" si="29"/>
        <v>-46.1</v>
      </c>
      <c r="E119" s="11">
        <f>IFERROR(100/'Skjema total MA'!C119*C119,0)</f>
        <v>38.951134183698016</v>
      </c>
      <c r="F119" s="293">
        <v>6073195.5360000003</v>
      </c>
      <c r="G119" s="144">
        <v>7156789.7220000001</v>
      </c>
      <c r="H119" s="156">
        <f t="shared" si="30"/>
        <v>17.8</v>
      </c>
      <c r="I119" s="11">
        <f>IFERROR(100/'Skjema total MA'!F119*G119,0)</f>
        <v>24.60087322693164</v>
      </c>
      <c r="J119" s="294">
        <f t="shared" si="31"/>
        <v>6196787.0178000005</v>
      </c>
      <c r="K119" s="220">
        <f t="shared" si="31"/>
        <v>7223393.2640000004</v>
      </c>
      <c r="L119" s="405">
        <f t="shared" si="32"/>
        <v>16.600000000000001</v>
      </c>
      <c r="M119" s="11">
        <f>IFERROR(100/'Skjema total MA'!I119*K119,0)</f>
        <v>24.684727286006765</v>
      </c>
    </row>
    <row r="120" spans="1:14" x14ac:dyDescent="0.2">
      <c r="A120" s="21" t="s">
        <v>9</v>
      </c>
      <c r="B120" s="218">
        <v>64300.481800000001</v>
      </c>
      <c r="C120" s="130">
        <v>4748.6239999999998</v>
      </c>
      <c r="D120" s="151">
        <f t="shared" si="29"/>
        <v>-92.6</v>
      </c>
      <c r="E120" s="27">
        <f>IFERROR(100/'Skjema total MA'!C120*C120,0)</f>
        <v>5.1172105252970015</v>
      </c>
      <c r="F120" s="218"/>
      <c r="G120" s="130"/>
      <c r="H120" s="151"/>
      <c r="I120" s="27"/>
      <c r="J120" s="272">
        <f t="shared" si="31"/>
        <v>64300.481800000001</v>
      </c>
      <c r="K120" s="44">
        <f t="shared" si="31"/>
        <v>4748.6239999999998</v>
      </c>
      <c r="L120" s="242">
        <f t="shared" si="32"/>
        <v>-92.6</v>
      </c>
      <c r="M120" s="27">
        <f>IFERROR(100/'Skjema total MA'!I120*K120,0)</f>
        <v>5.1172105252970015</v>
      </c>
    </row>
    <row r="121" spans="1:14" x14ac:dyDescent="0.2">
      <c r="A121" s="21" t="s">
        <v>10</v>
      </c>
      <c r="B121" s="218"/>
      <c r="C121" s="130"/>
      <c r="D121" s="151"/>
      <c r="E121" s="27"/>
      <c r="F121" s="218">
        <v>6073195.5360000003</v>
      </c>
      <c r="G121" s="130">
        <v>7156789.7220000001</v>
      </c>
      <c r="H121" s="151">
        <f t="shared" si="30"/>
        <v>17.8</v>
      </c>
      <c r="I121" s="27">
        <f>IFERROR(100/'Skjema total MA'!F121*G121,0)</f>
        <v>24.60087322693164</v>
      </c>
      <c r="J121" s="272">
        <f t="shared" si="31"/>
        <v>6073195.5360000003</v>
      </c>
      <c r="K121" s="44">
        <f t="shared" si="31"/>
        <v>7156789.7220000001</v>
      </c>
      <c r="L121" s="242">
        <f t="shared" si="32"/>
        <v>17.8</v>
      </c>
      <c r="M121" s="27">
        <f>IFERROR(100/'Skjema total MA'!I121*K121,0)</f>
        <v>24.596534081030995</v>
      </c>
    </row>
    <row r="122" spans="1:14" x14ac:dyDescent="0.2">
      <c r="A122" s="21" t="s">
        <v>26</v>
      </c>
      <c r="B122" s="218">
        <v>59291</v>
      </c>
      <c r="C122" s="130">
        <v>61854.917999999998</v>
      </c>
      <c r="D122" s="151">
        <f t="shared" si="29"/>
        <v>4.3</v>
      </c>
      <c r="E122" s="27">
        <f>IFERROR(100/'Skjema total MA'!C122*C122,0)</f>
        <v>84.659347171447337</v>
      </c>
      <c r="F122" s="218"/>
      <c r="G122" s="130"/>
      <c r="H122" s="151"/>
      <c r="I122" s="27"/>
      <c r="J122" s="272">
        <f t="shared" si="31"/>
        <v>59291</v>
      </c>
      <c r="K122" s="44">
        <f t="shared" si="31"/>
        <v>61854.917999999998</v>
      </c>
      <c r="L122" s="242">
        <f t="shared" si="32"/>
        <v>4.3</v>
      </c>
      <c r="M122" s="27">
        <f>IFERROR(100/'Skjema total MA'!I122*K122,0)</f>
        <v>84.659347171447337</v>
      </c>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v>8058.9179999999997</v>
      </c>
      <c r="C124" s="218">
        <v>1692.806</v>
      </c>
      <c r="D124" s="151">
        <f t="shared" si="29"/>
        <v>-79</v>
      </c>
      <c r="E124" s="27">
        <f>IFERROR(100/'Skjema total MA'!C124*C124,0)</f>
        <v>10.616660999199363</v>
      </c>
      <c r="F124" s="218">
        <v>10478.852000000001</v>
      </c>
      <c r="G124" s="218">
        <v>13865.686</v>
      </c>
      <c r="H124" s="151">
        <f t="shared" si="30"/>
        <v>32.299999999999997</v>
      </c>
      <c r="I124" s="27">
        <f>IFERROR(100/'Skjema total MA'!F124*G124,0)</f>
        <v>100</v>
      </c>
      <c r="J124" s="272">
        <f t="shared" si="31"/>
        <v>18537.77</v>
      </c>
      <c r="K124" s="44">
        <f t="shared" si="31"/>
        <v>15558.492</v>
      </c>
      <c r="L124" s="242">
        <f t="shared" si="32"/>
        <v>-16.100000000000001</v>
      </c>
      <c r="M124" s="27">
        <f>IFERROR(100/'Skjema total MA'!I124*K124,0)</f>
        <v>52.191329146798381</v>
      </c>
    </row>
    <row r="125" spans="1:14" ht="15.75" x14ac:dyDescent="0.2">
      <c r="A125" s="38" t="s">
        <v>382</v>
      </c>
      <c r="B125" s="218">
        <v>78.710999999999999</v>
      </c>
      <c r="C125" s="218">
        <v>31.271000000000001</v>
      </c>
      <c r="D125" s="151">
        <f t="shared" si="29"/>
        <v>-60.3</v>
      </c>
      <c r="E125" s="27">
        <f>IFERROR(100/'Skjema total MA'!C125*C125,0)</f>
        <v>1.2631915322775045</v>
      </c>
      <c r="F125" s="218">
        <v>1368122.36268</v>
      </c>
      <c r="G125" s="218">
        <v>842059.353</v>
      </c>
      <c r="H125" s="151">
        <f t="shared" si="30"/>
        <v>-38.5</v>
      </c>
      <c r="I125" s="27">
        <f>IFERROR(100/'Skjema total MA'!F125*G125,0)</f>
        <v>6.2366121154312042</v>
      </c>
      <c r="J125" s="272">
        <f t="shared" si="31"/>
        <v>1368201.0736799999</v>
      </c>
      <c r="K125" s="44">
        <f t="shared" si="31"/>
        <v>842090.62399999995</v>
      </c>
      <c r="L125" s="242">
        <f t="shared" si="32"/>
        <v>-38.5</v>
      </c>
      <c r="M125" s="27">
        <f>IFERROR(100/'Skjema total MA'!I125*K125,0)</f>
        <v>6.2357004107996916</v>
      </c>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v>1171475.307</v>
      </c>
      <c r="C134" s="294">
        <v>772940.44649999996</v>
      </c>
      <c r="D134" s="334">
        <f t="shared" ref="D134:D137" si="33">IF(B134=0, "    ---- ", IF(ABS(ROUND(100/B134*C134-100,1))&lt;999,ROUND(100/B134*C134-100,1),IF(ROUND(100/B134*C134-100,1)&gt;999,999,-999)))</f>
        <v>-34</v>
      </c>
      <c r="E134" s="11">
        <f>IFERROR(100/'Skjema total MA'!C134*C134,0)</f>
        <v>1.9384275720518538</v>
      </c>
      <c r="F134" s="301"/>
      <c r="G134" s="302"/>
      <c r="H134" s="408"/>
      <c r="I134" s="24"/>
      <c r="J134" s="303">
        <f t="shared" ref="J134:K137" si="34">SUM(B134,F134)</f>
        <v>1171475.307</v>
      </c>
      <c r="K134" s="303">
        <f t="shared" si="34"/>
        <v>772940.44649999996</v>
      </c>
      <c r="L134" s="404">
        <f t="shared" ref="L134:L137" si="35">IF(J134=0, "    ---- ", IF(ABS(ROUND(100/J134*K134-100,1))&lt;999,ROUND(100/J134*K134-100,1),IF(ROUND(100/J134*K134-100,1)&gt;999,999,-999)))</f>
        <v>-34</v>
      </c>
      <c r="M134" s="11">
        <f>IFERROR(100/'Skjema total MA'!I134*K134,0)</f>
        <v>1.9321505402979968</v>
      </c>
      <c r="N134" s="133"/>
    </row>
    <row r="135" spans="1:14" s="3" customFormat="1" ht="15.75" x14ac:dyDescent="0.2">
      <c r="A135" s="13" t="s">
        <v>349</v>
      </c>
      <c r="B135" s="220">
        <v>18969266.92746</v>
      </c>
      <c r="C135" s="294">
        <v>22645636.316119999</v>
      </c>
      <c r="D135" s="156">
        <f t="shared" si="33"/>
        <v>19.399999999999999</v>
      </c>
      <c r="E135" s="11">
        <f>IFERROR(100/'Skjema total MA'!C135*C135,0)</f>
        <v>2.5439284456579552</v>
      </c>
      <c r="F135" s="220"/>
      <c r="G135" s="294"/>
      <c r="H135" s="409"/>
      <c r="I135" s="24"/>
      <c r="J135" s="293">
        <f t="shared" si="34"/>
        <v>18969266.92746</v>
      </c>
      <c r="K135" s="293">
        <f t="shared" si="34"/>
        <v>22645636.316119999</v>
      </c>
      <c r="L135" s="405">
        <f t="shared" si="35"/>
        <v>19.399999999999999</v>
      </c>
      <c r="M135" s="11">
        <f>IFERROR(100/'Skjema total MA'!I135*K135,0)</f>
        <v>2.5356950499469155</v>
      </c>
      <c r="N135" s="133"/>
    </row>
    <row r="136" spans="1:14" s="3" customFormat="1" ht="15.75" x14ac:dyDescent="0.2">
      <c r="A136" s="13" t="s">
        <v>346</v>
      </c>
      <c r="B136" s="220">
        <v>798812.36499999999</v>
      </c>
      <c r="C136" s="294">
        <v>2284048.4169999999</v>
      </c>
      <c r="D136" s="156">
        <f t="shared" si="33"/>
        <v>185.9</v>
      </c>
      <c r="E136" s="11">
        <f>IFERROR(100/'Skjema total MA'!C136*C136,0)</f>
        <v>99.938890764003872</v>
      </c>
      <c r="F136" s="220"/>
      <c r="G136" s="294"/>
      <c r="H136" s="409"/>
      <c r="I136" s="24"/>
      <c r="J136" s="293">
        <f t="shared" si="34"/>
        <v>798812.36499999999</v>
      </c>
      <c r="K136" s="293">
        <f t="shared" si="34"/>
        <v>2284048.4169999999</v>
      </c>
      <c r="L136" s="405">
        <f t="shared" si="35"/>
        <v>185.9</v>
      </c>
      <c r="M136" s="11">
        <f>IFERROR(100/'Skjema total MA'!I136*K136,0)</f>
        <v>99.946852374950751</v>
      </c>
      <c r="N136" s="133"/>
    </row>
    <row r="137" spans="1:14" s="3" customFormat="1" ht="15.75" x14ac:dyDescent="0.2">
      <c r="A137" s="41" t="s">
        <v>347</v>
      </c>
      <c r="B137" s="261">
        <v>0</v>
      </c>
      <c r="C137" s="300">
        <v>353.28100000000001</v>
      </c>
      <c r="D137" s="154" t="str">
        <f t="shared" si="33"/>
        <v xml:space="preserve">    ---- </v>
      </c>
      <c r="E137" s="9">
        <f>IFERROR(100/'Skjema total MA'!C137*C137,0)</f>
        <v>1.5372294722618744E-2</v>
      </c>
      <c r="F137" s="261"/>
      <c r="G137" s="300"/>
      <c r="H137" s="410"/>
      <c r="I137" s="36"/>
      <c r="J137" s="299">
        <f t="shared" si="34"/>
        <v>0</v>
      </c>
      <c r="K137" s="299">
        <f t="shared" si="34"/>
        <v>353.28100000000001</v>
      </c>
      <c r="L137" s="406" t="str">
        <f t="shared" si="35"/>
        <v xml:space="preserve">    ---- </v>
      </c>
      <c r="M137" s="36">
        <f>IFERROR(100/'Skjema total MA'!I137*K137,0)</f>
        <v>1.5372294722618744E-2</v>
      </c>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355" priority="132">
      <formula>kvartal &lt; 4</formula>
    </cfRule>
  </conditionalFormatting>
  <conditionalFormatting sqref="B115">
    <cfRule type="expression" dxfId="354" priority="76">
      <formula>kvartal &lt; 4</formula>
    </cfRule>
  </conditionalFormatting>
  <conditionalFormatting sqref="C115">
    <cfRule type="expression" dxfId="353" priority="75">
      <formula>kvartal &lt; 4</formula>
    </cfRule>
  </conditionalFormatting>
  <conditionalFormatting sqref="B123">
    <cfRule type="expression" dxfId="352" priority="74">
      <formula>kvartal &lt; 4</formula>
    </cfRule>
  </conditionalFormatting>
  <conditionalFormatting sqref="C123">
    <cfRule type="expression" dxfId="351" priority="73">
      <formula>kvartal &lt; 4</formula>
    </cfRule>
  </conditionalFormatting>
  <conditionalFormatting sqref="F115">
    <cfRule type="expression" dxfId="350" priority="58">
      <formula>kvartal &lt; 4</formula>
    </cfRule>
  </conditionalFormatting>
  <conditionalFormatting sqref="G115">
    <cfRule type="expression" dxfId="349" priority="57">
      <formula>kvartal &lt; 4</formula>
    </cfRule>
  </conditionalFormatting>
  <conditionalFormatting sqref="F123:G123">
    <cfRule type="expression" dxfId="348" priority="56">
      <formula>kvartal &lt; 4</formula>
    </cfRule>
  </conditionalFormatting>
  <conditionalFormatting sqref="J115:K115">
    <cfRule type="expression" dxfId="347" priority="32">
      <formula>kvartal &lt; 4</formula>
    </cfRule>
  </conditionalFormatting>
  <conditionalFormatting sqref="J123:K123">
    <cfRule type="expression" dxfId="346" priority="31">
      <formula>kvartal &lt; 4</formula>
    </cfRule>
  </conditionalFormatting>
  <conditionalFormatting sqref="A50:A52">
    <cfRule type="expression" dxfId="345" priority="12">
      <formula>kvartal &lt; 4</formula>
    </cfRule>
  </conditionalFormatting>
  <conditionalFormatting sqref="A69:A74">
    <cfRule type="expression" dxfId="344" priority="10">
      <formula>kvartal &lt; 4</formula>
    </cfRule>
  </conditionalFormatting>
  <conditionalFormatting sqref="A80:A85">
    <cfRule type="expression" dxfId="343" priority="9">
      <formula>kvartal &lt; 4</formula>
    </cfRule>
  </conditionalFormatting>
  <conditionalFormatting sqref="A90:A95">
    <cfRule type="expression" dxfId="342" priority="6">
      <formula>kvartal &lt; 4</formula>
    </cfRule>
  </conditionalFormatting>
  <conditionalFormatting sqref="A101:A106">
    <cfRule type="expression" dxfId="341" priority="5">
      <formula>kvartal &lt; 4</formula>
    </cfRule>
  </conditionalFormatting>
  <conditionalFormatting sqref="A115">
    <cfRule type="expression" dxfId="340" priority="4">
      <formula>kvartal &lt; 4</formula>
    </cfRule>
  </conditionalFormatting>
  <conditionalFormatting sqref="A123">
    <cfRule type="expression" dxfId="339" priority="3">
      <formula>kvartal &lt; 4</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31"/>
  <dimension ref="A1:N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121</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405"/>
      <c r="M8" s="27"/>
    </row>
    <row r="9" spans="1:14" ht="15.75" x14ac:dyDescent="0.2">
      <c r="A9" s="21" t="s">
        <v>24</v>
      </c>
      <c r="B9" s="266"/>
      <c r="C9" s="267"/>
      <c r="D9" s="151"/>
      <c r="E9" s="27"/>
      <c r="F9" s="270"/>
      <c r="G9" s="271"/>
      <c r="H9" s="151"/>
      <c r="I9" s="161"/>
      <c r="J9" s="218"/>
      <c r="K9" s="272"/>
      <c r="L9" s="405"/>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4532</v>
      </c>
      <c r="C47" s="296">
        <v>4814</v>
      </c>
      <c r="D47" s="404">
        <f t="shared" ref="D47:D48" si="0">IF(B47=0, "    ---- ", IF(ABS(ROUND(100/B47*C47-100,1))&lt;999,ROUND(100/B47*C47-100,1),IF(ROUND(100/B47*C47-100,1)&gt;999,999,-999)))</f>
        <v>6.2</v>
      </c>
      <c r="E47" s="11">
        <f>IFERROR(100/'Skjema total MA'!C47*C47,0)</f>
        <v>9.2357011219566409E-2</v>
      </c>
      <c r="F47" s="130"/>
      <c r="G47" s="33"/>
      <c r="H47" s="144"/>
      <c r="I47" s="144"/>
      <c r="J47" s="37"/>
      <c r="K47" s="37"/>
      <c r="L47" s="144"/>
      <c r="M47" s="144"/>
      <c r="N47" s="133"/>
    </row>
    <row r="48" spans="1:14" s="3" customFormat="1" ht="15.75" x14ac:dyDescent="0.2">
      <c r="A48" s="38" t="s">
        <v>333</v>
      </c>
      <c r="B48" s="266">
        <v>4532</v>
      </c>
      <c r="C48" s="267">
        <v>4378</v>
      </c>
      <c r="D48" s="242">
        <f t="shared" si="0"/>
        <v>-3.4</v>
      </c>
      <c r="E48" s="27">
        <f>IFERROR(100/'Skjema total MA'!C48*C48,0)</f>
        <v>0.14751745613349521</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338" priority="132">
      <formula>kvartal &lt; 4</formula>
    </cfRule>
  </conditionalFormatting>
  <conditionalFormatting sqref="B115">
    <cfRule type="expression" dxfId="337" priority="76">
      <formula>kvartal &lt; 4</formula>
    </cfRule>
  </conditionalFormatting>
  <conditionalFormatting sqref="C115">
    <cfRule type="expression" dxfId="336" priority="75">
      <formula>kvartal &lt; 4</formula>
    </cfRule>
  </conditionalFormatting>
  <conditionalFormatting sqref="B123">
    <cfRule type="expression" dxfId="335" priority="74">
      <formula>kvartal &lt; 4</formula>
    </cfRule>
  </conditionalFormatting>
  <conditionalFormatting sqref="C123">
    <cfRule type="expression" dxfId="334" priority="73">
      <formula>kvartal &lt; 4</formula>
    </cfRule>
  </conditionalFormatting>
  <conditionalFormatting sqref="F115">
    <cfRule type="expression" dxfId="333" priority="58">
      <formula>kvartal &lt; 4</formula>
    </cfRule>
  </conditionalFormatting>
  <conditionalFormatting sqref="G115">
    <cfRule type="expression" dxfId="332" priority="57">
      <formula>kvartal &lt; 4</formula>
    </cfRule>
  </conditionalFormatting>
  <conditionalFormatting sqref="F123:G123">
    <cfRule type="expression" dxfId="331" priority="56">
      <formula>kvartal &lt; 4</formula>
    </cfRule>
  </conditionalFormatting>
  <conditionalFormatting sqref="J115:K115">
    <cfRule type="expression" dxfId="330" priority="32">
      <formula>kvartal &lt; 4</formula>
    </cfRule>
  </conditionalFormatting>
  <conditionalFormatting sqref="J123:K123">
    <cfRule type="expression" dxfId="329" priority="31">
      <formula>kvartal &lt; 4</formula>
    </cfRule>
  </conditionalFormatting>
  <conditionalFormatting sqref="A50:A52">
    <cfRule type="expression" dxfId="328" priority="12">
      <formula>kvartal &lt; 4</formula>
    </cfRule>
  </conditionalFormatting>
  <conditionalFormatting sqref="A69:A74">
    <cfRule type="expression" dxfId="327" priority="10">
      <formula>kvartal &lt; 4</formula>
    </cfRule>
  </conditionalFormatting>
  <conditionalFormatting sqref="A80:A85">
    <cfRule type="expression" dxfId="326" priority="9">
      <formula>kvartal &lt; 4</formula>
    </cfRule>
  </conditionalFormatting>
  <conditionalFormatting sqref="A90:A95">
    <cfRule type="expression" dxfId="325" priority="6">
      <formula>kvartal &lt; 4</formula>
    </cfRule>
  </conditionalFormatting>
  <conditionalFormatting sqref="A101:A106">
    <cfRule type="expression" dxfId="324" priority="5">
      <formula>kvartal &lt; 4</formula>
    </cfRule>
  </conditionalFormatting>
  <conditionalFormatting sqref="A115">
    <cfRule type="expression" dxfId="323" priority="4">
      <formula>kvartal &lt; 4</formula>
    </cfRule>
  </conditionalFormatting>
  <conditionalFormatting sqref="A123">
    <cfRule type="expression" dxfId="322" priority="3">
      <formula>kvartal &lt; 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32"/>
  <dimension ref="A1:N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91</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c r="C7" s="292"/>
      <c r="D7" s="334"/>
      <c r="E7" s="11"/>
      <c r="F7" s="291"/>
      <c r="G7" s="292"/>
      <c r="H7" s="334"/>
      <c r="I7" s="145"/>
      <c r="J7" s="293"/>
      <c r="K7" s="294"/>
      <c r="L7" s="404"/>
      <c r="M7" s="11"/>
    </row>
    <row r="8" spans="1:14" ht="15.75" x14ac:dyDescent="0.2">
      <c r="A8" s="21" t="s">
        <v>25</v>
      </c>
      <c r="B8" s="266"/>
      <c r="C8" s="267"/>
      <c r="D8" s="151"/>
      <c r="E8" s="27"/>
      <c r="F8" s="270"/>
      <c r="G8" s="271"/>
      <c r="H8" s="151"/>
      <c r="I8" s="161"/>
      <c r="J8" s="218"/>
      <c r="K8" s="272"/>
      <c r="L8" s="242"/>
      <c r="M8" s="27"/>
    </row>
    <row r="9" spans="1:14" ht="15.75" x14ac:dyDescent="0.2">
      <c r="A9" s="21" t="s">
        <v>24</v>
      </c>
      <c r="B9" s="266"/>
      <c r="C9" s="267"/>
      <c r="D9" s="151"/>
      <c r="E9" s="27"/>
      <c r="F9" s="270"/>
      <c r="G9" s="271"/>
      <c r="H9" s="151"/>
      <c r="I9" s="161"/>
      <c r="J9" s="218"/>
      <c r="K9" s="272"/>
      <c r="L9" s="242"/>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409"/>
      <c r="E38" s="24"/>
      <c r="F38" s="304"/>
      <c r="G38" s="305"/>
      <c r="H38" s="156"/>
      <c r="I38" s="411"/>
      <c r="J38" s="220"/>
      <c r="K38" s="220"/>
      <c r="L38" s="405"/>
      <c r="M38" s="24"/>
    </row>
    <row r="39" spans="1:14" ht="15.75" x14ac:dyDescent="0.2">
      <c r="A39" s="18" t="s">
        <v>332</v>
      </c>
      <c r="B39" s="261"/>
      <c r="C39" s="300"/>
      <c r="D39" s="410"/>
      <c r="E39" s="36"/>
      <c r="F39" s="307"/>
      <c r="G39" s="308"/>
      <c r="H39" s="154"/>
      <c r="I39" s="36"/>
      <c r="J39" s="220"/>
      <c r="K39" s="220"/>
      <c r="L39" s="406"/>
      <c r="M39" s="36"/>
    </row>
    <row r="40" spans="1:14" ht="15.75" x14ac:dyDescent="0.25">
      <c r="A40" s="47"/>
      <c r="B40" s="241"/>
      <c r="C40" s="241"/>
      <c r="D40" s="718"/>
      <c r="E40" s="719"/>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730497.88699999999</v>
      </c>
      <c r="C47" s="296">
        <v>805943</v>
      </c>
      <c r="D47" s="404">
        <f t="shared" ref="D47:D57" si="0">IF(B47=0, "    ---- ", IF(ABS(ROUND(100/B47*C47-100,1))&lt;999,ROUND(100/B47*C47-100,1),IF(ROUND(100/B47*C47-100,1)&gt;999,999,-999)))</f>
        <v>10.3</v>
      </c>
      <c r="E47" s="11">
        <f>IFERROR(100/'Skjema total MA'!C47*C47,0)</f>
        <v>15.462086974102828</v>
      </c>
      <c r="F47" s="130"/>
      <c r="G47" s="33"/>
      <c r="H47" s="144"/>
      <c r="I47" s="144"/>
      <c r="J47" s="37"/>
      <c r="K47" s="37"/>
      <c r="L47" s="144"/>
      <c r="M47" s="144"/>
      <c r="N47" s="133"/>
    </row>
    <row r="48" spans="1:14" s="3" customFormat="1" ht="15.75" x14ac:dyDescent="0.2">
      <c r="A48" s="38" t="s">
        <v>333</v>
      </c>
      <c r="B48" s="266">
        <v>173545.84099999999</v>
      </c>
      <c r="C48" s="267">
        <v>200527</v>
      </c>
      <c r="D48" s="242">
        <f t="shared" si="0"/>
        <v>15.5</v>
      </c>
      <c r="E48" s="27">
        <f>IFERROR(100/'Skjema total MA'!C48*C48,0)</f>
        <v>6.7567914404023286</v>
      </c>
      <c r="F48" s="130"/>
      <c r="G48" s="33"/>
      <c r="H48" s="130"/>
      <c r="I48" s="130"/>
      <c r="J48" s="33"/>
      <c r="K48" s="33"/>
      <c r="L48" s="144"/>
      <c r="M48" s="144"/>
      <c r="N48" s="133"/>
    </row>
    <row r="49" spans="1:14" s="3" customFormat="1" ht="15.75" x14ac:dyDescent="0.2">
      <c r="A49" s="38" t="s">
        <v>334</v>
      </c>
      <c r="B49" s="44">
        <v>556952.04599999997</v>
      </c>
      <c r="C49" s="272">
        <v>605416</v>
      </c>
      <c r="D49" s="242">
        <f>IF(B49=0, "    ---- ", IF(ABS(ROUND(100/B49*C49-100,1))&lt;999,ROUND(100/B49*C49-100,1),IF(ROUND(100/B49*C49-100,1)&gt;999,999,-999)))</f>
        <v>8.6999999999999993</v>
      </c>
      <c r="E49" s="27">
        <f>IFERROR(100/'Skjema total MA'!C49*C49,0)</f>
        <v>26.977382446079599</v>
      </c>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v>32801.5</v>
      </c>
      <c r="C53" s="296">
        <v>18873</v>
      </c>
      <c r="D53" s="405">
        <f t="shared" si="0"/>
        <v>-42.5</v>
      </c>
      <c r="E53" s="11">
        <f>IFERROR(100/'Skjema total MA'!C53*C53,0)</f>
        <v>11.779507712290098</v>
      </c>
      <c r="F53" s="130"/>
      <c r="G53" s="33"/>
      <c r="H53" s="130"/>
      <c r="I53" s="130"/>
      <c r="J53" s="33"/>
      <c r="K53" s="33"/>
      <c r="L53" s="144"/>
      <c r="M53" s="144"/>
      <c r="N53" s="133"/>
    </row>
    <row r="54" spans="1:14" s="3" customFormat="1" ht="15.75" x14ac:dyDescent="0.2">
      <c r="A54" s="38" t="s">
        <v>333</v>
      </c>
      <c r="B54" s="266">
        <v>32801.5</v>
      </c>
      <c r="C54" s="267">
        <v>18873</v>
      </c>
      <c r="D54" s="242">
        <f t="shared" si="0"/>
        <v>-42.5</v>
      </c>
      <c r="E54" s="27">
        <f>IFERROR(100/'Skjema total MA'!C54*C54,0)</f>
        <v>11.852671933882528</v>
      </c>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v>11969.7</v>
      </c>
      <c r="C56" s="296">
        <v>14429</v>
      </c>
      <c r="D56" s="405">
        <f t="shared" si="0"/>
        <v>20.5</v>
      </c>
      <c r="E56" s="11">
        <f>IFERROR(100/'Skjema total MA'!C56*C56,0)</f>
        <v>9.8650051069126157</v>
      </c>
      <c r="F56" s="130"/>
      <c r="G56" s="33"/>
      <c r="H56" s="130"/>
      <c r="I56" s="130"/>
      <c r="J56" s="33"/>
      <c r="K56" s="33"/>
      <c r="L56" s="144"/>
      <c r="M56" s="144"/>
      <c r="N56" s="133"/>
    </row>
    <row r="57" spans="1:14" s="3" customFormat="1" ht="15.75" x14ac:dyDescent="0.2">
      <c r="A57" s="38" t="s">
        <v>333</v>
      </c>
      <c r="B57" s="266">
        <v>11969.7</v>
      </c>
      <c r="C57" s="267">
        <v>14429</v>
      </c>
      <c r="D57" s="242">
        <f t="shared" si="0"/>
        <v>20.5</v>
      </c>
      <c r="E57" s="27">
        <f>IFERROR(100/'Skjema total MA'!C57*C57,0)</f>
        <v>9.8650051069126157</v>
      </c>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321" priority="117">
      <formula>kvartal &lt; 4</formula>
    </cfRule>
  </conditionalFormatting>
  <conditionalFormatting sqref="B115">
    <cfRule type="expression" dxfId="320" priority="61">
      <formula>kvartal &lt; 4</formula>
    </cfRule>
  </conditionalFormatting>
  <conditionalFormatting sqref="C115">
    <cfRule type="expression" dxfId="319" priority="60">
      <formula>kvartal &lt; 4</formula>
    </cfRule>
  </conditionalFormatting>
  <conditionalFormatting sqref="B123">
    <cfRule type="expression" dxfId="318" priority="59">
      <formula>kvartal &lt; 4</formula>
    </cfRule>
  </conditionalFormatting>
  <conditionalFormatting sqref="C123">
    <cfRule type="expression" dxfId="317" priority="58">
      <formula>kvartal &lt; 4</formula>
    </cfRule>
  </conditionalFormatting>
  <conditionalFormatting sqref="F115">
    <cfRule type="expression" dxfId="316" priority="43">
      <formula>kvartal &lt; 4</formula>
    </cfRule>
  </conditionalFormatting>
  <conditionalFormatting sqref="G115">
    <cfRule type="expression" dxfId="315" priority="42">
      <formula>kvartal &lt; 4</formula>
    </cfRule>
  </conditionalFormatting>
  <conditionalFormatting sqref="F123:G123">
    <cfRule type="expression" dxfId="314" priority="41">
      <formula>kvartal &lt; 4</formula>
    </cfRule>
  </conditionalFormatting>
  <conditionalFormatting sqref="J115:K115">
    <cfRule type="expression" dxfId="313" priority="17">
      <formula>kvartal &lt; 4</formula>
    </cfRule>
  </conditionalFormatting>
  <conditionalFormatting sqref="J123:K123">
    <cfRule type="expression" dxfId="312" priority="16">
      <formula>kvartal &lt; 4</formula>
    </cfRule>
  </conditionalFormatting>
  <conditionalFormatting sqref="A50:A52">
    <cfRule type="expression" dxfId="311" priority="12">
      <formula>kvartal &lt; 4</formula>
    </cfRule>
  </conditionalFormatting>
  <conditionalFormatting sqref="A69:A74">
    <cfRule type="expression" dxfId="310" priority="10">
      <formula>kvartal &lt; 4</formula>
    </cfRule>
  </conditionalFormatting>
  <conditionalFormatting sqref="A80:A85">
    <cfRule type="expression" dxfId="309" priority="9">
      <formula>kvartal &lt; 4</formula>
    </cfRule>
  </conditionalFormatting>
  <conditionalFormatting sqref="A90:A95">
    <cfRule type="expression" dxfId="308" priority="6">
      <formula>kvartal &lt; 4</formula>
    </cfRule>
  </conditionalFormatting>
  <conditionalFormatting sqref="A101:A106">
    <cfRule type="expression" dxfId="307" priority="5">
      <formula>kvartal &lt; 4</formula>
    </cfRule>
  </conditionalFormatting>
  <conditionalFormatting sqref="A115">
    <cfRule type="expression" dxfId="306" priority="4">
      <formula>kvartal &lt; 4</formula>
    </cfRule>
  </conditionalFormatting>
  <conditionalFormatting sqref="A123">
    <cfRule type="expression" dxfId="305" priority="3">
      <formula>kvartal &lt; 4</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DCFD3-E4B4-485B-89B7-DA0A477AA596}">
  <dimension ref="A1:O144"/>
  <sheetViews>
    <sheetView showGridLines="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354</v>
      </c>
      <c r="D1" s="26"/>
      <c r="E1" s="26"/>
      <c r="F1" s="26"/>
      <c r="G1" s="26"/>
      <c r="H1" s="26"/>
      <c r="I1" s="26"/>
      <c r="J1" s="26"/>
      <c r="K1" s="26"/>
      <c r="L1" s="26"/>
      <c r="M1" s="26"/>
    </row>
    <row r="2" spans="1:14" ht="15.75" x14ac:dyDescent="0.25">
      <c r="A2" s="150" t="s">
        <v>28</v>
      </c>
      <c r="B2" s="717"/>
      <c r="C2" s="717"/>
      <c r="D2" s="717"/>
      <c r="E2" s="473"/>
      <c r="F2" s="717"/>
      <c r="G2" s="717"/>
      <c r="H2" s="717"/>
      <c r="I2" s="473"/>
      <c r="J2" s="717"/>
      <c r="K2" s="717"/>
      <c r="L2" s="717"/>
      <c r="M2" s="473"/>
    </row>
    <row r="3" spans="1:14" ht="15.75" x14ac:dyDescent="0.25">
      <c r="A3" s="148"/>
      <c r="B3" s="473"/>
      <c r="C3" s="473"/>
      <c r="D3" s="473"/>
      <c r="E3" s="473"/>
      <c r="F3" s="473"/>
      <c r="G3" s="473"/>
      <c r="H3" s="473"/>
      <c r="I3" s="473"/>
      <c r="J3" s="473"/>
      <c r="K3" s="473"/>
      <c r="L3" s="473"/>
      <c r="M3" s="473"/>
    </row>
    <row r="4" spans="1:14" x14ac:dyDescent="0.2">
      <c r="A4" s="129"/>
      <c r="B4" s="715" t="s">
        <v>0</v>
      </c>
      <c r="C4" s="716"/>
      <c r="D4" s="716"/>
      <c r="E4" s="470"/>
      <c r="F4" s="715" t="s">
        <v>1</v>
      </c>
      <c r="G4" s="716"/>
      <c r="H4" s="716"/>
      <c r="I4" s="471"/>
      <c r="J4" s="715" t="s">
        <v>2</v>
      </c>
      <c r="K4" s="716"/>
      <c r="L4" s="716"/>
      <c r="M4" s="471"/>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1288</v>
      </c>
      <c r="C7" s="292">
        <v>1115</v>
      </c>
      <c r="D7" s="334">
        <f>IF(B7=0, "    ---- ", IF(ABS(ROUND(100/B7*C7-100,1))&lt;999,ROUND(100/B7*C7-100,1),IF(ROUND(100/B7*C7-100,1)&gt;999,999,-999)))</f>
        <v>-13.4</v>
      </c>
      <c r="E7" s="11">
        <f>IFERROR(100/'Skjema total MA'!C7*C7,0)</f>
        <v>3.5402446650203513E-2</v>
      </c>
      <c r="F7" s="291"/>
      <c r="G7" s="292"/>
      <c r="H7" s="334"/>
      <c r="I7" s="145"/>
      <c r="J7" s="293">
        <f t="shared" ref="J7:K8" si="0">SUM(B7,F7)</f>
        <v>1288</v>
      </c>
      <c r="K7" s="294">
        <f t="shared" si="0"/>
        <v>1115</v>
      </c>
      <c r="L7" s="404">
        <f>IF(J7=0, "    ---- ", IF(ABS(ROUND(100/J7*K7-100,1))&lt;999,ROUND(100/J7*K7-100,1),IF(ROUND(100/J7*K7-100,1)&gt;999,999,-999)))</f>
        <v>-13.4</v>
      </c>
      <c r="M7" s="11">
        <f>IFERROR(100/'Skjema total MA'!I7*K7,0)</f>
        <v>1.0201236381341792E-2</v>
      </c>
    </row>
    <row r="8" spans="1:14" ht="15.75" x14ac:dyDescent="0.2">
      <c r="A8" s="21" t="s">
        <v>25</v>
      </c>
      <c r="B8" s="266">
        <v>1288</v>
      </c>
      <c r="C8" s="267">
        <v>1115</v>
      </c>
      <c r="D8" s="151">
        <f t="shared" ref="D8" si="1">IF(B8=0, "    ---- ", IF(ABS(ROUND(100/B8*C8-100,1))&lt;999,ROUND(100/B8*C8-100,1),IF(ROUND(100/B8*C8-100,1)&gt;999,999,-999)))</f>
        <v>-13.4</v>
      </c>
      <c r="E8" s="27">
        <f>IFERROR(100/'Skjema total MA'!C8*C8,0)</f>
        <v>5.294874700445007E-2</v>
      </c>
      <c r="F8" s="270"/>
      <c r="G8" s="271"/>
      <c r="H8" s="151"/>
      <c r="I8" s="161"/>
      <c r="J8" s="218">
        <f t="shared" si="0"/>
        <v>1288</v>
      </c>
      <c r="K8" s="272">
        <f t="shared" si="0"/>
        <v>1115</v>
      </c>
      <c r="L8" s="151">
        <f t="shared" ref="L8" si="2">IF(J8=0, "    ---- ", IF(ABS(ROUND(100/J8*K8-100,1))&lt;999,ROUND(100/J8*K8-100,1),IF(ROUND(100/J8*K8-100,1)&gt;999,999,-999)))</f>
        <v>-13.4</v>
      </c>
      <c r="M8" s="27">
        <f>IFERROR(100/'Skjema total MA'!I8*K8,0)</f>
        <v>5.294874700445007E-2</v>
      </c>
    </row>
    <row r="9" spans="1:14" ht="15.75" x14ac:dyDescent="0.2">
      <c r="A9" s="21" t="s">
        <v>24</v>
      </c>
      <c r="B9" s="266"/>
      <c r="C9" s="267"/>
      <c r="D9" s="151"/>
      <c r="E9" s="27"/>
      <c r="F9" s="270"/>
      <c r="G9" s="271"/>
      <c r="H9" s="151"/>
      <c r="I9" s="161"/>
      <c r="J9" s="218"/>
      <c r="K9" s="272"/>
      <c r="L9" s="151"/>
      <c r="M9" s="27"/>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473"/>
      <c r="F18" s="714"/>
      <c r="G18" s="714"/>
      <c r="H18" s="714"/>
      <c r="I18" s="473"/>
      <c r="J18" s="714"/>
      <c r="K18" s="714"/>
      <c r="L18" s="714"/>
      <c r="M18" s="473"/>
    </row>
    <row r="19" spans="1:14" x14ac:dyDescent="0.2">
      <c r="A19" s="129"/>
      <c r="B19" s="715" t="s">
        <v>0</v>
      </c>
      <c r="C19" s="716"/>
      <c r="D19" s="716"/>
      <c r="E19" s="470"/>
      <c r="F19" s="715" t="s">
        <v>1</v>
      </c>
      <c r="G19" s="716"/>
      <c r="H19" s="716"/>
      <c r="I19" s="471"/>
      <c r="J19" s="715" t="s">
        <v>2</v>
      </c>
      <c r="K19" s="716"/>
      <c r="L19" s="716"/>
      <c r="M19" s="471"/>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c r="D28" s="151"/>
      <c r="E28" s="11"/>
      <c r="F28" s="218"/>
      <c r="G28" s="272"/>
      <c r="H28" s="151"/>
      <c r="I28" s="27"/>
      <c r="J28" s="44"/>
      <c r="K28" s="44"/>
      <c r="L28" s="242"/>
      <c r="M28" s="23"/>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409"/>
      <c r="E38" s="24"/>
      <c r="F38" s="304"/>
      <c r="G38" s="305"/>
      <c r="H38" s="156"/>
      <c r="I38" s="411"/>
      <c r="J38" s="220"/>
      <c r="K38" s="220"/>
      <c r="L38" s="405"/>
      <c r="M38" s="24"/>
    </row>
    <row r="39" spans="1:14" ht="15.75" x14ac:dyDescent="0.2">
      <c r="A39" s="18" t="s">
        <v>332</v>
      </c>
      <c r="B39" s="261"/>
      <c r="C39" s="300"/>
      <c r="D39" s="410"/>
      <c r="E39" s="36"/>
      <c r="F39" s="307"/>
      <c r="G39" s="308"/>
      <c r="H39" s="154"/>
      <c r="I39" s="36"/>
      <c r="J39" s="220"/>
      <c r="K39" s="220"/>
      <c r="L39" s="406"/>
      <c r="M39" s="36"/>
    </row>
    <row r="40" spans="1:14" ht="15.75" x14ac:dyDescent="0.25">
      <c r="A40" s="47"/>
      <c r="B40" s="241"/>
      <c r="C40" s="241"/>
      <c r="D40" s="718"/>
      <c r="E40" s="719"/>
      <c r="F40" s="718"/>
      <c r="G40" s="718"/>
      <c r="H40" s="718"/>
      <c r="I40" s="718"/>
      <c r="J40" s="718"/>
      <c r="K40" s="718"/>
      <c r="L40" s="718"/>
      <c r="M40" s="474"/>
    </row>
    <row r="41" spans="1:14" x14ac:dyDescent="0.2">
      <c r="A41" s="140"/>
    </row>
    <row r="42" spans="1:14" ht="15.75" x14ac:dyDescent="0.25">
      <c r="A42" s="132" t="s">
        <v>243</v>
      </c>
      <c r="B42" s="717"/>
      <c r="C42" s="717"/>
      <c r="D42" s="717"/>
      <c r="E42" s="473"/>
      <c r="F42" s="719"/>
      <c r="G42" s="719"/>
      <c r="H42" s="719"/>
      <c r="I42" s="474"/>
      <c r="J42" s="719"/>
      <c r="K42" s="719"/>
      <c r="L42" s="719"/>
      <c r="M42" s="474"/>
    </row>
    <row r="43" spans="1:14" ht="15.75" x14ac:dyDescent="0.25">
      <c r="A43" s="148"/>
      <c r="B43" s="472"/>
      <c r="C43" s="472"/>
      <c r="D43" s="472"/>
      <c r="E43" s="472"/>
      <c r="F43" s="474"/>
      <c r="G43" s="474"/>
      <c r="H43" s="474"/>
      <c r="I43" s="474"/>
      <c r="J43" s="474"/>
      <c r="K43" s="474"/>
      <c r="L43" s="474"/>
      <c r="M43" s="474"/>
    </row>
    <row r="44" spans="1:14" ht="15.75" x14ac:dyDescent="0.25">
      <c r="A44" s="232"/>
      <c r="B44" s="715" t="s">
        <v>0</v>
      </c>
      <c r="C44" s="716"/>
      <c r="D44" s="716"/>
      <c r="E44" s="228"/>
      <c r="F44" s="474"/>
      <c r="G44" s="474"/>
      <c r="H44" s="474"/>
      <c r="I44" s="474"/>
      <c r="J44" s="474"/>
      <c r="K44" s="474"/>
      <c r="L44" s="474"/>
      <c r="M44" s="474"/>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600</v>
      </c>
      <c r="C47" s="296">
        <v>654.49</v>
      </c>
      <c r="D47" s="404">
        <f t="shared" ref="D47:D48" si="3">IF(B47=0, "    ---- ", IF(ABS(ROUND(100/B47*C47-100,1))&lt;999,ROUND(100/B47*C47-100,1),IF(ROUND(100/B47*C47-100,1)&gt;999,999,-999)))</f>
        <v>9.1</v>
      </c>
      <c r="E47" s="11">
        <f>IFERROR(100/'Skjema total MA'!C47*C47,0)</f>
        <v>1.2556447917136273E-2</v>
      </c>
      <c r="F47" s="130"/>
      <c r="G47" s="33"/>
      <c r="H47" s="144"/>
      <c r="I47" s="144"/>
      <c r="J47" s="37"/>
      <c r="K47" s="37"/>
      <c r="L47" s="144"/>
      <c r="M47" s="144"/>
      <c r="N47" s="133"/>
    </row>
    <row r="48" spans="1:14" s="3" customFormat="1" ht="15.75" x14ac:dyDescent="0.2">
      <c r="A48" s="38" t="s">
        <v>333</v>
      </c>
      <c r="B48" s="266">
        <v>600</v>
      </c>
      <c r="C48" s="267">
        <v>654.49</v>
      </c>
      <c r="D48" s="242">
        <f t="shared" si="3"/>
        <v>9.1</v>
      </c>
      <c r="E48" s="27">
        <f>IFERROR(100/'Skjema total MA'!C48*C48,0)</f>
        <v>2.2053152093378547E-2</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473"/>
      <c r="F62" s="714"/>
      <c r="G62" s="714"/>
      <c r="H62" s="714"/>
      <c r="I62" s="473"/>
      <c r="J62" s="714"/>
      <c r="K62" s="714"/>
      <c r="L62" s="714"/>
      <c r="M62" s="473"/>
    </row>
    <row r="63" spans="1:14" x14ac:dyDescent="0.2">
      <c r="A63" s="129"/>
      <c r="B63" s="715" t="s">
        <v>0</v>
      </c>
      <c r="C63" s="716"/>
      <c r="D63" s="720"/>
      <c r="E63" s="469"/>
      <c r="F63" s="716" t="s">
        <v>1</v>
      </c>
      <c r="G63" s="716"/>
      <c r="H63" s="716"/>
      <c r="I63" s="471"/>
      <c r="J63" s="715" t="s">
        <v>2</v>
      </c>
      <c r="K63" s="716"/>
      <c r="L63" s="716"/>
      <c r="M63" s="471"/>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5" x14ac:dyDescent="0.2">
      <c r="A97" s="21" t="s">
        <v>306</v>
      </c>
      <c r="B97" s="218"/>
      <c r="C97" s="130"/>
      <c r="D97" s="151"/>
      <c r="E97" s="27"/>
      <c r="F97" s="218"/>
      <c r="G97" s="130"/>
      <c r="H97" s="151"/>
      <c r="I97" s="27"/>
      <c r="J97" s="272"/>
      <c r="K97" s="44"/>
      <c r="L97" s="242"/>
      <c r="M97" s="27"/>
    </row>
    <row r="98" spans="1:15" ht="15.75" x14ac:dyDescent="0.2">
      <c r="A98" s="21" t="s">
        <v>339</v>
      </c>
      <c r="B98" s="218"/>
      <c r="C98" s="218"/>
      <c r="D98" s="151"/>
      <c r="E98" s="27"/>
      <c r="F98" s="277"/>
      <c r="G98" s="277"/>
      <c r="H98" s="151"/>
      <c r="I98" s="27"/>
      <c r="J98" s="272"/>
      <c r="K98" s="44"/>
      <c r="L98" s="242"/>
      <c r="M98" s="27"/>
    </row>
    <row r="99" spans="1:15" x14ac:dyDescent="0.2">
      <c r="A99" s="21" t="s">
        <v>9</v>
      </c>
      <c r="B99" s="277"/>
      <c r="C99" s="278"/>
      <c r="D99" s="151"/>
      <c r="E99" s="27"/>
      <c r="F99" s="218"/>
      <c r="G99" s="130"/>
      <c r="H99" s="151"/>
      <c r="I99" s="27"/>
      <c r="J99" s="272"/>
      <c r="K99" s="44"/>
      <c r="L99" s="242"/>
      <c r="M99" s="27"/>
    </row>
    <row r="100" spans="1:15" x14ac:dyDescent="0.2">
      <c r="A100" s="38" t="s">
        <v>368</v>
      </c>
      <c r="B100" s="277"/>
      <c r="C100" s="278"/>
      <c r="D100" s="151"/>
      <c r="E100" s="27"/>
      <c r="F100" s="218"/>
      <c r="G100" s="218"/>
      <c r="H100" s="151"/>
      <c r="I100" s="27"/>
      <c r="J100" s="272"/>
      <c r="K100" s="44"/>
      <c r="L100" s="242"/>
      <c r="M100" s="27"/>
    </row>
    <row r="101" spans="1:15" ht="15.75" x14ac:dyDescent="0.2">
      <c r="A101" s="281" t="s">
        <v>337</v>
      </c>
      <c r="B101" s="690"/>
      <c r="C101" s="280"/>
      <c r="D101" s="151"/>
      <c r="E101" s="394"/>
      <c r="F101" s="690"/>
      <c r="G101" s="280"/>
      <c r="H101" s="151"/>
      <c r="I101" s="394"/>
      <c r="J101" s="690"/>
      <c r="K101" s="280"/>
      <c r="L101" s="151"/>
      <c r="M101" s="23"/>
    </row>
    <row r="102" spans="1:15" x14ac:dyDescent="0.2">
      <c r="A102" s="281" t="s">
        <v>12</v>
      </c>
      <c r="B102" s="690"/>
      <c r="C102" s="280"/>
      <c r="D102" s="151"/>
      <c r="E102" s="394"/>
      <c r="F102" s="690"/>
      <c r="G102" s="280"/>
      <c r="H102" s="151"/>
      <c r="I102" s="394"/>
      <c r="J102" s="690"/>
      <c r="K102" s="280"/>
      <c r="L102" s="151"/>
      <c r="M102" s="23"/>
    </row>
    <row r="103" spans="1:15" x14ac:dyDescent="0.2">
      <c r="A103" s="281" t="s">
        <v>13</v>
      </c>
      <c r="B103" s="172"/>
      <c r="C103" s="274"/>
      <c r="D103" s="151"/>
      <c r="E103" s="394"/>
      <c r="F103" s="172"/>
      <c r="G103" s="274"/>
      <c r="H103" s="151"/>
      <c r="I103" s="394"/>
      <c r="J103" s="172"/>
      <c r="K103" s="274"/>
      <c r="L103" s="151"/>
      <c r="M103" s="23"/>
    </row>
    <row r="104" spans="1:15" ht="15.75" x14ac:dyDescent="0.2">
      <c r="A104" s="281" t="s">
        <v>338</v>
      </c>
      <c r="B104" s="690"/>
      <c r="C104" s="280"/>
      <c r="D104" s="151"/>
      <c r="E104" s="394"/>
      <c r="F104" s="690"/>
      <c r="G104" s="280"/>
      <c r="H104" s="151"/>
      <c r="I104" s="394"/>
      <c r="J104" s="690"/>
      <c r="K104" s="280"/>
      <c r="L104" s="151"/>
      <c r="M104" s="23"/>
    </row>
    <row r="105" spans="1:15" x14ac:dyDescent="0.2">
      <c r="A105" s="281" t="s">
        <v>12</v>
      </c>
      <c r="B105" s="172"/>
      <c r="C105" s="274"/>
      <c r="D105" s="151"/>
      <c r="E105" s="394"/>
      <c r="F105" s="172"/>
      <c r="G105" s="274"/>
      <c r="H105" s="151"/>
      <c r="I105" s="394"/>
      <c r="J105" s="172"/>
      <c r="K105" s="274"/>
      <c r="L105" s="151"/>
      <c r="M105" s="23"/>
    </row>
    <row r="106" spans="1:15" x14ac:dyDescent="0.2">
      <c r="A106" s="281" t="s">
        <v>13</v>
      </c>
      <c r="B106" s="172"/>
      <c r="C106" s="274"/>
      <c r="D106" s="151"/>
      <c r="E106" s="394"/>
      <c r="F106" s="172"/>
      <c r="G106" s="274"/>
      <c r="H106" s="151"/>
      <c r="I106" s="394"/>
      <c r="J106" s="172"/>
      <c r="K106" s="274"/>
      <c r="L106" s="151"/>
      <c r="M106" s="23"/>
    </row>
    <row r="107" spans="1:15" ht="15.75" x14ac:dyDescent="0.2">
      <c r="A107" s="21" t="s">
        <v>340</v>
      </c>
      <c r="B107" s="218"/>
      <c r="C107" s="130"/>
      <c r="D107" s="151"/>
      <c r="E107" s="27"/>
      <c r="F107" s="218"/>
      <c r="G107" s="130"/>
      <c r="H107" s="151"/>
      <c r="I107" s="27"/>
      <c r="J107" s="272"/>
      <c r="K107" s="44"/>
      <c r="L107" s="242"/>
      <c r="M107" s="27"/>
    </row>
    <row r="108" spans="1:15" ht="15.75" x14ac:dyDescent="0.2">
      <c r="A108" s="21" t="s">
        <v>341</v>
      </c>
      <c r="B108" s="218"/>
      <c r="C108" s="218"/>
      <c r="D108" s="151"/>
      <c r="E108" s="27"/>
      <c r="F108" s="218"/>
      <c r="G108" s="218"/>
      <c r="H108" s="151"/>
      <c r="I108" s="27"/>
      <c r="J108" s="272"/>
      <c r="K108" s="44"/>
      <c r="L108" s="242"/>
      <c r="M108" s="27"/>
    </row>
    <row r="109" spans="1:15" ht="15.75" x14ac:dyDescent="0.2">
      <c r="A109" s="38" t="s">
        <v>382</v>
      </c>
      <c r="B109" s="218"/>
      <c r="C109" s="218"/>
      <c r="D109" s="151"/>
      <c r="E109" s="27"/>
      <c r="F109" s="218"/>
      <c r="G109" s="218"/>
      <c r="H109" s="151"/>
      <c r="I109" s="27"/>
      <c r="J109" s="272"/>
      <c r="K109" s="44"/>
      <c r="L109" s="242"/>
      <c r="M109" s="27"/>
      <c r="O109" s="3"/>
    </row>
    <row r="110" spans="1:15" ht="15.75" x14ac:dyDescent="0.2">
      <c r="A110" s="21" t="s">
        <v>342</v>
      </c>
      <c r="B110" s="218"/>
      <c r="C110" s="218"/>
      <c r="D110" s="151"/>
      <c r="E110" s="27"/>
      <c r="F110" s="218"/>
      <c r="G110" s="218"/>
      <c r="H110" s="151"/>
      <c r="I110" s="27"/>
      <c r="J110" s="272"/>
      <c r="K110" s="44"/>
      <c r="L110" s="242"/>
      <c r="M110" s="27"/>
    </row>
    <row r="111" spans="1:15" ht="15.75" x14ac:dyDescent="0.2">
      <c r="A111" s="13" t="s">
        <v>323</v>
      </c>
      <c r="B111" s="293"/>
      <c r="C111" s="144"/>
      <c r="D111" s="156"/>
      <c r="E111" s="11"/>
      <c r="F111" s="293"/>
      <c r="G111" s="144"/>
      <c r="H111" s="156"/>
      <c r="I111" s="11"/>
      <c r="J111" s="294"/>
      <c r="K111" s="220"/>
      <c r="L111" s="405"/>
      <c r="M111" s="11"/>
    </row>
    <row r="112" spans="1:15"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473"/>
      <c r="F130" s="714"/>
      <c r="G130" s="714"/>
      <c r="H130" s="714"/>
      <c r="I130" s="473"/>
      <c r="J130" s="714"/>
      <c r="K130" s="714"/>
      <c r="L130" s="714"/>
      <c r="M130" s="473"/>
    </row>
    <row r="131" spans="1:14" s="3" customFormat="1" x14ac:dyDescent="0.2">
      <c r="A131" s="129"/>
      <c r="B131" s="715" t="s">
        <v>0</v>
      </c>
      <c r="C131" s="716"/>
      <c r="D131" s="716"/>
      <c r="E131" s="470"/>
      <c r="F131" s="715" t="s">
        <v>1</v>
      </c>
      <c r="G131" s="716"/>
      <c r="H131" s="716"/>
      <c r="I131" s="471"/>
      <c r="J131" s="715" t="s">
        <v>2</v>
      </c>
      <c r="K131" s="716"/>
      <c r="L131" s="716"/>
      <c r="M131" s="471"/>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2:D2"/>
    <mergeCell ref="F2:H2"/>
    <mergeCell ref="J2:L2"/>
    <mergeCell ref="B4:D4"/>
    <mergeCell ref="F4:H4"/>
    <mergeCell ref="J4:L4"/>
    <mergeCell ref="B18:D18"/>
    <mergeCell ref="F18:H18"/>
    <mergeCell ref="J18:L18"/>
    <mergeCell ref="B19:D19"/>
    <mergeCell ref="F19:H19"/>
    <mergeCell ref="J19:L19"/>
    <mergeCell ref="D40:F40"/>
    <mergeCell ref="G40:I40"/>
    <mergeCell ref="J40:L40"/>
    <mergeCell ref="B42:D42"/>
    <mergeCell ref="F42:H42"/>
    <mergeCell ref="J42:L42"/>
    <mergeCell ref="B44:D44"/>
    <mergeCell ref="B62:D62"/>
    <mergeCell ref="F62:H62"/>
    <mergeCell ref="J62:L62"/>
    <mergeCell ref="B63:D63"/>
    <mergeCell ref="F63:H63"/>
    <mergeCell ref="J63:L63"/>
    <mergeCell ref="B130:D130"/>
    <mergeCell ref="F130:H130"/>
    <mergeCell ref="J130:L130"/>
    <mergeCell ref="B131:D131"/>
    <mergeCell ref="F131:H131"/>
    <mergeCell ref="J131:L131"/>
  </mergeCells>
  <conditionalFormatting sqref="B50:C52">
    <cfRule type="expression" dxfId="304" priority="59">
      <formula>kvartal &lt; 4</formula>
    </cfRule>
  </conditionalFormatting>
  <conditionalFormatting sqref="B115">
    <cfRule type="expression" dxfId="303" priority="42">
      <formula>kvartal &lt; 4</formula>
    </cfRule>
  </conditionalFormatting>
  <conditionalFormatting sqref="C115">
    <cfRule type="expression" dxfId="302" priority="41">
      <formula>kvartal &lt; 4</formula>
    </cfRule>
  </conditionalFormatting>
  <conditionalFormatting sqref="B123">
    <cfRule type="expression" dxfId="301" priority="40">
      <formula>kvartal &lt; 4</formula>
    </cfRule>
  </conditionalFormatting>
  <conditionalFormatting sqref="C123">
    <cfRule type="expression" dxfId="300" priority="39">
      <formula>kvartal &lt; 4</formula>
    </cfRule>
  </conditionalFormatting>
  <conditionalFormatting sqref="F115">
    <cfRule type="expression" dxfId="299" priority="28">
      <formula>kvartal &lt; 4</formula>
    </cfRule>
  </conditionalFormatting>
  <conditionalFormatting sqref="G115">
    <cfRule type="expression" dxfId="298" priority="27">
      <formula>kvartal &lt; 4</formula>
    </cfRule>
  </conditionalFormatting>
  <conditionalFormatting sqref="F123:G123">
    <cfRule type="expression" dxfId="297" priority="26">
      <formula>kvartal &lt; 4</formula>
    </cfRule>
  </conditionalFormatting>
  <conditionalFormatting sqref="J115:K115">
    <cfRule type="expression" dxfId="296" priority="9">
      <formula>kvartal &lt; 4</formula>
    </cfRule>
  </conditionalFormatting>
  <conditionalFormatting sqref="J123:K123">
    <cfRule type="expression" dxfId="295" priority="8">
      <formula>kvartal &lt; 4</formula>
    </cfRule>
  </conditionalFormatting>
  <conditionalFormatting sqref="A50:A52">
    <cfRule type="expression" dxfId="294" priority="7">
      <formula>kvartal &lt; 4</formula>
    </cfRule>
  </conditionalFormatting>
  <conditionalFormatting sqref="A69:A74">
    <cfRule type="expression" dxfId="293" priority="6">
      <formula>kvartal &lt; 4</formula>
    </cfRule>
  </conditionalFormatting>
  <conditionalFormatting sqref="A80:A85">
    <cfRule type="expression" dxfId="292" priority="5">
      <formula>kvartal &lt; 4</formula>
    </cfRule>
  </conditionalFormatting>
  <conditionalFormatting sqref="A90:A95">
    <cfRule type="expression" dxfId="291" priority="4">
      <formula>kvartal &lt; 4</formula>
    </cfRule>
  </conditionalFormatting>
  <conditionalFormatting sqref="A101:A106">
    <cfRule type="expression" dxfId="290" priority="3">
      <formula>kvartal &lt; 4</formula>
    </cfRule>
  </conditionalFormatting>
  <conditionalFormatting sqref="A115">
    <cfRule type="expression" dxfId="289" priority="2">
      <formula>kvartal &lt; 4</formula>
    </cfRule>
  </conditionalFormatting>
  <conditionalFormatting sqref="A123">
    <cfRule type="expression" dxfId="288" priority="1">
      <formula>kvartal &lt; 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Q176"/>
  <sheetViews>
    <sheetView showGridLines="0" showZeros="0" zoomScale="90" zoomScaleNormal="90" workbookViewId="0">
      <selection activeCell="K24" sqref="K24"/>
    </sheetView>
  </sheetViews>
  <sheetFormatPr baseColWidth="10" defaultColWidth="11.42578125" defaultRowHeight="18.75" x14ac:dyDescent="0.3"/>
  <cols>
    <col min="10" max="11" width="16.7109375" customWidth="1"/>
    <col min="12" max="12" width="24.42578125" style="58" customWidth="1"/>
    <col min="13" max="14" width="15.7109375" style="58" bestFit="1" customWidth="1"/>
    <col min="15" max="15" width="22.7109375" customWidth="1"/>
    <col min="16" max="16" width="13.42578125" customWidth="1"/>
    <col min="17" max="17" width="13.7109375" customWidth="1"/>
  </cols>
  <sheetData>
    <row r="1" spans="1:15" x14ac:dyDescent="0.3">
      <c r="A1" s="57" t="s">
        <v>52</v>
      </c>
    </row>
    <row r="2" spans="1:15" x14ac:dyDescent="0.3">
      <c r="A2" s="59"/>
      <c r="B2" s="58"/>
      <c r="C2" s="58"/>
      <c r="D2" s="58"/>
      <c r="E2" s="58"/>
      <c r="F2" s="58"/>
      <c r="G2" s="58"/>
      <c r="H2" s="58"/>
      <c r="I2" s="58"/>
      <c r="J2" s="58"/>
      <c r="K2" s="58"/>
      <c r="O2" s="58"/>
    </row>
    <row r="3" spans="1:15" x14ac:dyDescent="0.3">
      <c r="A3" s="59" t="s">
        <v>32</v>
      </c>
      <c r="B3" s="58"/>
      <c r="C3" s="58"/>
      <c r="D3" s="58"/>
      <c r="E3" s="58"/>
      <c r="F3" s="58"/>
      <c r="G3" s="58"/>
      <c r="H3" s="58"/>
      <c r="I3" s="58"/>
      <c r="J3" s="58"/>
      <c r="K3" s="58"/>
      <c r="O3" s="58"/>
    </row>
    <row r="4" spans="1:15" x14ac:dyDescent="0.3">
      <c r="A4" s="58"/>
      <c r="B4" s="58"/>
      <c r="C4" s="58"/>
      <c r="D4" s="58"/>
      <c r="E4" s="58"/>
      <c r="F4" s="58"/>
      <c r="G4" s="58"/>
      <c r="H4" s="58"/>
      <c r="I4" s="58"/>
      <c r="J4" s="58"/>
      <c r="K4" s="58"/>
      <c r="L4" s="60"/>
      <c r="O4" s="58"/>
    </row>
    <row r="5" spans="1:15" x14ac:dyDescent="0.3">
      <c r="A5" s="59" t="s">
        <v>375</v>
      </c>
      <c r="B5" s="58"/>
      <c r="C5" s="58"/>
      <c r="D5" s="58"/>
      <c r="E5" s="58"/>
      <c r="F5" s="58"/>
      <c r="G5" s="58"/>
      <c r="H5" s="58"/>
      <c r="I5" s="63"/>
      <c r="J5" s="58"/>
      <c r="K5" s="58"/>
      <c r="L5" s="58" t="s">
        <v>53</v>
      </c>
      <c r="O5" s="58"/>
    </row>
    <row r="6" spans="1:15" x14ac:dyDescent="0.3">
      <c r="A6" s="58"/>
      <c r="B6" s="58"/>
      <c r="C6" s="58"/>
      <c r="D6" s="58"/>
      <c r="E6" s="58"/>
      <c r="F6" s="58"/>
      <c r="G6" s="58"/>
      <c r="H6" s="58"/>
      <c r="I6" s="58"/>
      <c r="J6" s="58"/>
      <c r="K6" s="58"/>
      <c r="L6" s="58" t="s">
        <v>0</v>
      </c>
      <c r="O6" s="58"/>
    </row>
    <row r="7" spans="1:15" x14ac:dyDescent="0.3">
      <c r="A7" s="58"/>
      <c r="B7" s="58"/>
      <c r="C7" s="58"/>
      <c r="D7" s="58"/>
      <c r="E7" s="58"/>
      <c r="F7" s="58"/>
      <c r="G7" s="58"/>
      <c r="H7" s="58"/>
      <c r="I7" s="58"/>
      <c r="J7" s="58"/>
      <c r="K7" s="58"/>
      <c r="M7" s="58">
        <v>2023</v>
      </c>
      <c r="N7" s="58">
        <v>2024</v>
      </c>
      <c r="O7" s="58"/>
    </row>
    <row r="8" spans="1:15" x14ac:dyDescent="0.3">
      <c r="A8" s="58"/>
      <c r="B8" s="58"/>
      <c r="C8" s="58"/>
      <c r="D8" s="58"/>
      <c r="E8" s="58"/>
      <c r="F8" s="58"/>
      <c r="G8" s="58"/>
      <c r="H8" s="58"/>
      <c r="I8" s="58"/>
      <c r="J8" s="58"/>
      <c r="K8" s="58"/>
      <c r="L8" s="58" t="s">
        <v>54</v>
      </c>
      <c r="M8" s="61">
        <f>'Tabel 1.1'!B9</f>
        <v>1921772.93459</v>
      </c>
      <c r="N8" s="61">
        <f>'Tabel 1.1'!C9</f>
        <v>2002337</v>
      </c>
      <c r="O8" s="58"/>
    </row>
    <row r="9" spans="1:15" x14ac:dyDescent="0.3">
      <c r="A9" s="58"/>
      <c r="B9" s="58"/>
      <c r="C9" s="58"/>
      <c r="D9" s="58"/>
      <c r="E9" s="58"/>
      <c r="F9" s="58"/>
      <c r="G9" s="58"/>
      <c r="H9" s="58"/>
      <c r="I9" s="58"/>
      <c r="J9" s="58"/>
      <c r="K9" s="58"/>
      <c r="L9" s="58" t="s">
        <v>55</v>
      </c>
      <c r="M9" s="61">
        <f>'Tabel 1.1'!B10</f>
        <v>328485</v>
      </c>
      <c r="N9" s="61">
        <f>'Tabel 1.1'!C10</f>
        <v>354498</v>
      </c>
      <c r="O9" s="58"/>
    </row>
    <row r="10" spans="1:15" x14ac:dyDescent="0.3">
      <c r="A10" s="58"/>
      <c r="B10" s="58"/>
      <c r="C10" s="58"/>
      <c r="D10" s="58"/>
      <c r="E10" s="58"/>
      <c r="F10" s="58"/>
      <c r="G10" s="58"/>
      <c r="H10" s="58"/>
      <c r="I10" s="58"/>
      <c r="J10" s="58"/>
      <c r="K10" s="58"/>
      <c r="L10" s="58" t="s">
        <v>367</v>
      </c>
      <c r="M10" s="61">
        <f>'Tabel 1.1'!B11</f>
        <v>37969</v>
      </c>
      <c r="N10" s="61">
        <f>'Tabel 1.1'!C11</f>
        <v>70533</v>
      </c>
      <c r="O10" s="58"/>
    </row>
    <row r="11" spans="1:15" x14ac:dyDescent="0.3">
      <c r="A11" s="58"/>
      <c r="B11" s="58"/>
      <c r="C11" s="58"/>
      <c r="D11" s="58"/>
      <c r="E11" s="58"/>
      <c r="F11" s="58"/>
      <c r="G11" s="58"/>
      <c r="H11" s="58"/>
      <c r="I11" s="58"/>
      <c r="J11" s="58"/>
      <c r="K11" s="58"/>
      <c r="L11" s="58" t="s">
        <v>355</v>
      </c>
      <c r="M11" s="61">
        <f>'Tabel 1.1'!B12</f>
        <v>1787529.9482200001</v>
      </c>
      <c r="N11" s="61">
        <f>'Tabel 1.1'!C12</f>
        <v>1904465.84512</v>
      </c>
      <c r="O11" s="58"/>
    </row>
    <row r="12" spans="1:15" x14ac:dyDescent="0.3">
      <c r="A12" s="58"/>
      <c r="B12" s="58"/>
      <c r="C12" s="58"/>
      <c r="D12" s="58"/>
      <c r="E12" s="58"/>
      <c r="F12" s="58"/>
      <c r="G12" s="58"/>
      <c r="H12" s="58"/>
      <c r="I12" s="58"/>
      <c r="J12" s="58"/>
      <c r="K12" s="58"/>
      <c r="L12" s="58" t="s">
        <v>56</v>
      </c>
      <c r="M12" s="61">
        <f>'Tabel 1.1'!B13</f>
        <v>560991</v>
      </c>
      <c r="N12" s="61">
        <f>'Tabel 1.1'!C13</f>
        <v>629116</v>
      </c>
      <c r="O12" s="58"/>
    </row>
    <row r="13" spans="1:15" x14ac:dyDescent="0.3">
      <c r="A13" s="58"/>
      <c r="B13" s="58"/>
      <c r="C13" s="58"/>
      <c r="D13" s="58"/>
      <c r="E13" s="58"/>
      <c r="F13" s="58"/>
      <c r="G13" s="58"/>
      <c r="H13" s="58"/>
      <c r="I13" s="58"/>
      <c r="J13" s="58"/>
      <c r="K13" s="58"/>
      <c r="L13" s="58" t="s">
        <v>57</v>
      </c>
      <c r="M13" s="61">
        <f>'Tabel 1.1'!B14</f>
        <v>6421.1409999999996</v>
      </c>
      <c r="N13" s="61">
        <f>'Tabel 1.1'!C14</f>
        <v>4207.2179999999998</v>
      </c>
      <c r="O13" s="58"/>
    </row>
    <row r="14" spans="1:15" x14ac:dyDescent="0.3">
      <c r="A14" s="58"/>
      <c r="B14" s="58"/>
      <c r="C14" s="58"/>
      <c r="D14" s="58"/>
      <c r="E14" s="58"/>
      <c r="F14" s="58"/>
      <c r="G14" s="58"/>
      <c r="H14" s="58"/>
      <c r="I14" s="58"/>
      <c r="J14" s="58"/>
      <c r="K14" s="58"/>
      <c r="L14" s="58" t="s">
        <v>58</v>
      </c>
      <c r="M14" s="61">
        <f>'Tabel 1.1'!B15</f>
        <v>1738257.38</v>
      </c>
      <c r="N14" s="61">
        <f>'Tabel 1.1'!C15</f>
        <v>1777605.365</v>
      </c>
      <c r="O14" s="58"/>
    </row>
    <row r="15" spans="1:15" x14ac:dyDescent="0.3">
      <c r="A15" s="58"/>
      <c r="B15" s="58"/>
      <c r="C15" s="58"/>
      <c r="D15" s="58"/>
      <c r="E15" s="58"/>
      <c r="F15" s="58"/>
      <c r="G15" s="58"/>
      <c r="H15" s="58"/>
      <c r="I15" s="58"/>
      <c r="J15" s="58"/>
      <c r="K15" s="58"/>
      <c r="L15" s="58" t="s">
        <v>59</v>
      </c>
      <c r="M15" s="61">
        <f>'Tabel 1.1'!B16</f>
        <v>501647</v>
      </c>
      <c r="N15" s="61">
        <f>'Tabel 1.1'!C16</f>
        <v>555519</v>
      </c>
      <c r="O15" s="58"/>
    </row>
    <row r="16" spans="1:15" x14ac:dyDescent="0.3">
      <c r="A16" s="58"/>
      <c r="B16" s="58"/>
      <c r="C16" s="58"/>
      <c r="D16" s="58"/>
      <c r="E16" s="58"/>
      <c r="F16" s="58"/>
      <c r="G16" s="58"/>
      <c r="H16" s="58"/>
      <c r="I16" s="58"/>
      <c r="J16" s="58"/>
      <c r="K16" s="58"/>
      <c r="L16" s="58" t="s">
        <v>60</v>
      </c>
      <c r="M16" s="61">
        <f>'Tabel 1.1'!B17</f>
        <v>390067.28087663499</v>
      </c>
      <c r="N16" s="61">
        <f>'Tabel 1.1'!C17</f>
        <v>430213.39947497001</v>
      </c>
      <c r="O16" s="58"/>
    </row>
    <row r="17" spans="1:15" x14ac:dyDescent="0.3">
      <c r="A17" s="58"/>
      <c r="B17" s="58"/>
      <c r="C17" s="58"/>
      <c r="D17" s="58"/>
      <c r="E17" s="58"/>
      <c r="F17" s="58"/>
      <c r="G17" s="58"/>
      <c r="H17" s="58"/>
      <c r="I17" s="58"/>
      <c r="J17" s="58"/>
      <c r="K17" s="58"/>
      <c r="L17" s="58" t="s">
        <v>61</v>
      </c>
      <c r="M17" s="61">
        <f>'Tabel 1.1'!B18</f>
        <v>50821943.510260001</v>
      </c>
      <c r="N17" s="61">
        <f>'Tabel 1.1'!C18</f>
        <v>37126670.17317</v>
      </c>
      <c r="O17" s="58"/>
    </row>
    <row r="18" spans="1:15" x14ac:dyDescent="0.3">
      <c r="A18" s="58"/>
      <c r="B18" s="58"/>
      <c r="C18" s="58"/>
      <c r="D18" s="58"/>
      <c r="E18" s="58"/>
      <c r="F18" s="58"/>
      <c r="G18" s="58"/>
      <c r="H18" s="58"/>
      <c r="I18" s="58"/>
      <c r="J18" s="58"/>
      <c r="K18" s="58"/>
      <c r="L18" s="58" t="s">
        <v>62</v>
      </c>
      <c r="M18" s="61">
        <f>'Tabel 1.1'!B19</f>
        <v>291794.03399999999</v>
      </c>
      <c r="N18" s="61">
        <f>'Tabel 1.1'!C19</f>
        <v>323278.35000000003</v>
      </c>
      <c r="O18" s="58"/>
    </row>
    <row r="19" spans="1:15" x14ac:dyDescent="0.3">
      <c r="A19" s="58"/>
      <c r="B19" s="58"/>
      <c r="C19" s="58"/>
      <c r="D19" s="58"/>
      <c r="E19" s="58"/>
      <c r="F19" s="58"/>
      <c r="G19" s="58"/>
      <c r="H19" s="58"/>
      <c r="I19" s="58"/>
      <c r="J19" s="58"/>
      <c r="K19" s="58"/>
      <c r="L19" s="58" t="s">
        <v>356</v>
      </c>
      <c r="M19" s="61">
        <f>'Tabel 1.1'!B20</f>
        <v>27211</v>
      </c>
      <c r="N19" s="61">
        <f>'Tabel 1.1'!C20</f>
        <v>30587</v>
      </c>
      <c r="O19" s="58"/>
    </row>
    <row r="20" spans="1:15" x14ac:dyDescent="0.3">
      <c r="A20" s="58"/>
      <c r="B20" s="58"/>
      <c r="C20" s="58"/>
      <c r="D20" s="58"/>
      <c r="E20" s="58"/>
      <c r="F20" s="58"/>
      <c r="G20" s="58"/>
      <c r="H20" s="58"/>
      <c r="I20" s="58"/>
      <c r="J20" s="58"/>
      <c r="K20" s="58"/>
      <c r="L20" s="58" t="s">
        <v>371</v>
      </c>
      <c r="M20" s="61">
        <f>'Tabel 1.1'!B21</f>
        <v>17589.487000000001</v>
      </c>
      <c r="N20" s="61">
        <f>'Tabel 1.1'!C21</f>
        <v>21876</v>
      </c>
      <c r="O20" s="58"/>
    </row>
    <row r="21" spans="1:15" x14ac:dyDescent="0.3">
      <c r="A21" s="58"/>
      <c r="B21" s="58"/>
      <c r="C21" s="58"/>
      <c r="D21" s="58"/>
      <c r="E21" s="58"/>
      <c r="F21" s="58"/>
      <c r="G21" s="58"/>
      <c r="H21" s="58"/>
      <c r="I21" s="58"/>
      <c r="J21" s="58"/>
      <c r="K21" s="58"/>
      <c r="L21" s="58" t="s">
        <v>63</v>
      </c>
      <c r="M21" s="61">
        <f>'Tabel 1.1'!B22</f>
        <v>1049648.6027257838</v>
      </c>
      <c r="N21" s="61">
        <f>'Tabel 1.1'!C22</f>
        <v>1101856.443037055</v>
      </c>
      <c r="O21" s="58"/>
    </row>
    <row r="22" spans="1:15" x14ac:dyDescent="0.3">
      <c r="A22" s="58"/>
      <c r="B22" s="58"/>
      <c r="C22" s="58"/>
      <c r="D22" s="58"/>
      <c r="E22" s="58"/>
      <c r="F22" s="58"/>
      <c r="G22" s="58"/>
      <c r="H22" s="58"/>
      <c r="I22" s="58"/>
      <c r="J22" s="58"/>
      <c r="K22" s="58"/>
      <c r="L22" s="58" t="s">
        <v>409</v>
      </c>
      <c r="M22" s="61">
        <f>'Tabel 1.1'!B23</f>
        <v>0</v>
      </c>
      <c r="N22" s="61">
        <f>'Tabel 1.1'!C23</f>
        <v>16932</v>
      </c>
      <c r="O22" s="58"/>
    </row>
    <row r="23" spans="1:15" x14ac:dyDescent="0.3">
      <c r="A23" s="58"/>
      <c r="B23" s="58"/>
      <c r="C23" s="58"/>
      <c r="D23" s="58"/>
      <c r="E23" s="58"/>
      <c r="F23" s="58"/>
      <c r="G23" s="58"/>
      <c r="H23" s="58"/>
      <c r="I23" s="58"/>
      <c r="J23" s="58"/>
      <c r="K23" s="58"/>
      <c r="L23" s="58" t="s">
        <v>64</v>
      </c>
      <c r="M23" s="61">
        <f>'Tabel 1.1'!B24</f>
        <v>1628400</v>
      </c>
      <c r="N23" s="61">
        <f>'Tabel 1.1'!C24</f>
        <v>1975000</v>
      </c>
      <c r="O23" s="58"/>
    </row>
    <row r="24" spans="1:15" x14ac:dyDescent="0.3">
      <c r="A24" s="58"/>
      <c r="B24" s="58"/>
      <c r="C24" s="58"/>
      <c r="D24" s="58"/>
      <c r="E24" s="58"/>
      <c r="F24" s="58"/>
      <c r="G24" s="58"/>
      <c r="H24" s="58"/>
      <c r="I24" s="58"/>
      <c r="J24" s="58"/>
      <c r="K24" s="58"/>
      <c r="L24" s="58" t="s">
        <v>351</v>
      </c>
      <c r="M24" s="61">
        <f>'Tabel 1.1'!B25</f>
        <v>344520.89481466758</v>
      </c>
      <c r="N24" s="61">
        <f>'Tabel 1.1'!C25</f>
        <v>369670</v>
      </c>
      <c r="O24" s="58"/>
    </row>
    <row r="25" spans="1:15" x14ac:dyDescent="0.3">
      <c r="A25" s="58"/>
      <c r="B25" s="58"/>
      <c r="C25" s="58"/>
      <c r="D25" s="58"/>
      <c r="E25" s="58"/>
      <c r="F25" s="58"/>
      <c r="G25" s="58"/>
      <c r="H25" s="58"/>
      <c r="I25" s="58"/>
      <c r="J25" s="58"/>
      <c r="K25" s="58"/>
      <c r="L25" s="58" t="s">
        <v>370</v>
      </c>
      <c r="M25" s="61">
        <f>'Tabel 1.1'!B26</f>
        <v>447144.46056000004</v>
      </c>
      <c r="N25" s="61">
        <f>'Tabel 1.1'!C26</f>
        <v>483891.55215999996</v>
      </c>
      <c r="O25" s="58"/>
    </row>
    <row r="26" spans="1:15" s="126" customFormat="1" x14ac:dyDescent="0.3">
      <c r="A26" s="58"/>
      <c r="B26" s="58"/>
      <c r="C26" s="58"/>
      <c r="D26" s="58"/>
      <c r="E26" s="58"/>
      <c r="F26" s="58"/>
      <c r="G26" s="58"/>
      <c r="H26" s="58"/>
      <c r="I26" s="58"/>
      <c r="J26" s="58"/>
      <c r="K26" s="58"/>
      <c r="L26" s="58" t="s">
        <v>387</v>
      </c>
      <c r="M26" s="61">
        <f>'Tabel 1.1'!B27</f>
        <v>4982353.1144599998</v>
      </c>
      <c r="N26" s="61">
        <f>'Tabel 1.1'!C27</f>
        <v>4493232.5606899997</v>
      </c>
      <c r="O26" s="58"/>
    </row>
    <row r="27" spans="1:15" x14ac:dyDescent="0.3">
      <c r="A27" s="58"/>
      <c r="B27" s="58"/>
      <c r="C27" s="58"/>
      <c r="D27" s="58"/>
      <c r="E27" s="58"/>
      <c r="F27" s="58"/>
      <c r="G27" s="58"/>
      <c r="H27" s="58"/>
      <c r="I27" s="58"/>
      <c r="J27" s="58"/>
      <c r="K27" s="58"/>
      <c r="L27" s="58" t="s">
        <v>66</v>
      </c>
      <c r="M27" s="61">
        <f>'Tabel 1.1'!B28</f>
        <v>4532</v>
      </c>
      <c r="N27" s="61">
        <f>'Tabel 1.1'!C28</f>
        <v>4814</v>
      </c>
      <c r="O27" s="58"/>
    </row>
    <row r="28" spans="1:15" x14ac:dyDescent="0.3">
      <c r="A28" s="58"/>
      <c r="B28" s="58"/>
      <c r="C28" s="58"/>
      <c r="D28" s="58"/>
      <c r="E28" s="58"/>
      <c r="F28" s="58"/>
      <c r="G28" s="58"/>
      <c r="H28" s="58"/>
      <c r="I28" s="58"/>
      <c r="J28" s="58"/>
      <c r="K28" s="58"/>
      <c r="L28" s="58" t="s">
        <v>67</v>
      </c>
      <c r="M28" s="61">
        <f>'Tabel 1.1'!B29</f>
        <v>730497.88699999999</v>
      </c>
      <c r="N28" s="61">
        <f>'Tabel 1.1'!C29</f>
        <v>805943</v>
      </c>
    </row>
    <row r="29" spans="1:15" x14ac:dyDescent="0.3">
      <c r="A29" s="58"/>
      <c r="B29" s="58"/>
      <c r="C29" s="58"/>
      <c r="D29" s="58"/>
      <c r="E29" s="58"/>
      <c r="F29" s="58"/>
      <c r="G29" s="58"/>
      <c r="H29" s="58"/>
      <c r="I29" s="58"/>
      <c r="J29" s="58"/>
      <c r="K29" s="58"/>
      <c r="L29" s="58" t="s">
        <v>362</v>
      </c>
      <c r="M29" s="61">
        <f>'Tabel 1.1'!B30</f>
        <v>1888</v>
      </c>
      <c r="N29" s="61">
        <f>'Tabel 1.1'!C30</f>
        <v>1769.49</v>
      </c>
    </row>
    <row r="30" spans="1:15" x14ac:dyDescent="0.3">
      <c r="A30" s="58"/>
      <c r="B30" s="58"/>
      <c r="C30" s="58"/>
      <c r="D30" s="58"/>
      <c r="E30" s="58"/>
      <c r="F30" s="58"/>
      <c r="G30" s="58"/>
      <c r="H30" s="58"/>
      <c r="I30" s="58"/>
      <c r="J30" s="58"/>
      <c r="K30" s="58"/>
      <c r="L30" s="58" t="s">
        <v>374</v>
      </c>
      <c r="M30" s="61">
        <f>'Tabel 1.1'!B31</f>
        <v>4956</v>
      </c>
      <c r="N30" s="61">
        <f>'Tabel 1.1'!C31</f>
        <v>42013</v>
      </c>
    </row>
    <row r="31" spans="1:15" x14ac:dyDescent="0.3">
      <c r="A31" s="59" t="s">
        <v>376</v>
      </c>
      <c r="B31" s="58"/>
      <c r="C31" s="58"/>
      <c r="D31" s="58"/>
      <c r="E31" s="58"/>
      <c r="F31" s="58"/>
      <c r="G31" s="58"/>
      <c r="H31" s="58"/>
      <c r="I31" s="63"/>
      <c r="J31" s="58"/>
      <c r="K31" s="58"/>
    </row>
    <row r="32" spans="1:15" x14ac:dyDescent="0.3">
      <c r="B32" s="58"/>
      <c r="C32" s="58"/>
      <c r="D32" s="58"/>
      <c r="E32" s="58"/>
      <c r="F32" s="58"/>
      <c r="G32" s="58"/>
      <c r="H32" s="58"/>
      <c r="I32" s="58"/>
      <c r="J32" s="58"/>
      <c r="K32" s="58"/>
      <c r="L32" s="58" t="s">
        <v>53</v>
      </c>
    </row>
    <row r="33" spans="1:15" x14ac:dyDescent="0.3">
      <c r="B33" s="58"/>
      <c r="C33" s="58"/>
      <c r="D33" s="58"/>
      <c r="E33" s="58"/>
      <c r="F33" s="58"/>
      <c r="G33" s="58"/>
      <c r="H33" s="58"/>
      <c r="I33" s="58"/>
      <c r="J33" s="58"/>
      <c r="K33" s="58"/>
      <c r="L33" s="58" t="s">
        <v>1</v>
      </c>
    </row>
    <row r="34" spans="1:15" x14ac:dyDescent="0.3">
      <c r="A34" s="58"/>
      <c r="B34" s="58"/>
      <c r="C34" s="58"/>
      <c r="D34" s="58"/>
      <c r="E34" s="58"/>
      <c r="F34" s="58"/>
      <c r="G34" s="58"/>
      <c r="H34" s="58"/>
      <c r="I34" s="58"/>
      <c r="J34" s="58"/>
      <c r="K34" s="58"/>
      <c r="M34" s="58">
        <f>M7</f>
        <v>2023</v>
      </c>
      <c r="N34" s="58">
        <f>N7</f>
        <v>2024</v>
      </c>
    </row>
    <row r="35" spans="1:15" x14ac:dyDescent="0.3">
      <c r="A35" s="58"/>
      <c r="B35" s="58"/>
      <c r="C35" s="58"/>
      <c r="D35" s="58"/>
      <c r="E35" s="58"/>
      <c r="F35" s="58"/>
      <c r="G35" s="58"/>
      <c r="H35" s="58"/>
      <c r="I35" s="58"/>
      <c r="J35" s="58"/>
      <c r="K35" s="58"/>
      <c r="L35" s="58" t="s">
        <v>54</v>
      </c>
      <c r="M35" s="62">
        <f>'Tabel 1.1'!B35</f>
        <v>7066194.9060000004</v>
      </c>
      <c r="N35" s="62">
        <f>'Tabel 1.1'!C35</f>
        <v>7890424</v>
      </c>
    </row>
    <row r="36" spans="1:15" x14ac:dyDescent="0.3">
      <c r="A36" s="58"/>
      <c r="B36" s="58"/>
      <c r="C36" s="58"/>
      <c r="D36" s="58"/>
      <c r="E36" s="58"/>
      <c r="F36" s="58"/>
      <c r="G36" s="58"/>
      <c r="H36" s="58"/>
      <c r="I36" s="58"/>
      <c r="J36" s="58"/>
      <c r="K36" s="58"/>
      <c r="L36" s="63" t="s">
        <v>59</v>
      </c>
      <c r="M36" s="62">
        <f>'Tabel 1.1'!B36</f>
        <v>2603075</v>
      </c>
      <c r="N36" s="62">
        <f>'Tabel 1.1'!C36</f>
        <v>3214737</v>
      </c>
    </row>
    <row r="37" spans="1:15" x14ac:dyDescent="0.3">
      <c r="A37" s="58"/>
      <c r="B37" s="58"/>
      <c r="C37" s="58"/>
      <c r="D37" s="58"/>
      <c r="E37" s="58"/>
      <c r="F37" s="58"/>
      <c r="G37" s="58"/>
      <c r="H37" s="58"/>
      <c r="I37" s="58"/>
      <c r="J37" s="58"/>
      <c r="K37" s="58"/>
      <c r="L37" s="58" t="s">
        <v>61</v>
      </c>
      <c r="M37" s="62">
        <f>'Tabel 1.1'!B37</f>
        <v>189248.239</v>
      </c>
      <c r="N37" s="62">
        <f>'Tabel 1.1'!C37</f>
        <v>129541.768</v>
      </c>
    </row>
    <row r="38" spans="1:15" x14ac:dyDescent="0.3">
      <c r="A38" s="58"/>
      <c r="B38" s="58"/>
      <c r="C38" s="58"/>
      <c r="D38" s="58"/>
      <c r="E38" s="58"/>
      <c r="F38" s="58"/>
      <c r="G38" s="58"/>
      <c r="H38" s="58"/>
      <c r="I38" s="58"/>
      <c r="J38" s="58"/>
      <c r="K38" s="58"/>
      <c r="L38" s="63" t="s">
        <v>63</v>
      </c>
      <c r="M38" s="62">
        <f>'Tabel 1.1'!B38</f>
        <v>7948920.37763</v>
      </c>
      <c r="N38" s="62">
        <f>'Tabel 1.1'!C38</f>
        <v>10691816.457010001</v>
      </c>
    </row>
    <row r="39" spans="1:15" x14ac:dyDescent="0.3">
      <c r="A39" s="58"/>
      <c r="B39" s="58"/>
      <c r="C39" s="58"/>
      <c r="D39" s="58"/>
      <c r="E39" s="58"/>
      <c r="F39" s="58"/>
      <c r="G39" s="58"/>
      <c r="H39" s="58"/>
      <c r="I39" s="58"/>
      <c r="J39" s="58"/>
      <c r="K39" s="58"/>
      <c r="L39" s="58" t="s">
        <v>370</v>
      </c>
      <c r="M39" s="62">
        <f>'Tabel 1.1'!B39</f>
        <v>3397452.4664799999</v>
      </c>
      <c r="N39" s="62">
        <f>'Tabel 1.1'!C39</f>
        <v>3747368.3149599996</v>
      </c>
    </row>
    <row r="40" spans="1:15" x14ac:dyDescent="0.3">
      <c r="A40" s="58"/>
      <c r="B40" s="58"/>
      <c r="C40" s="58"/>
      <c r="D40" s="58"/>
      <c r="E40" s="58"/>
      <c r="F40" s="58"/>
      <c r="G40" s="58"/>
      <c r="H40" s="58"/>
      <c r="I40" s="58"/>
      <c r="J40" s="58"/>
      <c r="K40" s="58"/>
      <c r="L40" s="58" t="s">
        <v>387</v>
      </c>
      <c r="M40" s="62">
        <f>'Tabel 1.1'!B40</f>
        <v>8584720.5231100004</v>
      </c>
      <c r="N40" s="62">
        <f>'Tabel 1.1'!C40</f>
        <v>8986622.7596799992</v>
      </c>
    </row>
    <row r="41" spans="1:15" x14ac:dyDescent="0.3">
      <c r="A41" s="58"/>
      <c r="B41" s="58"/>
      <c r="C41" s="58"/>
      <c r="D41" s="58"/>
      <c r="E41" s="58"/>
      <c r="F41" s="58"/>
      <c r="G41" s="58"/>
      <c r="H41" s="58"/>
      <c r="I41" s="58"/>
      <c r="J41" s="58"/>
      <c r="K41" s="58"/>
      <c r="O41" s="58"/>
    </row>
    <row r="42" spans="1:15" x14ac:dyDescent="0.3">
      <c r="A42" s="58"/>
      <c r="B42" s="58"/>
      <c r="C42" s="58"/>
      <c r="D42" s="58"/>
      <c r="E42" s="58"/>
      <c r="F42" s="58"/>
      <c r="G42" s="58"/>
      <c r="H42" s="58"/>
      <c r="I42" s="58"/>
      <c r="J42" s="58"/>
      <c r="K42" s="58"/>
      <c r="L42" s="63"/>
      <c r="M42" s="62"/>
      <c r="N42" s="62"/>
      <c r="O42" s="58"/>
    </row>
    <row r="43" spans="1:15" x14ac:dyDescent="0.3">
      <c r="A43" s="58"/>
      <c r="B43" s="58"/>
      <c r="C43" s="58"/>
      <c r="D43" s="58"/>
      <c r="E43" s="58"/>
      <c r="F43" s="58"/>
      <c r="G43" s="58"/>
      <c r="H43" s="58"/>
      <c r="I43" s="58"/>
      <c r="J43" s="58"/>
      <c r="K43" s="58"/>
      <c r="M43" s="61"/>
      <c r="N43" s="61"/>
      <c r="O43" s="58"/>
    </row>
    <row r="44" spans="1:15" x14ac:dyDescent="0.3">
      <c r="A44" s="58"/>
      <c r="B44" s="58"/>
      <c r="C44" s="58"/>
      <c r="D44" s="58"/>
      <c r="E44" s="58"/>
      <c r="F44" s="58"/>
      <c r="G44" s="58"/>
      <c r="H44" s="58"/>
      <c r="I44" s="58"/>
      <c r="J44" s="58"/>
      <c r="K44" s="58"/>
      <c r="M44" s="61"/>
      <c r="N44" s="61"/>
      <c r="O44" s="58"/>
    </row>
    <row r="45" spans="1:15" x14ac:dyDescent="0.3">
      <c r="A45" s="58"/>
      <c r="B45" s="58"/>
      <c r="C45" s="58"/>
      <c r="D45" s="58"/>
      <c r="E45" s="58"/>
      <c r="F45" s="58"/>
      <c r="G45" s="58"/>
      <c r="H45" s="58"/>
      <c r="I45" s="58"/>
      <c r="J45" s="58"/>
      <c r="K45" s="58"/>
      <c r="M45" s="61"/>
      <c r="N45" s="61"/>
      <c r="O45" s="58"/>
    </row>
    <row r="46" spans="1:15" x14ac:dyDescent="0.3">
      <c r="A46" s="58"/>
      <c r="B46" s="58"/>
      <c r="C46" s="58"/>
      <c r="D46" s="58"/>
      <c r="E46" s="58"/>
      <c r="F46" s="58"/>
      <c r="G46" s="58"/>
      <c r="H46" s="58"/>
      <c r="I46" s="58"/>
      <c r="J46" s="58"/>
      <c r="K46" s="58"/>
      <c r="M46" s="61"/>
      <c r="N46" s="61"/>
      <c r="O46" s="58"/>
    </row>
    <row r="47" spans="1:15" x14ac:dyDescent="0.3">
      <c r="A47" s="58"/>
      <c r="B47" s="58"/>
      <c r="C47" s="58"/>
      <c r="D47" s="58"/>
      <c r="E47" s="58"/>
      <c r="F47" s="58"/>
      <c r="G47" s="58"/>
      <c r="H47" s="58"/>
      <c r="I47" s="58"/>
      <c r="J47" s="58"/>
      <c r="K47" s="58"/>
      <c r="O47" s="58"/>
    </row>
    <row r="48" spans="1:15" x14ac:dyDescent="0.3">
      <c r="A48" s="58"/>
      <c r="B48" s="58"/>
      <c r="C48" s="58"/>
      <c r="D48" s="58"/>
      <c r="E48" s="58"/>
      <c r="F48" s="58"/>
      <c r="G48" s="58"/>
      <c r="H48" s="58"/>
      <c r="I48" s="58"/>
      <c r="J48" s="58"/>
      <c r="K48" s="58"/>
      <c r="O48" s="58"/>
    </row>
    <row r="49" spans="1:15" x14ac:dyDescent="0.3">
      <c r="A49" s="58"/>
      <c r="B49" s="58"/>
      <c r="C49" s="58"/>
      <c r="D49" s="58"/>
      <c r="E49" s="58"/>
      <c r="F49" s="58"/>
      <c r="G49" s="58"/>
      <c r="H49" s="58"/>
      <c r="I49" s="58"/>
      <c r="J49" s="58"/>
      <c r="K49" s="58"/>
      <c r="O49" s="58"/>
    </row>
    <row r="50" spans="1:15" x14ac:dyDescent="0.3">
      <c r="A50" s="58"/>
      <c r="B50" s="58"/>
      <c r="C50" s="58"/>
      <c r="D50" s="58"/>
      <c r="E50" s="58"/>
      <c r="F50" s="58"/>
      <c r="G50" s="58"/>
      <c r="H50" s="58"/>
      <c r="I50" s="58"/>
      <c r="J50" s="58"/>
      <c r="K50" s="58"/>
      <c r="L50" s="58" t="s">
        <v>69</v>
      </c>
      <c r="O50" s="58"/>
    </row>
    <row r="51" spans="1:15" x14ac:dyDescent="0.3">
      <c r="A51" s="58"/>
      <c r="B51" s="58"/>
      <c r="C51" s="58"/>
      <c r="D51" s="58"/>
      <c r="E51" s="58"/>
      <c r="F51" s="58"/>
      <c r="G51" s="58"/>
      <c r="H51" s="58"/>
      <c r="I51" s="58"/>
      <c r="J51" s="58"/>
      <c r="K51" s="58"/>
      <c r="L51" s="58" t="s">
        <v>0</v>
      </c>
      <c r="O51" s="58"/>
    </row>
    <row r="52" spans="1:15" x14ac:dyDescent="0.3">
      <c r="A52" s="58"/>
      <c r="B52" s="58"/>
      <c r="C52" s="58"/>
      <c r="D52" s="58"/>
      <c r="E52" s="58"/>
      <c r="F52" s="58"/>
      <c r="G52" s="58"/>
      <c r="H52" s="58"/>
      <c r="I52" s="58"/>
      <c r="J52" s="58"/>
      <c r="K52" s="58"/>
      <c r="M52" s="58">
        <f>M7</f>
        <v>2023</v>
      </c>
      <c r="N52" s="58">
        <f>N7</f>
        <v>2024</v>
      </c>
      <c r="O52" s="58"/>
    </row>
    <row r="53" spans="1:15" x14ac:dyDescent="0.3">
      <c r="A53" s="58"/>
      <c r="B53" s="58"/>
      <c r="C53" s="58"/>
      <c r="D53" s="58"/>
      <c r="E53" s="58"/>
      <c r="F53" s="58"/>
      <c r="G53" s="58"/>
      <c r="H53" s="58"/>
      <c r="I53" s="58"/>
      <c r="J53" s="58"/>
      <c r="K53" s="58"/>
      <c r="L53" s="58" t="s">
        <v>54</v>
      </c>
      <c r="M53" s="61">
        <f>'Tabel 1.1'!G9</f>
        <v>184410173.07699999</v>
      </c>
      <c r="N53" s="61">
        <f>'Tabel 1.1'!H9</f>
        <v>181950975.73127002</v>
      </c>
      <c r="O53" s="58"/>
    </row>
    <row r="54" spans="1:15" x14ac:dyDescent="0.3">
      <c r="A54" s="58"/>
      <c r="B54" s="58"/>
      <c r="C54" s="58"/>
      <c r="D54" s="58"/>
      <c r="E54" s="58"/>
      <c r="F54" s="58"/>
      <c r="G54" s="58"/>
      <c r="H54" s="58"/>
      <c r="I54" s="58"/>
      <c r="J54" s="58"/>
      <c r="K54" s="58"/>
      <c r="L54" s="58" t="s">
        <v>55</v>
      </c>
      <c r="M54" s="61">
        <f>'Tabel 1.1'!G10</f>
        <v>0</v>
      </c>
      <c r="N54" s="61">
        <f>'Tabel 1.1'!H10</f>
        <v>0</v>
      </c>
      <c r="O54" s="58"/>
    </row>
    <row r="55" spans="1:15" x14ac:dyDescent="0.3">
      <c r="A55" s="58"/>
      <c r="B55" s="58"/>
      <c r="C55" s="58"/>
      <c r="D55" s="58"/>
      <c r="E55" s="58"/>
      <c r="F55" s="58"/>
      <c r="G55" s="58"/>
      <c r="H55" s="58"/>
      <c r="I55" s="58"/>
      <c r="J55" s="58"/>
      <c r="K55" s="58"/>
      <c r="L55" s="58" t="s">
        <v>367</v>
      </c>
      <c r="M55" s="61">
        <f>'Tabel 1.1'!G11</f>
        <v>0</v>
      </c>
      <c r="N55" s="61">
        <f>'Tabel 1.1'!H11</f>
        <v>0</v>
      </c>
      <c r="O55" s="58"/>
    </row>
    <row r="56" spans="1:15" x14ac:dyDescent="0.3">
      <c r="A56" s="59" t="s">
        <v>377</v>
      </c>
      <c r="B56" s="58"/>
      <c r="C56" s="58"/>
      <c r="D56" s="58"/>
      <c r="E56" s="58"/>
      <c r="F56" s="58"/>
      <c r="G56" s="58"/>
      <c r="H56" s="58"/>
      <c r="I56" s="63"/>
      <c r="J56" s="58"/>
      <c r="K56" s="58"/>
      <c r="L56" s="58" t="s">
        <v>355</v>
      </c>
      <c r="M56" s="61">
        <f>'Tabel 1.1'!G12</f>
        <v>5044781.4030599995</v>
      </c>
      <c r="N56" s="61">
        <f>'Tabel 1.1'!H12</f>
        <v>5629123.9688099995</v>
      </c>
      <c r="O56" s="58"/>
    </row>
    <row r="57" spans="1:15" x14ac:dyDescent="0.3">
      <c r="A57" s="58"/>
      <c r="B57" s="58"/>
      <c r="C57" s="58"/>
      <c r="D57" s="58"/>
      <c r="E57" s="58"/>
      <c r="F57" s="58"/>
      <c r="G57" s="58"/>
      <c r="H57" s="58"/>
      <c r="I57" s="58"/>
      <c r="J57" s="58"/>
      <c r="K57" s="58"/>
      <c r="L57" s="58" t="s">
        <v>56</v>
      </c>
      <c r="M57" s="61">
        <f>'Tabel 1.1'!G13</f>
        <v>1693509</v>
      </c>
      <c r="N57" s="61">
        <f>'Tabel 1.1'!H13</f>
        <v>1980592</v>
      </c>
      <c r="O57" s="58"/>
    </row>
    <row r="58" spans="1:15" x14ac:dyDescent="0.3">
      <c r="A58" s="58"/>
      <c r="B58" s="58"/>
      <c r="C58" s="58"/>
      <c r="D58" s="58"/>
      <c r="E58" s="58"/>
      <c r="F58" s="58"/>
      <c r="G58" s="58"/>
      <c r="H58" s="58"/>
      <c r="I58" s="58"/>
      <c r="J58" s="58"/>
      <c r="K58" s="58"/>
      <c r="L58" s="58" t="s">
        <v>58</v>
      </c>
      <c r="M58" s="61">
        <f>'Tabel 1.1'!G14</f>
        <v>0</v>
      </c>
      <c r="N58" s="61">
        <f>'Tabel 1.1'!H14</f>
        <v>0</v>
      </c>
      <c r="O58" s="58"/>
    </row>
    <row r="59" spans="1:15" x14ac:dyDescent="0.3">
      <c r="A59" s="58"/>
      <c r="B59" s="58"/>
      <c r="C59" s="58"/>
      <c r="D59" s="58"/>
      <c r="E59" s="58"/>
      <c r="F59" s="58"/>
      <c r="G59" s="58"/>
      <c r="H59" s="58"/>
      <c r="I59" s="58"/>
      <c r="J59" s="58"/>
      <c r="K59" s="58"/>
      <c r="L59" s="58" t="s">
        <v>59</v>
      </c>
      <c r="M59" s="61">
        <f>'Tabel 1.1'!G16</f>
        <v>9260165</v>
      </c>
      <c r="N59" s="61">
        <f>'Tabel 1.1'!H16</f>
        <v>10373836</v>
      </c>
      <c r="O59" s="58"/>
    </row>
    <row r="60" spans="1:15" x14ac:dyDescent="0.3">
      <c r="A60" s="58"/>
      <c r="B60" s="58"/>
      <c r="C60" s="58"/>
      <c r="D60" s="58"/>
      <c r="E60" s="58"/>
      <c r="F60" s="58"/>
      <c r="G60" s="58"/>
      <c r="H60" s="58"/>
      <c r="I60" s="58"/>
      <c r="J60" s="58"/>
      <c r="K60" s="58"/>
      <c r="L60" s="58" t="s">
        <v>60</v>
      </c>
      <c r="M60" s="61">
        <f>'Tabel 1.1'!G17</f>
        <v>0</v>
      </c>
      <c r="N60" s="61">
        <f>'Tabel 1.1'!H17</f>
        <v>0</v>
      </c>
      <c r="O60" s="58"/>
    </row>
    <row r="61" spans="1:15" x14ac:dyDescent="0.3">
      <c r="A61" s="58"/>
      <c r="B61" s="58"/>
      <c r="C61" s="58"/>
      <c r="D61" s="58"/>
      <c r="E61" s="58"/>
      <c r="F61" s="58"/>
      <c r="G61" s="58"/>
      <c r="H61" s="58"/>
      <c r="I61" s="58"/>
      <c r="J61" s="58"/>
      <c r="K61" s="58"/>
      <c r="L61" s="58" t="s">
        <v>61</v>
      </c>
      <c r="M61" s="61">
        <f>'Tabel 1.1'!G18</f>
        <v>712385364.21757996</v>
      </c>
      <c r="N61" s="61">
        <f>'Tabel 1.1'!H18</f>
        <v>775383061.84458005</v>
      </c>
      <c r="O61" s="58"/>
    </row>
    <row r="62" spans="1:15" x14ac:dyDescent="0.3">
      <c r="A62" s="58"/>
      <c r="B62" s="58"/>
      <c r="C62" s="58"/>
      <c r="D62" s="58"/>
      <c r="E62" s="58"/>
      <c r="F62" s="58"/>
      <c r="G62" s="58"/>
      <c r="H62" s="58"/>
      <c r="I62" s="58"/>
      <c r="J62" s="58"/>
      <c r="K62" s="58"/>
      <c r="L62" s="58" t="s">
        <v>62</v>
      </c>
      <c r="M62" s="61">
        <f>'Tabel 1.1'!G19</f>
        <v>122314.74400000001</v>
      </c>
      <c r="N62" s="61">
        <f>'Tabel 1.1'!H19</f>
        <v>144158.478</v>
      </c>
      <c r="O62" s="58"/>
    </row>
    <row r="63" spans="1:15" x14ac:dyDescent="0.3">
      <c r="A63" s="58"/>
      <c r="B63" s="58"/>
      <c r="C63" s="58"/>
      <c r="D63" s="58"/>
      <c r="E63" s="58"/>
      <c r="F63" s="58"/>
      <c r="G63" s="58"/>
      <c r="H63" s="58"/>
      <c r="I63" s="58"/>
      <c r="J63" s="58"/>
      <c r="K63" s="58"/>
      <c r="L63" s="58" t="s">
        <v>366</v>
      </c>
      <c r="M63" s="61">
        <f>'Tabel 1.1'!G20</f>
        <v>0</v>
      </c>
      <c r="N63" s="61">
        <f>'Tabel 1.1'!H20</f>
        <v>0</v>
      </c>
      <c r="O63" s="58"/>
    </row>
    <row r="64" spans="1:15" x14ac:dyDescent="0.3">
      <c r="A64" s="58"/>
      <c r="B64" s="58"/>
      <c r="C64" s="58"/>
      <c r="D64" s="58"/>
      <c r="E64" s="58"/>
      <c r="F64" s="58"/>
      <c r="G64" s="58"/>
      <c r="H64" s="58"/>
      <c r="I64" s="58"/>
      <c r="J64" s="58"/>
      <c r="K64" s="58"/>
      <c r="L64" s="58" t="s">
        <v>371</v>
      </c>
      <c r="M64" s="61">
        <f>'Tabel 1.1'!G21</f>
        <v>0</v>
      </c>
      <c r="N64" s="61">
        <f>'Tabel 1.1'!H21</f>
        <v>0</v>
      </c>
      <c r="O64" s="58"/>
    </row>
    <row r="65" spans="1:15" x14ac:dyDescent="0.3">
      <c r="A65" s="58"/>
      <c r="B65" s="58"/>
      <c r="C65" s="58"/>
      <c r="D65" s="58"/>
      <c r="E65" s="58"/>
      <c r="F65" s="58"/>
      <c r="G65" s="58"/>
      <c r="H65" s="58"/>
      <c r="I65" s="58"/>
      <c r="J65" s="58"/>
      <c r="K65" s="58"/>
      <c r="L65" s="58" t="s">
        <v>63</v>
      </c>
      <c r="M65" s="61">
        <f>'Tabel 1.1'!G22</f>
        <v>54766919.999997467</v>
      </c>
      <c r="N65" s="61">
        <f>'Tabel 1.1'!H22</f>
        <v>54677939.999999009</v>
      </c>
      <c r="O65" s="58"/>
    </row>
    <row r="66" spans="1:15" x14ac:dyDescent="0.3">
      <c r="A66" s="58"/>
      <c r="B66" s="58"/>
      <c r="C66" s="58"/>
      <c r="D66" s="58"/>
      <c r="E66" s="58"/>
      <c r="F66" s="58"/>
      <c r="G66" s="58"/>
      <c r="H66" s="58"/>
      <c r="I66" s="58"/>
      <c r="J66" s="58"/>
      <c r="K66" s="58"/>
      <c r="L66" s="58" t="s">
        <v>409</v>
      </c>
      <c r="M66" s="61">
        <f>'Tabel 1.1'!G23</f>
        <v>0</v>
      </c>
      <c r="N66" s="61">
        <f>'Tabel 1.1'!H23</f>
        <v>0</v>
      </c>
      <c r="O66" s="58"/>
    </row>
    <row r="67" spans="1:15" x14ac:dyDescent="0.3">
      <c r="A67" s="58"/>
      <c r="B67" s="58"/>
      <c r="C67" s="58"/>
      <c r="D67" s="58"/>
      <c r="E67" s="58"/>
      <c r="F67" s="58"/>
      <c r="G67" s="58"/>
      <c r="H67" s="58"/>
      <c r="I67" s="58"/>
      <c r="J67" s="58"/>
      <c r="K67" s="58"/>
      <c r="L67" s="58" t="s">
        <v>64</v>
      </c>
      <c r="M67" s="61">
        <f>'Tabel 1.1'!G24</f>
        <v>89562000</v>
      </c>
      <c r="N67" s="61">
        <f>'Tabel 1.1'!H24</f>
        <v>92155000</v>
      </c>
      <c r="O67" s="58"/>
    </row>
    <row r="68" spans="1:15" x14ac:dyDescent="0.3">
      <c r="A68" s="58"/>
      <c r="B68" s="58"/>
      <c r="C68" s="58"/>
      <c r="D68" s="58"/>
      <c r="E68" s="58"/>
      <c r="F68" s="58"/>
      <c r="G68" s="58"/>
      <c r="H68" s="58"/>
      <c r="I68" s="58"/>
      <c r="J68" s="58"/>
      <c r="K68" s="58"/>
      <c r="L68" s="58" t="s">
        <v>370</v>
      </c>
      <c r="M68" s="61">
        <f>'Tabel 1.1'!G26</f>
        <v>19477675.069359999</v>
      </c>
      <c r="N68" s="61">
        <f>'Tabel 1.1'!H26</f>
        <v>22009714.530510001</v>
      </c>
      <c r="O68" s="58"/>
    </row>
    <row r="69" spans="1:15" x14ac:dyDescent="0.3">
      <c r="A69" s="58"/>
      <c r="B69" s="58"/>
      <c r="C69" s="58"/>
      <c r="D69" s="58"/>
      <c r="E69" s="58"/>
      <c r="F69" s="58"/>
      <c r="G69" s="58"/>
      <c r="H69" s="58"/>
      <c r="I69" s="58"/>
      <c r="J69" s="58"/>
      <c r="K69" s="58"/>
      <c r="L69" s="58" t="s">
        <v>387</v>
      </c>
      <c r="M69" s="61">
        <f>'Tabel 1.1'!G27</f>
        <v>202047929.34364003</v>
      </c>
      <c r="N69" s="61">
        <f>'Tabel 1.1'!H27</f>
        <v>209403887.42301998</v>
      </c>
      <c r="O69" s="58"/>
    </row>
    <row r="70" spans="1:15" x14ac:dyDescent="0.3">
      <c r="A70" s="58"/>
      <c r="B70" s="58"/>
      <c r="C70" s="58"/>
      <c r="D70" s="58"/>
      <c r="E70" s="58"/>
      <c r="F70" s="58"/>
      <c r="G70" s="58"/>
      <c r="H70" s="58"/>
      <c r="I70" s="58"/>
      <c r="J70" s="58"/>
      <c r="K70" s="58"/>
      <c r="L70" s="58" t="s">
        <v>90</v>
      </c>
      <c r="M70" s="61">
        <f>'Tabel 1.1'!G28</f>
        <v>0</v>
      </c>
      <c r="N70" s="61">
        <f>'Tabel 1.1'!H28</f>
        <v>0</v>
      </c>
      <c r="O70" s="58"/>
    </row>
    <row r="71" spans="1:15" x14ac:dyDescent="0.3">
      <c r="A71" s="58"/>
      <c r="B71" s="58"/>
      <c r="C71" s="58"/>
      <c r="D71" s="58"/>
      <c r="E71" s="58"/>
      <c r="F71" s="58"/>
      <c r="G71" s="58"/>
      <c r="H71" s="58"/>
      <c r="I71" s="58"/>
      <c r="J71" s="58"/>
      <c r="K71" s="58"/>
      <c r="L71" s="58" t="s">
        <v>91</v>
      </c>
      <c r="M71" s="61">
        <f>'Tabel 1.1'!G29</f>
        <v>0</v>
      </c>
      <c r="N71" s="61">
        <f>'Tabel 1.1'!H29</f>
        <v>0</v>
      </c>
      <c r="O71" s="58"/>
    </row>
    <row r="72" spans="1:15" x14ac:dyDescent="0.3">
      <c r="A72" s="58"/>
      <c r="B72" s="58"/>
      <c r="C72" s="58"/>
      <c r="D72" s="58"/>
      <c r="E72" s="58"/>
      <c r="F72" s="58"/>
      <c r="G72" s="58"/>
      <c r="H72" s="58"/>
      <c r="I72" s="58"/>
      <c r="J72" s="58"/>
      <c r="K72" s="58"/>
      <c r="L72" s="58" t="s">
        <v>363</v>
      </c>
      <c r="M72" s="61">
        <f>'Tabel 1.1'!G30</f>
        <v>0</v>
      </c>
      <c r="N72" s="61">
        <f>'Tabel 1.1'!H30</f>
        <v>0</v>
      </c>
      <c r="O72" s="58"/>
    </row>
    <row r="73" spans="1:15" x14ac:dyDescent="0.3">
      <c r="A73" s="58"/>
      <c r="B73" s="58"/>
      <c r="C73" s="58"/>
      <c r="D73" s="58"/>
      <c r="E73" s="58"/>
      <c r="F73" s="58"/>
      <c r="G73" s="58"/>
      <c r="H73" s="58"/>
      <c r="I73" s="58"/>
      <c r="J73" s="58"/>
      <c r="K73" s="58"/>
      <c r="L73" s="58" t="s">
        <v>374</v>
      </c>
      <c r="M73" s="61">
        <f>'Tabel 1.1'!G31</f>
        <v>8446</v>
      </c>
      <c r="N73" s="61">
        <f>'Tabel 1.1'!H31</f>
        <v>56571</v>
      </c>
      <c r="O73" s="58"/>
    </row>
    <row r="74" spans="1:15" x14ac:dyDescent="0.3">
      <c r="A74" s="58"/>
      <c r="B74" s="58"/>
      <c r="C74" s="58"/>
      <c r="D74" s="58"/>
      <c r="E74" s="58"/>
      <c r="F74" s="58"/>
      <c r="G74" s="58"/>
      <c r="H74" s="58"/>
      <c r="I74" s="58"/>
      <c r="J74" s="58"/>
      <c r="K74" s="58"/>
      <c r="O74" s="58"/>
    </row>
    <row r="75" spans="1:15" x14ac:dyDescent="0.3">
      <c r="A75" s="58"/>
      <c r="B75" s="58"/>
      <c r="C75" s="58"/>
      <c r="D75" s="58"/>
      <c r="E75" s="58"/>
      <c r="F75" s="58"/>
      <c r="G75" s="58"/>
      <c r="H75" s="58"/>
      <c r="I75" s="58"/>
      <c r="J75" s="58"/>
      <c r="K75" s="58"/>
      <c r="O75" s="58"/>
    </row>
    <row r="76" spans="1:15" x14ac:dyDescent="0.3">
      <c r="A76" s="58"/>
      <c r="B76" s="58"/>
      <c r="C76" s="58"/>
      <c r="D76" s="58"/>
      <c r="E76" s="58"/>
      <c r="F76" s="58"/>
      <c r="G76" s="58"/>
      <c r="H76" s="58"/>
      <c r="I76" s="58"/>
      <c r="J76" s="58"/>
      <c r="K76" s="58"/>
      <c r="O76" s="58"/>
    </row>
    <row r="77" spans="1:15" x14ac:dyDescent="0.3">
      <c r="A77" s="58"/>
      <c r="B77" s="58"/>
      <c r="C77" s="58"/>
      <c r="D77" s="58"/>
      <c r="E77" s="58"/>
      <c r="F77" s="58"/>
      <c r="G77" s="58"/>
      <c r="H77" s="58"/>
      <c r="I77" s="58"/>
      <c r="J77" s="58"/>
      <c r="K77" s="58"/>
      <c r="O77" s="58"/>
    </row>
    <row r="78" spans="1:15" x14ac:dyDescent="0.3">
      <c r="A78" s="58"/>
      <c r="B78" s="58"/>
      <c r="C78" s="58"/>
      <c r="D78" s="58"/>
      <c r="E78" s="58"/>
      <c r="F78" s="58"/>
      <c r="G78" s="58"/>
      <c r="H78" s="58"/>
      <c r="I78" s="58"/>
      <c r="J78" s="58"/>
      <c r="K78" s="58"/>
      <c r="O78" s="58"/>
    </row>
    <row r="79" spans="1:15" x14ac:dyDescent="0.3">
      <c r="A79" s="58"/>
      <c r="B79" s="58"/>
      <c r="C79" s="58"/>
      <c r="D79" s="58"/>
      <c r="E79" s="58"/>
      <c r="F79" s="58"/>
      <c r="G79" s="58"/>
      <c r="H79" s="58"/>
      <c r="I79" s="58"/>
      <c r="J79" s="58"/>
      <c r="K79" s="58"/>
      <c r="O79" s="58"/>
    </row>
    <row r="80" spans="1:15" x14ac:dyDescent="0.3">
      <c r="A80" s="59" t="s">
        <v>378</v>
      </c>
      <c r="B80" s="58"/>
      <c r="C80" s="58"/>
      <c r="D80" s="58"/>
      <c r="E80" s="58"/>
      <c r="F80" s="58"/>
      <c r="G80" s="58"/>
      <c r="H80" s="58"/>
      <c r="I80" s="63"/>
      <c r="J80" s="58"/>
      <c r="K80" s="58"/>
      <c r="O80" s="58"/>
    </row>
    <row r="81" spans="1:15" x14ac:dyDescent="0.3">
      <c r="B81" s="58"/>
      <c r="C81" s="58"/>
      <c r="D81" s="58"/>
      <c r="E81" s="58"/>
      <c r="F81" s="58"/>
      <c r="G81" s="58"/>
      <c r="H81" s="58"/>
      <c r="I81" s="58"/>
      <c r="J81" s="58"/>
      <c r="K81" s="58"/>
      <c r="O81" s="58"/>
    </row>
    <row r="82" spans="1:15" x14ac:dyDescent="0.3">
      <c r="A82" s="58"/>
      <c r="B82" s="58"/>
      <c r="C82" s="58"/>
      <c r="D82" s="58"/>
      <c r="E82" s="58"/>
      <c r="F82" s="58"/>
      <c r="G82" s="58"/>
      <c r="H82" s="58"/>
      <c r="I82" s="58"/>
      <c r="J82" s="58"/>
      <c r="K82" s="58"/>
      <c r="L82" s="58" t="s">
        <v>69</v>
      </c>
      <c r="O82" s="58"/>
    </row>
    <row r="83" spans="1:15" x14ac:dyDescent="0.3">
      <c r="A83" s="58"/>
      <c r="B83" s="58"/>
      <c r="C83" s="58"/>
      <c r="D83" s="58"/>
      <c r="E83" s="58"/>
      <c r="F83" s="58"/>
      <c r="G83" s="58"/>
      <c r="H83" s="58"/>
      <c r="I83" s="58"/>
      <c r="J83" s="58"/>
      <c r="K83" s="58"/>
      <c r="L83" s="58" t="s">
        <v>1</v>
      </c>
      <c r="O83" s="58"/>
    </row>
    <row r="84" spans="1:15" x14ac:dyDescent="0.3">
      <c r="A84" s="58"/>
      <c r="B84" s="58"/>
      <c r="C84" s="58"/>
      <c r="D84" s="58"/>
      <c r="E84" s="58"/>
      <c r="F84" s="58"/>
      <c r="G84" s="58"/>
      <c r="H84" s="58"/>
      <c r="I84" s="58"/>
      <c r="J84" s="58"/>
      <c r="K84" s="58"/>
      <c r="M84" s="58">
        <f>M7</f>
        <v>2023</v>
      </c>
      <c r="N84" s="58">
        <f>N7</f>
        <v>2024</v>
      </c>
      <c r="O84" s="58"/>
    </row>
    <row r="85" spans="1:15" x14ac:dyDescent="0.3">
      <c r="B85" s="58"/>
      <c r="C85" s="58"/>
      <c r="D85" s="58"/>
      <c r="E85" s="58"/>
      <c r="F85" s="58"/>
      <c r="G85" s="58"/>
      <c r="H85" s="58"/>
      <c r="I85" s="58"/>
      <c r="J85" s="58"/>
      <c r="K85" s="58"/>
      <c r="L85" s="58" t="s">
        <v>54</v>
      </c>
      <c r="M85" s="61">
        <f>'Tabel 1.1'!G35</f>
        <v>152437302</v>
      </c>
      <c r="N85" s="61">
        <f>'Tabel 1.1'!H35</f>
        <v>187007474</v>
      </c>
      <c r="O85" s="58"/>
    </row>
    <row r="86" spans="1:15" x14ac:dyDescent="0.3">
      <c r="B86" s="58"/>
      <c r="C86" s="58"/>
      <c r="D86" s="58"/>
      <c r="E86" s="58"/>
      <c r="F86" s="58"/>
      <c r="G86" s="58"/>
      <c r="H86" s="58"/>
      <c r="I86" s="58"/>
      <c r="J86" s="58"/>
      <c r="K86" s="58"/>
      <c r="L86" s="63" t="s">
        <v>84</v>
      </c>
      <c r="M86" s="61">
        <f>'Tabel 1.1'!G36</f>
        <v>54371233</v>
      </c>
      <c r="N86" s="61">
        <f>'Tabel 1.1'!H36</f>
        <v>69473279</v>
      </c>
      <c r="O86" s="58"/>
    </row>
    <row r="87" spans="1:15" x14ac:dyDescent="0.3">
      <c r="B87" s="58"/>
      <c r="C87" s="58"/>
      <c r="D87" s="58"/>
      <c r="E87" s="58"/>
      <c r="F87" s="58"/>
      <c r="G87" s="58"/>
      <c r="H87" s="58"/>
      <c r="I87" s="58"/>
      <c r="J87" s="58"/>
      <c r="K87" s="58"/>
      <c r="L87" s="58" t="s">
        <v>61</v>
      </c>
      <c r="M87" s="61">
        <f>'Tabel 1.1'!G37</f>
        <v>2792444.4909299999</v>
      </c>
      <c r="N87" s="61">
        <f>'Tabel 1.1'!H37</f>
        <v>2890424.3207899998</v>
      </c>
      <c r="O87" s="58"/>
    </row>
    <row r="88" spans="1:15" x14ac:dyDescent="0.3">
      <c r="B88" s="58"/>
      <c r="C88" s="58"/>
      <c r="D88" s="58"/>
      <c r="E88" s="58"/>
      <c r="F88" s="58"/>
      <c r="G88" s="58"/>
      <c r="H88" s="58"/>
      <c r="I88" s="58"/>
      <c r="J88" s="58"/>
      <c r="K88" s="58"/>
      <c r="L88" s="58" t="s">
        <v>63</v>
      </c>
      <c r="M88" s="61">
        <f>'Tabel 1.1'!G38</f>
        <v>137257750</v>
      </c>
      <c r="N88" s="61">
        <f>'Tabel 1.1'!H38</f>
        <v>167574450</v>
      </c>
      <c r="O88" s="58"/>
    </row>
    <row r="89" spans="1:15" x14ac:dyDescent="0.3">
      <c r="B89" s="58"/>
      <c r="C89" s="58"/>
      <c r="D89" s="58"/>
      <c r="E89" s="58"/>
      <c r="F89" s="58"/>
      <c r="G89" s="58"/>
      <c r="H89" s="58"/>
      <c r="I89" s="58"/>
      <c r="J89" s="58"/>
      <c r="K89" s="58"/>
      <c r="L89" s="58" t="s">
        <v>370</v>
      </c>
      <c r="M89" s="61">
        <f>'Tabel 1.1'!G39</f>
        <v>63741211.108069912</v>
      </c>
      <c r="N89" s="61">
        <f>'Tabel 1.1'!H39</f>
        <v>78440211.861239895</v>
      </c>
      <c r="O89" s="58"/>
    </row>
    <row r="90" spans="1:15" x14ac:dyDescent="0.3">
      <c r="B90" s="58"/>
      <c r="C90" s="58"/>
      <c r="D90" s="58"/>
      <c r="E90" s="58"/>
      <c r="F90" s="58"/>
      <c r="G90" s="58"/>
      <c r="H90" s="58"/>
      <c r="I90" s="58"/>
      <c r="J90" s="58"/>
      <c r="K90" s="58"/>
      <c r="L90" s="58" t="s">
        <v>387</v>
      </c>
      <c r="M90" s="61">
        <f>'Tabel 1.1'!G40</f>
        <v>196541367.01923001</v>
      </c>
      <c r="N90" s="61">
        <f>'Tabel 1.1'!H40</f>
        <v>232431668.54273</v>
      </c>
      <c r="O90" s="58"/>
    </row>
    <row r="91" spans="1:15" x14ac:dyDescent="0.3">
      <c r="A91" s="58"/>
      <c r="B91" s="58"/>
      <c r="C91" s="58"/>
      <c r="D91" s="58"/>
      <c r="E91" s="58"/>
      <c r="F91" s="58"/>
      <c r="G91" s="58"/>
      <c r="H91" s="58"/>
      <c r="I91" s="58"/>
      <c r="J91" s="58"/>
      <c r="K91" s="58"/>
      <c r="O91" s="58"/>
    </row>
    <row r="92" spans="1:15" ht="18.75" customHeight="1" x14ac:dyDescent="0.3">
      <c r="A92" s="58"/>
      <c r="B92" s="58"/>
      <c r="C92" s="58"/>
      <c r="D92" s="58"/>
      <c r="E92" s="58"/>
      <c r="F92" s="58"/>
      <c r="G92" s="58"/>
      <c r="H92" s="58"/>
      <c r="I92" s="58"/>
      <c r="J92" s="58"/>
      <c r="K92" s="58"/>
      <c r="O92" s="58"/>
    </row>
    <row r="93" spans="1:15" ht="18.75" customHeight="1" x14ac:dyDescent="0.3">
      <c r="A93" s="58"/>
      <c r="B93" s="58"/>
      <c r="C93" s="58"/>
      <c r="D93" s="58"/>
      <c r="E93" s="58"/>
      <c r="F93" s="58"/>
      <c r="G93" s="58"/>
      <c r="H93" s="58"/>
      <c r="I93" s="58"/>
      <c r="J93" s="58"/>
      <c r="K93" s="58"/>
      <c r="O93" s="58"/>
    </row>
    <row r="94" spans="1:15" ht="18.75" customHeight="1" x14ac:dyDescent="0.3">
      <c r="A94" s="58"/>
      <c r="B94" s="58"/>
      <c r="C94" s="58"/>
      <c r="D94" s="58"/>
      <c r="E94" s="58"/>
      <c r="F94" s="58"/>
      <c r="G94" s="58"/>
      <c r="H94" s="58"/>
      <c r="I94" s="58"/>
      <c r="J94" s="58"/>
      <c r="K94" s="58"/>
      <c r="O94" s="58"/>
    </row>
    <row r="95" spans="1:15" ht="18.75" customHeight="1" x14ac:dyDescent="0.3">
      <c r="A95" s="58"/>
      <c r="B95" s="58"/>
      <c r="C95" s="58"/>
      <c r="D95" s="58"/>
      <c r="E95" s="58"/>
      <c r="F95" s="58"/>
      <c r="G95" s="58"/>
      <c r="H95" s="58"/>
      <c r="I95" s="58"/>
      <c r="J95" s="58"/>
      <c r="K95" s="58"/>
      <c r="O95" s="58"/>
    </row>
    <row r="96" spans="1:15" ht="18.75" customHeight="1" x14ac:dyDescent="0.3">
      <c r="A96" s="58"/>
      <c r="B96" s="58"/>
      <c r="C96" s="58"/>
      <c r="D96" s="58"/>
      <c r="E96" s="58"/>
      <c r="F96" s="58"/>
      <c r="G96" s="58"/>
      <c r="H96" s="58"/>
      <c r="I96" s="58"/>
      <c r="J96" s="58"/>
      <c r="K96" s="58"/>
      <c r="O96" s="58"/>
    </row>
    <row r="97" spans="1:17" ht="18.75" customHeight="1" x14ac:dyDescent="0.3">
      <c r="A97" s="58"/>
      <c r="B97" s="58"/>
      <c r="C97" s="58"/>
      <c r="D97" s="58"/>
      <c r="E97" s="58"/>
      <c r="F97" s="58"/>
      <c r="G97" s="58"/>
      <c r="H97" s="58"/>
      <c r="I97" s="58"/>
      <c r="J97" s="58"/>
      <c r="K97" s="58"/>
      <c r="L97" s="63" t="s">
        <v>70</v>
      </c>
      <c r="O97" s="58"/>
      <c r="Q97" s="58"/>
    </row>
    <row r="98" spans="1:17" ht="18.75" customHeight="1" x14ac:dyDescent="0.3">
      <c r="A98" s="58"/>
      <c r="B98" s="58"/>
      <c r="C98" s="58"/>
      <c r="D98" s="58"/>
      <c r="E98" s="58"/>
      <c r="F98" s="58"/>
      <c r="G98" s="58"/>
      <c r="H98" s="58"/>
      <c r="I98" s="58"/>
      <c r="J98" s="58"/>
      <c r="K98" s="58"/>
      <c r="L98" s="58" t="s">
        <v>0</v>
      </c>
      <c r="O98" s="58"/>
      <c r="Q98" s="58"/>
    </row>
    <row r="99" spans="1:17" ht="18.75" customHeight="1" x14ac:dyDescent="0.3">
      <c r="A99" s="58"/>
      <c r="B99" s="58"/>
      <c r="C99" s="58"/>
      <c r="D99" s="58"/>
      <c r="E99" s="58"/>
      <c r="F99" s="58"/>
      <c r="G99" s="58"/>
      <c r="H99" s="58"/>
      <c r="I99" s="58"/>
      <c r="J99" s="58"/>
      <c r="K99" s="58"/>
      <c r="M99" s="58">
        <f>M7</f>
        <v>2023</v>
      </c>
      <c r="N99" s="58">
        <f>N7</f>
        <v>2024</v>
      </c>
      <c r="O99" s="58"/>
      <c r="Q99" s="58"/>
    </row>
    <row r="100" spans="1:17" ht="18.75" customHeight="1" x14ac:dyDescent="0.3">
      <c r="A100" s="58"/>
      <c r="B100" s="58"/>
      <c r="C100" s="58"/>
      <c r="D100" s="58"/>
      <c r="E100" s="58"/>
      <c r="F100" s="58"/>
      <c r="G100" s="58"/>
      <c r="H100" s="58"/>
      <c r="I100" s="58"/>
      <c r="J100" s="58"/>
      <c r="K100" s="58"/>
      <c r="L100" s="58" t="s">
        <v>54</v>
      </c>
      <c r="M100" s="61">
        <f>'DNB Livsforsikring'!B11-'DNB Livsforsikring'!B12+'DNB Livsforsikring'!B34-'DNB Livsforsikring'!B35+'DNB Livsforsikring'!B38-'DNB Livsforsikring'!B39+'DNB Livsforsikring'!B111-'DNB Livsforsikring'!B119+'DNB Livsforsikring'!B136-'DNB Livsforsikring'!B137</f>
        <v>91539</v>
      </c>
      <c r="N100" s="61">
        <f>'DNB Livsforsikring'!C11-'DNB Livsforsikring'!C12+'DNB Livsforsikring'!C34-'DNB Livsforsikring'!C35+'DNB Livsforsikring'!C38-'DNB Livsforsikring'!C39+'DNB Livsforsikring'!C111-'DNB Livsforsikring'!C119+'DNB Livsforsikring'!C136-'DNB Livsforsikring'!C137</f>
        <v>274373</v>
      </c>
      <c r="O100" s="58"/>
      <c r="Q100" s="58"/>
    </row>
    <row r="101" spans="1:17" ht="18.75" customHeight="1" x14ac:dyDescent="0.3">
      <c r="A101" s="58"/>
      <c r="B101" s="58"/>
      <c r="C101" s="58"/>
      <c r="D101" s="58"/>
      <c r="E101" s="58"/>
      <c r="F101" s="58"/>
      <c r="G101" s="58"/>
      <c r="H101" s="58"/>
      <c r="I101" s="58"/>
      <c r="J101" s="58"/>
      <c r="K101" s="58"/>
      <c r="L101" s="63" t="s">
        <v>59</v>
      </c>
      <c r="M101" s="61">
        <f>'Gjensidige Pensjon'!B11-'Gjensidige Pensjon'!B12+'Gjensidige Pensjon'!B34-'Gjensidige Pensjon'!B35+'Gjensidige Pensjon'!B38-'Gjensidige Pensjon'!B39+'Gjensidige Pensjon'!B111-'Gjensidige Pensjon'!B119+'Gjensidige Pensjon'!B136-'Gjensidige Pensjon'!B137</f>
        <v>40752</v>
      </c>
      <c r="N101" s="61">
        <f>'Gjensidige Pensjon'!C11-'Gjensidige Pensjon'!C12+'Gjensidige Pensjon'!C34-'Gjensidige Pensjon'!C35+'Gjensidige Pensjon'!C38-'Gjensidige Pensjon'!C39+'Gjensidige Pensjon'!C111-'Gjensidige Pensjon'!C119+'Gjensidige Pensjon'!C136-'Gjensidige Pensjon'!C137</f>
        <v>63435</v>
      </c>
      <c r="O101" s="58"/>
      <c r="Q101" s="58"/>
    </row>
    <row r="102" spans="1:17" ht="18.75" customHeight="1" x14ac:dyDescent="0.3">
      <c r="A102" s="58"/>
      <c r="B102" s="58"/>
      <c r="C102" s="58"/>
      <c r="D102" s="58"/>
      <c r="E102" s="58"/>
      <c r="F102" s="58"/>
      <c r="G102" s="58"/>
      <c r="H102" s="58"/>
      <c r="I102" s="58"/>
      <c r="J102" s="58"/>
      <c r="K102" s="58"/>
      <c r="L102" s="63" t="s">
        <v>61</v>
      </c>
      <c r="M102" s="61">
        <f>KLP!B11-KLP!B12+KLP!B34-KLP!B35+KLP!B38-KLP!B39+KLP!B111-KLP!B119+KLP!B136-KLP!B137</f>
        <v>-2030079.1849999998</v>
      </c>
      <c r="N102" s="61">
        <f>KLP!C11-KLP!C12+KLP!C34-KLP!C35+KLP!C38-KLP!C39+KLP!C111-KLP!C119+KLP!C136-KLP!C137</f>
        <v>-2417417.0720000002</v>
      </c>
      <c r="O102" s="58"/>
      <c r="Q102" s="58"/>
    </row>
    <row r="103" spans="1:17" ht="18.75" customHeight="1" x14ac:dyDescent="0.3">
      <c r="A103" s="58"/>
      <c r="B103" s="58"/>
      <c r="C103" s="58"/>
      <c r="D103" s="58"/>
      <c r="E103" s="58"/>
      <c r="F103" s="58"/>
      <c r="G103" s="58"/>
      <c r="H103" s="58"/>
      <c r="I103" s="58"/>
      <c r="J103" s="58"/>
      <c r="K103" s="58"/>
      <c r="L103" s="58" t="s">
        <v>63</v>
      </c>
      <c r="M103" s="61">
        <f>'Nordea Liv '!B11-'Nordea Liv '!B12+'Nordea Liv '!B34-'Nordea Liv '!B35+'Nordea Liv '!B38-'Nordea Liv '!B39+'Nordea Liv '!B111-'Nordea Liv '!B119+'Nordea Liv '!B136-'Nordea Liv '!B137</f>
        <v>-76424.285460000901</v>
      </c>
      <c r="N103" s="61">
        <f>'Nordea Liv '!C11-'Nordea Liv '!C12+'Nordea Liv '!C34-'Nordea Liv '!C35+'Nordea Liv '!C38-'Nordea Liv '!C39+'Nordea Liv '!C111-'Nordea Liv '!C119+'Nordea Liv '!C136-'Nordea Liv '!C137</f>
        <v>-14590.871569999499</v>
      </c>
      <c r="O103" s="58"/>
      <c r="Q103" s="58"/>
    </row>
    <row r="104" spans="1:17" ht="18.75" customHeight="1" x14ac:dyDescent="0.3">
      <c r="A104" s="58"/>
      <c r="B104" s="58"/>
      <c r="C104" s="58"/>
      <c r="D104" s="58"/>
      <c r="E104" s="58"/>
      <c r="F104" s="58"/>
      <c r="G104" s="58"/>
      <c r="H104" s="58"/>
      <c r="I104" s="58"/>
      <c r="J104" s="58"/>
      <c r="K104" s="58"/>
      <c r="L104" s="58" t="s">
        <v>370</v>
      </c>
      <c r="M104" s="61">
        <f>'Sparebank 1 Fors.'!B11-'Sparebank 1 Fors.'!B12+'Sparebank 1 Fors.'!B34-'Sparebank 1 Fors.'!B35+'Sparebank 1 Fors.'!B38-'Sparebank 1 Fors.'!B39+'Sparebank 1 Fors.'!B111-'Sparebank 1 Fors.'!B119+'Sparebank 1 Fors.'!B136-'Sparebank 1 Fors.'!B137</f>
        <v>-20356.491750000001</v>
      </c>
      <c r="N104" s="61">
        <f>'Sparebank 1 Fors.'!C11-'Sparebank 1 Fors.'!C12+'Sparebank 1 Fors.'!C34-'Sparebank 1 Fors.'!C35+'Sparebank 1 Fors.'!C38-'Sparebank 1 Fors.'!C39+'Sparebank 1 Fors.'!C111-'Sparebank 1 Fors.'!C119+'Sparebank 1 Fors.'!C136-'Sparebank 1 Fors.'!C137</f>
        <v>6102.9492399999981</v>
      </c>
      <c r="O104" s="58"/>
      <c r="Q104" s="58"/>
    </row>
    <row r="105" spans="1:17" ht="18.75" customHeight="1" x14ac:dyDescent="0.3">
      <c r="A105" s="58"/>
      <c r="B105" s="58"/>
      <c r="C105" s="58"/>
      <c r="D105" s="58"/>
      <c r="E105" s="58"/>
      <c r="F105" s="58"/>
      <c r="G105" s="58"/>
      <c r="H105" s="58"/>
      <c r="I105" s="58"/>
      <c r="J105" s="58"/>
      <c r="K105" s="58"/>
      <c r="L105" s="58" t="s">
        <v>387</v>
      </c>
      <c r="M105" s="61">
        <f>'Storebrand Livsforsikring'!B11-'Storebrand Livsforsikring'!B12+'Storebrand Livsforsikring'!B34-'Storebrand Livsforsikring'!B35+'Storebrand Livsforsikring'!B38-'Storebrand Livsforsikring'!B39+'Storebrand Livsforsikring'!B111-'Storebrand Livsforsikring'!B119+'Storebrand Livsforsikring'!B136-'Storebrand Livsforsikring'!B137</f>
        <v>807546.02928999998</v>
      </c>
      <c r="N105" s="61">
        <f>'Storebrand Livsforsikring'!C11-'Storebrand Livsforsikring'!C12+'Storebrand Livsforsikring'!C34-'Storebrand Livsforsikring'!C35+'Storebrand Livsforsikring'!C38-'Storebrand Livsforsikring'!C39+'Storebrand Livsforsikring'!C111-'Storebrand Livsforsikring'!C119+'Storebrand Livsforsikring'!C136-'Storebrand Livsforsikring'!C137</f>
        <v>2322025.1032799999</v>
      </c>
      <c r="O105" s="58"/>
      <c r="Q105" s="58"/>
    </row>
    <row r="106" spans="1:17" ht="18.75" customHeight="1" x14ac:dyDescent="0.3">
      <c r="A106" s="59" t="s">
        <v>379</v>
      </c>
      <c r="B106" s="58"/>
      <c r="C106" s="58"/>
      <c r="D106" s="58"/>
      <c r="E106" s="58"/>
      <c r="F106" s="58"/>
      <c r="G106" s="58"/>
      <c r="H106" s="63"/>
      <c r="I106" s="58"/>
      <c r="J106" s="58"/>
      <c r="K106" s="58"/>
      <c r="M106" s="61"/>
      <c r="N106" s="61"/>
      <c r="O106" s="58"/>
      <c r="Q106" s="58"/>
    </row>
    <row r="107" spans="1:17" ht="18.75" customHeight="1" x14ac:dyDescent="0.3">
      <c r="A107" s="58"/>
      <c r="B107" s="58"/>
      <c r="C107" s="58"/>
      <c r="D107" s="58"/>
      <c r="E107" s="58"/>
      <c r="F107" s="58"/>
      <c r="G107" s="58"/>
      <c r="H107" s="58"/>
      <c r="I107" s="58"/>
      <c r="J107" s="58"/>
      <c r="K107" s="58"/>
      <c r="M107" s="61"/>
      <c r="N107" s="61"/>
      <c r="O107" s="58"/>
      <c r="Q107" s="58"/>
    </row>
    <row r="108" spans="1:17" ht="18.75" customHeight="1" x14ac:dyDescent="0.3">
      <c r="A108" s="58"/>
      <c r="B108" s="58"/>
      <c r="C108" s="58"/>
      <c r="D108" s="58"/>
      <c r="E108" s="58"/>
      <c r="F108" s="58"/>
      <c r="G108" s="58"/>
      <c r="H108" s="58"/>
      <c r="I108" s="58"/>
      <c r="J108" s="58"/>
      <c r="K108" s="58"/>
      <c r="M108" s="61"/>
      <c r="N108" s="61"/>
      <c r="O108" s="58"/>
      <c r="Q108" s="58"/>
    </row>
    <row r="109" spans="1:17" ht="18.75" customHeight="1" x14ac:dyDescent="0.3">
      <c r="A109" s="58"/>
      <c r="B109" s="58"/>
      <c r="C109" s="58"/>
      <c r="D109" s="58"/>
      <c r="E109" s="58"/>
      <c r="F109" s="58"/>
      <c r="G109" s="58"/>
      <c r="H109" s="58"/>
      <c r="I109" s="58"/>
      <c r="J109" s="58"/>
      <c r="K109" s="58"/>
      <c r="M109" s="61"/>
      <c r="N109" s="61"/>
      <c r="O109" s="58"/>
      <c r="Q109" s="58"/>
    </row>
    <row r="110" spans="1:17" ht="18.75" customHeight="1" x14ac:dyDescent="0.3">
      <c r="A110" s="58"/>
      <c r="B110" s="58"/>
      <c r="C110" s="58"/>
      <c r="D110" s="58"/>
      <c r="E110" s="58"/>
      <c r="F110" s="58"/>
      <c r="G110" s="58"/>
      <c r="H110" s="58"/>
      <c r="I110" s="58"/>
      <c r="J110" s="58"/>
      <c r="K110" s="58"/>
      <c r="M110" s="61"/>
      <c r="N110" s="61"/>
      <c r="O110" s="58"/>
      <c r="Q110" s="58"/>
    </row>
    <row r="111" spans="1:17" ht="18.75" customHeight="1" x14ac:dyDescent="0.3">
      <c r="A111" s="58"/>
      <c r="B111" s="58"/>
      <c r="C111" s="58"/>
      <c r="D111" s="58"/>
      <c r="E111" s="58"/>
      <c r="F111" s="58"/>
      <c r="G111" s="58"/>
      <c r="H111" s="58"/>
      <c r="I111" s="58"/>
      <c r="J111" s="58"/>
      <c r="K111" s="58"/>
      <c r="M111" s="61"/>
      <c r="N111" s="61"/>
      <c r="O111" s="58"/>
      <c r="Q111" s="58"/>
    </row>
    <row r="112" spans="1:17" ht="18.75" customHeight="1" x14ac:dyDescent="0.3">
      <c r="A112" s="58"/>
      <c r="B112" s="58"/>
      <c r="C112" s="58"/>
      <c r="D112" s="58"/>
      <c r="E112" s="58"/>
      <c r="F112" s="58"/>
      <c r="G112" s="58"/>
      <c r="H112" s="58"/>
      <c r="I112" s="58"/>
      <c r="J112" s="58"/>
      <c r="K112" s="58"/>
      <c r="M112" s="61"/>
      <c r="N112" s="61"/>
      <c r="O112" s="58"/>
      <c r="Q112" s="58"/>
    </row>
    <row r="113" spans="1:17" ht="18.75" customHeight="1" x14ac:dyDescent="0.3">
      <c r="A113" s="58"/>
      <c r="B113" s="58"/>
      <c r="C113" s="58"/>
      <c r="D113" s="58"/>
      <c r="E113" s="58"/>
      <c r="F113" s="58"/>
      <c r="G113" s="58"/>
      <c r="H113" s="58"/>
      <c r="I113" s="58"/>
      <c r="J113" s="58"/>
      <c r="K113" s="58"/>
      <c r="O113" s="58"/>
      <c r="Q113" s="58"/>
    </row>
    <row r="114" spans="1:17" ht="18.75" customHeight="1" x14ac:dyDescent="0.3">
      <c r="A114" s="58"/>
      <c r="B114" s="58"/>
      <c r="C114" s="58"/>
      <c r="D114" s="58"/>
      <c r="E114" s="58"/>
      <c r="F114" s="58"/>
      <c r="G114" s="58"/>
      <c r="H114" s="58"/>
      <c r="I114" s="58"/>
      <c r="J114" s="58"/>
      <c r="K114" s="58"/>
      <c r="O114" s="58"/>
      <c r="Q114" s="58"/>
    </row>
    <row r="115" spans="1:17" ht="18.75" customHeight="1" x14ac:dyDescent="0.3">
      <c r="A115" s="58"/>
      <c r="B115" s="58"/>
      <c r="C115" s="58"/>
      <c r="D115" s="58"/>
      <c r="E115" s="58"/>
      <c r="F115" s="58"/>
      <c r="G115" s="58"/>
      <c r="H115" s="58"/>
      <c r="I115" s="58"/>
      <c r="J115" s="58"/>
      <c r="K115" s="58"/>
      <c r="O115" s="58"/>
      <c r="Q115" s="58"/>
    </row>
    <row r="116" spans="1:17" ht="18.75" customHeight="1" x14ac:dyDescent="0.3">
      <c r="A116" s="58"/>
      <c r="B116" s="58"/>
      <c r="C116" s="58"/>
      <c r="D116" s="58"/>
      <c r="E116" s="58"/>
      <c r="F116" s="58"/>
      <c r="G116" s="58"/>
      <c r="H116" s="58"/>
      <c r="I116" s="58"/>
      <c r="J116" s="58"/>
      <c r="K116" s="58"/>
      <c r="O116" s="58"/>
      <c r="Q116" s="58"/>
    </row>
    <row r="117" spans="1:17" ht="18.75" customHeight="1" x14ac:dyDescent="0.3">
      <c r="A117" s="58"/>
      <c r="B117" s="58"/>
      <c r="C117" s="58"/>
      <c r="D117" s="58"/>
      <c r="E117" s="58"/>
      <c r="F117" s="58"/>
      <c r="G117" s="58"/>
      <c r="H117" s="58"/>
      <c r="I117" s="58"/>
      <c r="J117" s="58"/>
      <c r="K117" s="58"/>
      <c r="O117" s="58"/>
    </row>
    <row r="118" spans="1:17" ht="18.75" customHeight="1" x14ac:dyDescent="0.3">
      <c r="A118" s="58"/>
      <c r="B118" s="58"/>
      <c r="C118" s="58"/>
      <c r="D118" s="58"/>
      <c r="E118" s="58"/>
      <c r="F118" s="58"/>
      <c r="G118" s="58"/>
      <c r="H118" s="58"/>
      <c r="I118" s="58"/>
      <c r="J118" s="58"/>
      <c r="K118" s="58"/>
      <c r="O118" s="58"/>
    </row>
    <row r="119" spans="1:17" ht="18.75" customHeight="1" x14ac:dyDescent="0.3">
      <c r="A119" s="58"/>
      <c r="B119" s="58"/>
      <c r="C119" s="58"/>
      <c r="D119" s="58"/>
      <c r="E119" s="58"/>
      <c r="F119" s="58"/>
      <c r="G119" s="58"/>
      <c r="H119" s="58"/>
      <c r="I119" s="58"/>
      <c r="J119" s="58"/>
      <c r="K119" s="58"/>
      <c r="L119" s="63" t="s">
        <v>71</v>
      </c>
      <c r="O119" s="58"/>
    </row>
    <row r="120" spans="1:17" ht="18.75" customHeight="1" x14ac:dyDescent="0.3">
      <c r="A120" s="58"/>
      <c r="B120" s="58"/>
      <c r="C120" s="58"/>
      <c r="D120" s="58"/>
      <c r="E120" s="58"/>
      <c r="F120" s="58"/>
      <c r="G120" s="58"/>
      <c r="H120" s="58"/>
      <c r="I120" s="58"/>
      <c r="J120" s="58"/>
      <c r="K120" s="58"/>
      <c r="L120" s="58" t="s">
        <v>1</v>
      </c>
      <c r="O120" s="58"/>
    </row>
    <row r="121" spans="1:17" ht="18.75" customHeight="1" x14ac:dyDescent="0.3">
      <c r="A121" s="58"/>
      <c r="B121" s="58"/>
      <c r="C121" s="58"/>
      <c r="D121" s="58"/>
      <c r="E121" s="58"/>
      <c r="F121" s="58"/>
      <c r="G121" s="58"/>
      <c r="H121" s="58"/>
      <c r="I121" s="58"/>
      <c r="J121" s="58"/>
      <c r="K121" s="58"/>
      <c r="M121" s="58">
        <f>M7</f>
        <v>2023</v>
      </c>
      <c r="N121" s="58">
        <f>N7</f>
        <v>2024</v>
      </c>
      <c r="O121" s="58"/>
    </row>
    <row r="122" spans="1:17" ht="18.75" customHeight="1" x14ac:dyDescent="0.3">
      <c r="A122" s="58"/>
      <c r="B122" s="58"/>
      <c r="C122" s="58"/>
      <c r="D122" s="58"/>
      <c r="E122" s="58"/>
      <c r="F122" s="58"/>
      <c r="G122" s="58"/>
      <c r="H122" s="58"/>
      <c r="I122" s="58"/>
      <c r="J122" s="58"/>
      <c r="K122" s="58"/>
      <c r="L122" s="58" t="s">
        <v>54</v>
      </c>
      <c r="M122" s="61">
        <f>'DNB Livsforsikring'!F11-'DNB Livsforsikring'!F12+'DNB Livsforsikring'!F34-'DNB Livsforsikring'!F35+'DNB Livsforsikring'!F38-'DNB Livsforsikring'!F39+'DNB Livsforsikring'!F111-'DNB Livsforsikring'!F119+'DNB Livsforsikring'!F136-'DNB Livsforsikring'!F137</f>
        <v>-1268947</v>
      </c>
      <c r="N122" s="61">
        <f>'DNB Livsforsikring'!G11-'DNB Livsforsikring'!G12+'DNB Livsforsikring'!G34-'DNB Livsforsikring'!G35+'DNB Livsforsikring'!G38-'DNB Livsforsikring'!G39+'DNB Livsforsikring'!G111-'DNB Livsforsikring'!G119+'DNB Livsforsikring'!G136-'DNB Livsforsikring'!G137</f>
        <v>-2262655</v>
      </c>
      <c r="O122" s="58"/>
    </row>
    <row r="123" spans="1:17" x14ac:dyDescent="0.3">
      <c r="A123" s="58"/>
      <c r="B123" s="58"/>
      <c r="C123" s="58"/>
      <c r="D123" s="58"/>
      <c r="E123" s="58"/>
      <c r="F123" s="58"/>
      <c r="G123" s="58"/>
      <c r="H123" s="58"/>
      <c r="I123" s="58"/>
      <c r="J123" s="58"/>
      <c r="K123" s="58"/>
      <c r="L123" s="63" t="s">
        <v>59</v>
      </c>
      <c r="M123" s="61">
        <f>'Gjensidige Pensjon'!F11-'Gjensidige Pensjon'!F12+'Gjensidige Pensjon'!F34-'Gjensidige Pensjon'!F35+'Gjensidige Pensjon'!F38-'Gjensidige Pensjon'!F39+'Gjensidige Pensjon'!F111-'Gjensidige Pensjon'!F119+'Gjensidige Pensjon'!F136-'Gjensidige Pensjon'!F137</f>
        <v>1771889</v>
      </c>
      <c r="N123" s="61">
        <f>'Gjensidige Pensjon'!G11-'Gjensidige Pensjon'!G12+'Gjensidige Pensjon'!G34-'Gjensidige Pensjon'!G35+'Gjensidige Pensjon'!G38-'Gjensidige Pensjon'!G39+'Gjensidige Pensjon'!G111-'Gjensidige Pensjon'!G119+'Gjensidige Pensjon'!G136-'Gjensidige Pensjon'!G137</f>
        <v>1210268</v>
      </c>
      <c r="O123" s="58"/>
    </row>
    <row r="124" spans="1:17" x14ac:dyDescent="0.3">
      <c r="A124" s="58"/>
      <c r="B124" s="58"/>
      <c r="C124" s="58"/>
      <c r="D124" s="58"/>
      <c r="E124" s="58"/>
      <c r="F124" s="58"/>
      <c r="G124" s="58"/>
      <c r="H124" s="58"/>
      <c r="I124" s="58"/>
      <c r="J124" s="58"/>
      <c r="K124" s="58"/>
      <c r="L124" s="58" t="s">
        <v>61</v>
      </c>
      <c r="M124" s="61">
        <f>KLP!F11-KLP!F12+KLP!F34-KLP!F35+KLP!F38-KLP!F39+KLP!F111-KLP!F119+KLP!F136-KLP!F137</f>
        <v>0</v>
      </c>
      <c r="N124" s="61">
        <f>KLP!G11-KLP!G12+KLP!G34-KLP!G35+KLP!G38-KLP!G39+KLP!G111-KLP!G119+KLP!G136-KLP!G137</f>
        <v>-182.05500000000001</v>
      </c>
      <c r="O124" s="58"/>
    </row>
    <row r="125" spans="1:17" x14ac:dyDescent="0.3">
      <c r="A125" s="58"/>
      <c r="B125" s="58"/>
      <c r="C125" s="58"/>
      <c r="D125" s="58"/>
      <c r="E125" s="58"/>
      <c r="F125" s="58"/>
      <c r="G125" s="58"/>
      <c r="H125" s="58"/>
      <c r="I125" s="58"/>
      <c r="J125" s="58"/>
      <c r="K125" s="58"/>
      <c r="L125" s="58" t="s">
        <v>63</v>
      </c>
      <c r="M125" s="61">
        <f>'Nordea Liv '!F11-'Nordea Liv '!F12+'Nordea Liv '!F34-'Nordea Liv '!F35+'Nordea Liv '!F38-'Nordea Liv '!F39+'Nordea Liv '!F111-'Nordea Liv '!F119+'Nordea Liv '!F136-'Nordea Liv '!F137</f>
        <v>3216059.3026000001</v>
      </c>
      <c r="N125" s="61">
        <f>'Nordea Liv '!G11-'Nordea Liv '!G12+'Nordea Liv '!G34-'Nordea Liv '!G35+'Nordea Liv '!G38-'Nordea Liv '!G39+'Nordea Liv '!G111-'Nordea Liv '!G119+'Nordea Liv '!G136-'Nordea Liv '!G137</f>
        <v>191676.46963999979</v>
      </c>
      <c r="O125" s="58"/>
    </row>
    <row r="126" spans="1:17" x14ac:dyDescent="0.3">
      <c r="A126" s="58"/>
      <c r="B126" s="58"/>
      <c r="C126" s="58"/>
      <c r="D126" s="58"/>
      <c r="E126" s="58"/>
      <c r="F126" s="58"/>
      <c r="G126" s="58"/>
      <c r="H126" s="58"/>
      <c r="I126" s="58"/>
      <c r="J126" s="58"/>
      <c r="K126" s="58"/>
      <c r="L126" s="58" t="s">
        <v>370</v>
      </c>
      <c r="M126" s="61">
        <f>'Sparebank 1 Fors.'!F11-'Sparebank 1 Fors.'!F12+'Sparebank 1 Fors.'!F34-'Sparebank 1 Fors.'!F35+'Sparebank 1 Fors.'!F38-'Sparebank 1 Fors.'!F39+'Sparebank 1 Fors.'!F111-'Sparebank 1 Fors.'!F119+'Sparebank 1 Fors.'!F136-'Sparebank 1 Fors.'!F137</f>
        <v>-449560.40347000025</v>
      </c>
      <c r="N126" s="61">
        <f>'Sparebank 1 Fors.'!G11-'Sparebank 1 Fors.'!G12+'Sparebank 1 Fors.'!G34-'Sparebank 1 Fors.'!G35+'Sparebank 1 Fors.'!G38-'Sparebank 1 Fors.'!G39+'Sparebank 1 Fors.'!G111-'Sparebank 1 Fors.'!G119+'Sparebank 1 Fors.'!G136-'Sparebank 1 Fors.'!G137</f>
        <v>-206183.12543000048</v>
      </c>
      <c r="O126" s="58"/>
    </row>
    <row r="127" spans="1:17" x14ac:dyDescent="0.3">
      <c r="A127" s="58"/>
      <c r="B127" s="58"/>
      <c r="C127" s="58"/>
      <c r="D127" s="58"/>
      <c r="E127" s="58"/>
      <c r="F127" s="58"/>
      <c r="G127" s="58"/>
      <c r="H127" s="58"/>
      <c r="I127" s="58"/>
      <c r="J127" s="58"/>
      <c r="K127" s="58"/>
      <c r="L127" s="58" t="s">
        <v>387</v>
      </c>
      <c r="M127" s="61">
        <f>'Storebrand Livsforsikring'!F11-'Storebrand Livsforsikring'!F12+'Storebrand Livsforsikring'!F34-'Storebrand Livsforsikring'!F35+'Storebrand Livsforsikring'!F38-'Storebrand Livsforsikring'!F39+'Storebrand Livsforsikring'!F111-'Storebrand Livsforsikring'!F119+'Storebrand Livsforsikring'!F136-'Storebrand Livsforsikring'!F137</f>
        <v>-1184945.5682700006</v>
      </c>
      <c r="N127" s="61">
        <f>'Storebrand Livsforsikring'!G11-'Storebrand Livsforsikring'!G12+'Storebrand Livsforsikring'!G34-'Storebrand Livsforsikring'!G35+'Storebrand Livsforsikring'!G38-'Storebrand Livsforsikring'!G39+'Storebrand Livsforsikring'!G111-'Storebrand Livsforsikring'!G119+'Storebrand Livsforsikring'!G136-'Storebrand Livsforsikring'!G137</f>
        <v>-1889582.26523</v>
      </c>
      <c r="O127" s="58"/>
    </row>
    <row r="128" spans="1:17" x14ac:dyDescent="0.3">
      <c r="A128" s="58"/>
      <c r="B128" s="58"/>
      <c r="C128" s="58"/>
      <c r="D128" s="58"/>
      <c r="E128" s="58"/>
      <c r="F128" s="58"/>
      <c r="G128" s="58"/>
      <c r="H128" s="58"/>
      <c r="I128" s="58"/>
      <c r="J128" s="58"/>
      <c r="K128" s="58"/>
      <c r="O128" s="58"/>
    </row>
    <row r="129" spans="1:15" x14ac:dyDescent="0.3">
      <c r="A129" s="58"/>
      <c r="B129" s="58"/>
      <c r="C129" s="58"/>
      <c r="D129" s="58"/>
      <c r="E129" s="58"/>
      <c r="F129" s="58"/>
      <c r="G129" s="58"/>
      <c r="H129" s="58"/>
      <c r="I129" s="58"/>
      <c r="J129" s="58"/>
      <c r="K129" s="58"/>
      <c r="O129" s="58"/>
    </row>
    <row r="130" spans="1:15" x14ac:dyDescent="0.3">
      <c r="A130" s="59" t="s">
        <v>380</v>
      </c>
      <c r="B130" s="58"/>
      <c r="C130" s="58"/>
      <c r="D130" s="58"/>
      <c r="E130" s="58"/>
      <c r="F130" s="58"/>
      <c r="G130" s="58"/>
      <c r="H130" s="63"/>
      <c r="I130" s="58"/>
      <c r="J130" s="58"/>
      <c r="K130" s="58"/>
      <c r="O130" s="58"/>
    </row>
    <row r="131" spans="1:15" x14ac:dyDescent="0.3">
      <c r="B131" s="58"/>
      <c r="C131" s="58"/>
      <c r="D131" s="58"/>
      <c r="E131" s="58"/>
      <c r="F131" s="58"/>
      <c r="G131" s="58"/>
      <c r="H131" s="58"/>
      <c r="I131" s="58"/>
      <c r="J131" s="58"/>
      <c r="K131" s="58"/>
      <c r="O131" s="58"/>
    </row>
    <row r="132" spans="1:15" x14ac:dyDescent="0.3">
      <c r="A132" s="58"/>
      <c r="B132" s="58"/>
      <c r="C132" s="58"/>
      <c r="D132" s="58"/>
      <c r="E132" s="58"/>
      <c r="F132" s="58"/>
      <c r="G132" s="58"/>
      <c r="H132" s="58"/>
      <c r="I132" s="58"/>
      <c r="J132" s="58"/>
      <c r="K132" s="58"/>
      <c r="O132" s="58"/>
    </row>
    <row r="133" spans="1:15" x14ac:dyDescent="0.3">
      <c r="A133" s="58"/>
      <c r="B133" s="58"/>
      <c r="C133" s="58"/>
      <c r="D133" s="58"/>
      <c r="E133" s="58"/>
      <c r="F133" s="58"/>
      <c r="G133" s="58"/>
      <c r="H133" s="58"/>
      <c r="I133" s="58"/>
      <c r="J133" s="58"/>
      <c r="K133" s="58"/>
      <c r="O133" s="58"/>
    </row>
    <row r="134" spans="1:15" x14ac:dyDescent="0.3">
      <c r="A134" s="58"/>
      <c r="B134" s="58"/>
      <c r="C134" s="58"/>
      <c r="D134" s="58"/>
      <c r="E134" s="58"/>
      <c r="F134" s="58"/>
      <c r="G134" s="58"/>
      <c r="H134" s="58"/>
      <c r="I134" s="58"/>
      <c r="J134" s="58"/>
      <c r="K134" s="58"/>
      <c r="O134" s="58"/>
    </row>
    <row r="135" spans="1:15" x14ac:dyDescent="0.3">
      <c r="A135" s="58"/>
      <c r="B135" s="58"/>
      <c r="C135" s="58"/>
      <c r="D135" s="58"/>
      <c r="E135" s="58"/>
      <c r="F135" s="58"/>
      <c r="G135" s="58"/>
      <c r="H135" s="58"/>
      <c r="I135" s="58"/>
      <c r="J135" s="58"/>
      <c r="K135" s="58"/>
      <c r="O135" s="58"/>
    </row>
    <row r="136" spans="1:15" x14ac:dyDescent="0.3">
      <c r="A136" s="58"/>
      <c r="B136" s="58"/>
      <c r="C136" s="58"/>
      <c r="D136" s="58"/>
      <c r="E136" s="58"/>
      <c r="F136" s="58"/>
      <c r="G136" s="58"/>
      <c r="H136" s="58"/>
      <c r="I136" s="58"/>
      <c r="J136" s="58"/>
      <c r="K136" s="58"/>
      <c r="O136" s="58"/>
    </row>
    <row r="137" spans="1:15" x14ac:dyDescent="0.3">
      <c r="A137" s="58"/>
      <c r="B137" s="58"/>
      <c r="C137" s="58"/>
      <c r="D137" s="58"/>
      <c r="E137" s="58"/>
      <c r="F137" s="58"/>
      <c r="G137" s="58"/>
      <c r="H137" s="58"/>
      <c r="I137" s="58"/>
      <c r="J137" s="58"/>
      <c r="K137" s="58"/>
      <c r="O137" s="58"/>
    </row>
    <row r="138" spans="1:15" x14ac:dyDescent="0.3">
      <c r="A138" s="58"/>
      <c r="B138" s="58"/>
      <c r="C138" s="58"/>
      <c r="D138" s="58"/>
      <c r="E138" s="58"/>
      <c r="F138" s="58"/>
      <c r="G138" s="58"/>
      <c r="H138" s="58"/>
      <c r="I138" s="58"/>
      <c r="J138" s="58"/>
      <c r="K138" s="58"/>
      <c r="O138" s="58"/>
    </row>
    <row r="139" spans="1:15" x14ac:dyDescent="0.3">
      <c r="A139" s="58"/>
      <c r="B139" s="58"/>
      <c r="C139" s="58"/>
      <c r="D139" s="58"/>
      <c r="E139" s="58"/>
      <c r="F139" s="58"/>
      <c r="G139" s="58"/>
      <c r="H139" s="58"/>
      <c r="I139" s="58"/>
      <c r="J139" s="58"/>
      <c r="K139" s="58"/>
      <c r="O139" s="58"/>
    </row>
    <row r="140" spans="1:15" x14ac:dyDescent="0.3">
      <c r="A140" s="58"/>
      <c r="B140" s="58"/>
      <c r="C140" s="58"/>
      <c r="D140" s="58"/>
      <c r="E140" s="58"/>
      <c r="F140" s="58"/>
      <c r="G140" s="58"/>
      <c r="H140" s="58"/>
      <c r="I140" s="58"/>
      <c r="J140" s="58"/>
      <c r="K140" s="58"/>
      <c r="O140" s="58"/>
    </row>
    <row r="141" spans="1:15" x14ac:dyDescent="0.3">
      <c r="A141" s="58"/>
      <c r="B141" s="58"/>
      <c r="C141" s="58"/>
      <c r="D141" s="58"/>
      <c r="E141" s="58"/>
      <c r="F141" s="58"/>
      <c r="G141" s="58"/>
      <c r="H141" s="58"/>
      <c r="I141" s="58"/>
      <c r="J141" s="58"/>
      <c r="K141" s="58"/>
      <c r="O141" s="58"/>
    </row>
    <row r="142" spans="1:15" x14ac:dyDescent="0.3">
      <c r="A142" s="58"/>
      <c r="B142" s="58"/>
      <c r="C142" s="58"/>
      <c r="D142" s="58"/>
      <c r="E142" s="58"/>
      <c r="F142" s="58"/>
      <c r="G142" s="58"/>
      <c r="H142" s="58"/>
      <c r="I142" s="58"/>
      <c r="J142" s="58"/>
      <c r="K142" s="58"/>
      <c r="O142" s="58"/>
    </row>
    <row r="143" spans="1:15" x14ac:dyDescent="0.3">
      <c r="A143" s="58"/>
      <c r="B143" s="58"/>
      <c r="C143" s="58"/>
      <c r="D143" s="58"/>
      <c r="E143" s="58"/>
      <c r="F143" s="58"/>
      <c r="G143" s="58"/>
      <c r="H143" s="58"/>
      <c r="I143" s="58"/>
      <c r="J143" s="58"/>
      <c r="K143" s="58"/>
      <c r="O143" s="58"/>
    </row>
    <row r="144" spans="1:15" x14ac:dyDescent="0.3">
      <c r="A144" s="58"/>
      <c r="B144" s="58"/>
      <c r="C144" s="58"/>
      <c r="D144" s="58"/>
      <c r="E144" s="58"/>
      <c r="F144" s="58"/>
      <c r="G144" s="58"/>
      <c r="H144" s="58"/>
      <c r="I144" s="58"/>
      <c r="J144" s="58"/>
      <c r="K144" s="58"/>
      <c r="O144" s="58"/>
    </row>
    <row r="145" spans="1:15" x14ac:dyDescent="0.3">
      <c r="A145" s="58"/>
      <c r="B145" s="58"/>
      <c r="C145" s="58"/>
      <c r="D145" s="58"/>
      <c r="E145" s="58"/>
      <c r="F145" s="58"/>
      <c r="G145" s="58"/>
      <c r="H145" s="58"/>
      <c r="I145" s="58"/>
      <c r="J145" s="58"/>
      <c r="K145" s="58"/>
      <c r="O145" s="58"/>
    </row>
    <row r="146" spans="1:15" x14ac:dyDescent="0.3">
      <c r="A146" s="58"/>
      <c r="B146" s="58"/>
      <c r="C146" s="58"/>
      <c r="D146" s="58"/>
      <c r="E146" s="58"/>
      <c r="F146" s="58"/>
      <c r="G146" s="58"/>
      <c r="H146" s="58"/>
      <c r="I146" s="58"/>
      <c r="J146" s="58"/>
      <c r="K146" s="58"/>
      <c r="O146" s="58"/>
    </row>
    <row r="147" spans="1:15" x14ac:dyDescent="0.3">
      <c r="A147" s="58"/>
      <c r="B147" s="58"/>
      <c r="C147" s="58"/>
      <c r="D147" s="58"/>
      <c r="E147" s="58"/>
      <c r="F147" s="58"/>
      <c r="G147" s="58"/>
      <c r="H147" s="58"/>
      <c r="I147" s="58"/>
      <c r="J147" s="58"/>
      <c r="K147" s="58"/>
      <c r="O147" s="58"/>
    </row>
    <row r="148" spans="1:15" x14ac:dyDescent="0.3">
      <c r="A148" s="58"/>
      <c r="B148" s="58"/>
      <c r="C148" s="58"/>
      <c r="D148" s="58"/>
      <c r="E148" s="58"/>
      <c r="F148" s="58"/>
      <c r="G148" s="58"/>
      <c r="H148" s="58"/>
      <c r="I148" s="58"/>
      <c r="J148" s="58"/>
      <c r="K148" s="58"/>
      <c r="O148" s="58"/>
    </row>
    <row r="149" spans="1:15" x14ac:dyDescent="0.3">
      <c r="A149" s="58"/>
      <c r="B149" s="58"/>
      <c r="C149" s="58"/>
      <c r="D149" s="58"/>
      <c r="E149" s="58"/>
      <c r="F149" s="58"/>
      <c r="G149" s="58"/>
      <c r="H149" s="58"/>
      <c r="I149" s="58"/>
      <c r="J149" s="58"/>
      <c r="K149" s="58"/>
      <c r="O149" s="58"/>
    </row>
    <row r="150" spans="1:15" x14ac:dyDescent="0.3">
      <c r="A150" s="58"/>
      <c r="B150" s="58"/>
      <c r="C150" s="58"/>
      <c r="D150" s="58"/>
      <c r="E150" s="58"/>
      <c r="F150" s="58"/>
      <c r="G150" s="58"/>
      <c r="H150" s="58"/>
      <c r="I150" s="58"/>
      <c r="J150" s="58"/>
      <c r="K150" s="58"/>
      <c r="O150" s="58"/>
    </row>
    <row r="151" spans="1:15" x14ac:dyDescent="0.3">
      <c r="A151" s="58"/>
      <c r="B151" s="58"/>
      <c r="C151" s="58"/>
      <c r="D151" s="58"/>
      <c r="E151" s="58"/>
      <c r="F151" s="58"/>
      <c r="G151" s="58"/>
      <c r="H151" s="58"/>
      <c r="I151" s="58"/>
      <c r="J151" s="58"/>
      <c r="K151" s="58"/>
      <c r="O151" s="58"/>
    </row>
    <row r="152" spans="1:15" x14ac:dyDescent="0.3">
      <c r="A152" s="58"/>
      <c r="B152" s="58"/>
      <c r="C152" s="58"/>
      <c r="D152" s="58"/>
      <c r="E152" s="58"/>
      <c r="F152" s="58"/>
      <c r="G152" s="58"/>
      <c r="H152" s="58"/>
      <c r="I152" s="58"/>
      <c r="J152" s="58"/>
      <c r="K152" s="58"/>
      <c r="O152" s="58"/>
    </row>
    <row r="153" spans="1:15" x14ac:dyDescent="0.3">
      <c r="A153" s="58"/>
      <c r="B153" s="58"/>
      <c r="C153" s="58"/>
      <c r="D153" s="58"/>
      <c r="E153" s="58"/>
      <c r="F153" s="58"/>
      <c r="G153" s="58"/>
      <c r="H153" s="58"/>
      <c r="I153" s="58"/>
      <c r="J153" s="58"/>
      <c r="K153" s="58"/>
      <c r="O153" s="58"/>
    </row>
    <row r="154" spans="1:15" x14ac:dyDescent="0.3">
      <c r="O154" s="58"/>
    </row>
    <row r="155" spans="1:15" x14ac:dyDescent="0.3">
      <c r="O155" s="58"/>
    </row>
    <row r="156" spans="1:15" x14ac:dyDescent="0.3">
      <c r="O156" s="58"/>
    </row>
    <row r="157" spans="1:15" x14ac:dyDescent="0.3">
      <c r="O157" s="58"/>
    </row>
    <row r="158" spans="1:15" x14ac:dyDescent="0.3">
      <c r="O158" s="58"/>
    </row>
    <row r="159" spans="1:15" x14ac:dyDescent="0.3">
      <c r="O159" s="58"/>
    </row>
    <row r="160" spans="1:15" x14ac:dyDescent="0.3">
      <c r="O160" s="58"/>
    </row>
    <row r="161" spans="1:15" x14ac:dyDescent="0.3">
      <c r="O161" s="58"/>
    </row>
    <row r="162" spans="1:15" x14ac:dyDescent="0.3">
      <c r="O162" s="58"/>
    </row>
    <row r="163" spans="1:15" x14ac:dyDescent="0.3">
      <c r="O163" s="58"/>
    </row>
    <row r="164" spans="1:15" x14ac:dyDescent="0.3">
      <c r="O164" s="58"/>
    </row>
    <row r="165" spans="1:15" x14ac:dyDescent="0.3">
      <c r="O165" s="58"/>
    </row>
    <row r="166" spans="1:15" x14ac:dyDescent="0.3">
      <c r="O166" s="58"/>
    </row>
    <row r="167" spans="1:15" x14ac:dyDescent="0.3">
      <c r="O167" s="58"/>
    </row>
    <row r="168" spans="1:15" x14ac:dyDescent="0.3">
      <c r="O168" s="58"/>
    </row>
    <row r="169" spans="1:15" x14ac:dyDescent="0.3">
      <c r="O169" s="58"/>
    </row>
    <row r="170" spans="1:15" x14ac:dyDescent="0.3">
      <c r="A170" s="58"/>
      <c r="B170" s="58"/>
      <c r="C170" s="58"/>
      <c r="D170" s="58"/>
      <c r="E170" s="58"/>
      <c r="F170" s="58"/>
      <c r="G170" s="58"/>
      <c r="H170" s="58"/>
      <c r="I170" s="58"/>
      <c r="J170" s="58"/>
      <c r="K170" s="58"/>
      <c r="O170" s="58"/>
    </row>
    <row r="171" spans="1:15" x14ac:dyDescent="0.3">
      <c r="A171" s="58"/>
      <c r="B171" s="58"/>
      <c r="C171" s="58"/>
      <c r="D171" s="58"/>
      <c r="E171" s="58"/>
      <c r="F171" s="58"/>
      <c r="G171" s="58"/>
      <c r="H171" s="58"/>
      <c r="I171" s="58"/>
      <c r="J171" s="58"/>
      <c r="K171" s="58"/>
      <c r="O171" s="58"/>
    </row>
    <row r="172" spans="1:15" x14ac:dyDescent="0.3">
      <c r="A172" s="58"/>
      <c r="B172" s="58"/>
      <c r="C172" s="58"/>
      <c r="D172" s="58"/>
      <c r="E172" s="58"/>
      <c r="F172" s="58"/>
      <c r="G172" s="58"/>
      <c r="H172" s="58"/>
      <c r="I172" s="58"/>
      <c r="J172" s="58"/>
      <c r="K172" s="58"/>
      <c r="O172" s="58"/>
    </row>
    <row r="173" spans="1:15" x14ac:dyDescent="0.3">
      <c r="A173" s="58"/>
      <c r="B173" s="58"/>
      <c r="C173" s="58"/>
      <c r="D173" s="58"/>
      <c r="E173" s="58"/>
      <c r="F173" s="58"/>
      <c r="G173" s="58"/>
      <c r="H173" s="58"/>
      <c r="I173" s="58"/>
      <c r="J173" s="58"/>
      <c r="K173" s="58"/>
      <c r="O173" s="58"/>
    </row>
    <row r="174" spans="1:15" x14ac:dyDescent="0.3">
      <c r="A174" s="58"/>
      <c r="B174" s="58"/>
      <c r="C174" s="58"/>
      <c r="D174" s="58"/>
      <c r="E174" s="58"/>
      <c r="F174" s="58"/>
      <c r="G174" s="58"/>
      <c r="H174" s="58"/>
      <c r="I174" s="58"/>
      <c r="J174" s="58"/>
      <c r="K174" s="58"/>
      <c r="O174" s="58"/>
    </row>
    <row r="175" spans="1:15" x14ac:dyDescent="0.3">
      <c r="A175" s="58"/>
      <c r="B175" s="58"/>
      <c r="C175" s="58"/>
      <c r="D175" s="58"/>
      <c r="E175" s="58"/>
      <c r="F175" s="58"/>
      <c r="G175" s="58"/>
      <c r="H175" s="58"/>
      <c r="I175" s="58"/>
      <c r="J175" s="58"/>
      <c r="K175" s="58"/>
      <c r="O175" s="58"/>
    </row>
    <row r="176" spans="1:15" x14ac:dyDescent="0.3">
      <c r="A176" s="58"/>
      <c r="B176" s="58"/>
      <c r="C176" s="58"/>
      <c r="D176" s="58"/>
      <c r="E176" s="58"/>
      <c r="F176" s="58"/>
      <c r="G176" s="58"/>
      <c r="H176" s="58"/>
      <c r="I176" s="58"/>
      <c r="J176" s="58"/>
      <c r="K176" s="58"/>
      <c r="O176" s="58"/>
    </row>
  </sheetData>
  <hyperlinks>
    <hyperlink ref="A1" location="Innhold!A1" display="Tilbake" xr:uid="{00000000-0004-0000-0200-000000000000}"/>
  </hyperlinks>
  <pageMargins left="0.7" right="0.7" top="0.78740157499999996" bottom="0.78740157499999996"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37C7-9E35-491E-AA5D-FD2A7954B218}">
  <dimension ref="A1:O144"/>
  <sheetViews>
    <sheetView showGridLines="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372</v>
      </c>
      <c r="D1" s="26"/>
      <c r="E1" s="26"/>
      <c r="F1" s="26"/>
      <c r="G1" s="26"/>
      <c r="H1" s="26"/>
      <c r="I1" s="26"/>
      <c r="J1" s="26"/>
      <c r="K1" s="26"/>
      <c r="L1" s="26"/>
      <c r="M1" s="26"/>
    </row>
    <row r="2" spans="1:14" ht="15.75" x14ac:dyDescent="0.25">
      <c r="A2" s="150" t="s">
        <v>28</v>
      </c>
      <c r="B2" s="717"/>
      <c r="C2" s="717"/>
      <c r="D2" s="717"/>
      <c r="E2" s="525"/>
      <c r="F2" s="717"/>
      <c r="G2" s="717"/>
      <c r="H2" s="717"/>
      <c r="I2" s="525"/>
      <c r="J2" s="717"/>
      <c r="K2" s="717"/>
      <c r="L2" s="717"/>
      <c r="M2" s="525"/>
    </row>
    <row r="3" spans="1:14" ht="15.75" x14ac:dyDescent="0.25">
      <c r="A3" s="148"/>
      <c r="B3" s="525"/>
      <c r="C3" s="525"/>
      <c r="D3" s="525"/>
      <c r="E3" s="525"/>
      <c r="F3" s="525"/>
      <c r="G3" s="525"/>
      <c r="H3" s="525"/>
      <c r="I3" s="525"/>
      <c r="J3" s="525"/>
      <c r="K3" s="525"/>
      <c r="L3" s="525"/>
      <c r="M3" s="525"/>
    </row>
    <row r="4" spans="1:14" x14ac:dyDescent="0.2">
      <c r="A4" s="129"/>
      <c r="B4" s="715" t="s">
        <v>0</v>
      </c>
      <c r="C4" s="716"/>
      <c r="D4" s="716"/>
      <c r="E4" s="523"/>
      <c r="F4" s="715" t="s">
        <v>1</v>
      </c>
      <c r="G4" s="716"/>
      <c r="H4" s="716"/>
      <c r="I4" s="524"/>
      <c r="J4" s="715" t="s">
        <v>2</v>
      </c>
      <c r="K4" s="716"/>
      <c r="L4" s="716"/>
      <c r="M4" s="524"/>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3128</v>
      </c>
      <c r="C7" s="292">
        <v>5854</v>
      </c>
      <c r="D7" s="334">
        <f>IF(B7=0, "    ---- ", IF(ABS(ROUND(100/B7*C7-100,1))&lt;999,ROUND(100/B7*C7-100,1),IF(ROUND(100/B7*C7-100,1)&gt;999,999,-999)))</f>
        <v>87.1</v>
      </c>
      <c r="E7" s="11">
        <f>IFERROR(100/'Skjema total MA'!C7*C7,0)</f>
        <v>0.18587078268187565</v>
      </c>
      <c r="F7" s="291"/>
      <c r="G7" s="292"/>
      <c r="H7" s="334"/>
      <c r="I7" s="145"/>
      <c r="J7" s="293">
        <f t="shared" ref="J7:K10" si="0">SUM(B7,F7)</f>
        <v>3128</v>
      </c>
      <c r="K7" s="294">
        <f t="shared" si="0"/>
        <v>5854</v>
      </c>
      <c r="L7" s="404">
        <f>IF(J7=0, "    ---- ", IF(ABS(ROUND(100/J7*K7-100,1))&lt;999,ROUND(100/J7*K7-100,1),IF(ROUND(100/J7*K7-100,1)&gt;999,999,-999)))</f>
        <v>87.1</v>
      </c>
      <c r="M7" s="11">
        <f>IFERROR(100/'Skjema total MA'!I7*K7,0)</f>
        <v>5.3558778274775648E-2</v>
      </c>
    </row>
    <row r="8" spans="1:14" ht="15.75" x14ac:dyDescent="0.2">
      <c r="A8" s="21" t="s">
        <v>25</v>
      </c>
      <c r="B8" s="266">
        <v>1592</v>
      </c>
      <c r="C8" s="267">
        <v>3156</v>
      </c>
      <c r="D8" s="151">
        <f t="shared" ref="D8:D10" si="1">IF(B8=0, "    ---- ", IF(ABS(ROUND(100/B8*C8-100,1))&lt;999,ROUND(100/B8*C8-100,1),IF(ROUND(100/B8*C8-100,1)&gt;999,999,-999)))</f>
        <v>98.2</v>
      </c>
      <c r="E8" s="27">
        <f>IFERROR(100/'Skjema total MA'!C8*C8,0)</f>
        <v>0.14987107223860485</v>
      </c>
      <c r="F8" s="270"/>
      <c r="G8" s="271"/>
      <c r="H8" s="151"/>
      <c r="I8" s="161"/>
      <c r="J8" s="218">
        <f t="shared" si="0"/>
        <v>1592</v>
      </c>
      <c r="K8" s="272">
        <f t="shared" si="0"/>
        <v>3156</v>
      </c>
      <c r="L8" s="151">
        <f t="shared" ref="L8:L10" si="2">IF(J8=0, "    ---- ", IF(ABS(ROUND(100/J8*K8-100,1))&lt;999,ROUND(100/J8*K8-100,1),IF(ROUND(100/J8*K8-100,1)&gt;999,999,-999)))</f>
        <v>98.2</v>
      </c>
      <c r="M8" s="27">
        <f>IFERROR(100/'Skjema total MA'!I8*K8,0)</f>
        <v>0.14987107223860485</v>
      </c>
    </row>
    <row r="9" spans="1:14" ht="15.75" x14ac:dyDescent="0.2">
      <c r="A9" s="21" t="s">
        <v>24</v>
      </c>
      <c r="B9" s="266">
        <v>750</v>
      </c>
      <c r="C9" s="267">
        <v>1210</v>
      </c>
      <c r="D9" s="151">
        <f t="shared" si="1"/>
        <v>61.3</v>
      </c>
      <c r="E9" s="27">
        <f>IFERROR(100/'Skjema total MA'!C9*C9,0)</f>
        <v>0.1807863189452536</v>
      </c>
      <c r="F9" s="270"/>
      <c r="G9" s="271"/>
      <c r="H9" s="151"/>
      <c r="I9" s="161"/>
      <c r="J9" s="218">
        <f t="shared" si="0"/>
        <v>750</v>
      </c>
      <c r="K9" s="272">
        <f t="shared" si="0"/>
        <v>1210</v>
      </c>
      <c r="L9" s="151">
        <f t="shared" si="2"/>
        <v>61.3</v>
      </c>
      <c r="M9" s="27">
        <f>IFERROR(100/'Skjema total MA'!I9*K9,0)</f>
        <v>0.1807863189452536</v>
      </c>
    </row>
    <row r="10" spans="1:14" ht="15.75" x14ac:dyDescent="0.2">
      <c r="A10" s="13" t="s">
        <v>322</v>
      </c>
      <c r="B10" s="295">
        <v>6313</v>
      </c>
      <c r="C10" s="296">
        <v>5213</v>
      </c>
      <c r="D10" s="156">
        <f t="shared" si="1"/>
        <v>-17.399999999999999</v>
      </c>
      <c r="E10" s="11">
        <f>IFERROR(100/'Skjema total MA'!C10*C10,0)</f>
        <v>3.9375145017290232E-2</v>
      </c>
      <c r="F10" s="295"/>
      <c r="G10" s="296"/>
      <c r="H10" s="156"/>
      <c r="I10" s="145"/>
      <c r="J10" s="293">
        <f t="shared" si="0"/>
        <v>6313</v>
      </c>
      <c r="K10" s="294">
        <f t="shared" si="0"/>
        <v>5213</v>
      </c>
      <c r="L10" s="405">
        <f t="shared" si="2"/>
        <v>-17.399999999999999</v>
      </c>
      <c r="M10" s="11">
        <f>IFERROR(100/'Skjema total MA'!I10*K10,0)</f>
        <v>4.8713347792782918E-3</v>
      </c>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525"/>
      <c r="F18" s="714"/>
      <c r="G18" s="714"/>
      <c r="H18" s="714"/>
      <c r="I18" s="525"/>
      <c r="J18" s="714"/>
      <c r="K18" s="714"/>
      <c r="L18" s="714"/>
      <c r="M18" s="525"/>
    </row>
    <row r="19" spans="1:14" x14ac:dyDescent="0.2">
      <c r="A19" s="129"/>
      <c r="B19" s="715" t="s">
        <v>0</v>
      </c>
      <c r="C19" s="716"/>
      <c r="D19" s="716"/>
      <c r="E19" s="523"/>
      <c r="F19" s="715" t="s">
        <v>1</v>
      </c>
      <c r="G19" s="716"/>
      <c r="H19" s="716"/>
      <c r="I19" s="524"/>
      <c r="J19" s="715" t="s">
        <v>2</v>
      </c>
      <c r="K19" s="716"/>
      <c r="L19" s="716"/>
      <c r="M19" s="524"/>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v>1828</v>
      </c>
      <c r="C22" s="295">
        <v>5073</v>
      </c>
      <c r="D22" s="334">
        <f t="shared" ref="D22:D37" si="3">IF(B22=0, "    ---- ", IF(ABS(ROUND(100/B22*C22-100,1))&lt;999,ROUND(100/B22*C22-100,1),IF(ROUND(100/B22*C22-100,1)&gt;999,999,-999)))</f>
        <v>177.5</v>
      </c>
      <c r="E22" s="11">
        <f>IFERROR(100/'Skjema total MA'!C22*C22,0)</f>
        <v>0.3627571271885735</v>
      </c>
      <c r="F22" s="303"/>
      <c r="G22" s="303"/>
      <c r="H22" s="334"/>
      <c r="I22" s="11"/>
      <c r="J22" s="301">
        <f t="shared" ref="J22:K37" si="4">SUM(B22,F22)</f>
        <v>1828</v>
      </c>
      <c r="K22" s="301">
        <f t="shared" si="4"/>
        <v>5073</v>
      </c>
      <c r="L22" s="404">
        <f t="shared" ref="L22:L30" si="5">IF(J22=0, "    ---- ", IF(ABS(ROUND(100/J22*K22-100,1))&lt;999,ROUND(100/J22*K22-100,1),IF(ROUND(100/J22*K22-100,1)&gt;999,999,-999)))</f>
        <v>177.5</v>
      </c>
      <c r="M22" s="24">
        <f>IFERROR(100/'Skjema total MA'!I22*K22,0)</f>
        <v>0.27039359343465097</v>
      </c>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v>1338</v>
      </c>
      <c r="C28" s="272">
        <v>3703</v>
      </c>
      <c r="D28" s="151">
        <f t="shared" si="3"/>
        <v>176.8</v>
      </c>
      <c r="E28" s="11">
        <f>IFERROR(100/'Skjema total MA'!C28*C28,0)</f>
        <v>0.21926170378444096</v>
      </c>
      <c r="F28" s="218"/>
      <c r="G28" s="272"/>
      <c r="H28" s="151"/>
      <c r="I28" s="27"/>
      <c r="J28" s="44">
        <f t="shared" si="4"/>
        <v>1338</v>
      </c>
      <c r="K28" s="44">
        <f t="shared" si="4"/>
        <v>3703</v>
      </c>
      <c r="L28" s="242">
        <f t="shared" si="5"/>
        <v>176.8</v>
      </c>
      <c r="M28" s="23">
        <f>IFERROR(100/'Skjema total MA'!I28*K28,0)</f>
        <v>0.21926170378444096</v>
      </c>
    </row>
    <row r="29" spans="1:14" s="3" customFormat="1" ht="15.75" x14ac:dyDescent="0.2">
      <c r="A29" s="13" t="s">
        <v>322</v>
      </c>
      <c r="B29" s="220">
        <v>2133</v>
      </c>
      <c r="C29" s="220">
        <v>8585</v>
      </c>
      <c r="D29" s="156">
        <f t="shared" si="3"/>
        <v>302.5</v>
      </c>
      <c r="E29" s="11">
        <f>IFERROR(100/'Skjema total MA'!C29*C29,0)</f>
        <v>1.9606905799209377E-2</v>
      </c>
      <c r="F29" s="293"/>
      <c r="G29" s="293"/>
      <c r="H29" s="156"/>
      <c r="I29" s="11"/>
      <c r="J29" s="220">
        <f t="shared" si="4"/>
        <v>2133</v>
      </c>
      <c r="K29" s="220">
        <f t="shared" si="4"/>
        <v>8585</v>
      </c>
      <c r="L29" s="405">
        <f t="shared" si="5"/>
        <v>302.5</v>
      </c>
      <c r="M29" s="24">
        <f>IFERROR(100/'Skjema total MA'!I29*K29,0)</f>
        <v>1.1880508951230093E-2</v>
      </c>
      <c r="N29" s="133"/>
    </row>
    <row r="30" spans="1:14" s="3" customFormat="1" ht="15.75" x14ac:dyDescent="0.2">
      <c r="A30" s="453" t="s">
        <v>325</v>
      </c>
      <c r="B30" s="266">
        <v>2133</v>
      </c>
      <c r="C30" s="266">
        <v>8585</v>
      </c>
      <c r="D30" s="151">
        <f t="shared" si="3"/>
        <v>302.5</v>
      </c>
      <c r="E30" s="11">
        <f>IFERROR(100/'Skjema total MA'!C30*C30,0)</f>
        <v>4.7661950595753871E-2</v>
      </c>
      <c r="F30" s="275"/>
      <c r="G30" s="275"/>
      <c r="H30" s="151"/>
      <c r="I30" s="394"/>
      <c r="J30" s="275">
        <f t="shared" si="4"/>
        <v>2133</v>
      </c>
      <c r="K30" s="275">
        <f t="shared" si="4"/>
        <v>8585</v>
      </c>
      <c r="L30" s="151">
        <f t="shared" si="5"/>
        <v>302.5</v>
      </c>
      <c r="M30" s="23">
        <f>IFERROR(100/'Skjema total MA'!I30*K30,0)</f>
        <v>3.9417559980608752E-2</v>
      </c>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v>6190</v>
      </c>
      <c r="D36" s="156" t="str">
        <f t="shared" si="3"/>
        <v xml:space="preserve">    ---- </v>
      </c>
      <c r="E36" s="11">
        <f>IFERROR(100/'Skjema total MA'!C36*C36,0)</f>
        <v>85.761071317881658</v>
      </c>
      <c r="F36" s="304"/>
      <c r="G36" s="305"/>
      <c r="H36" s="156"/>
      <c r="I36" s="411"/>
      <c r="J36" s="220"/>
      <c r="K36" s="220">
        <f t="shared" si="4"/>
        <v>6190</v>
      </c>
      <c r="L36" s="405"/>
      <c r="M36" s="24">
        <f>IFERROR(100/'Skjema total MA'!I36*K36,0)</f>
        <v>85.761071317881658</v>
      </c>
    </row>
    <row r="37" spans="1:14" ht="15.75" x14ac:dyDescent="0.2">
      <c r="A37" s="12" t="s">
        <v>330</v>
      </c>
      <c r="B37" s="220"/>
      <c r="C37" s="294">
        <v>5303</v>
      </c>
      <c r="D37" s="156" t="str">
        <f t="shared" si="3"/>
        <v xml:space="preserve">    ---- </v>
      </c>
      <c r="E37" s="11">
        <f>IFERROR(100/'Skjema total MA'!C37*C37,0)</f>
        <v>0.20454683917893118</v>
      </c>
      <c r="F37" s="304"/>
      <c r="G37" s="306"/>
      <c r="H37" s="156"/>
      <c r="I37" s="411"/>
      <c r="J37" s="220"/>
      <c r="K37" s="220">
        <f t="shared" si="4"/>
        <v>5303</v>
      </c>
      <c r="L37" s="405"/>
      <c r="M37" s="24">
        <f>IFERROR(100/'Skjema total MA'!I37*K37,0)</f>
        <v>0.20454683917893118</v>
      </c>
    </row>
    <row r="38" spans="1:14" ht="15.75" x14ac:dyDescent="0.2">
      <c r="A38" s="12" t="s">
        <v>331</v>
      </c>
      <c r="B38" s="220"/>
      <c r="C38" s="294"/>
      <c r="D38" s="409"/>
      <c r="E38" s="24"/>
      <c r="F38" s="304"/>
      <c r="G38" s="305"/>
      <c r="H38" s="156"/>
      <c r="I38" s="411"/>
      <c r="J38" s="220"/>
      <c r="K38" s="220"/>
      <c r="L38" s="405"/>
      <c r="M38" s="24"/>
    </row>
    <row r="39" spans="1:14" ht="15.75" x14ac:dyDescent="0.2">
      <c r="A39" s="18" t="s">
        <v>332</v>
      </c>
      <c r="B39" s="261"/>
      <c r="C39" s="300"/>
      <c r="D39" s="410"/>
      <c r="E39" s="36"/>
      <c r="F39" s="307"/>
      <c r="G39" s="308"/>
      <c r="H39" s="154"/>
      <c r="I39" s="36"/>
      <c r="J39" s="220"/>
      <c r="K39" s="220"/>
      <c r="L39" s="406"/>
      <c r="M39" s="36"/>
    </row>
    <row r="40" spans="1:14" ht="15.75" x14ac:dyDescent="0.25">
      <c r="A40" s="47"/>
      <c r="B40" s="241"/>
      <c r="C40" s="241"/>
      <c r="D40" s="718"/>
      <c r="E40" s="719"/>
      <c r="F40" s="718"/>
      <c r="G40" s="718"/>
      <c r="H40" s="718"/>
      <c r="I40" s="718"/>
      <c r="J40" s="718"/>
      <c r="K40" s="718"/>
      <c r="L40" s="718"/>
      <c r="M40" s="526"/>
    </row>
    <row r="41" spans="1:14" x14ac:dyDescent="0.2">
      <c r="A41" s="140"/>
    </row>
    <row r="42" spans="1:14" ht="15.75" x14ac:dyDescent="0.25">
      <c r="A42" s="132" t="s">
        <v>243</v>
      </c>
      <c r="B42" s="717"/>
      <c r="C42" s="717"/>
      <c r="D42" s="717"/>
      <c r="E42" s="525"/>
      <c r="F42" s="719"/>
      <c r="G42" s="719"/>
      <c r="H42" s="719"/>
      <c r="I42" s="526"/>
      <c r="J42" s="719"/>
      <c r="K42" s="719"/>
      <c r="L42" s="719"/>
      <c r="M42" s="526"/>
    </row>
    <row r="43" spans="1:14" ht="15.75" x14ac:dyDescent="0.25">
      <c r="A43" s="148"/>
      <c r="B43" s="521"/>
      <c r="C43" s="521"/>
      <c r="D43" s="521"/>
      <c r="E43" s="521"/>
      <c r="F43" s="526"/>
      <c r="G43" s="526"/>
      <c r="H43" s="526"/>
      <c r="I43" s="526"/>
      <c r="J43" s="526"/>
      <c r="K43" s="526"/>
      <c r="L43" s="526"/>
      <c r="M43" s="526"/>
    </row>
    <row r="44" spans="1:14" ht="15.75" x14ac:dyDescent="0.25">
      <c r="A44" s="232"/>
      <c r="B44" s="715" t="s">
        <v>0</v>
      </c>
      <c r="C44" s="716"/>
      <c r="D44" s="716"/>
      <c r="E44" s="228"/>
      <c r="F44" s="526"/>
      <c r="G44" s="526"/>
      <c r="H44" s="526"/>
      <c r="I44" s="526"/>
      <c r="J44" s="526"/>
      <c r="K44" s="526"/>
      <c r="L44" s="526"/>
      <c r="M44" s="526"/>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c r="C47" s="296">
        <v>14581</v>
      </c>
      <c r="D47" s="404" t="str">
        <f t="shared" ref="D47:D48" si="6">IF(B47=0, "    ---- ", IF(ABS(ROUND(100/B47*C47-100,1))&lt;999,ROUND(100/B47*C47-100,1),IF(ROUND(100/B47*C47-100,1)&gt;999,999,-999)))</f>
        <v xml:space="preserve">    ---- </v>
      </c>
      <c r="E47" s="11">
        <f>IFERROR(100/'Skjema total MA'!C47*C47,0)</f>
        <v>0.27973776082104235</v>
      </c>
      <c r="F47" s="130"/>
      <c r="G47" s="33"/>
      <c r="H47" s="144"/>
      <c r="I47" s="144"/>
      <c r="J47" s="37"/>
      <c r="K47" s="37"/>
      <c r="L47" s="144"/>
      <c r="M47" s="144"/>
      <c r="N47" s="133"/>
    </row>
    <row r="48" spans="1:14" s="3" customFormat="1" ht="15.75" x14ac:dyDescent="0.2">
      <c r="A48" s="38" t="s">
        <v>333</v>
      </c>
      <c r="B48" s="266"/>
      <c r="C48" s="267">
        <v>14581</v>
      </c>
      <c r="D48" s="242" t="str">
        <f t="shared" si="6"/>
        <v xml:space="preserve">    ---- </v>
      </c>
      <c r="E48" s="27">
        <f>IFERROR(100/'Skjema total MA'!C48*C48,0)</f>
        <v>0.49130928000970614</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525"/>
      <c r="F62" s="714"/>
      <c r="G62" s="714"/>
      <c r="H62" s="714"/>
      <c r="I62" s="525"/>
      <c r="J62" s="714"/>
      <c r="K62" s="714"/>
      <c r="L62" s="714"/>
      <c r="M62" s="525"/>
    </row>
    <row r="63" spans="1:14" x14ac:dyDescent="0.2">
      <c r="A63" s="129"/>
      <c r="B63" s="715" t="s">
        <v>0</v>
      </c>
      <c r="C63" s="716"/>
      <c r="D63" s="720"/>
      <c r="E63" s="522"/>
      <c r="F63" s="716" t="s">
        <v>1</v>
      </c>
      <c r="G63" s="716"/>
      <c r="H63" s="716"/>
      <c r="I63" s="524"/>
      <c r="J63" s="715" t="s">
        <v>2</v>
      </c>
      <c r="K63" s="716"/>
      <c r="L63" s="716"/>
      <c r="M63" s="524"/>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v>10315</v>
      </c>
      <c r="D66" s="334" t="str">
        <f t="shared" ref="D66:D122" si="7">IF(B66=0, "    ---- ", IF(ABS(ROUND(100/B66*C66-100,1))&lt;999,ROUND(100/B66*C66-100,1),IF(ROUND(100/B66*C66-100,1)&gt;999,999,-999)))</f>
        <v xml:space="preserve">    ---- </v>
      </c>
      <c r="E66" s="11">
        <f>IFERROR(100/'Skjema total MA'!C66*C66,0)</f>
        <v>0.21120579825454014</v>
      </c>
      <c r="F66" s="336"/>
      <c r="G66" s="336"/>
      <c r="H66" s="334"/>
      <c r="I66" s="11"/>
      <c r="J66" s="294">
        <f t="shared" ref="J66:K76" si="8">SUM(B66,F66)</f>
        <v>0</v>
      </c>
      <c r="K66" s="301">
        <f t="shared" si="8"/>
        <v>10315</v>
      </c>
      <c r="L66" s="405" t="str">
        <f t="shared" ref="L66:L122" si="9">IF(J66=0, "    ---- ", IF(ABS(ROUND(100/J66*K66-100,1))&lt;999,ROUND(100/J66*K66-100,1),IF(ROUND(100/J66*K66-100,1)&gt;999,999,-999)))</f>
        <v xml:space="preserve">    ---- </v>
      </c>
      <c r="M66" s="11">
        <f>IFERROR(100/'Skjema total MA'!I66*K66,0)</f>
        <v>3.3106965742342079E-2</v>
      </c>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79"/>
      <c r="D69" s="151"/>
      <c r="E69" s="394"/>
      <c r="F69" s="690"/>
      <c r="G69" s="279"/>
      <c r="H69" s="151"/>
      <c r="I69" s="394"/>
      <c r="J69" s="690"/>
      <c r="K69" s="279"/>
      <c r="L69" s="151"/>
      <c r="M69" s="23"/>
    </row>
    <row r="70" spans="1:14" x14ac:dyDescent="0.2">
      <c r="A70" s="281" t="s">
        <v>12</v>
      </c>
      <c r="B70" s="279"/>
      <c r="C70" s="279"/>
      <c r="D70" s="151"/>
      <c r="E70" s="394"/>
      <c r="F70" s="690"/>
      <c r="G70" s="279"/>
      <c r="H70" s="151"/>
      <c r="I70" s="394"/>
      <c r="J70" s="690"/>
      <c r="K70" s="279"/>
      <c r="L70" s="151"/>
      <c r="M70" s="23"/>
    </row>
    <row r="71" spans="1:14" x14ac:dyDescent="0.2">
      <c r="A71" s="281" t="s">
        <v>13</v>
      </c>
      <c r="B71" s="279"/>
      <c r="C71" s="279"/>
      <c r="D71" s="151"/>
      <c r="E71" s="394"/>
      <c r="F71" s="690"/>
      <c r="G71" s="279"/>
      <c r="H71" s="151"/>
      <c r="I71" s="394"/>
      <c r="J71" s="690"/>
      <c r="K71" s="279"/>
      <c r="L71" s="151"/>
      <c r="M71" s="23"/>
    </row>
    <row r="72" spans="1:14" ht="15.75" x14ac:dyDescent="0.2">
      <c r="A72" s="281" t="s">
        <v>338</v>
      </c>
      <c r="B72" s="279"/>
      <c r="C72" s="279"/>
      <c r="D72" s="151"/>
      <c r="E72" s="394"/>
      <c r="F72" s="690"/>
      <c r="G72" s="279"/>
      <c r="H72" s="151"/>
      <c r="I72" s="394"/>
      <c r="J72" s="690"/>
      <c r="K72" s="279"/>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v>10315</v>
      </c>
      <c r="D76" s="151" t="str">
        <f t="shared" si="7"/>
        <v xml:space="preserve">    ---- </v>
      </c>
      <c r="E76" s="27">
        <f>IFERROR(100/'Skjema total MA'!C77*C76,0)</f>
        <v>0.36233993917178325</v>
      </c>
      <c r="F76" s="218"/>
      <c r="G76" s="130"/>
      <c r="H76" s="151"/>
      <c r="I76" s="27"/>
      <c r="J76" s="272"/>
      <c r="K76" s="44">
        <f t="shared" si="8"/>
        <v>10315</v>
      </c>
      <c r="L76" s="242" t="str">
        <f t="shared" si="9"/>
        <v xml:space="preserve">    ---- </v>
      </c>
      <c r="M76" s="27">
        <f>IFERROR(100/'Skjema total MA'!I77*K76,0)</f>
        <v>3.6726063491412567E-2</v>
      </c>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279"/>
      <c r="C80" s="279"/>
      <c r="D80" s="151"/>
      <c r="E80" s="394"/>
      <c r="F80" s="690"/>
      <c r="G80" s="279"/>
      <c r="H80" s="151"/>
      <c r="I80" s="394"/>
      <c r="J80" s="690"/>
      <c r="K80" s="279"/>
      <c r="L80" s="151"/>
      <c r="M80" s="23"/>
    </row>
    <row r="81" spans="1:13" x14ac:dyDescent="0.2">
      <c r="A81" s="281" t="s">
        <v>12</v>
      </c>
      <c r="B81" s="279"/>
      <c r="C81" s="279"/>
      <c r="D81" s="151"/>
      <c r="E81" s="394"/>
      <c r="F81" s="690"/>
      <c r="G81" s="279"/>
      <c r="H81" s="151"/>
      <c r="I81" s="394"/>
      <c r="J81" s="690"/>
      <c r="K81" s="279"/>
      <c r="L81" s="151"/>
      <c r="M81" s="23"/>
    </row>
    <row r="82" spans="1:13" x14ac:dyDescent="0.2">
      <c r="A82" s="281" t="s">
        <v>13</v>
      </c>
      <c r="B82" s="279"/>
      <c r="C82" s="279"/>
      <c r="D82" s="151"/>
      <c r="E82" s="394"/>
      <c r="F82" s="690"/>
      <c r="G82" s="279"/>
      <c r="H82" s="151"/>
      <c r="I82" s="394"/>
      <c r="J82" s="690"/>
      <c r="K82" s="279"/>
      <c r="L82" s="151"/>
      <c r="M82" s="23"/>
    </row>
    <row r="83" spans="1:13" ht="15.75" x14ac:dyDescent="0.2">
      <c r="A83" s="281" t="s">
        <v>338</v>
      </c>
      <c r="B83" s="279"/>
      <c r="C83" s="279"/>
      <c r="D83" s="151"/>
      <c r="E83" s="394"/>
      <c r="F83" s="690"/>
      <c r="G83" s="279"/>
      <c r="H83" s="151"/>
      <c r="I83" s="394"/>
      <c r="J83" s="690"/>
      <c r="K83" s="279"/>
      <c r="L83" s="151"/>
      <c r="M83" s="23"/>
    </row>
    <row r="84" spans="1:13" x14ac:dyDescent="0.2">
      <c r="A84" s="281" t="s">
        <v>12</v>
      </c>
      <c r="B84" s="219"/>
      <c r="C84" s="274"/>
      <c r="D84" s="151"/>
      <c r="E84" s="394"/>
      <c r="F84" s="172"/>
      <c r="G84" s="274"/>
      <c r="H84" s="151"/>
      <c r="I84" s="394"/>
      <c r="J84" s="172"/>
      <c r="K84" s="274"/>
      <c r="L84" s="151"/>
      <c r="M84" s="23"/>
    </row>
    <row r="85" spans="1:13" x14ac:dyDescent="0.2">
      <c r="A85" s="281" t="s">
        <v>13</v>
      </c>
      <c r="B85" s="219"/>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v>37470</v>
      </c>
      <c r="D87" s="156" t="str">
        <f t="shared" si="7"/>
        <v xml:space="preserve">    ---- </v>
      </c>
      <c r="E87" s="11">
        <f>IFERROR(100/'Skjema total MA'!C87*C87,0)</f>
        <v>9.2755860581310856E-3</v>
      </c>
      <c r="F87" s="336"/>
      <c r="G87" s="336"/>
      <c r="H87" s="156"/>
      <c r="I87" s="11"/>
      <c r="J87" s="294"/>
      <c r="K87" s="220">
        <f t="shared" ref="J87:K111" si="10">SUM(C87,G87)</f>
        <v>37470</v>
      </c>
      <c r="L87" s="405" t="str">
        <f t="shared" si="9"/>
        <v xml:space="preserve">    ---- </v>
      </c>
      <c r="M87" s="11">
        <f>IFERROR(100/'Skjema total MA'!I87*K87,0)</f>
        <v>3.6856679736034042E-3</v>
      </c>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279"/>
      <c r="C90" s="279"/>
      <c r="D90" s="151"/>
      <c r="E90" s="394"/>
      <c r="F90" s="690"/>
      <c r="G90" s="279"/>
      <c r="H90" s="151"/>
      <c r="I90" s="394"/>
      <c r="J90" s="690"/>
      <c r="K90" s="279"/>
      <c r="L90" s="151"/>
      <c r="M90" s="23"/>
    </row>
    <row r="91" spans="1:13" x14ac:dyDescent="0.2">
      <c r="A91" s="281" t="s">
        <v>12</v>
      </c>
      <c r="B91" s="279"/>
      <c r="C91" s="279"/>
      <c r="D91" s="151"/>
      <c r="E91" s="394"/>
      <c r="F91" s="690"/>
      <c r="G91" s="279"/>
      <c r="H91" s="151"/>
      <c r="I91" s="394"/>
      <c r="J91" s="690"/>
      <c r="K91" s="279"/>
      <c r="L91" s="151"/>
      <c r="M91" s="23"/>
    </row>
    <row r="92" spans="1:13" x14ac:dyDescent="0.2">
      <c r="A92" s="281" t="s">
        <v>13</v>
      </c>
      <c r="B92" s="279"/>
      <c r="C92" s="279"/>
      <c r="D92" s="151"/>
      <c r="E92" s="394"/>
      <c r="F92" s="690"/>
      <c r="G92" s="279"/>
      <c r="H92" s="151"/>
      <c r="I92" s="394"/>
      <c r="J92" s="690"/>
      <c r="K92" s="279"/>
      <c r="L92" s="151"/>
      <c r="M92" s="23"/>
    </row>
    <row r="93" spans="1:13" ht="15.75" x14ac:dyDescent="0.2">
      <c r="A93" s="281" t="s">
        <v>338</v>
      </c>
      <c r="B93" s="279"/>
      <c r="C93" s="279"/>
      <c r="D93" s="151"/>
      <c r="E93" s="394"/>
      <c r="F93" s="690"/>
      <c r="G93" s="279"/>
      <c r="H93" s="151"/>
      <c r="I93" s="394"/>
      <c r="J93" s="690"/>
      <c r="K93" s="279"/>
      <c r="L93" s="151"/>
      <c r="M93" s="23"/>
    </row>
    <row r="94" spans="1:13" x14ac:dyDescent="0.2">
      <c r="A94" s="281" t="s">
        <v>12</v>
      </c>
      <c r="B94" s="219"/>
      <c r="C94" s="274"/>
      <c r="D94" s="151"/>
      <c r="E94" s="394"/>
      <c r="F94" s="172"/>
      <c r="G94" s="274"/>
      <c r="H94" s="151"/>
      <c r="I94" s="394"/>
      <c r="J94" s="172"/>
      <c r="K94" s="274"/>
      <c r="L94" s="151"/>
      <c r="M94" s="23"/>
    </row>
    <row r="95" spans="1:13" x14ac:dyDescent="0.2">
      <c r="A95" s="281" t="s">
        <v>13</v>
      </c>
      <c r="B95" s="219"/>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5" x14ac:dyDescent="0.2">
      <c r="A97" s="21" t="s">
        <v>306</v>
      </c>
      <c r="B97" s="218"/>
      <c r="C97" s="130">
        <v>37470</v>
      </c>
      <c r="D97" s="151" t="str">
        <f t="shared" si="7"/>
        <v xml:space="preserve">    ---- </v>
      </c>
      <c r="E97" s="27">
        <f>IFERROR(100/'Skjema total MA'!C98*C97,0)</f>
        <v>9.8028975375043636E-3</v>
      </c>
      <c r="F97" s="218"/>
      <c r="G97" s="130"/>
      <c r="H97" s="151"/>
      <c r="I97" s="27"/>
      <c r="J97" s="272">
        <f t="shared" si="10"/>
        <v>0</v>
      </c>
      <c r="K97" s="44">
        <f t="shared" si="10"/>
        <v>37470</v>
      </c>
      <c r="L97" s="242" t="str">
        <f t="shared" si="9"/>
        <v xml:space="preserve">    ---- </v>
      </c>
      <c r="M97" s="27">
        <f>IFERROR(100/'Skjema total MA'!I98*K97,0)</f>
        <v>3.8030876097153092E-3</v>
      </c>
    </row>
    <row r="98" spans="1:15" ht="15.75" x14ac:dyDescent="0.2">
      <c r="A98" s="21" t="s">
        <v>339</v>
      </c>
      <c r="B98" s="218"/>
      <c r="C98" s="218"/>
      <c r="D98" s="151"/>
      <c r="E98" s="27"/>
      <c r="F98" s="277"/>
      <c r="G98" s="277"/>
      <c r="H98" s="151"/>
      <c r="I98" s="27"/>
      <c r="J98" s="272"/>
      <c r="K98" s="44"/>
      <c r="L98" s="242"/>
      <c r="M98" s="27"/>
    </row>
    <row r="99" spans="1:15" x14ac:dyDescent="0.2">
      <c r="A99" s="21" t="s">
        <v>9</v>
      </c>
      <c r="B99" s="277"/>
      <c r="C99" s="278"/>
      <c r="D99" s="151"/>
      <c r="E99" s="27"/>
      <c r="F99" s="218"/>
      <c r="G99" s="130"/>
      <c r="H99" s="151"/>
      <c r="I99" s="27"/>
      <c r="J99" s="272"/>
      <c r="K99" s="44"/>
      <c r="L99" s="242"/>
      <c r="M99" s="27"/>
    </row>
    <row r="100" spans="1:15" x14ac:dyDescent="0.2">
      <c r="A100" s="38" t="s">
        <v>368</v>
      </c>
      <c r="B100" s="277"/>
      <c r="C100" s="278"/>
      <c r="D100" s="151"/>
      <c r="E100" s="27"/>
      <c r="F100" s="218"/>
      <c r="G100" s="218"/>
      <c r="H100" s="151"/>
      <c r="I100" s="27"/>
      <c r="J100" s="272"/>
      <c r="K100" s="44"/>
      <c r="L100" s="242"/>
      <c r="M100" s="27"/>
    </row>
    <row r="101" spans="1:15" ht="15.75" x14ac:dyDescent="0.2">
      <c r="A101" s="281" t="s">
        <v>337</v>
      </c>
      <c r="B101" s="279"/>
      <c r="C101" s="279"/>
      <c r="D101" s="151"/>
      <c r="E101" s="394"/>
      <c r="F101" s="690"/>
      <c r="G101" s="279"/>
      <c r="H101" s="151"/>
      <c r="I101" s="394"/>
      <c r="J101" s="690"/>
      <c r="K101" s="279"/>
      <c r="L101" s="151"/>
      <c r="M101" s="23"/>
    </row>
    <row r="102" spans="1:15" x14ac:dyDescent="0.2">
      <c r="A102" s="281" t="s">
        <v>12</v>
      </c>
      <c r="B102" s="279"/>
      <c r="C102" s="279"/>
      <c r="D102" s="151"/>
      <c r="E102" s="394"/>
      <c r="F102" s="690"/>
      <c r="G102" s="279"/>
      <c r="H102" s="151"/>
      <c r="I102" s="394"/>
      <c r="J102" s="690"/>
      <c r="K102" s="279"/>
      <c r="L102" s="151"/>
      <c r="M102" s="23"/>
    </row>
    <row r="103" spans="1:15" x14ac:dyDescent="0.2">
      <c r="A103" s="281" t="s">
        <v>13</v>
      </c>
      <c r="B103" s="279"/>
      <c r="C103" s="279"/>
      <c r="D103" s="151"/>
      <c r="E103" s="394"/>
      <c r="F103" s="690"/>
      <c r="G103" s="279"/>
      <c r="H103" s="151"/>
      <c r="I103" s="394"/>
      <c r="J103" s="690"/>
      <c r="K103" s="279"/>
      <c r="L103" s="151"/>
      <c r="M103" s="23"/>
    </row>
    <row r="104" spans="1:15" ht="15.75" x14ac:dyDescent="0.2">
      <c r="A104" s="281" t="s">
        <v>338</v>
      </c>
      <c r="B104" s="279"/>
      <c r="C104" s="279"/>
      <c r="D104" s="151"/>
      <c r="E104" s="394"/>
      <c r="F104" s="690"/>
      <c r="G104" s="279"/>
      <c r="H104" s="151"/>
      <c r="I104" s="394"/>
      <c r="J104" s="690"/>
      <c r="K104" s="279"/>
      <c r="L104" s="151"/>
      <c r="M104" s="23"/>
    </row>
    <row r="105" spans="1:15" x14ac:dyDescent="0.2">
      <c r="A105" s="281" t="s">
        <v>12</v>
      </c>
      <c r="B105" s="219"/>
      <c r="C105" s="274"/>
      <c r="D105" s="151"/>
      <c r="E105" s="394"/>
      <c r="F105" s="172"/>
      <c r="G105" s="274"/>
      <c r="H105" s="151"/>
      <c r="I105" s="394"/>
      <c r="J105" s="172"/>
      <c r="K105" s="274"/>
      <c r="L105" s="151"/>
      <c r="M105" s="23"/>
    </row>
    <row r="106" spans="1:15" x14ac:dyDescent="0.2">
      <c r="A106" s="281" t="s">
        <v>13</v>
      </c>
      <c r="B106" s="219"/>
      <c r="C106" s="274"/>
      <c r="D106" s="151"/>
      <c r="E106" s="394"/>
      <c r="F106" s="172"/>
      <c r="G106" s="274"/>
      <c r="H106" s="151"/>
      <c r="I106" s="394"/>
      <c r="J106" s="172"/>
      <c r="K106" s="274"/>
      <c r="L106" s="151"/>
      <c r="M106" s="23"/>
    </row>
    <row r="107" spans="1:15" ht="15.75" x14ac:dyDescent="0.2">
      <c r="A107" s="21" t="s">
        <v>340</v>
      </c>
      <c r="B107" s="218"/>
      <c r="C107" s="130"/>
      <c r="D107" s="151"/>
      <c r="E107" s="27"/>
      <c r="F107" s="218"/>
      <c r="G107" s="130"/>
      <c r="H107" s="151"/>
      <c r="I107" s="27"/>
      <c r="J107" s="272"/>
      <c r="K107" s="44"/>
      <c r="L107" s="242"/>
      <c r="M107" s="27"/>
    </row>
    <row r="108" spans="1:15" ht="15.75" x14ac:dyDescent="0.2">
      <c r="A108" s="21" t="s">
        <v>341</v>
      </c>
      <c r="B108" s="218"/>
      <c r="C108" s="218"/>
      <c r="D108" s="151"/>
      <c r="E108" s="27"/>
      <c r="F108" s="218"/>
      <c r="G108" s="218"/>
      <c r="H108" s="151"/>
      <c r="I108" s="27"/>
      <c r="J108" s="272"/>
      <c r="K108" s="44"/>
      <c r="L108" s="242"/>
      <c r="M108" s="27"/>
    </row>
    <row r="109" spans="1:15" ht="15.75" x14ac:dyDescent="0.2">
      <c r="A109" s="38" t="s">
        <v>382</v>
      </c>
      <c r="B109" s="218"/>
      <c r="C109" s="218"/>
      <c r="D109" s="151"/>
      <c r="E109" s="27"/>
      <c r="F109" s="218"/>
      <c r="G109" s="218"/>
      <c r="H109" s="151"/>
      <c r="I109" s="27"/>
      <c r="J109" s="272"/>
      <c r="K109" s="44"/>
      <c r="L109" s="242"/>
      <c r="M109" s="27"/>
      <c r="O109" s="3"/>
    </row>
    <row r="110" spans="1:15" ht="15.75" x14ac:dyDescent="0.2">
      <c r="A110" s="21" t="s">
        <v>342</v>
      </c>
      <c r="B110" s="218"/>
      <c r="C110" s="218"/>
      <c r="D110" s="151"/>
      <c r="E110" s="27"/>
      <c r="F110" s="218"/>
      <c r="G110" s="218"/>
      <c r="H110" s="151"/>
      <c r="I110" s="27"/>
      <c r="J110" s="272"/>
      <c r="K110" s="44"/>
      <c r="L110" s="242"/>
      <c r="M110" s="27"/>
    </row>
    <row r="111" spans="1:15" ht="15.75" x14ac:dyDescent="0.2">
      <c r="A111" s="13" t="s">
        <v>323</v>
      </c>
      <c r="B111" s="293"/>
      <c r="C111" s="144">
        <v>5226</v>
      </c>
      <c r="D111" s="156" t="str">
        <f t="shared" si="7"/>
        <v xml:space="preserve">    ---- </v>
      </c>
      <c r="E111" s="11">
        <f>IFERROR(100/'Skjema total MA'!C111*C111,0)</f>
        <v>1.549202067508803</v>
      </c>
      <c r="F111" s="293"/>
      <c r="G111" s="144"/>
      <c r="H111" s="156"/>
      <c r="I111" s="11"/>
      <c r="J111" s="294"/>
      <c r="K111" s="220">
        <f t="shared" si="10"/>
        <v>5226</v>
      </c>
      <c r="L111" s="405" t="str">
        <f t="shared" si="9"/>
        <v xml:space="preserve">    ---- </v>
      </c>
      <c r="M111" s="11">
        <f>IFERROR(100/'Skjema total MA'!I111*K111,0)</f>
        <v>1.9575255696407626E-2</v>
      </c>
    </row>
    <row r="112" spans="1:15"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v>5226</v>
      </c>
      <c r="D114" s="151" t="str">
        <f t="shared" si="7"/>
        <v xml:space="preserve">    ---- </v>
      </c>
      <c r="E114" s="27">
        <f>IFERROR(100/'Skjema total MA'!C114*C114,0)</f>
        <v>5.1799046839930787</v>
      </c>
      <c r="F114" s="218"/>
      <c r="G114" s="130"/>
      <c r="H114" s="151"/>
      <c r="I114" s="27"/>
      <c r="J114" s="272"/>
      <c r="K114" s="44">
        <f t="shared" ref="K114:K122" si="11">SUM(C114,G114)</f>
        <v>5226</v>
      </c>
      <c r="L114" s="242" t="str">
        <f t="shared" si="9"/>
        <v xml:space="preserve">    ---- </v>
      </c>
      <c r="M114" s="27">
        <f>IFERROR(100/'Skjema total MA'!I114*K114,0)</f>
        <v>5.1799046839930787</v>
      </c>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v>2959</v>
      </c>
      <c r="D119" s="156" t="str">
        <f t="shared" si="7"/>
        <v xml:space="preserve">    ---- </v>
      </c>
      <c r="E119" s="11">
        <f>IFERROR(100/'Skjema total MA'!C119*C119,0)</f>
        <v>1.7304846347295229</v>
      </c>
      <c r="F119" s="293"/>
      <c r="G119" s="144"/>
      <c r="H119" s="156"/>
      <c r="I119" s="11"/>
      <c r="J119" s="294"/>
      <c r="K119" s="220">
        <f t="shared" si="11"/>
        <v>2959</v>
      </c>
      <c r="L119" s="405" t="str">
        <f t="shared" si="9"/>
        <v xml:space="preserve">    ---- </v>
      </c>
      <c r="M119" s="11">
        <f>IFERROR(100/'Skjema total MA'!I119*K119,0)</f>
        <v>1.0111883067937309E-2</v>
      </c>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v>2959</v>
      </c>
      <c r="D122" s="151" t="str">
        <f t="shared" si="7"/>
        <v xml:space="preserve">    ---- </v>
      </c>
      <c r="E122" s="27">
        <f>IFERROR(100/'Skjema total MA'!C122*C122,0)</f>
        <v>4.049912543418337</v>
      </c>
      <c r="F122" s="218"/>
      <c r="G122" s="130"/>
      <c r="H122" s="151"/>
      <c r="I122" s="27"/>
      <c r="J122" s="272"/>
      <c r="K122" s="44">
        <f t="shared" si="11"/>
        <v>2959</v>
      </c>
      <c r="L122" s="242" t="str">
        <f t="shared" si="9"/>
        <v xml:space="preserve">    ---- </v>
      </c>
      <c r="M122" s="27">
        <f>IFERROR(100/'Skjema total MA'!I122*K122,0)</f>
        <v>4.049912543418337</v>
      </c>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525"/>
      <c r="F130" s="714"/>
      <c r="G130" s="714"/>
      <c r="H130" s="714"/>
      <c r="I130" s="525"/>
      <c r="J130" s="714"/>
      <c r="K130" s="714"/>
      <c r="L130" s="714"/>
      <c r="M130" s="525"/>
    </row>
    <row r="131" spans="1:14" s="3" customFormat="1" x14ac:dyDescent="0.2">
      <c r="A131" s="129"/>
      <c r="B131" s="715" t="s">
        <v>0</v>
      </c>
      <c r="C131" s="716"/>
      <c r="D131" s="716"/>
      <c r="E131" s="523"/>
      <c r="F131" s="715" t="s">
        <v>1</v>
      </c>
      <c r="G131" s="716"/>
      <c r="H131" s="716"/>
      <c r="I131" s="524"/>
      <c r="J131" s="715" t="s">
        <v>2</v>
      </c>
      <c r="K131" s="716"/>
      <c r="L131" s="716"/>
      <c r="M131" s="524"/>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2:D2"/>
    <mergeCell ref="F2:H2"/>
    <mergeCell ref="J2:L2"/>
    <mergeCell ref="B4:D4"/>
    <mergeCell ref="F4:H4"/>
    <mergeCell ref="J4:L4"/>
    <mergeCell ref="B18:D18"/>
    <mergeCell ref="F18:H18"/>
    <mergeCell ref="J18:L18"/>
    <mergeCell ref="B19:D19"/>
    <mergeCell ref="F19:H19"/>
    <mergeCell ref="J19:L19"/>
    <mergeCell ref="D40:F40"/>
    <mergeCell ref="G40:I40"/>
    <mergeCell ref="J40:L40"/>
    <mergeCell ref="B42:D42"/>
    <mergeCell ref="F42:H42"/>
    <mergeCell ref="J42:L42"/>
    <mergeCell ref="B44:D44"/>
    <mergeCell ref="B62:D62"/>
    <mergeCell ref="F62:H62"/>
    <mergeCell ref="J62:L62"/>
    <mergeCell ref="B63:D63"/>
    <mergeCell ref="F63:H63"/>
    <mergeCell ref="J63:L63"/>
    <mergeCell ref="B130:D130"/>
    <mergeCell ref="F130:H130"/>
    <mergeCell ref="J130:L130"/>
    <mergeCell ref="B131:D131"/>
    <mergeCell ref="F131:H131"/>
    <mergeCell ref="J131:L131"/>
  </mergeCells>
  <conditionalFormatting sqref="B50:C52">
    <cfRule type="expression" dxfId="287" priority="91">
      <formula>kvartal &lt; 4</formula>
    </cfRule>
  </conditionalFormatting>
  <conditionalFormatting sqref="B69">
    <cfRule type="expression" dxfId="286" priority="90">
      <formula>kvartal &lt; 4</formula>
    </cfRule>
  </conditionalFormatting>
  <conditionalFormatting sqref="C69">
    <cfRule type="expression" dxfId="285" priority="89">
      <formula>kvartal &lt; 4</formula>
    </cfRule>
  </conditionalFormatting>
  <conditionalFormatting sqref="B72">
    <cfRule type="expression" dxfId="284" priority="88">
      <formula>kvartal &lt; 4</formula>
    </cfRule>
  </conditionalFormatting>
  <conditionalFormatting sqref="C72">
    <cfRule type="expression" dxfId="283" priority="87">
      <formula>kvartal &lt; 4</formula>
    </cfRule>
  </conditionalFormatting>
  <conditionalFormatting sqref="B115">
    <cfRule type="expression" dxfId="282" priority="74">
      <formula>kvartal &lt; 4</formula>
    </cfRule>
  </conditionalFormatting>
  <conditionalFormatting sqref="C115">
    <cfRule type="expression" dxfId="281" priority="73">
      <formula>kvartal &lt; 4</formula>
    </cfRule>
  </conditionalFormatting>
  <conditionalFormatting sqref="B123">
    <cfRule type="expression" dxfId="280" priority="72">
      <formula>kvartal &lt; 4</formula>
    </cfRule>
  </conditionalFormatting>
  <conditionalFormatting sqref="C123">
    <cfRule type="expression" dxfId="279" priority="71">
      <formula>kvartal &lt; 4</formula>
    </cfRule>
  </conditionalFormatting>
  <conditionalFormatting sqref="F115">
    <cfRule type="expression" dxfId="278" priority="60">
      <formula>kvartal &lt; 4</formula>
    </cfRule>
  </conditionalFormatting>
  <conditionalFormatting sqref="G115">
    <cfRule type="expression" dxfId="277" priority="59">
      <formula>kvartal &lt; 4</formula>
    </cfRule>
  </conditionalFormatting>
  <conditionalFormatting sqref="F123:G123">
    <cfRule type="expression" dxfId="276" priority="58">
      <formula>kvartal &lt; 4</formula>
    </cfRule>
  </conditionalFormatting>
  <conditionalFormatting sqref="J115:K115">
    <cfRule type="expression" dxfId="275" priority="41">
      <formula>kvartal &lt; 4</formula>
    </cfRule>
  </conditionalFormatting>
  <conditionalFormatting sqref="J123:K123">
    <cfRule type="expression" dxfId="274" priority="40">
      <formula>kvartal &lt; 4</formula>
    </cfRule>
  </conditionalFormatting>
  <conditionalFormatting sqref="A50:A52">
    <cfRule type="expression" dxfId="273" priority="39">
      <formula>kvartal &lt; 4</formula>
    </cfRule>
  </conditionalFormatting>
  <conditionalFormatting sqref="A69:A74">
    <cfRule type="expression" dxfId="272" priority="38">
      <formula>kvartal &lt; 4</formula>
    </cfRule>
  </conditionalFormatting>
  <conditionalFormatting sqref="A80:A85">
    <cfRule type="expression" dxfId="271" priority="37">
      <formula>kvartal &lt; 4</formula>
    </cfRule>
  </conditionalFormatting>
  <conditionalFormatting sqref="A90:A95">
    <cfRule type="expression" dxfId="270" priority="36">
      <formula>kvartal &lt; 4</formula>
    </cfRule>
  </conditionalFormatting>
  <conditionalFormatting sqref="A101:A106">
    <cfRule type="expression" dxfId="269" priority="35">
      <formula>kvartal &lt; 4</formula>
    </cfRule>
  </conditionalFormatting>
  <conditionalFormatting sqref="A115">
    <cfRule type="expression" dxfId="268" priority="34">
      <formula>kvartal &lt; 4</formula>
    </cfRule>
  </conditionalFormatting>
  <conditionalFormatting sqref="A123">
    <cfRule type="expression" dxfId="267" priority="33">
      <formula>kvartal &lt; 4</formula>
    </cfRule>
  </conditionalFormatting>
  <conditionalFormatting sqref="F69">
    <cfRule type="expression" dxfId="266" priority="32">
      <formula>kvartal &lt; 4</formula>
    </cfRule>
  </conditionalFormatting>
  <conditionalFormatting sqref="G69">
    <cfRule type="expression" dxfId="265" priority="31">
      <formula>kvartal &lt; 4</formula>
    </cfRule>
  </conditionalFormatting>
  <conditionalFormatting sqref="F72">
    <cfRule type="expression" dxfId="264" priority="30">
      <formula>kvartal &lt; 4</formula>
    </cfRule>
  </conditionalFormatting>
  <conditionalFormatting sqref="G72">
    <cfRule type="expression" dxfId="263" priority="29">
      <formula>kvartal &lt; 4</formula>
    </cfRule>
  </conditionalFormatting>
  <conditionalFormatting sqref="J69">
    <cfRule type="expression" dxfId="262" priority="28">
      <formula>kvartal &lt; 4</formula>
    </cfRule>
  </conditionalFormatting>
  <conditionalFormatting sqref="K69">
    <cfRule type="expression" dxfId="261" priority="27">
      <formula>kvartal &lt; 4</formula>
    </cfRule>
  </conditionalFormatting>
  <conditionalFormatting sqref="J72">
    <cfRule type="expression" dxfId="260" priority="26">
      <formula>kvartal &lt; 4</formula>
    </cfRule>
  </conditionalFormatting>
  <conditionalFormatting sqref="K72">
    <cfRule type="expression" dxfId="259" priority="25">
      <formula>kvartal &lt; 4</formula>
    </cfRule>
  </conditionalFormatting>
  <conditionalFormatting sqref="F80">
    <cfRule type="expression" dxfId="258" priority="24">
      <formula>kvartal &lt; 4</formula>
    </cfRule>
  </conditionalFormatting>
  <conditionalFormatting sqref="G80">
    <cfRule type="expression" dxfId="257" priority="23">
      <formula>kvartal &lt; 4</formula>
    </cfRule>
  </conditionalFormatting>
  <conditionalFormatting sqref="F83">
    <cfRule type="expression" dxfId="256" priority="22">
      <formula>kvartal &lt; 4</formula>
    </cfRule>
  </conditionalFormatting>
  <conditionalFormatting sqref="G83">
    <cfRule type="expression" dxfId="255" priority="21">
      <formula>kvartal &lt; 4</formula>
    </cfRule>
  </conditionalFormatting>
  <conditionalFormatting sqref="J80">
    <cfRule type="expression" dxfId="254" priority="20">
      <formula>kvartal &lt; 4</formula>
    </cfRule>
  </conditionalFormatting>
  <conditionalFormatting sqref="K80">
    <cfRule type="expression" dxfId="253" priority="19">
      <formula>kvartal &lt; 4</formula>
    </cfRule>
  </conditionalFormatting>
  <conditionalFormatting sqref="J83">
    <cfRule type="expression" dxfId="252" priority="18">
      <formula>kvartal &lt; 4</formula>
    </cfRule>
  </conditionalFormatting>
  <conditionalFormatting sqref="K83">
    <cfRule type="expression" dxfId="251" priority="17">
      <formula>kvartal &lt; 4</formula>
    </cfRule>
  </conditionalFormatting>
  <conditionalFormatting sqref="F90">
    <cfRule type="expression" dxfId="250" priority="16">
      <formula>kvartal &lt; 4</formula>
    </cfRule>
  </conditionalFormatting>
  <conditionalFormatting sqref="G90">
    <cfRule type="expression" dxfId="249" priority="15">
      <formula>kvartal &lt; 4</formula>
    </cfRule>
  </conditionalFormatting>
  <conditionalFormatting sqref="F93">
    <cfRule type="expression" dxfId="248" priority="14">
      <formula>kvartal &lt; 4</formula>
    </cfRule>
  </conditionalFormatting>
  <conditionalFormatting sqref="G93">
    <cfRule type="expression" dxfId="247" priority="13">
      <formula>kvartal &lt; 4</formula>
    </cfRule>
  </conditionalFormatting>
  <conditionalFormatting sqref="J90">
    <cfRule type="expression" dxfId="246" priority="12">
      <formula>kvartal &lt; 4</formula>
    </cfRule>
  </conditionalFormatting>
  <conditionalFormatting sqref="K90">
    <cfRule type="expression" dxfId="245" priority="11">
      <formula>kvartal &lt; 4</formula>
    </cfRule>
  </conditionalFormatting>
  <conditionalFormatting sqref="J93">
    <cfRule type="expression" dxfId="244" priority="10">
      <formula>kvartal &lt; 4</formula>
    </cfRule>
  </conditionalFormatting>
  <conditionalFormatting sqref="K93">
    <cfRule type="expression" dxfId="243" priority="9">
      <formula>kvartal &lt; 4</formula>
    </cfRule>
  </conditionalFormatting>
  <conditionalFormatting sqref="F101">
    <cfRule type="expression" dxfId="242" priority="8">
      <formula>kvartal &lt; 4</formula>
    </cfRule>
  </conditionalFormatting>
  <conditionalFormatting sqref="G101">
    <cfRule type="expression" dxfId="241" priority="7">
      <formula>kvartal &lt; 4</formula>
    </cfRule>
  </conditionalFormatting>
  <conditionalFormatting sqref="F104">
    <cfRule type="expression" dxfId="240" priority="6">
      <formula>kvartal &lt; 4</formula>
    </cfRule>
  </conditionalFormatting>
  <conditionalFormatting sqref="G104">
    <cfRule type="expression" dxfId="239" priority="5">
      <formula>kvartal &lt; 4</formula>
    </cfRule>
  </conditionalFormatting>
  <conditionalFormatting sqref="J101">
    <cfRule type="expression" dxfId="238" priority="4">
      <formula>kvartal &lt; 4</formula>
    </cfRule>
  </conditionalFormatting>
  <conditionalFormatting sqref="K101">
    <cfRule type="expression" dxfId="237" priority="3">
      <formula>kvartal &lt; 4</formula>
    </cfRule>
  </conditionalFormatting>
  <conditionalFormatting sqref="J104">
    <cfRule type="expression" dxfId="236" priority="2">
      <formula>kvartal &lt; 4</formula>
    </cfRule>
  </conditionalFormatting>
  <conditionalFormatting sqref="K104">
    <cfRule type="expression" dxfId="235" priority="1">
      <formula>kvartal &lt; 4</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6044-2CB6-449D-AC95-3178BBB2285A}">
  <dimension ref="A1:AK62"/>
  <sheetViews>
    <sheetView showGridLines="0" zoomScale="70" zoomScaleNormal="70" workbookViewId="0">
      <pane xSplit="1" ySplit="8" topLeftCell="B9" activePane="bottomRight" state="frozen"/>
      <selection activeCell="A4" sqref="A4"/>
      <selection pane="topRight" activeCell="A4" sqref="A4"/>
      <selection pane="bottomLeft" activeCell="A4" sqref="A4"/>
      <selection pane="bottomRight" activeCell="A4" sqref="A4"/>
    </sheetView>
  </sheetViews>
  <sheetFormatPr baseColWidth="10" defaultColWidth="11.42578125" defaultRowHeight="12.75" x14ac:dyDescent="0.2"/>
  <cols>
    <col min="1" max="1" width="123.5703125" style="428" customWidth="1"/>
    <col min="2" max="37" width="11.7109375" style="428" customWidth="1"/>
    <col min="38" max="16384" width="11.42578125" style="428"/>
  </cols>
  <sheetData>
    <row r="1" spans="1:37" ht="20.25" x14ac:dyDescent="0.3">
      <c r="A1" s="431" t="s">
        <v>255</v>
      </c>
      <c r="B1" s="432"/>
      <c r="C1" s="432"/>
      <c r="D1" s="432"/>
      <c r="E1" s="432"/>
      <c r="F1" s="432"/>
      <c r="G1" s="432"/>
      <c r="H1" s="432"/>
      <c r="I1" s="432"/>
      <c r="J1" s="432"/>
    </row>
    <row r="2" spans="1:37" ht="20.25" x14ac:dyDescent="0.3">
      <c r="A2" s="431" t="s">
        <v>226</v>
      </c>
      <c r="B2" s="587"/>
      <c r="C2" s="587"/>
      <c r="D2" s="588"/>
      <c r="E2" s="589"/>
      <c r="F2" s="589"/>
      <c r="G2" s="429"/>
      <c r="H2" s="429"/>
      <c r="I2" s="429"/>
      <c r="J2" s="429"/>
      <c r="K2" s="429"/>
      <c r="L2" s="429"/>
      <c r="M2" s="429"/>
      <c r="N2" s="429"/>
      <c r="O2" s="429"/>
      <c r="P2" s="429"/>
      <c r="Q2" s="429"/>
      <c r="R2" s="429"/>
      <c r="S2" s="429"/>
      <c r="T2" s="429"/>
      <c r="U2" s="429"/>
      <c r="V2" s="429"/>
      <c r="W2" s="429"/>
      <c r="X2" s="429"/>
      <c r="Y2" s="429"/>
      <c r="Z2" s="429"/>
      <c r="AA2" s="590"/>
      <c r="AB2" s="429"/>
      <c r="AC2" s="429"/>
      <c r="AD2" s="590"/>
      <c r="AE2" s="429"/>
      <c r="AF2" s="429"/>
      <c r="AG2" s="429"/>
      <c r="AH2" s="429"/>
      <c r="AI2" s="429"/>
      <c r="AJ2" s="429"/>
      <c r="AK2" s="429"/>
    </row>
    <row r="3" spans="1:37" ht="18.75" x14ac:dyDescent="0.3">
      <c r="A3" s="591" t="s">
        <v>256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37" ht="18.75" customHeight="1" x14ac:dyDescent="0.25">
      <c r="A4" s="593" t="s">
        <v>364</v>
      </c>
      <c r="B4" s="594"/>
      <c r="C4" s="595"/>
      <c r="D4" s="596"/>
      <c r="E4" s="594"/>
      <c r="F4" s="595"/>
      <c r="G4" s="596"/>
      <c r="H4" s="594"/>
      <c r="I4" s="595"/>
      <c r="J4" s="596"/>
      <c r="K4" s="434"/>
      <c r="L4" s="434"/>
      <c r="M4" s="434"/>
      <c r="N4" s="435"/>
      <c r="O4" s="434"/>
      <c r="P4" s="436"/>
      <c r="Q4" s="435"/>
      <c r="R4" s="434"/>
      <c r="S4" s="436"/>
      <c r="T4" s="435"/>
      <c r="U4" s="434"/>
      <c r="V4" s="436"/>
      <c r="W4" s="435"/>
      <c r="X4" s="434"/>
      <c r="Y4" s="436"/>
      <c r="Z4" s="435"/>
      <c r="AA4" s="434"/>
      <c r="AB4" s="436"/>
      <c r="AC4" s="435"/>
      <c r="AD4" s="434"/>
      <c r="AE4" s="436"/>
      <c r="AF4" s="597"/>
      <c r="AG4" s="598"/>
      <c r="AH4" s="599"/>
      <c r="AI4" s="435"/>
      <c r="AJ4" s="434"/>
      <c r="AK4" s="600"/>
    </row>
    <row r="5" spans="1:37" ht="18.75" customHeight="1" x14ac:dyDescent="0.3">
      <c r="A5" s="530" t="s">
        <v>94</v>
      </c>
      <c r="B5" s="727" t="s">
        <v>155</v>
      </c>
      <c r="C5" s="728"/>
      <c r="D5" s="729"/>
      <c r="E5" s="727"/>
      <c r="F5" s="728"/>
      <c r="G5" s="729"/>
      <c r="H5" s="727" t="s">
        <v>156</v>
      </c>
      <c r="I5" s="728"/>
      <c r="J5" s="729"/>
      <c r="K5" s="727" t="s">
        <v>157</v>
      </c>
      <c r="L5" s="728"/>
      <c r="M5" s="729"/>
      <c r="N5" s="727"/>
      <c r="O5" s="728"/>
      <c r="P5" s="729"/>
      <c r="Q5" s="660"/>
      <c r="R5" s="661"/>
      <c r="S5" s="662"/>
      <c r="T5" s="727" t="s">
        <v>159</v>
      </c>
      <c r="U5" s="728"/>
      <c r="V5" s="729"/>
      <c r="W5" s="727" t="s">
        <v>65</v>
      </c>
      <c r="X5" s="728"/>
      <c r="Y5" s="729"/>
      <c r="Z5" s="727" t="s">
        <v>68</v>
      </c>
      <c r="AA5" s="728"/>
      <c r="AB5" s="729"/>
      <c r="AC5" s="727" t="s">
        <v>373</v>
      </c>
      <c r="AD5" s="728"/>
      <c r="AE5" s="729"/>
      <c r="AF5" s="730" t="s">
        <v>2</v>
      </c>
      <c r="AG5" s="731"/>
      <c r="AH5" s="732"/>
      <c r="AI5" s="730" t="s">
        <v>257</v>
      </c>
      <c r="AJ5" s="731"/>
      <c r="AK5" s="732"/>
    </row>
    <row r="6" spans="1:37" ht="21" customHeight="1" x14ac:dyDescent="0.3">
      <c r="A6" s="531"/>
      <c r="B6" s="724" t="s">
        <v>161</v>
      </c>
      <c r="C6" s="725"/>
      <c r="D6" s="726"/>
      <c r="E6" s="724" t="s">
        <v>357</v>
      </c>
      <c r="F6" s="725"/>
      <c r="G6" s="726"/>
      <c r="H6" s="724" t="s">
        <v>161</v>
      </c>
      <c r="I6" s="725"/>
      <c r="J6" s="726"/>
      <c r="K6" s="724" t="s">
        <v>162</v>
      </c>
      <c r="L6" s="725"/>
      <c r="M6" s="726"/>
      <c r="N6" s="724" t="s">
        <v>61</v>
      </c>
      <c r="O6" s="725"/>
      <c r="P6" s="726"/>
      <c r="Q6" s="724" t="s">
        <v>63</v>
      </c>
      <c r="R6" s="725"/>
      <c r="S6" s="726"/>
      <c r="T6" s="724" t="s">
        <v>160</v>
      </c>
      <c r="U6" s="725"/>
      <c r="V6" s="726"/>
      <c r="W6" s="724" t="s">
        <v>369</v>
      </c>
      <c r="X6" s="725"/>
      <c r="Y6" s="726"/>
      <c r="Z6" s="724" t="s">
        <v>161</v>
      </c>
      <c r="AA6" s="725"/>
      <c r="AB6" s="726"/>
      <c r="AC6" s="724" t="s">
        <v>161</v>
      </c>
      <c r="AD6" s="725"/>
      <c r="AE6" s="726"/>
      <c r="AF6" s="721" t="s">
        <v>258</v>
      </c>
      <c r="AG6" s="722"/>
      <c r="AH6" s="723"/>
      <c r="AI6" s="721" t="s">
        <v>259</v>
      </c>
      <c r="AJ6" s="722"/>
      <c r="AK6" s="723"/>
    </row>
    <row r="7" spans="1:37" ht="18.75" customHeight="1" x14ac:dyDescent="0.3">
      <c r="A7" s="531"/>
      <c r="B7" s="531"/>
      <c r="C7" s="531"/>
      <c r="D7" s="532" t="s">
        <v>76</v>
      </c>
      <c r="E7" s="531"/>
      <c r="F7" s="531"/>
      <c r="G7" s="532" t="s">
        <v>76</v>
      </c>
      <c r="H7" s="531"/>
      <c r="I7" s="531"/>
      <c r="J7" s="532" t="s">
        <v>76</v>
      </c>
      <c r="K7" s="531"/>
      <c r="L7" s="531"/>
      <c r="M7" s="532" t="s">
        <v>76</v>
      </c>
      <c r="N7" s="531"/>
      <c r="O7" s="531"/>
      <c r="P7" s="532" t="s">
        <v>76</v>
      </c>
      <c r="Q7" s="531"/>
      <c r="R7" s="531"/>
      <c r="S7" s="532" t="s">
        <v>76</v>
      </c>
      <c r="T7" s="531"/>
      <c r="U7" s="531"/>
      <c r="V7" s="532" t="s">
        <v>76</v>
      </c>
      <c r="W7" s="531"/>
      <c r="X7" s="531"/>
      <c r="Y7" s="532" t="s">
        <v>76</v>
      </c>
      <c r="Z7" s="531"/>
      <c r="AA7" s="531"/>
      <c r="AB7" s="532" t="s">
        <v>76</v>
      </c>
      <c r="AC7" s="531"/>
      <c r="AD7" s="531"/>
      <c r="AE7" s="532" t="s">
        <v>76</v>
      </c>
      <c r="AF7" s="531"/>
      <c r="AG7" s="531"/>
      <c r="AH7" s="532" t="s">
        <v>76</v>
      </c>
      <c r="AI7" s="531"/>
      <c r="AJ7" s="531"/>
      <c r="AK7" s="532" t="s">
        <v>76</v>
      </c>
    </row>
    <row r="8" spans="1:37" ht="18.75" customHeight="1" x14ac:dyDescent="0.25">
      <c r="A8" s="533" t="s">
        <v>260</v>
      </c>
      <c r="B8" s="502">
        <v>2023</v>
      </c>
      <c r="C8" s="502">
        <v>2024</v>
      </c>
      <c r="D8" s="534" t="s">
        <v>78</v>
      </c>
      <c r="E8" s="502">
        <f>$B$8</f>
        <v>2023</v>
      </c>
      <c r="F8" s="502">
        <f>$C$8</f>
        <v>2024</v>
      </c>
      <c r="G8" s="534" t="s">
        <v>78</v>
      </c>
      <c r="H8" s="502">
        <f>$B$8</f>
        <v>2023</v>
      </c>
      <c r="I8" s="502">
        <f>$C$8</f>
        <v>2024</v>
      </c>
      <c r="J8" s="534" t="s">
        <v>78</v>
      </c>
      <c r="K8" s="502">
        <f>$B$8</f>
        <v>2023</v>
      </c>
      <c r="L8" s="502">
        <f>$C$8</f>
        <v>2024</v>
      </c>
      <c r="M8" s="534" t="s">
        <v>78</v>
      </c>
      <c r="N8" s="502">
        <f>$B$8</f>
        <v>2023</v>
      </c>
      <c r="O8" s="502">
        <f>$C$8</f>
        <v>2024</v>
      </c>
      <c r="P8" s="534" t="s">
        <v>78</v>
      </c>
      <c r="Q8" s="502">
        <f>$B$8</f>
        <v>2023</v>
      </c>
      <c r="R8" s="502">
        <f>$C$8</f>
        <v>2024</v>
      </c>
      <c r="S8" s="534" t="s">
        <v>78</v>
      </c>
      <c r="T8" s="502">
        <f>$B$8</f>
        <v>2023</v>
      </c>
      <c r="U8" s="502">
        <f>$C$8</f>
        <v>2024</v>
      </c>
      <c r="V8" s="534" t="s">
        <v>78</v>
      </c>
      <c r="W8" s="502">
        <f>$B$8</f>
        <v>2023</v>
      </c>
      <c r="X8" s="502">
        <f>$C$8</f>
        <v>2024</v>
      </c>
      <c r="Y8" s="534" t="s">
        <v>78</v>
      </c>
      <c r="Z8" s="502">
        <f>$B$8</f>
        <v>2023</v>
      </c>
      <c r="AA8" s="502">
        <f>$C$8</f>
        <v>2024</v>
      </c>
      <c r="AB8" s="534" t="s">
        <v>78</v>
      </c>
      <c r="AC8" s="502">
        <f>$B$8</f>
        <v>2023</v>
      </c>
      <c r="AD8" s="502">
        <f>$C$8</f>
        <v>2024</v>
      </c>
      <c r="AE8" s="534" t="s">
        <v>78</v>
      </c>
      <c r="AF8" s="502">
        <f>$B$8</f>
        <v>2023</v>
      </c>
      <c r="AG8" s="502">
        <f>$C$8</f>
        <v>2024</v>
      </c>
      <c r="AH8" s="534" t="s">
        <v>78</v>
      </c>
      <c r="AI8" s="502">
        <f>$B$8</f>
        <v>2023</v>
      </c>
      <c r="AJ8" s="502">
        <f>$C$8</f>
        <v>2024</v>
      </c>
      <c r="AK8" s="534" t="s">
        <v>78</v>
      </c>
    </row>
    <row r="9" spans="1:37" ht="18.75" customHeight="1" x14ac:dyDescent="0.3">
      <c r="A9" s="531" t="s">
        <v>261</v>
      </c>
      <c r="B9" s="637"/>
      <c r="C9" s="460"/>
      <c r="D9" s="462"/>
      <c r="E9" s="685"/>
      <c r="F9" s="460"/>
      <c r="G9" s="462"/>
      <c r="H9" s="637"/>
      <c r="I9" s="460"/>
      <c r="J9" s="462"/>
      <c r="K9" s="637"/>
      <c r="L9" s="460"/>
      <c r="M9" s="460"/>
      <c r="N9" s="668"/>
      <c r="O9" s="462"/>
      <c r="P9" s="462"/>
      <c r="Q9" s="637"/>
      <c r="R9" s="460"/>
      <c r="S9" s="462"/>
      <c r="T9" s="668"/>
      <c r="U9" s="462"/>
      <c r="V9" s="462"/>
      <c r="W9" s="637"/>
      <c r="X9" s="460"/>
      <c r="Y9" s="462"/>
      <c r="Z9" s="646"/>
      <c r="AA9" s="460"/>
      <c r="AB9" s="462"/>
      <c r="AC9" s="637"/>
      <c r="AD9" s="460"/>
      <c r="AE9" s="462"/>
      <c r="AF9" s="462"/>
      <c r="AG9" s="462"/>
      <c r="AH9" s="462"/>
      <c r="AI9" s="535"/>
      <c r="AJ9" s="535"/>
      <c r="AK9" s="535"/>
    </row>
    <row r="10" spans="1:37" s="429" customFormat="1" ht="18.75" customHeight="1" x14ac:dyDescent="0.3">
      <c r="A10" s="529" t="s">
        <v>388</v>
      </c>
      <c r="B10" s="536"/>
      <c r="C10" s="414"/>
      <c r="D10" s="322"/>
      <c r="E10" s="537"/>
      <c r="F10" s="414"/>
      <c r="G10" s="322"/>
      <c r="H10" s="536"/>
      <c r="I10" s="414"/>
      <c r="J10" s="322"/>
      <c r="K10" s="536"/>
      <c r="L10" s="414"/>
      <c r="M10" s="414"/>
      <c r="N10" s="537"/>
      <c r="O10" s="322"/>
      <c r="P10" s="322"/>
      <c r="Q10" s="536"/>
      <c r="R10" s="414"/>
      <c r="S10" s="322"/>
      <c r="T10" s="537"/>
      <c r="U10" s="322"/>
      <c r="V10" s="322"/>
      <c r="W10" s="536"/>
      <c r="X10" s="414"/>
      <c r="Y10" s="322"/>
      <c r="Z10" s="647"/>
      <c r="AA10" s="414"/>
      <c r="AB10" s="322"/>
      <c r="AC10" s="536"/>
      <c r="AD10" s="414"/>
      <c r="AE10" s="322"/>
      <c r="AF10" s="322"/>
      <c r="AG10" s="322"/>
      <c r="AH10" s="322"/>
      <c r="AI10" s="538"/>
      <c r="AJ10" s="538"/>
      <c r="AK10" s="538"/>
    </row>
    <row r="11" spans="1:37" s="429" customFormat="1" ht="18.75" customHeight="1" x14ac:dyDescent="0.3">
      <c r="A11" s="529" t="s">
        <v>262</v>
      </c>
      <c r="B11" s="537">
        <v>9761.956874200001</v>
      </c>
      <c r="C11" s="322">
        <v>11044.421</v>
      </c>
      <c r="D11" s="322">
        <f t="shared" ref="D11:D17" si="0">IF(B11=0, "    ---- ", IF(ABS(ROUND(100/B11*C11-100,1))&lt;999,ROUND(100/B11*C11-100,1),IF(ROUND(100/B11*C11-100,1)&gt;999,999,-999)))</f>
        <v>13.1</v>
      </c>
      <c r="E11" s="537">
        <v>2073.0529514</v>
      </c>
      <c r="F11" s="322">
        <v>2210.6781109499998</v>
      </c>
      <c r="G11" s="322">
        <f t="shared" ref="G11:G17" si="1">IF(E11=0, "    ---- ", IF(ABS(ROUND(100/E11*F11-100,1))&lt;999,ROUND(100/E11*F11-100,1),IF(ROUND(100/E11*F11-100,1)&gt;999,999,-999)))</f>
        <v>6.6</v>
      </c>
      <c r="H11" s="537">
        <v>674.76886999999999</v>
      </c>
      <c r="I11" s="322">
        <v>754.69622900000002</v>
      </c>
      <c r="J11" s="322">
        <f t="shared" ref="J11:J15" si="2">IF(H11=0, "    ---- ", IF(ABS(ROUND(100/H11*I11-100,1))&lt;999,ROUND(100/H11*I11-100,1),IF(ROUND(100/H11*I11-100,1)&gt;999,999,-999)))</f>
        <v>11.8</v>
      </c>
      <c r="K11" s="537">
        <v>3105</v>
      </c>
      <c r="L11" s="322">
        <v>3770</v>
      </c>
      <c r="M11" s="322">
        <f t="shared" ref="M11:M17" si="3">IF(K11=0, "    ---- ", IF(ABS(ROUND(100/K11*L11-100,1))&lt;999,ROUND(100/K11*L11-100,1),IF(ROUND(100/K11*L11-100,1)&gt;999,999,-999)))</f>
        <v>21.4</v>
      </c>
      <c r="N11" s="537">
        <v>51011.191749260004</v>
      </c>
      <c r="O11" s="322">
        <v>37256.211964670001</v>
      </c>
      <c r="P11" s="322">
        <f t="shared" ref="P11:P17" si="4">IF(N11=0, "    ---- ", IF(ABS(ROUND(100/N11*O11-100,1))&lt;999,ROUND(100/N11*O11-100,1),IF(ROUND(100/N11*O11-100,1)&gt;999,999,-999)))</f>
        <v>-27</v>
      </c>
      <c r="Q11" s="537">
        <v>9112.0891000000011</v>
      </c>
      <c r="R11" s="322">
        <v>11921.91</v>
      </c>
      <c r="S11" s="322">
        <f t="shared" ref="S11:S17" si="5">IF(Q11=0, "    ---- ", IF(ABS(ROUND(100/Q11*R11-100,1))&lt;999,ROUND(100/Q11*R11-100,1),IF(ROUND(100/Q11*R11-100,1)&gt;999,999,-999)))</f>
        <v>30.8</v>
      </c>
      <c r="T11" s="537">
        <v>2066</v>
      </c>
      <c r="U11" s="322">
        <v>1975</v>
      </c>
      <c r="V11" s="322">
        <f t="shared" ref="V11:V17" si="6">IF(T11=0, "    ---- ", IF(ABS(ROUND(100/T11*U11-100,1))&lt;999,ROUND(100/T11*U11-100,1),IF(ROUND(100/T11*U11-100,1)&gt;999,999,-999)))</f>
        <v>-4.4000000000000004</v>
      </c>
      <c r="W11" s="537">
        <v>3844.5969270400001</v>
      </c>
      <c r="X11" s="322">
        <v>4231.2598671199985</v>
      </c>
      <c r="Y11" s="322">
        <f t="shared" ref="Y11:Y17" si="7">IF(W11=0, "    ---- ", IF(ABS(ROUND(100/W11*X11-100,1))&lt;999,ROUND(100/W11*X11-100,1),IF(ROUND(100/W11*X11-100,1)&gt;999,999,-999)))</f>
        <v>10.1</v>
      </c>
      <c r="Z11" s="648">
        <v>13821</v>
      </c>
      <c r="AA11" s="322">
        <v>13799.516487549998</v>
      </c>
      <c r="AB11" s="322">
        <f t="shared" ref="AB11:AB17" si="8">IF(Z11=0, "    ---- ", IF(ABS(ROUND(100/Z11*AA11-100,1))&lt;999,ROUND(100/Z11*AA11-100,1),IF(ROUND(100/Z11*AA11-100,1)&gt;999,999,-999)))</f>
        <v>-0.2</v>
      </c>
      <c r="AC11" s="537">
        <v>7</v>
      </c>
      <c r="AD11" s="322">
        <v>90</v>
      </c>
      <c r="AE11" s="322">
        <f t="shared" ref="AE11:AE15" si="9">IF(AC11=0, "    ---- ", IF(ABS(ROUND(100/AC11*AD11-100,1))&lt;999,ROUND(100/AC11*AD11-100,1),IF(ROUND(100/AC11*AD11-100,1)&gt;999,999,-999)))</f>
        <v>999</v>
      </c>
      <c r="AF11" s="322">
        <f t="shared" ref="AF11:AG26" si="10">B11+E11+H11+K11+N11+Q11+T11+W11+Z11</f>
        <v>95469.656471900002</v>
      </c>
      <c r="AG11" s="322">
        <f t="shared" si="10"/>
        <v>86963.693659290002</v>
      </c>
      <c r="AH11" s="322">
        <f t="shared" ref="AH11:AH46" si="11">IF(AF11=0, "    ---- ", IF(ABS(ROUND(100/AF11*AG11-100,1))&lt;999,ROUND(100/AF11*AG11-100,1),IF(ROUND(100/AF11*AG11-100,1)&gt;999,999,-999)))</f>
        <v>-8.9</v>
      </c>
      <c r="AI11" s="417">
        <f t="shared" ref="AI11:AJ21" si="12">B11+E11+H11+K11+N11+Q11+T11+W11+Z11+AC11</f>
        <v>95476.656471900002</v>
      </c>
      <c r="AJ11" s="417">
        <f t="shared" si="12"/>
        <v>87053.693659290002</v>
      </c>
      <c r="AK11" s="322">
        <f t="shared" ref="AK11:AK17" si="13">IF(AI11=0, "    ---- ", IF(ABS(ROUND(100/AI11*AJ11-100,1))&lt;999,ROUND(100/AI11*AJ11-100,1),IF(ROUND(100/AI11*AJ11-100,1)&gt;999,999,-999)))</f>
        <v>-8.8000000000000007</v>
      </c>
    </row>
    <row r="12" spans="1:37" s="429" customFormat="1" ht="18.75" customHeight="1" x14ac:dyDescent="0.3">
      <c r="A12" s="529" t="s">
        <v>263</v>
      </c>
      <c r="B12" s="537">
        <v>-186.80834009999998</v>
      </c>
      <c r="C12" s="322">
        <v>-129.96199999999999</v>
      </c>
      <c r="D12" s="322">
        <f t="shared" si="0"/>
        <v>-30.4</v>
      </c>
      <c r="E12" s="537">
        <v>-25.255633669999998</v>
      </c>
      <c r="F12" s="322">
        <v>-24.058307810000002</v>
      </c>
      <c r="G12" s="322">
        <f t="shared" si="1"/>
        <v>-4.7</v>
      </c>
      <c r="H12" s="537">
        <v>-16.425467000000001</v>
      </c>
      <c r="I12" s="322">
        <v>-10.859382</v>
      </c>
      <c r="J12" s="322">
        <f t="shared" si="2"/>
        <v>-33.9</v>
      </c>
      <c r="K12" s="537">
        <v>-50</v>
      </c>
      <c r="L12" s="322">
        <v>-55</v>
      </c>
      <c r="M12" s="322">
        <f t="shared" si="3"/>
        <v>10</v>
      </c>
      <c r="N12" s="537"/>
      <c r="O12" s="322"/>
      <c r="P12" s="322"/>
      <c r="Q12" s="537">
        <v>-59.74</v>
      </c>
      <c r="R12" s="322">
        <v>-55</v>
      </c>
      <c r="S12" s="322">
        <f t="shared" si="5"/>
        <v>-7.9</v>
      </c>
      <c r="T12" s="537">
        <v>-1</v>
      </c>
      <c r="U12" s="322">
        <v>0</v>
      </c>
      <c r="V12" s="322">
        <f t="shared" si="6"/>
        <v>-100</v>
      </c>
      <c r="W12" s="537">
        <v>-3.1320000000000001</v>
      </c>
      <c r="X12" s="322">
        <v>-3.819</v>
      </c>
      <c r="Y12" s="322">
        <f t="shared" si="7"/>
        <v>21.9</v>
      </c>
      <c r="Z12" s="648">
        <v>-27</v>
      </c>
      <c r="AA12" s="322">
        <v>-23.295499850000006</v>
      </c>
      <c r="AB12" s="322">
        <f t="shared" si="8"/>
        <v>-13.7</v>
      </c>
      <c r="AC12" s="537">
        <v>-2</v>
      </c>
      <c r="AD12" s="322">
        <v>-16</v>
      </c>
      <c r="AE12" s="322">
        <f t="shared" si="9"/>
        <v>700</v>
      </c>
      <c r="AF12" s="322">
        <f t="shared" si="10"/>
        <v>-369.36144077</v>
      </c>
      <c r="AG12" s="322">
        <f t="shared" si="10"/>
        <v>-301.99418966000002</v>
      </c>
      <c r="AH12" s="322">
        <f t="shared" si="11"/>
        <v>-18.2</v>
      </c>
      <c r="AI12" s="417">
        <f t="shared" si="12"/>
        <v>-371.36144077</v>
      </c>
      <c r="AJ12" s="417">
        <f t="shared" si="12"/>
        <v>-317.99418966000002</v>
      </c>
      <c r="AK12" s="322">
        <f t="shared" si="13"/>
        <v>-14.4</v>
      </c>
    </row>
    <row r="13" spans="1:37" s="429" customFormat="1" ht="18.75" customHeight="1" x14ac:dyDescent="0.3">
      <c r="A13" s="529" t="s">
        <v>389</v>
      </c>
      <c r="B13" s="537">
        <v>6087.6748309100003</v>
      </c>
      <c r="C13" s="322">
        <v>7183.2129999999997</v>
      </c>
      <c r="D13" s="322">
        <f t="shared" si="0"/>
        <v>18</v>
      </c>
      <c r="E13" s="537"/>
      <c r="F13" s="322"/>
      <c r="G13" s="322"/>
      <c r="H13" s="537"/>
      <c r="I13" s="322"/>
      <c r="J13" s="322"/>
      <c r="K13" s="537">
        <v>4557</v>
      </c>
      <c r="L13" s="322">
        <v>5222</v>
      </c>
      <c r="M13" s="322">
        <f t="shared" si="3"/>
        <v>14.6</v>
      </c>
      <c r="N13" s="537">
        <v>91.093686000000005</v>
      </c>
      <c r="O13" s="322">
        <v>1.2145630000000001</v>
      </c>
      <c r="P13" s="322">
        <f t="shared" si="4"/>
        <v>-98.7</v>
      </c>
      <c r="Q13" s="537">
        <v>7714.64</v>
      </c>
      <c r="R13" s="322">
        <v>5953.09</v>
      </c>
      <c r="S13" s="322">
        <f t="shared" si="5"/>
        <v>-22.8</v>
      </c>
      <c r="T13" s="537"/>
      <c r="U13" s="322"/>
      <c r="V13" s="322"/>
      <c r="W13" s="537">
        <v>2402.1100505500003</v>
      </c>
      <c r="X13" s="322">
        <v>2934.8966299899994</v>
      </c>
      <c r="Y13" s="322">
        <f t="shared" si="7"/>
        <v>22.2</v>
      </c>
      <c r="Z13" s="648">
        <v>5888</v>
      </c>
      <c r="AA13" s="322">
        <v>7761.6229764300006</v>
      </c>
      <c r="AB13" s="322">
        <f t="shared" si="8"/>
        <v>31.8</v>
      </c>
      <c r="AC13" s="537"/>
      <c r="AD13" s="322">
        <v>5</v>
      </c>
      <c r="AE13" s="322" t="str">
        <f t="shared" si="9"/>
        <v xml:space="preserve">    ---- </v>
      </c>
      <c r="AF13" s="322">
        <f t="shared" si="10"/>
        <v>26740.51856746</v>
      </c>
      <c r="AG13" s="322">
        <f t="shared" si="10"/>
        <v>29056.03716942</v>
      </c>
      <c r="AH13" s="322">
        <f t="shared" si="11"/>
        <v>8.6999999999999993</v>
      </c>
      <c r="AI13" s="417">
        <f t="shared" si="12"/>
        <v>26740.51856746</v>
      </c>
      <c r="AJ13" s="417">
        <f t="shared" si="12"/>
        <v>29061.03716942</v>
      </c>
      <c r="AK13" s="322">
        <f t="shared" si="13"/>
        <v>8.6999999999999993</v>
      </c>
    </row>
    <row r="14" spans="1:37" s="429" customFormat="1" ht="18.75" customHeight="1" x14ac:dyDescent="0.3">
      <c r="A14" s="529" t="s">
        <v>264</v>
      </c>
      <c r="B14" s="536">
        <f>SUM(B11:B13)</f>
        <v>15662.823365010001</v>
      </c>
      <c r="C14" s="414">
        <f>SUM(C11:C13)</f>
        <v>18097.671999999999</v>
      </c>
      <c r="D14" s="322">
        <f t="shared" si="0"/>
        <v>15.5</v>
      </c>
      <c r="E14" s="536">
        <f>SUM(E11:E13)</f>
        <v>2047.79731773</v>
      </c>
      <c r="F14" s="414">
        <f>SUM(F11:F13)</f>
        <v>2186.6198031399999</v>
      </c>
      <c r="G14" s="322">
        <f t="shared" si="1"/>
        <v>6.8</v>
      </c>
      <c r="H14" s="536">
        <f>SUM(H11:H13)</f>
        <v>658.34340299999997</v>
      </c>
      <c r="I14" s="414">
        <f>SUM(I11:I13)</f>
        <v>743.83684700000003</v>
      </c>
      <c r="J14" s="322">
        <f t="shared" si="2"/>
        <v>13</v>
      </c>
      <c r="K14" s="536">
        <f>SUM(K11:K13)</f>
        <v>7612</v>
      </c>
      <c r="L14" s="414">
        <f>SUM(L11:L13)</f>
        <v>8937</v>
      </c>
      <c r="M14" s="322">
        <f t="shared" si="3"/>
        <v>17.399999999999999</v>
      </c>
      <c r="N14" s="536">
        <v>51102.285435260004</v>
      </c>
      <c r="O14" s="414">
        <v>37257.426527670003</v>
      </c>
      <c r="P14" s="322">
        <f t="shared" si="4"/>
        <v>-27.1</v>
      </c>
      <c r="Q14" s="536">
        <f>SUM(Q11:Q13)</f>
        <v>16766.989100000003</v>
      </c>
      <c r="R14" s="414">
        <f>SUM(R11:R13)</f>
        <v>17820</v>
      </c>
      <c r="S14" s="322">
        <f t="shared" si="5"/>
        <v>6.3</v>
      </c>
      <c r="T14" s="536">
        <f>SUM(T11:T13)</f>
        <v>2065</v>
      </c>
      <c r="U14" s="414">
        <f>SUM(U11:U13)</f>
        <v>1975</v>
      </c>
      <c r="V14" s="322">
        <f t="shared" si="6"/>
        <v>-4.4000000000000004</v>
      </c>
      <c r="W14" s="536">
        <f>SUM(W11:W13)</f>
        <v>6243.5749775900003</v>
      </c>
      <c r="X14" s="414">
        <f>SUM(X11:X13)</f>
        <v>7162.3374971099975</v>
      </c>
      <c r="Y14" s="322">
        <f t="shared" si="7"/>
        <v>14.7</v>
      </c>
      <c r="Z14" s="647">
        <f>SUM(Z11:Z13)</f>
        <v>19682</v>
      </c>
      <c r="AA14" s="414">
        <f>SUM(AA11:AA13)</f>
        <v>21537.843964129999</v>
      </c>
      <c r="AB14" s="322">
        <f t="shared" si="8"/>
        <v>9.4</v>
      </c>
      <c r="AC14" s="536">
        <f>SUM(AC11:AC13)</f>
        <v>5</v>
      </c>
      <c r="AD14" s="414">
        <f>SUM(AD11:AD13)</f>
        <v>79</v>
      </c>
      <c r="AE14" s="322">
        <f t="shared" si="9"/>
        <v>999</v>
      </c>
      <c r="AF14" s="322">
        <f t="shared" si="10"/>
        <v>121840.81359859002</v>
      </c>
      <c r="AG14" s="322">
        <f t="shared" si="10"/>
        <v>115717.73663904998</v>
      </c>
      <c r="AH14" s="322">
        <f t="shared" si="11"/>
        <v>-5</v>
      </c>
      <c r="AI14" s="417">
        <f t="shared" si="12"/>
        <v>121845.81359859002</v>
      </c>
      <c r="AJ14" s="417">
        <f t="shared" si="12"/>
        <v>115796.73663904998</v>
      </c>
      <c r="AK14" s="322">
        <f t="shared" si="13"/>
        <v>-5</v>
      </c>
    </row>
    <row r="15" spans="1:37" s="429" customFormat="1" ht="18.75" customHeight="1" x14ac:dyDescent="0.3">
      <c r="A15" s="529" t="s">
        <v>265</v>
      </c>
      <c r="B15" s="181">
        <v>3277.8361090099997</v>
      </c>
      <c r="C15" s="417">
        <v>4320.7150000000001</v>
      </c>
      <c r="D15" s="322">
        <f t="shared" si="0"/>
        <v>31.8</v>
      </c>
      <c r="E15" s="658">
        <v>133.72758735000005</v>
      </c>
      <c r="F15" s="463">
        <v>243.34543891000001</v>
      </c>
      <c r="G15" s="322">
        <f t="shared" si="1"/>
        <v>82</v>
      </c>
      <c r="H15" s="658">
        <v>34.033504000000001</v>
      </c>
      <c r="I15" s="463">
        <v>54.445999999999998</v>
      </c>
      <c r="J15" s="322">
        <f t="shared" si="2"/>
        <v>60</v>
      </c>
      <c r="K15" s="181">
        <v>111</v>
      </c>
      <c r="L15" s="417">
        <v>170</v>
      </c>
      <c r="M15" s="322">
        <f t="shared" si="3"/>
        <v>53.2</v>
      </c>
      <c r="N15" s="181">
        <v>27413.251964979998</v>
      </c>
      <c r="O15" s="417">
        <v>33410.315925449999</v>
      </c>
      <c r="P15" s="322">
        <f t="shared" si="4"/>
        <v>21.9</v>
      </c>
      <c r="Q15" s="181">
        <v>951.35670000000005</v>
      </c>
      <c r="R15" s="417">
        <v>1263</v>
      </c>
      <c r="S15" s="322">
        <f t="shared" si="5"/>
        <v>32.799999999999997</v>
      </c>
      <c r="T15" s="181">
        <v>3947</v>
      </c>
      <c r="U15" s="417">
        <v>4702</v>
      </c>
      <c r="V15" s="322">
        <f t="shared" si="6"/>
        <v>19.100000000000001</v>
      </c>
      <c r="W15" s="655">
        <v>547.61377873000004</v>
      </c>
      <c r="X15" s="656">
        <v>628.9388947599972</v>
      </c>
      <c r="Y15" s="322">
        <f t="shared" si="7"/>
        <v>14.9</v>
      </c>
      <c r="Z15" s="649">
        <v>2764</v>
      </c>
      <c r="AA15" s="417">
        <v>5165.9098250999996</v>
      </c>
      <c r="AB15" s="322">
        <f t="shared" si="8"/>
        <v>86.9</v>
      </c>
      <c r="AC15" s="181"/>
      <c r="AD15" s="417">
        <v>1</v>
      </c>
      <c r="AE15" s="322" t="str">
        <f t="shared" si="9"/>
        <v xml:space="preserve">    ---- </v>
      </c>
      <c r="AF15" s="322">
        <f t="shared" si="10"/>
        <v>39179.819644070005</v>
      </c>
      <c r="AG15" s="322">
        <f t="shared" si="10"/>
        <v>49958.671084219997</v>
      </c>
      <c r="AH15" s="322">
        <f t="shared" si="11"/>
        <v>27.5</v>
      </c>
      <c r="AI15" s="417">
        <f t="shared" si="12"/>
        <v>39179.819644070005</v>
      </c>
      <c r="AJ15" s="417">
        <f t="shared" si="12"/>
        <v>49959.671084219997</v>
      </c>
      <c r="AK15" s="322">
        <f t="shared" si="13"/>
        <v>27.5</v>
      </c>
    </row>
    <row r="16" spans="1:37" s="429" customFormat="1" ht="18.75" customHeight="1" x14ac:dyDescent="0.3">
      <c r="A16" s="529" t="s">
        <v>266</v>
      </c>
      <c r="B16" s="181">
        <v>9847.8169635199993</v>
      </c>
      <c r="C16" s="417">
        <v>16061.666999999999</v>
      </c>
      <c r="D16" s="322">
        <f t="shared" si="0"/>
        <v>63.1</v>
      </c>
      <c r="E16" s="658"/>
      <c r="F16" s="463"/>
      <c r="G16" s="322"/>
      <c r="H16" s="658"/>
      <c r="I16" s="463"/>
      <c r="J16" s="322"/>
      <c r="K16" s="181">
        <v>4465</v>
      </c>
      <c r="L16" s="417">
        <v>5702</v>
      </c>
      <c r="M16" s="414">
        <f t="shared" si="3"/>
        <v>27.7</v>
      </c>
      <c r="N16" s="181">
        <v>143.06165399</v>
      </c>
      <c r="O16" s="417">
        <v>163.03068356</v>
      </c>
      <c r="P16" s="539">
        <f t="shared" si="4"/>
        <v>14</v>
      </c>
      <c r="Q16" s="181">
        <v>11453.6715</v>
      </c>
      <c r="R16" s="417">
        <v>13545</v>
      </c>
      <c r="S16" s="322">
        <f t="shared" si="5"/>
        <v>18.3</v>
      </c>
      <c r="T16" s="181"/>
      <c r="U16" s="417"/>
      <c r="V16" s="322"/>
      <c r="W16" s="655">
        <v>4935.608303510001</v>
      </c>
      <c r="X16" s="656">
        <v>5892.5288276799993</v>
      </c>
      <c r="Y16" s="322">
        <f t="shared" si="7"/>
        <v>19.399999999999999</v>
      </c>
      <c r="Z16" s="649">
        <v>14827</v>
      </c>
      <c r="AA16" s="417">
        <v>18350.406657589996</v>
      </c>
      <c r="AB16" s="322">
        <f t="shared" si="8"/>
        <v>23.8</v>
      </c>
      <c r="AC16" s="181"/>
      <c r="AD16" s="417"/>
      <c r="AE16" s="322"/>
      <c r="AF16" s="322">
        <f t="shared" si="10"/>
        <v>45672.158421020002</v>
      </c>
      <c r="AG16" s="322">
        <f t="shared" si="10"/>
        <v>59714.633168829998</v>
      </c>
      <c r="AH16" s="322">
        <f t="shared" si="11"/>
        <v>30.7</v>
      </c>
      <c r="AI16" s="417">
        <f t="shared" si="12"/>
        <v>45672.158421020002</v>
      </c>
      <c r="AJ16" s="417">
        <f t="shared" si="12"/>
        <v>59714.633168829998</v>
      </c>
      <c r="AK16" s="322">
        <f t="shared" si="13"/>
        <v>30.7</v>
      </c>
    </row>
    <row r="17" spans="1:37" s="429" customFormat="1" ht="18.75" customHeight="1" x14ac:dyDescent="0.3">
      <c r="A17" s="529" t="s">
        <v>267</v>
      </c>
      <c r="B17" s="181">
        <v>28.220456559999999</v>
      </c>
      <c r="C17" s="417">
        <v>28.77</v>
      </c>
      <c r="D17" s="322">
        <f t="shared" si="0"/>
        <v>1.9</v>
      </c>
      <c r="E17" s="658">
        <v>5.6640130700000002</v>
      </c>
      <c r="F17" s="463">
        <v>6.9678834600000004</v>
      </c>
      <c r="G17" s="322">
        <f t="shared" si="1"/>
        <v>23</v>
      </c>
      <c r="H17" s="658"/>
      <c r="I17" s="463"/>
      <c r="J17" s="322"/>
      <c r="K17" s="181">
        <v>134</v>
      </c>
      <c r="L17" s="417">
        <v>156</v>
      </c>
      <c r="M17" s="414">
        <f t="shared" si="3"/>
        <v>16.399999999999999</v>
      </c>
      <c r="N17" s="181">
        <v>685.84601899999996</v>
      </c>
      <c r="O17" s="417">
        <v>717.88130799999999</v>
      </c>
      <c r="P17" s="322">
        <f t="shared" si="4"/>
        <v>4.7</v>
      </c>
      <c r="Q17" s="181">
        <v>147.8578</v>
      </c>
      <c r="R17" s="417">
        <v>170</v>
      </c>
      <c r="S17" s="322">
        <f t="shared" si="5"/>
        <v>15</v>
      </c>
      <c r="T17" s="181">
        <v>23</v>
      </c>
      <c r="U17" s="417">
        <v>85</v>
      </c>
      <c r="V17" s="322">
        <f t="shared" si="6"/>
        <v>269.60000000000002</v>
      </c>
      <c r="W17" s="655">
        <v>170.75031462000004</v>
      </c>
      <c r="X17" s="656">
        <v>181.61011849000005</v>
      </c>
      <c r="Y17" s="322">
        <f t="shared" si="7"/>
        <v>6.4</v>
      </c>
      <c r="Z17" s="649">
        <v>376</v>
      </c>
      <c r="AA17" s="417">
        <v>473.18021410999989</v>
      </c>
      <c r="AB17" s="322">
        <f t="shared" si="8"/>
        <v>25.8</v>
      </c>
      <c r="AC17" s="181"/>
      <c r="AD17" s="417"/>
      <c r="AE17" s="322"/>
      <c r="AF17" s="322">
        <f t="shared" si="10"/>
        <v>1571.3386032500002</v>
      </c>
      <c r="AG17" s="322">
        <f t="shared" si="10"/>
        <v>1819.40952406</v>
      </c>
      <c r="AH17" s="322">
        <f t="shared" si="11"/>
        <v>15.8</v>
      </c>
      <c r="AI17" s="417">
        <f t="shared" si="12"/>
        <v>1571.3386032500002</v>
      </c>
      <c r="AJ17" s="417">
        <f t="shared" si="12"/>
        <v>1819.40952406</v>
      </c>
      <c r="AK17" s="322">
        <f t="shared" si="13"/>
        <v>15.8</v>
      </c>
    </row>
    <row r="18" spans="1:37" s="429" customFormat="1" ht="18.75" customHeight="1" x14ac:dyDescent="0.3">
      <c r="A18" s="529" t="s">
        <v>268</v>
      </c>
      <c r="B18" s="181"/>
      <c r="C18" s="417"/>
      <c r="D18" s="322"/>
      <c r="E18" s="658"/>
      <c r="F18" s="463"/>
      <c r="G18" s="322"/>
      <c r="H18" s="658"/>
      <c r="I18" s="463"/>
      <c r="J18" s="322"/>
      <c r="K18" s="181"/>
      <c r="L18" s="417"/>
      <c r="M18" s="414"/>
      <c r="N18" s="181"/>
      <c r="O18" s="417"/>
      <c r="P18" s="322"/>
      <c r="Q18" s="643"/>
      <c r="R18" s="441"/>
      <c r="S18" s="322"/>
      <c r="T18" s="181"/>
      <c r="U18" s="417"/>
      <c r="V18" s="322"/>
      <c r="W18" s="655"/>
      <c r="X18" s="440"/>
      <c r="Y18" s="322"/>
      <c r="Z18" s="649"/>
      <c r="AA18" s="417"/>
      <c r="AB18" s="322"/>
      <c r="AC18" s="181"/>
      <c r="AD18" s="417"/>
      <c r="AE18" s="322"/>
      <c r="AF18" s="322"/>
      <c r="AG18" s="322"/>
      <c r="AH18" s="322"/>
      <c r="AI18" s="417"/>
      <c r="AJ18" s="417"/>
      <c r="AK18" s="538"/>
    </row>
    <row r="19" spans="1:37" s="429" customFormat="1" ht="18.75" customHeight="1" x14ac:dyDescent="0.3">
      <c r="A19" s="529" t="s">
        <v>269</v>
      </c>
      <c r="B19" s="536">
        <v>-7929.5540806100007</v>
      </c>
      <c r="C19" s="414">
        <v>-8124.9120000000003</v>
      </c>
      <c r="D19" s="322">
        <f>IF(B19=0, "    ---- ", IF(ABS(ROUND(100/B19*C19-100,1))&lt;999,ROUND(100/B19*C19-100,1),IF(ROUND(100/B19*C19-100,1)&gt;999,999,-999)))</f>
        <v>2.5</v>
      </c>
      <c r="E19" s="536">
        <v>-851.02758805999997</v>
      </c>
      <c r="F19" s="414">
        <v>-924.63832304999994</v>
      </c>
      <c r="G19" s="322">
        <f>IF(E19=0, "    ---- ", IF(ABS(ROUND(100/E19*F19-100,1))&lt;999,ROUND(100/E19*F19-100,1),IF(ROUND(100/E19*F19-100,1)&gt;999,999,-999)))</f>
        <v>8.6</v>
      </c>
      <c r="H19" s="536">
        <v>-60.555824000000001</v>
      </c>
      <c r="I19" s="414">
        <v>-84.393000000000001</v>
      </c>
      <c r="J19" s="322">
        <f>IF(H19=0, "    ---- ", IF(ABS(ROUND(100/H19*I19-100,1))&lt;999,ROUND(100/H19*I19-100,1),IF(ROUND(100/H19*I19-100,1)&gt;999,999,-999)))</f>
        <v>39.4</v>
      </c>
      <c r="K19" s="536">
        <v>-525</v>
      </c>
      <c r="L19" s="414">
        <v>-609</v>
      </c>
      <c r="M19" s="322">
        <f>IF(K19=0, "    ---- ", IF(ABS(ROUND(100/K19*L19-100,1))&lt;999,ROUND(100/K19*L19-100,1),IF(ROUND(100/K19*L19-100,1)&gt;999,999,-999)))</f>
        <v>16</v>
      </c>
      <c r="N19" s="536">
        <v>-12718.569652079999</v>
      </c>
      <c r="O19" s="414">
        <v>-13713.181347040001</v>
      </c>
      <c r="P19" s="322">
        <f>IF(N19=0, "    ---- ", IF(ABS(ROUND(100/N19*O19-100,1))&lt;999,ROUND(100/N19*O19-100,1),IF(ROUND(100/N19*O19-100,1)&gt;999,999,-999)))</f>
        <v>7.8</v>
      </c>
      <c r="Q19" s="536">
        <v>-4475.6853000000001</v>
      </c>
      <c r="R19" s="414">
        <v>-4782</v>
      </c>
      <c r="S19" s="322">
        <f>IF(Q19=0, "    ---- ", IF(ABS(ROUND(100/Q19*R19-100,1))&lt;999,ROUND(100/Q19*R19-100,1),IF(ROUND(100/Q19*R19-100,1)&gt;999,999,-999)))</f>
        <v>6.8</v>
      </c>
      <c r="T19" s="536">
        <v>-1733</v>
      </c>
      <c r="U19" s="414">
        <v>-1842</v>
      </c>
      <c r="V19" s="322">
        <f>IF(T19=0, "    ---- ", IF(ABS(ROUND(100/T19*U19-100,1))&lt;999,ROUND(100/T19*U19-100,1),IF(ROUND(100/T19*U19-100,1)&gt;999,999,-999)))</f>
        <v>6.3</v>
      </c>
      <c r="W19" s="657">
        <v>-898.15906834999998</v>
      </c>
      <c r="X19" s="442">
        <v>-1030.5212056199998</v>
      </c>
      <c r="Y19" s="322">
        <f>IF(W19=0, "    ---- ", IF(ABS(ROUND(100/W19*X19-100,1))&lt;999,ROUND(100/W19*X19-100,1),IF(ROUND(100/W19*X19-100,1)&gt;999,999,-999)))</f>
        <v>14.7</v>
      </c>
      <c r="Z19" s="647">
        <f>-7432+26</f>
        <v>-7406</v>
      </c>
      <c r="AA19" s="414">
        <v>-7815.3545051600004</v>
      </c>
      <c r="AB19" s="322">
        <f>IF(Z19=0, "    ---- ", IF(ABS(ROUND(100/Z19*AA19-100,1))&lt;999,ROUND(100/Z19*AA19-100,1),IF(ROUND(100/Z19*AA19-100,1)&gt;999,999,-999)))</f>
        <v>5.5</v>
      </c>
      <c r="AC19" s="536"/>
      <c r="AD19" s="414">
        <v>-2</v>
      </c>
      <c r="AE19" s="322" t="str">
        <f>IF(AC19=0, "    ---- ", IF(ABS(ROUND(100/AC19*AD19-100,1))&lt;999,ROUND(100/AC19*AD19-100,1),IF(ROUND(100/AC19*AD19-100,1)&gt;999,999,-999)))</f>
        <v xml:space="preserve">    ---- </v>
      </c>
      <c r="AF19" s="322">
        <f t="shared" si="10"/>
        <v>-36597.551513099999</v>
      </c>
      <c r="AG19" s="322">
        <f t="shared" si="10"/>
        <v>-38926.000380869998</v>
      </c>
      <c r="AH19" s="322">
        <f t="shared" si="11"/>
        <v>6.4</v>
      </c>
      <c r="AI19" s="417">
        <f t="shared" si="12"/>
        <v>-36597.551513099999</v>
      </c>
      <c r="AJ19" s="417">
        <f t="shared" si="12"/>
        <v>-38928.000380869998</v>
      </c>
      <c r="AK19" s="322">
        <f>IF(AI19=0, "    ---- ", IF(ABS(ROUND(100/AI19*AJ19-100,1))&lt;999,ROUND(100/AI19*AJ19-100,1),IF(ROUND(100/AI19*AJ19-100,1)&gt;999,999,-999)))</f>
        <v>6.4</v>
      </c>
    </row>
    <row r="20" spans="1:37" s="429" customFormat="1" ht="18.75" x14ac:dyDescent="0.3">
      <c r="A20" s="684" t="s">
        <v>411</v>
      </c>
      <c r="B20" s="537">
        <v>-7270.7014542800007</v>
      </c>
      <c r="C20" s="322">
        <v>-9186.241</v>
      </c>
      <c r="D20" s="322">
        <f>IF(B20=0, "    ---- ", IF(ABS(ROUND(100/B20*C20-100,1))&lt;999,ROUND(100/B20*C20-100,1),IF(ROUND(100/B20*C20-100,1)&gt;999,999,-999)))</f>
        <v>26.3</v>
      </c>
      <c r="E20" s="537">
        <v>68.087157689999998</v>
      </c>
      <c r="F20" s="322">
        <v>53.08324103999999</v>
      </c>
      <c r="G20" s="322">
        <f>IF(E20=0, "    ---- ", IF(ABS(ROUND(100/E20*F20-100,1))&lt;999,ROUND(100/E20*F20-100,1),IF(ROUND(100/E20*F20-100,1)&gt;999,999,-999)))</f>
        <v>-22</v>
      </c>
      <c r="H20" s="537"/>
      <c r="I20" s="322"/>
      <c r="J20" s="322"/>
      <c r="K20" s="537">
        <v>-2745</v>
      </c>
      <c r="L20" s="322">
        <v>-3948</v>
      </c>
      <c r="M20" s="322">
        <f>IF(K20=0, "    ---- ", IF(ABS(ROUND(100/K20*L20-100,1))&lt;999,ROUND(100/K20*L20-100,1),IF(ROUND(100/K20*L20-100,1)&gt;999,999,-999)))</f>
        <v>43.8</v>
      </c>
      <c r="N20" s="537">
        <v>-2121.1728710000002</v>
      </c>
      <c r="O20" s="322">
        <v>-2418.81369</v>
      </c>
      <c r="P20" s="322">
        <f>IF(N20=0, "    ---- ", IF(ABS(ROUND(100/N20*O20-100,1))&lt;999,ROUND(100/N20*O20-100,1),IF(ROUND(100/N20*O20-100,1)&gt;999,999,-999)))</f>
        <v>14</v>
      </c>
      <c r="Q20" s="644">
        <v>-4575</v>
      </c>
      <c r="R20" s="443">
        <v>-5776</v>
      </c>
      <c r="S20" s="322">
        <f>IF(Q20=0, "    ---- ", IF(ABS(ROUND(100/Q20*R20-100,1))&lt;999,ROUND(100/Q20*R20-100,1),IF(ROUND(100/Q20*R20-100,1)&gt;999,999,-999)))</f>
        <v>26.3</v>
      </c>
      <c r="T20" s="644"/>
      <c r="U20" s="443">
        <v>-121</v>
      </c>
      <c r="V20" s="322" t="str">
        <f t="shared" ref="V20" si="14">IF(T20=0, "    ---- ", IF(ABS(ROUND(100/T20*U20-100,1))&lt;999,ROUND(100/T20*U20-100,1),IF(ROUND(100/T20*U20-100,1)&gt;999,999,-999)))</f>
        <v xml:space="preserve">    ---- </v>
      </c>
      <c r="W20" s="644">
        <v>-2872.0269678300001</v>
      </c>
      <c r="X20" s="443">
        <v>-3134.9768061800009</v>
      </c>
      <c r="Y20" s="322">
        <f>IF(W20=0, "    ---- ", IF(ABS(ROUND(100/W20*X20-100,1))&lt;999,ROUND(100/W20*X20-100,1),IF(ROUND(100/W20*X20-100,1)&gt;999,999,-999)))</f>
        <v>9.1999999999999993</v>
      </c>
      <c r="Z20" s="648">
        <v>-9723</v>
      </c>
      <c r="AA20" s="414">
        <v>-7348.0482780499997</v>
      </c>
      <c r="AB20" s="322">
        <f>IF(Z20=0, "    ---- ", IF(ABS(ROUND(100/Z20*AA20-100,1))&lt;999,ROUND(100/Z20*AA20-100,1),IF(ROUND(100/Z20*AA20-100,1)&gt;999,999,-999)))</f>
        <v>-24.4</v>
      </c>
      <c r="AC20" s="537"/>
      <c r="AD20" s="322">
        <v>-3</v>
      </c>
      <c r="AE20" s="322" t="str">
        <f>IF(AC20=0, "    ---- ", IF(ABS(ROUND(100/AC20*AD20-100,1))&lt;999,ROUND(100/AC20*AD20-100,1),IF(ROUND(100/AC20*AD20-100,1)&gt;999,999,-999)))</f>
        <v xml:space="preserve">    ---- </v>
      </c>
      <c r="AF20" s="322">
        <f t="shared" si="10"/>
        <v>-29238.814135420002</v>
      </c>
      <c r="AG20" s="322">
        <f t="shared" si="10"/>
        <v>-31879.996533190002</v>
      </c>
      <c r="AH20" s="322">
        <f>IF(AF20=0, "    ---- ", IF(ABS(ROUND(100/AF20*AG20-100,1))&lt;999,ROUND(100/AF20*AG20-100,1),IF(ROUND(100/AF20*AG20-100,1)&gt;999,999,-999)))</f>
        <v>9</v>
      </c>
      <c r="AI20" s="417">
        <f t="shared" si="12"/>
        <v>-29238.814135420002</v>
      </c>
      <c r="AJ20" s="417">
        <f t="shared" si="12"/>
        <v>-31882.996533190002</v>
      </c>
      <c r="AK20" s="322">
        <f>IF(AI20=0, "    ---- ", IF(ABS(ROUND(100/AI20*AJ20-100,1))&lt;999,ROUND(100/AI20*AJ20-100,1),IF(ROUND(100/AI20*AJ20-100,1)&gt;999,999,-999)))</f>
        <v>9</v>
      </c>
    </row>
    <row r="21" spans="1:37" s="429" customFormat="1" ht="18.75" customHeight="1" x14ac:dyDescent="0.3">
      <c r="A21" s="529" t="s">
        <v>270</v>
      </c>
      <c r="B21" s="536">
        <f>SUM(B19:B20)</f>
        <v>-15200.255534890002</v>
      </c>
      <c r="C21" s="414">
        <f>SUM(C19:C20)</f>
        <v>-17311.152999999998</v>
      </c>
      <c r="D21" s="322">
        <f>IF(B21=0, "    ---- ", IF(ABS(ROUND(100/B21*C21-100,1))&lt;999,ROUND(100/B21*C21-100,1),IF(ROUND(100/B21*C21-100,1)&gt;999,999,-999)))</f>
        <v>13.9</v>
      </c>
      <c r="E21" s="536">
        <f>SUM(E19:E20)</f>
        <v>-782.94043036999994</v>
      </c>
      <c r="F21" s="414">
        <v>-871.55508200999998</v>
      </c>
      <c r="G21" s="322">
        <f>IF(E21=0, "    ---- ", IF(ABS(ROUND(100/E21*F21-100,1))&lt;999,ROUND(100/E21*F21-100,1),IF(ROUND(100/E21*F21-100,1)&gt;999,999,-999)))</f>
        <v>11.3</v>
      </c>
      <c r="H21" s="536">
        <f>SUM(H19:H20)</f>
        <v>-60.555824000000001</v>
      </c>
      <c r="I21" s="414">
        <f>SUM(I19:I20)</f>
        <v>-84.393000000000001</v>
      </c>
      <c r="J21" s="322">
        <f>IF(H21=0, "    ---- ", IF(ABS(ROUND(100/H21*I21-100,1))&lt;999,ROUND(100/H21*I21-100,1),IF(ROUND(100/H21*I21-100,1)&gt;999,999,-999)))</f>
        <v>39.4</v>
      </c>
      <c r="K21" s="536">
        <f>SUM(K19:K20)</f>
        <v>-3270</v>
      </c>
      <c r="L21" s="414">
        <f>SUM(L19:L20)</f>
        <v>-4557</v>
      </c>
      <c r="M21" s="322">
        <f>IF(K21=0, "    ---- ", IF(ABS(ROUND(100/K21*L21-100,1))&lt;999,ROUND(100/K21*L21-100,1),IF(ROUND(100/K21*L21-100,1)&gt;999,999,-999)))</f>
        <v>39.4</v>
      </c>
      <c r="N21" s="536">
        <v>-14839.74252308</v>
      </c>
      <c r="O21" s="414">
        <v>-16131.99503704</v>
      </c>
      <c r="P21" s="322">
        <f>IF(N21=0, "    ---- ", IF(ABS(ROUND(100/N21*O21-100,1))&lt;999,ROUND(100/N21*O21-100,1),IF(ROUND(100/N21*O21-100,1)&gt;999,999,-999)))</f>
        <v>8.6999999999999993</v>
      </c>
      <c r="Q21" s="536">
        <f>SUM(Q19:Q20)</f>
        <v>-9050.685300000001</v>
      </c>
      <c r="R21" s="414">
        <f>SUM(R19:R20)</f>
        <v>-10558</v>
      </c>
      <c r="S21" s="322">
        <f>IF(Q21=0, "    ---- ", IF(ABS(ROUND(100/Q21*R21-100,1))&lt;999,ROUND(100/Q21*R21-100,1),IF(ROUND(100/Q21*R21-100,1)&gt;999,999,-999)))</f>
        <v>16.7</v>
      </c>
      <c r="T21" s="536">
        <f>SUM(T19:T20)</f>
        <v>-1733</v>
      </c>
      <c r="U21" s="414">
        <f>SUM(U19:U20)</f>
        <v>-1963</v>
      </c>
      <c r="V21" s="322">
        <f>IF(T21=0, "    ---- ", IF(ABS(ROUND(100/T21*U21-100,1))&lt;999,ROUND(100/T21*U21-100,1),IF(ROUND(100/T21*U21-100,1)&gt;999,999,-999)))</f>
        <v>13.3</v>
      </c>
      <c r="W21" s="536">
        <f>SUM(W19:W20)</f>
        <v>-3770.18603618</v>
      </c>
      <c r="X21" s="414">
        <f>SUM(X19:X20)</f>
        <v>-4165.4980118000003</v>
      </c>
      <c r="Y21" s="322">
        <f>IF(W21=0, "    ---- ", IF(ABS(ROUND(100/W21*X21-100,1))&lt;999,ROUND(100/W21*X21-100,1),IF(ROUND(100/W21*X21-100,1)&gt;999,999,-999)))</f>
        <v>10.5</v>
      </c>
      <c r="Z21" s="647">
        <f>+Z19+Z20</f>
        <v>-17129</v>
      </c>
      <c r="AA21" s="414">
        <f>SUM(AA19:AA20)</f>
        <v>-15163.40278321</v>
      </c>
      <c r="AB21" s="322">
        <f>IF(Z21=0, "    ---- ", IF(ABS(ROUND(100/Z21*AA21-100,1))&lt;999,ROUND(100/Z21*AA21-100,1),IF(ROUND(100/Z21*AA21-100,1)&gt;999,999,-999)))</f>
        <v>-11.5</v>
      </c>
      <c r="AC21" s="536"/>
      <c r="AD21" s="414">
        <f>SUM(AD19:AD20)</f>
        <v>-5</v>
      </c>
      <c r="AE21" s="322" t="str">
        <f>IF(AC21=0, "    ---- ", IF(ABS(ROUND(100/AC21*AD21-100,1))&lt;999,ROUND(100/AC21*AD21-100,1),IF(ROUND(100/AC21*AD21-100,1)&gt;999,999,-999)))</f>
        <v xml:space="preserve">    ---- </v>
      </c>
      <c r="AF21" s="322">
        <f t="shared" si="10"/>
        <v>-65836.365648520004</v>
      </c>
      <c r="AG21" s="322">
        <f t="shared" si="10"/>
        <v>-70805.996914060001</v>
      </c>
      <c r="AH21" s="322">
        <f t="shared" si="11"/>
        <v>7.5</v>
      </c>
      <c r="AI21" s="417">
        <f t="shared" si="12"/>
        <v>-65836.365648520004</v>
      </c>
      <c r="AJ21" s="417">
        <f t="shared" si="12"/>
        <v>-70810.996914060001</v>
      </c>
      <c r="AK21" s="322">
        <f>IF(AI21=0, "    ---- ", IF(ABS(ROUND(100/AI21*AJ21-100,1))&lt;999,ROUND(100/AI21*AJ21-100,1),IF(ROUND(100/AI21*AJ21-100,1)&gt;999,999,-999)))</f>
        <v>7.6</v>
      </c>
    </row>
    <row r="22" spans="1:37" s="429" customFormat="1" ht="18.75" customHeight="1" x14ac:dyDescent="0.3">
      <c r="A22" s="529" t="s">
        <v>271</v>
      </c>
      <c r="B22" s="181"/>
      <c r="C22" s="417"/>
      <c r="D22" s="322"/>
      <c r="E22" s="645"/>
      <c r="F22" s="461"/>
      <c r="G22" s="322"/>
      <c r="H22" s="645"/>
      <c r="I22" s="461"/>
      <c r="J22" s="322"/>
      <c r="K22" s="181"/>
      <c r="L22" s="417"/>
      <c r="M22" s="322"/>
      <c r="N22" s="181"/>
      <c r="O22" s="417"/>
      <c r="P22" s="322"/>
      <c r="Q22" s="645"/>
      <c r="R22" s="461"/>
      <c r="S22" s="322"/>
      <c r="T22" s="645"/>
      <c r="U22" s="461"/>
      <c r="V22" s="322"/>
      <c r="W22" s="645"/>
      <c r="X22" s="461"/>
      <c r="Y22" s="322"/>
      <c r="Z22" s="649"/>
      <c r="AA22" s="417"/>
      <c r="AB22" s="322"/>
      <c r="AC22" s="181"/>
      <c r="AD22" s="417"/>
      <c r="AE22" s="322"/>
      <c r="AF22" s="322"/>
      <c r="AG22" s="322"/>
      <c r="AH22" s="322"/>
      <c r="AI22" s="322"/>
      <c r="AJ22" s="322"/>
      <c r="AK22" s="322"/>
    </row>
    <row r="23" spans="1:37" s="429" customFormat="1" ht="18.75" customHeight="1" x14ac:dyDescent="0.3">
      <c r="A23" s="529" t="s">
        <v>383</v>
      </c>
      <c r="B23" s="181">
        <v>2711.6706019399999</v>
      </c>
      <c r="C23" s="322">
        <v>2564.482</v>
      </c>
      <c r="D23" s="322">
        <f t="shared" ref="D23:D30" si="15">IF(B23=0, "    ---- ", IF(ABS(ROUND(100/B23*C23-100,1))&lt;999,ROUND(100/B23*C23-100,1),IF(ROUND(100/B23*C23-100,1)&gt;999,999,-999)))</f>
        <v>-5.4</v>
      </c>
      <c r="E23" s="537">
        <v>-389.19216934999963</v>
      </c>
      <c r="F23" s="322">
        <v>-515.22871190000023</v>
      </c>
      <c r="G23" s="322">
        <f>IF(E23=0, "    ---- ", IF(ABS(ROUND(100/E23*F23-100,1))&lt;999,ROUND(100/E23*F23-100,1),IF(ROUND(100/E23*F23-100,1)&gt;999,999,-999)))</f>
        <v>32.4</v>
      </c>
      <c r="H23" s="537">
        <v>-498.89542899999998</v>
      </c>
      <c r="I23" s="322">
        <v>-471.34199999999998</v>
      </c>
      <c r="J23" s="322">
        <f>IF(H23=0, "    ---- ", IF(ABS(ROUND(100/H23*I23-100,1))&lt;999,ROUND(100/H23*I23-100,1),IF(ROUND(100/H23*I23-100,1)&gt;999,999,-999)))</f>
        <v>-5.5</v>
      </c>
      <c r="K23" s="537">
        <v>-370</v>
      </c>
      <c r="L23" s="322">
        <v>-423</v>
      </c>
      <c r="M23" s="322">
        <f t="shared" ref="M23:M32" si="16">IF(K23=0, "    ---- ", IF(ABS(ROUND(100/K23*L23-100,1))&lt;999,ROUND(100/K23*L23-100,1),IF(ROUND(100/K23*L23-100,1)&gt;999,999,-999)))</f>
        <v>14.3</v>
      </c>
      <c r="N23" s="537">
        <v>-41245.26303817</v>
      </c>
      <c r="O23" s="322">
        <v>-27082.191081700003</v>
      </c>
      <c r="P23" s="322">
        <f t="shared" ref="P23:P31" si="17">IF(N23=0, "    ---- ", IF(ABS(ROUND(100/N23*O23-100,1))&lt;999,ROUND(100/N23*O23-100,1),IF(ROUND(100/N23*O23-100,1)&gt;999,999,-999)))</f>
        <v>-34.299999999999997</v>
      </c>
      <c r="Q23" s="537">
        <v>41.421999999999997</v>
      </c>
      <c r="R23" s="322">
        <v>-56</v>
      </c>
      <c r="S23" s="322">
        <f t="shared" ref="S23:S30" si="18">IF(Q23=0, "    ---- ", IF(ABS(ROUND(100/Q23*R23-100,1))&lt;999,ROUND(100/Q23*R23-100,1),IF(ROUND(100/Q23*R23-100,1)&gt;999,999,-999)))</f>
        <v>-235.2</v>
      </c>
      <c r="T23" s="537">
        <v>-928</v>
      </c>
      <c r="U23" s="322">
        <v>-698</v>
      </c>
      <c r="V23" s="322">
        <f>IF(T23=0, "    ---- ", IF(ABS(ROUND(100/T23*U23-100,1))&lt;999,ROUND(100/T23*U23-100,1),IF(ROUND(100/T23*U23-100,1)&gt;999,999,-999)))</f>
        <v>-24.8</v>
      </c>
      <c r="W23" s="537">
        <v>-116.52616458999987</v>
      </c>
      <c r="X23" s="322">
        <v>-145.85303269999997</v>
      </c>
      <c r="Y23" s="322">
        <f t="shared" ref="Y23:Y30" si="19">IF(W23=0, "    ---- ", IF(ABS(ROUND(100/W23*X23-100,1))&lt;999,ROUND(100/W23*X23-100,1),IF(ROUND(100/W23*X23-100,1)&gt;999,999,-999)))</f>
        <v>25.2</v>
      </c>
      <c r="Z23" s="648">
        <v>-2147</v>
      </c>
      <c r="AA23" s="322">
        <v>-3007.190800780003</v>
      </c>
      <c r="AB23" s="322">
        <f t="shared" ref="AB23:AB30" si="20">IF(Z23=0, "    ---- ", IF(ABS(ROUND(100/Z23*AA23-100,1))&lt;999,ROUND(100/Z23*AA23-100,1),IF(ROUND(100/Z23*AA23-100,1)&gt;999,999,-999)))</f>
        <v>40.1</v>
      </c>
      <c r="AC23" s="537">
        <v>-3</v>
      </c>
      <c r="AD23" s="322">
        <v>-58</v>
      </c>
      <c r="AE23" s="322">
        <f t="shared" ref="AE23:AE30" si="21">IF(AC23=0, "    ---- ", IF(ABS(ROUND(100/AC23*AD23-100,1))&lt;999,ROUND(100/AC23*AD23-100,1),IF(ROUND(100/AC23*AD23-100,1)&gt;999,999,-999)))</f>
        <v>999</v>
      </c>
      <c r="AF23" s="322">
        <f t="shared" si="10"/>
        <v>-42941.784199170004</v>
      </c>
      <c r="AG23" s="322">
        <f t="shared" si="10"/>
        <v>-29834.323627080004</v>
      </c>
      <c r="AH23" s="322">
        <f t="shared" si="11"/>
        <v>-30.5</v>
      </c>
      <c r="AI23" s="322"/>
      <c r="AJ23" s="322"/>
      <c r="AK23" s="322"/>
    </row>
    <row r="24" spans="1:37" s="429" customFormat="1" ht="18.75" customHeight="1" x14ac:dyDescent="0.3">
      <c r="A24" s="529" t="s">
        <v>390</v>
      </c>
      <c r="B24" s="181">
        <v>-4.0540234000000002</v>
      </c>
      <c r="C24" s="322">
        <v>-12.510999999999999</v>
      </c>
      <c r="D24" s="322">
        <f>IF(B24=0, "    ---- ", IF(ABS(ROUND(100/B24*C24-100,1))&lt;999,ROUND(100/B24*C24-100,1),IF(ROUND(100/B24*C24-100,1)&gt;999,999,-999)))</f>
        <v>208.6</v>
      </c>
      <c r="E24" s="537"/>
      <c r="F24" s="322"/>
      <c r="G24" s="322"/>
      <c r="H24" s="537"/>
      <c r="I24" s="322"/>
      <c r="J24" s="322"/>
      <c r="K24" s="537"/>
      <c r="L24" s="322">
        <v>-3</v>
      </c>
      <c r="M24" s="322" t="str">
        <f>IF(K24=0, "    ---- ", IF(ABS(ROUND(100/K24*L24-100,1))&lt;999,ROUND(100/K24*L24-100,1),IF(ROUND(100/K24*L24-100,1)&gt;999,999,-999)))</f>
        <v xml:space="preserve">    ---- </v>
      </c>
      <c r="N24" s="537">
        <v>-321.38631600000002</v>
      </c>
      <c r="O24" s="322">
        <v>0</v>
      </c>
      <c r="P24" s="322">
        <f>IF(N24=0, "    ---- ", IF(ABS(ROUND(100/N24*O24-100,1))&lt;999,ROUND(100/N24*O24-100,1),IF(ROUND(100/N24*O24-100,1)&gt;999,999,-999)))</f>
        <v>-100</v>
      </c>
      <c r="Q24" s="537"/>
      <c r="R24" s="322">
        <v>-276</v>
      </c>
      <c r="S24" s="322" t="str">
        <f>IF(Q24=0, "    ---- ", IF(ABS(ROUND(100/Q24*R24-100,1))&lt;999,ROUND(100/Q24*R24-100,1),IF(ROUND(100/Q24*R24-100,1)&gt;999,999,-999)))</f>
        <v xml:space="preserve">    ---- </v>
      </c>
      <c r="T24" s="537"/>
      <c r="U24" s="322"/>
      <c r="V24" s="322"/>
      <c r="W24" s="537"/>
      <c r="X24" s="322">
        <v>35.639471139999969</v>
      </c>
      <c r="Y24" s="322" t="str">
        <f>IF(W24=0, "    ---- ", IF(ABS(ROUND(100/W24*X24-100,1))&lt;999,ROUND(100/W24*X24-100,1),IF(ROUND(100/W24*X24-100,1)&gt;999,999,-999)))</f>
        <v xml:space="preserve">    ---- </v>
      </c>
      <c r="Z24" s="648">
        <v>-862</v>
      </c>
      <c r="AA24" s="322">
        <v>-406.05959296000003</v>
      </c>
      <c r="AB24" s="322">
        <f>IF(Z24=0, "    ---- ", IF(ABS(ROUND(100/Z24*AA24-100,1))&lt;999,ROUND(100/Z24*AA24-100,1),IF(ROUND(100/Z24*AA24-100,1)&gt;999,999,-999)))</f>
        <v>-52.9</v>
      </c>
      <c r="AC24" s="537"/>
      <c r="AD24" s="322"/>
      <c r="AE24" s="322"/>
      <c r="AF24" s="322">
        <f t="shared" si="10"/>
        <v>-1187.4403394000001</v>
      </c>
      <c r="AG24" s="322">
        <f t="shared" si="10"/>
        <v>-661.93112182000004</v>
      </c>
      <c r="AH24" s="322">
        <f>IF(AF24=0, "    ---- ", IF(ABS(ROUND(100/AF24*AG24-100,1))&lt;999,ROUND(100/AF24*AG24-100,1),IF(ROUND(100/AF24*AG24-100,1)&gt;999,999,-999)))</f>
        <v>-44.3</v>
      </c>
      <c r="AI24" s="322"/>
      <c r="AJ24" s="322"/>
      <c r="AK24" s="322"/>
    </row>
    <row r="25" spans="1:37" s="429" customFormat="1" ht="18.75" customHeight="1" x14ac:dyDescent="0.3">
      <c r="A25" s="678" t="s">
        <v>418</v>
      </c>
      <c r="B25" s="181">
        <v>-1.54297532</v>
      </c>
      <c r="C25" s="475"/>
      <c r="D25" s="322">
        <f>IF(B25=0, "    ---- ", IF(ABS(ROUND(100/B25*C25-100,1))&lt;999,ROUND(100/B25*C25-100,1),IF(ROUND(100/B25*C25-100,1)&gt;999,999,-999)))</f>
        <v>-100</v>
      </c>
      <c r="E25" s="537"/>
      <c r="F25" s="475"/>
      <c r="G25" s="322"/>
      <c r="H25" s="537"/>
      <c r="I25" s="475"/>
      <c r="J25" s="322"/>
      <c r="K25" s="537">
        <v>-1</v>
      </c>
      <c r="L25" s="475"/>
      <c r="M25" s="322">
        <f>IF(K25=0, "    ---- ", IF(ABS(ROUND(100/K25*L25-100,1))&lt;999,ROUND(100/K25*L25-100,1),IF(ROUND(100/K25*L25-100,1)&gt;999,999,-999)))</f>
        <v>-100</v>
      </c>
      <c r="N25" s="537"/>
      <c r="O25" s="475"/>
      <c r="P25" s="322"/>
      <c r="Q25" s="537">
        <v>75</v>
      </c>
      <c r="R25" s="88"/>
      <c r="S25" s="322">
        <f>IF(Q25=0, "    ---- ", IF(ABS(ROUND(100/Q25*R25-100,1))&lt;999,ROUND(100/Q25*R25-100,1),IF(ROUND(100/Q25*R25-100,1)&gt;999,999,-999)))</f>
        <v>-100</v>
      </c>
      <c r="T25" s="537"/>
      <c r="U25" s="475"/>
      <c r="V25" s="322"/>
      <c r="W25" s="537">
        <v>37.184569439999947</v>
      </c>
      <c r="X25" s="475"/>
      <c r="Y25" s="322">
        <f>IF(W25=0, "    ---- ", IF(ABS(ROUND(100/W25*X25-100,1))&lt;999,ROUND(100/W25*X25-100,1),IF(ROUND(100/W25*X25-100,1)&gt;999,999,-999)))</f>
        <v>-100</v>
      </c>
      <c r="Z25" s="648">
        <v>53</v>
      </c>
      <c r="AA25" s="475"/>
      <c r="AB25" s="322">
        <f>IF(Z25=0, "    ---- ", IF(ABS(ROUND(100/Z25*AA25-100,1))&lt;999,ROUND(100/Z25*AA25-100,1),IF(ROUND(100/Z25*AA25-100,1)&gt;999,999,-999)))</f>
        <v>-100</v>
      </c>
      <c r="AC25" s="537"/>
      <c r="AD25" s="475"/>
      <c r="AE25" s="322"/>
      <c r="AF25" s="322">
        <f t="shared" si="10"/>
        <v>162.64159411999995</v>
      </c>
      <c r="AG25" s="322">
        <f t="shared" si="10"/>
        <v>0</v>
      </c>
      <c r="AH25" s="322">
        <f>IF(AF25=0, "    ---- ", IF(ABS(ROUND(100/AF25*AG25-100,1))&lt;999,ROUND(100/AF25*AG25-100,1),IF(ROUND(100/AF25*AG25-100,1)&gt;999,999,-999)))</f>
        <v>-100</v>
      </c>
      <c r="AI25" s="322"/>
      <c r="AJ25" s="322"/>
      <c r="AK25" s="322"/>
    </row>
    <row r="26" spans="1:37" s="429" customFormat="1" ht="18.75" customHeight="1" x14ac:dyDescent="0.3">
      <c r="A26" s="529" t="s">
        <v>391</v>
      </c>
      <c r="B26" s="181">
        <v>-422.58910132</v>
      </c>
      <c r="C26" s="322">
        <v>-3.6230000000000002</v>
      </c>
      <c r="D26" s="322">
        <f>IF(B26=0, "    ---- ", IF(ABS(ROUND(100/B26*C26-100,1))&lt;999,ROUND(100/B26*C26-100,1),IF(ROUND(100/B26*C26-100,1)&gt;999,999,-999)))</f>
        <v>-99.1</v>
      </c>
      <c r="E26" s="537"/>
      <c r="F26" s="322"/>
      <c r="G26" s="322"/>
      <c r="H26" s="537"/>
      <c r="I26" s="671"/>
      <c r="J26" s="322"/>
      <c r="K26" s="537">
        <v>-1</v>
      </c>
      <c r="L26" s="322">
        <v>17</v>
      </c>
      <c r="M26" s="414">
        <f t="shared" ref="M26" si="22">IF(K26=0, "    ---- ", IF(ABS(ROUND(100/K26*L26-100,1))&lt;999,ROUND(100/K26*L26-100,1),IF(ROUND(100/K26*L26-100,1)&gt;999,999,-999)))</f>
        <v>-999</v>
      </c>
      <c r="N26" s="537"/>
      <c r="O26" s="322">
        <v>-418.67653000000001</v>
      </c>
      <c r="P26" s="322" t="str">
        <f>IF(N26=0, "    ---- ", IF(ABS(ROUND(100/N26*O26-100,1))&lt;999,ROUND(100/N26*O26-100,1),IF(ROUND(100/N26*O26-100,1)&gt;999,999,-999)))</f>
        <v xml:space="preserve">    ---- </v>
      </c>
      <c r="Q26" s="537">
        <v>-3</v>
      </c>
      <c r="R26" s="322">
        <v>-2</v>
      </c>
      <c r="S26" s="322">
        <f>IF(Q26=0, "    ---- ", IF(ABS(ROUND(100/Q26*R26-100,1))&lt;999,ROUND(100/Q26*R26-100,1),IF(ROUND(100/Q26*R26-100,1)&gt;999,999,-999)))</f>
        <v>-33.299999999999997</v>
      </c>
      <c r="T26" s="537">
        <v>-56</v>
      </c>
      <c r="U26" s="322">
        <v>-41</v>
      </c>
      <c r="V26" s="322">
        <f>IF(T26=0, "    ---- ", IF(ABS(ROUND(100/T26*U26-100,1))&lt;999,ROUND(100/T26*U26-100,1),IF(ROUND(100/T26*U26-100,1)&gt;999,999,-999)))</f>
        <v>-26.8</v>
      </c>
      <c r="W26" s="537">
        <v>-2.4256009999999999</v>
      </c>
      <c r="X26" s="322">
        <v>1.206429</v>
      </c>
      <c r="Y26" s="322">
        <f>IF(W26=0, "    ---- ", IF(ABS(ROUND(100/W26*X26-100,1))&lt;999,ROUND(100/W26*X26-100,1),IF(ROUND(100/W26*X26-100,1)&gt;999,999,-999)))</f>
        <v>-149.69999999999999</v>
      </c>
      <c r="Z26" s="537"/>
      <c r="AA26" s="322"/>
      <c r="AB26" s="322"/>
      <c r="AC26" s="537"/>
      <c r="AD26" s="322"/>
      <c r="AE26" s="322"/>
      <c r="AF26" s="322">
        <f t="shared" si="10"/>
        <v>-485.01470231999997</v>
      </c>
      <c r="AG26" s="322">
        <f>C26+F26+I26+L26+O26+R26+U26+X26+AA26</f>
        <v>-447.09310099999999</v>
      </c>
      <c r="AH26" s="322">
        <f>IF(AF26=0, "    ---- ", IF(ABS(ROUND(100/AF26*AG26-100,1))&lt;999,ROUND(100/AF26*AG26-100,1),IF(ROUND(100/AF26*AG26-100,1)&gt;999,999,-999)))</f>
        <v>-7.8</v>
      </c>
      <c r="AI26" s="322"/>
      <c r="AJ26" s="322"/>
      <c r="AK26" s="322"/>
    </row>
    <row r="27" spans="1:37" s="429" customFormat="1" ht="18.75" customHeight="1" x14ac:dyDescent="0.3">
      <c r="A27" s="678" t="s">
        <v>419</v>
      </c>
      <c r="B27" s="181">
        <v>-1211.9539109300001</v>
      </c>
      <c r="C27" s="475"/>
      <c r="D27" s="322">
        <f t="shared" si="15"/>
        <v>-100</v>
      </c>
      <c r="E27" s="537">
        <v>-73.428948750000004</v>
      </c>
      <c r="F27" s="475">
        <v>0</v>
      </c>
      <c r="G27" s="322">
        <f>IF(E27=0, "    ---- ", IF(ABS(ROUND(100/E27*F27-100,1))&lt;999,ROUND(100/E27*F27-100,1),IF(ROUND(100/E27*F27-100,1)&gt;999,999,-999)))</f>
        <v>-100</v>
      </c>
      <c r="H27" s="537"/>
      <c r="I27" s="671">
        <v>-8</v>
      </c>
      <c r="J27" s="322" t="str">
        <f>IF(H27=0, "    ---- ", IF(ABS(ROUND(100/H27*I27-100,1))&lt;999,ROUND(100/H27*I27-100,1),IF(ROUND(100/H27*I27-100,1)&gt;999,999,-999)))</f>
        <v xml:space="preserve">    ---- </v>
      </c>
      <c r="K27" s="537">
        <v>-2</v>
      </c>
      <c r="L27" s="671"/>
      <c r="M27" s="322">
        <f t="shared" si="16"/>
        <v>-100</v>
      </c>
      <c r="N27" s="537"/>
      <c r="O27" s="475"/>
      <c r="P27" s="322"/>
      <c r="Q27" s="537">
        <v>130</v>
      </c>
      <c r="R27" s="475">
        <v>0</v>
      </c>
      <c r="S27" s="322">
        <f t="shared" si="18"/>
        <v>-100</v>
      </c>
      <c r="T27" s="537"/>
      <c r="U27" s="475"/>
      <c r="V27" s="322"/>
      <c r="W27" s="537">
        <v>-307.16226039999992</v>
      </c>
      <c r="X27" s="475"/>
      <c r="Y27" s="322">
        <f t="shared" si="19"/>
        <v>-100</v>
      </c>
      <c r="Z27" s="648">
        <v>-81</v>
      </c>
      <c r="AA27" s="671">
        <v>-27.190971319999992</v>
      </c>
      <c r="AB27" s="322">
        <f t="shared" si="20"/>
        <v>-66.400000000000006</v>
      </c>
      <c r="AC27" s="537"/>
      <c r="AD27" s="475"/>
      <c r="AE27" s="322"/>
      <c r="AF27" s="322">
        <f t="shared" ref="AF27:AG35" si="23">B27+E27+H27+K27+N27+Q27+T27+W27+Z27</f>
        <v>-1545.5451200800001</v>
      </c>
      <c r="AG27" s="322">
        <f t="shared" si="23"/>
        <v>-35.190971319999989</v>
      </c>
      <c r="AH27" s="322">
        <f>IF(AF27=0, "    ---- ", IF(ABS(ROUND(100/AF27*AG27-100,1))&lt;999,ROUND(100/AF27*AG27-100,1),IF(ROUND(100/AF27*AG27-100,1)&gt;999,999,-999)))</f>
        <v>-97.7</v>
      </c>
      <c r="AI27" s="322"/>
      <c r="AJ27" s="322"/>
      <c r="AK27" s="322"/>
    </row>
    <row r="28" spans="1:37" s="429" customFormat="1" ht="18.75" customHeight="1" x14ac:dyDescent="0.3">
      <c r="A28" s="529" t="s">
        <v>392</v>
      </c>
      <c r="B28" s="181">
        <v>5.6161185599999994</v>
      </c>
      <c r="C28" s="322">
        <v>-740.26499999999999</v>
      </c>
      <c r="D28" s="322">
        <f t="shared" si="15"/>
        <v>-999</v>
      </c>
      <c r="E28" s="537"/>
      <c r="F28" s="322"/>
      <c r="G28" s="322"/>
      <c r="H28" s="537">
        <v>-5.5911280000000003</v>
      </c>
      <c r="I28" s="322">
        <v>-4.0819999999999999</v>
      </c>
      <c r="J28" s="322">
        <f>IF(H28=0, "    ---- ", IF(ABS(ROUND(100/H28*I28-100,1))&lt;999,ROUND(100/H28*I28-100,1),IF(ROUND(100/H28*I28-100,1)&gt;999,999,-999)))</f>
        <v>-27</v>
      </c>
      <c r="K28" s="537"/>
      <c r="L28" s="322"/>
      <c r="M28" s="322"/>
      <c r="N28" s="537">
        <v>343.62289099999998</v>
      </c>
      <c r="O28" s="322">
        <v>366.35661199999998</v>
      </c>
      <c r="P28" s="322">
        <f>IF(N28=0, "    ---- ", IF(ABS(ROUND(100/N28*O28-100,1))&lt;999,ROUND(100/N28*O28-100,1),IF(ROUND(100/N28*O28-100,1)&gt;999,999,-999)))</f>
        <v>6.6</v>
      </c>
      <c r="Q28" s="537"/>
      <c r="R28" s="322"/>
      <c r="S28" s="322"/>
      <c r="T28" s="537">
        <v>-8</v>
      </c>
      <c r="U28" s="322">
        <v>0</v>
      </c>
      <c r="V28" s="322">
        <f>IF(T28=0, "    ---- ", IF(ABS(ROUND(100/T28*U28-100,1))&lt;999,ROUND(100/T28*U28-100,1),IF(ROUND(100/T28*U28-100,1)&gt;999,999,-999)))</f>
        <v>-100</v>
      </c>
      <c r="W28" s="537"/>
      <c r="X28" s="322"/>
      <c r="Y28" s="322"/>
      <c r="Z28" s="648">
        <v>24</v>
      </c>
      <c r="AA28" s="322">
        <v>-47.408607020000005</v>
      </c>
      <c r="AB28" s="322">
        <f t="shared" si="20"/>
        <v>-297.5</v>
      </c>
      <c r="AC28" s="537"/>
      <c r="AD28" s="322"/>
      <c r="AE28" s="322"/>
      <c r="AF28" s="322">
        <f t="shared" si="23"/>
        <v>359.64788155999997</v>
      </c>
      <c r="AG28" s="322">
        <f t="shared" si="23"/>
        <v>-425.39899502000003</v>
      </c>
      <c r="AH28" s="322">
        <f t="shared" si="11"/>
        <v>-218.3</v>
      </c>
      <c r="AI28" s="322"/>
      <c r="AJ28" s="322"/>
      <c r="AK28" s="322"/>
    </row>
    <row r="29" spans="1:37" s="429" customFormat="1" ht="18.75" x14ac:dyDescent="0.3">
      <c r="A29" s="684" t="s">
        <v>412</v>
      </c>
      <c r="B29" s="181"/>
      <c r="C29" s="322">
        <v>19.722999999999999</v>
      </c>
      <c r="D29" s="322" t="str">
        <f t="shared" si="15"/>
        <v xml:space="preserve">    ---- </v>
      </c>
      <c r="E29" s="537"/>
      <c r="F29" s="322"/>
      <c r="G29" s="322"/>
      <c r="H29" s="537"/>
      <c r="I29" s="322"/>
      <c r="J29" s="322"/>
      <c r="K29" s="537"/>
      <c r="L29" s="322"/>
      <c r="M29" s="322"/>
      <c r="N29" s="537"/>
      <c r="O29" s="322"/>
      <c r="P29" s="322"/>
      <c r="Q29" s="537">
        <v>1</v>
      </c>
      <c r="R29" s="322"/>
      <c r="S29" s="322">
        <f t="shared" si="18"/>
        <v>-100</v>
      </c>
      <c r="T29" s="537"/>
      <c r="U29" s="322"/>
      <c r="V29" s="322"/>
      <c r="W29" s="537"/>
      <c r="X29" s="322"/>
      <c r="Y29" s="322"/>
      <c r="Z29" s="648">
        <v>191</v>
      </c>
      <c r="AA29" s="322">
        <v>438.61332099999998</v>
      </c>
      <c r="AB29" s="322">
        <f t="shared" si="20"/>
        <v>129.6</v>
      </c>
      <c r="AC29" s="537"/>
      <c r="AD29" s="322">
        <v>1</v>
      </c>
      <c r="AE29" s="322" t="str">
        <f t="shared" si="21"/>
        <v xml:space="preserve">    ---- </v>
      </c>
      <c r="AF29" s="322">
        <f t="shared" si="23"/>
        <v>192</v>
      </c>
      <c r="AG29" s="322">
        <f t="shared" si="23"/>
        <v>458.336321</v>
      </c>
      <c r="AH29" s="322">
        <f t="shared" si="11"/>
        <v>138.69999999999999</v>
      </c>
      <c r="AI29" s="322"/>
      <c r="AJ29" s="322"/>
      <c r="AK29" s="322"/>
    </row>
    <row r="30" spans="1:37" s="429" customFormat="1" ht="18.75" customHeight="1" x14ac:dyDescent="0.3">
      <c r="A30" s="529" t="s">
        <v>272</v>
      </c>
      <c r="B30" s="181">
        <f>SUM(B23:B29)</f>
        <v>1077.1467095299997</v>
      </c>
      <c r="C30" s="322">
        <f>SUM(C23:C29)</f>
        <v>1827.806</v>
      </c>
      <c r="D30" s="322">
        <f t="shared" si="15"/>
        <v>69.7</v>
      </c>
      <c r="E30" s="537">
        <f>SUM(E23:E29)</f>
        <v>-462.62111809999965</v>
      </c>
      <c r="F30" s="322">
        <f>SUM(F23:F29)</f>
        <v>-515.22871190000023</v>
      </c>
      <c r="G30" s="322">
        <f>IF(E30=0, "    ---- ", IF(ABS(ROUND(100/E30*F30-100,1))&lt;999,ROUND(100/E30*F30-100,1),IF(ROUND(100/E30*F30-100,1)&gt;999,999,-999)))</f>
        <v>11.4</v>
      </c>
      <c r="H30" s="537">
        <f>SUM(H23:H29)</f>
        <v>-504.486557</v>
      </c>
      <c r="I30" s="322">
        <f>SUM(I23:I29)</f>
        <v>-483.42399999999998</v>
      </c>
      <c r="J30" s="322">
        <f>IF(H30=0, "    ---- ", IF(ABS(ROUND(100/H30*I30-100,1))&lt;999,ROUND(100/H30*I30-100,1),IF(ROUND(100/H30*I30-100,1)&gt;999,999,-999)))</f>
        <v>-4.2</v>
      </c>
      <c r="K30" s="537">
        <f>SUM(K23:K29)</f>
        <v>-374</v>
      </c>
      <c r="L30" s="322">
        <f>SUM(L23:L29)</f>
        <v>-409</v>
      </c>
      <c r="M30" s="322">
        <f t="shared" si="16"/>
        <v>9.4</v>
      </c>
      <c r="N30" s="537">
        <f>SUM(N23:N29)</f>
        <v>-41223.026463169997</v>
      </c>
      <c r="O30" s="322">
        <v>-27134.510999700004</v>
      </c>
      <c r="P30" s="322">
        <f t="shared" si="17"/>
        <v>-34.200000000000003</v>
      </c>
      <c r="Q30" s="537">
        <f>SUM(Q23:Q29)</f>
        <v>244.422</v>
      </c>
      <c r="R30" s="322">
        <f>SUM(R23:R29)</f>
        <v>-334</v>
      </c>
      <c r="S30" s="322">
        <f t="shared" si="18"/>
        <v>-236.6</v>
      </c>
      <c r="T30" s="537">
        <f>SUM(T23:T29)</f>
        <v>-992</v>
      </c>
      <c r="U30" s="322">
        <f>SUM(U23:U29)</f>
        <v>-739</v>
      </c>
      <c r="V30" s="322">
        <f>IF(T30=0, "    ---- ", IF(ABS(ROUND(100/T30*U30-100,1))&lt;999,ROUND(100/T30*U30-100,1),IF(ROUND(100/T30*U30-100,1)&gt;999,999,-999)))</f>
        <v>-25.5</v>
      </c>
      <c r="W30" s="537">
        <f>SUM(W23:W29)</f>
        <v>-388.92945654999983</v>
      </c>
      <c r="X30" s="322">
        <f>SUM(X23:X29)</f>
        <v>-109.00713256</v>
      </c>
      <c r="Y30" s="322">
        <f t="shared" si="19"/>
        <v>-72</v>
      </c>
      <c r="Z30" s="537">
        <f>SUM(Z23:Z29)</f>
        <v>-2822</v>
      </c>
      <c r="AA30" s="322">
        <f>SUM(AA23:AA29)</f>
        <v>-3049.236651080003</v>
      </c>
      <c r="AB30" s="322">
        <f t="shared" si="20"/>
        <v>8.1</v>
      </c>
      <c r="AC30" s="537">
        <f>SUM(AC23:AC29)</f>
        <v>-3</v>
      </c>
      <c r="AD30" s="322">
        <f>SUM(AD23:AD29)</f>
        <v>-57</v>
      </c>
      <c r="AE30" s="322">
        <f t="shared" si="21"/>
        <v>999</v>
      </c>
      <c r="AF30" s="322">
        <f t="shared" si="23"/>
        <v>-45445.494885289998</v>
      </c>
      <c r="AG30" s="322">
        <f t="shared" si="23"/>
        <v>-30945.601495240007</v>
      </c>
      <c r="AH30" s="322">
        <f t="shared" si="11"/>
        <v>-31.9</v>
      </c>
      <c r="AI30" s="322"/>
      <c r="AJ30" s="322"/>
      <c r="AK30" s="322"/>
    </row>
    <row r="31" spans="1:37" s="429" customFormat="1" ht="18.75" customHeight="1" x14ac:dyDescent="0.3">
      <c r="A31" s="529" t="s">
        <v>273</v>
      </c>
      <c r="B31" s="537">
        <v>-14340.56770831</v>
      </c>
      <c r="C31" s="322">
        <v>-20318.53</v>
      </c>
      <c r="D31" s="322">
        <f>IF(B31=0, "    ---- ", IF(ABS(ROUND(100/B31*C31-100,1))&lt;999,ROUND(100/B31*C31-100,1),IF(ROUND(100/B31*C31-100,1)&gt;999,999,-999)))</f>
        <v>41.7</v>
      </c>
      <c r="E31" s="537"/>
      <c r="F31" s="322"/>
      <c r="G31" s="322"/>
      <c r="H31" s="537"/>
      <c r="I31" s="322"/>
      <c r="J31" s="322"/>
      <c r="K31" s="537">
        <v>-8395</v>
      </c>
      <c r="L31" s="322">
        <v>-9615</v>
      </c>
      <c r="M31" s="322">
        <f t="shared" si="16"/>
        <v>14.5</v>
      </c>
      <c r="N31" s="537">
        <v>-158.24510699999999</v>
      </c>
      <c r="O31" s="322">
        <v>-94.503294999999994</v>
      </c>
      <c r="P31" s="322">
        <f t="shared" si="17"/>
        <v>-40.299999999999997</v>
      </c>
      <c r="Q31" s="537">
        <v>-19190.982400000001</v>
      </c>
      <c r="R31" s="322">
        <v>-20569</v>
      </c>
      <c r="S31" s="322">
        <f>IF(Q31=0, "    ---- ", IF(ABS(ROUND(100/Q31*R31-100,1))&lt;999,ROUND(100/Q31*R31-100,1),IF(ROUND(100/Q31*R31-100,1)&gt;999,999,-999)))</f>
        <v>7.2</v>
      </c>
      <c r="T31" s="537"/>
      <c r="U31" s="322"/>
      <c r="V31" s="322"/>
      <c r="W31" s="537">
        <v>-7308.5623115899989</v>
      </c>
      <c r="X31" s="322">
        <v>-8701.8481822500016</v>
      </c>
      <c r="Y31" s="322">
        <f>IF(W31=0, "    ---- ", IF(ABS(ROUND(100/W31*X31-100,1))&lt;999,ROUND(100/W31*X31-100,1),IF(ROUND(100/W31*X31-100,1)&gt;999,999,-999)))</f>
        <v>19.100000000000001</v>
      </c>
      <c r="Z31" s="648">
        <v>-16739</v>
      </c>
      <c r="AA31" s="322">
        <v>-23140.239622429996</v>
      </c>
      <c r="AB31" s="322">
        <f>IF(Z31=0, "    ---- ", IF(ABS(ROUND(100/Z31*AA31-100,1))&lt;999,ROUND(100/Z31*AA31-100,1),IF(ROUND(100/Z31*AA31-100,1)&gt;999,999,-999)))</f>
        <v>38.200000000000003</v>
      </c>
      <c r="AC31" s="537"/>
      <c r="AD31" s="322"/>
      <c r="AE31" s="322"/>
      <c r="AF31" s="322">
        <f t="shared" si="23"/>
        <v>-66132.357526900014</v>
      </c>
      <c r="AG31" s="322">
        <f t="shared" si="23"/>
        <v>-82439.121099679993</v>
      </c>
      <c r="AH31" s="322">
        <f t="shared" si="11"/>
        <v>24.7</v>
      </c>
      <c r="AI31" s="322"/>
      <c r="AJ31" s="322"/>
      <c r="AK31" s="322"/>
    </row>
    <row r="32" spans="1:37" s="429" customFormat="1" ht="18.75" customHeight="1" x14ac:dyDescent="0.3">
      <c r="A32" s="529" t="s">
        <v>274</v>
      </c>
      <c r="B32" s="537">
        <v>-149.967311</v>
      </c>
      <c r="C32" s="322">
        <v>-1510.4449999999999</v>
      </c>
      <c r="D32" s="322">
        <f>IF(B32=0, "    ---- ", IF(ABS(ROUND(100/B32*C32-100,1))&lt;999,ROUND(100/B32*C32-100,1),IF(ROUND(100/B32*C32-100,1)&gt;999,999,-999)))</f>
        <v>907.2</v>
      </c>
      <c r="E32" s="537"/>
      <c r="F32" s="322">
        <v>-3.4884450300000003</v>
      </c>
      <c r="G32" s="322" t="str">
        <f>IF(E32=0, "    ---- ", IF(ABS(ROUND(100/E32*F32-100,1))&lt;999,ROUND(100/E32*F32-100,1),IF(ROUND(100/E32*F32-100,1)&gt;999,999,-999)))</f>
        <v xml:space="preserve">    ---- </v>
      </c>
      <c r="H32" s="537"/>
      <c r="I32" s="322"/>
      <c r="J32" s="322"/>
      <c r="K32" s="537">
        <v>15</v>
      </c>
      <c r="L32" s="322">
        <v>-38</v>
      </c>
      <c r="M32" s="322">
        <f t="shared" si="16"/>
        <v>-353.3</v>
      </c>
      <c r="N32" s="537">
        <v>-21273.960870999999</v>
      </c>
      <c r="O32" s="322">
        <v>-26432.201879</v>
      </c>
      <c r="P32" s="322">
        <f>IF(N32=0, "    ---- ", IF(ABS(ROUND(100/N32*O32-100,1))&lt;999,ROUND(100/N32*O32-100,1),IF(ROUND(100/N32*O32-100,1)&gt;999,999,-999)))</f>
        <v>24.2</v>
      </c>
      <c r="Q32" s="537">
        <v>-363.61590000000001</v>
      </c>
      <c r="R32" s="322">
        <v>-220</v>
      </c>
      <c r="S32" s="322">
        <f>IF(Q32=0, "    ---- ", IF(ABS(ROUND(100/Q32*R32-100,1))&lt;999,ROUND(100/Q32*R32-100,1),IF(ROUND(100/Q32*R32-100,1)&gt;999,999,-999)))</f>
        <v>-39.5</v>
      </c>
      <c r="T32" s="537">
        <v>-2902</v>
      </c>
      <c r="U32" s="322">
        <v>-3657</v>
      </c>
      <c r="V32" s="322">
        <f>IF(T32=0, "    ---- ", IF(ABS(ROUND(100/T32*U32-100,1))&lt;999,ROUND(100/T32*U32-100,1),IF(ROUND(100/T32*U32-100,1)&gt;999,999,-999)))</f>
        <v>26</v>
      </c>
      <c r="W32" s="537">
        <v>-9.5831957199999991</v>
      </c>
      <c r="X32" s="322">
        <v>-395.56932032999998</v>
      </c>
      <c r="Y32" s="322">
        <f>IF(W32=0, "    ---- ", IF(ABS(ROUND(100/W32*X32-100,1))&lt;999,ROUND(100/W32*X32-100,1),IF(ROUND(100/W32*X32-100,1)&gt;999,999,-999)))</f>
        <v>999</v>
      </c>
      <c r="Z32" s="648">
        <v>-456</v>
      </c>
      <c r="AA32" s="322">
        <v>-2391.7568250000004</v>
      </c>
      <c r="AB32" s="322">
        <f>IF(Z32=0, "    ---- ", IF(ABS(ROUND(100/Z32*AA32-100,1))&lt;999,ROUND(100/Z32*AA32-100,1),IF(ROUND(100/Z32*AA32-100,1)&gt;999,999,-999)))</f>
        <v>424.5</v>
      </c>
      <c r="AC32" s="537"/>
      <c r="AD32" s="322">
        <v>-1</v>
      </c>
      <c r="AE32" s="322" t="str">
        <f>IF(AC32=0, "    ---- ", IF(ABS(ROUND(100/AC32*AD32-100,1))&lt;999,ROUND(100/AC32*AD32-100,1),IF(ROUND(100/AC32*AD32-100,1)&gt;999,999,-999)))</f>
        <v xml:space="preserve">    ---- </v>
      </c>
      <c r="AF32" s="322">
        <f t="shared" si="23"/>
        <v>-25140.127277719999</v>
      </c>
      <c r="AG32" s="322">
        <f t="shared" si="23"/>
        <v>-34648.461469360002</v>
      </c>
      <c r="AH32" s="322">
        <f t="shared" si="11"/>
        <v>37.799999999999997</v>
      </c>
      <c r="AI32" s="322"/>
      <c r="AJ32" s="322"/>
      <c r="AK32" s="322"/>
    </row>
    <row r="33" spans="1:37" s="429" customFormat="1" ht="18.75" customHeight="1" x14ac:dyDescent="0.3">
      <c r="A33" s="529" t="s">
        <v>275</v>
      </c>
      <c r="B33" s="537">
        <v>-599.67056488000003</v>
      </c>
      <c r="C33" s="322">
        <v>-642.67899999999997</v>
      </c>
      <c r="D33" s="322">
        <f>IF(B33=0, "    ---- ", IF(ABS(ROUND(100/B33*C33-100,1))&lt;999,ROUND(100/B33*C33-100,1),IF(ROUND(100/B33*C33-100,1)&gt;999,999,-999)))</f>
        <v>7.2</v>
      </c>
      <c r="E33" s="537">
        <v>-471.07465570000005</v>
      </c>
      <c r="F33" s="322">
        <v>-492.63111220999997</v>
      </c>
      <c r="G33" s="322">
        <f>IF(E33=0, "    ---- ", IF(ABS(ROUND(100/E33*F33-100,1))&lt;999,ROUND(100/E33*F33-100,1),IF(ROUND(100/E33*F33-100,1)&gt;999,999,-999)))</f>
        <v>4.5999999999999996</v>
      </c>
      <c r="H33" s="537">
        <v>-127.30463</v>
      </c>
      <c r="I33" s="322">
        <v>-138.64500000000001</v>
      </c>
      <c r="J33" s="322">
        <f>IF(H33=0, "    ---- ", IF(ABS(ROUND(100/H33*I33-100,1))&lt;999,ROUND(100/H33*I33-100,1),IF(ROUND(100/H33*I33-100,1)&gt;999,999,-999)))</f>
        <v>8.9</v>
      </c>
      <c r="K33" s="537">
        <v>-193</v>
      </c>
      <c r="L33" s="322">
        <v>-229</v>
      </c>
      <c r="M33" s="322">
        <f>IF(K33=0, "    ---- ", IF(ABS(ROUND(100/K33*L33-100,1))&lt;999,ROUND(100/K33*L33-100,1),IF(ROUND(100/K33*L33-100,1)&gt;999,999,-999)))</f>
        <v>18.7</v>
      </c>
      <c r="N33" s="537">
        <v>-760.70041766999998</v>
      </c>
      <c r="O33" s="322">
        <v>-793.17143609000004</v>
      </c>
      <c r="P33" s="322">
        <f>IF(N33=0, "    ---- ", IF(ABS(ROUND(100/N33*O33-100,1))&lt;999,ROUND(100/N33*O33-100,1),IF(ROUND(100/N33*O33-100,1)&gt;999,999,-999)))</f>
        <v>4.3</v>
      </c>
      <c r="Q33" s="537">
        <v>-393.64569999999998</v>
      </c>
      <c r="R33" s="322">
        <v>-423</v>
      </c>
      <c r="S33" s="322">
        <f>IF(Q33=0, "    ---- ", IF(ABS(ROUND(100/Q33*R33-100,1))&lt;999,ROUND(100/Q33*R33-100,1),IF(ROUND(100/Q33*R33-100,1)&gt;999,999,-999)))</f>
        <v>7.5</v>
      </c>
      <c r="T33" s="537"/>
      <c r="U33" s="322"/>
      <c r="V33" s="322"/>
      <c r="W33" s="537">
        <v>-416.24541884079991</v>
      </c>
      <c r="X33" s="322">
        <v>-453.93713067720057</v>
      </c>
      <c r="Y33" s="322">
        <f>IF(W33=0, "    ---- ", IF(ABS(ROUND(100/W33*X33-100,1))&lt;999,ROUND(100/W33*X33-100,1),IF(ROUND(100/W33*X33-100,1)&gt;999,999,-999)))</f>
        <v>9.1</v>
      </c>
      <c r="Z33" s="648">
        <v>-857</v>
      </c>
      <c r="AA33" s="322">
        <v>-841.17335184000001</v>
      </c>
      <c r="AB33" s="322">
        <f>IF(Z33=0, "    ---- ", IF(ABS(ROUND(100/Z33*AA33-100,1))&lt;999,ROUND(100/Z33*AA33-100,1),IF(ROUND(100/Z33*AA33-100,1)&gt;999,999,-999)))</f>
        <v>-1.8</v>
      </c>
      <c r="AC33" s="537">
        <v>-19</v>
      </c>
      <c r="AD33" s="322">
        <v>-36</v>
      </c>
      <c r="AE33" s="322">
        <f>IF(AC33=0, "    ---- ", IF(ABS(ROUND(100/AC33*AD33-100,1))&lt;999,ROUND(100/AC33*AD33-100,1),IF(ROUND(100/AC33*AD33-100,1)&gt;999,999,-999)))</f>
        <v>89.5</v>
      </c>
      <c r="AF33" s="322">
        <f t="shared" si="23"/>
        <v>-3818.6413870908</v>
      </c>
      <c r="AG33" s="322">
        <f t="shared" si="23"/>
        <v>-4014.2370308172003</v>
      </c>
      <c r="AH33" s="322">
        <f t="shared" si="11"/>
        <v>5.0999999999999996</v>
      </c>
      <c r="AI33" s="322"/>
      <c r="AJ33" s="322"/>
      <c r="AK33" s="322"/>
    </row>
    <row r="34" spans="1:37" s="429" customFormat="1" ht="18.75" customHeight="1" x14ac:dyDescent="0.3">
      <c r="A34" s="529" t="s">
        <v>276</v>
      </c>
      <c r="B34" s="181">
        <v>8.9042144600000004</v>
      </c>
      <c r="C34" s="417">
        <v>-6.6429999999999998</v>
      </c>
      <c r="D34" s="417">
        <f>IF(B34=0, "    ---- ", IF(ABS(ROUND(100/B34*C34-100,1))&lt;999,ROUND(100/B34*C34-100,1),IF(ROUND(100/B34*C34-100,1)&gt;999,999,-999)))</f>
        <v>-174.6</v>
      </c>
      <c r="E34" s="181">
        <v>-7.7440010499999987</v>
      </c>
      <c r="F34" s="417">
        <v>-11.18912839</v>
      </c>
      <c r="G34" s="322">
        <f>IF(E34=0, "    ---- ", IF(ABS(ROUND(100/E34*F34-100,1))&lt;999,ROUND(100/E34*F34-100,1),IF(ROUND(100/E34*F34-100,1)&gt;999,999,-999)))</f>
        <v>44.5</v>
      </c>
      <c r="H34" s="181"/>
      <c r="I34" s="417"/>
      <c r="J34" s="417"/>
      <c r="K34" s="181"/>
      <c r="L34" s="417"/>
      <c r="M34" s="417"/>
      <c r="N34" s="181">
        <v>-688.76089400000001</v>
      </c>
      <c r="O34" s="417">
        <v>-721.45176300000003</v>
      </c>
      <c r="P34" s="417">
        <f>IF(N34=0, "    ---- ", IF(ABS(ROUND(100/N34*O34-100,1))&lt;999,ROUND(100/N34*O34-100,1),IF(ROUND(100/N34*O34-100,1)&gt;999,999,-999)))</f>
        <v>4.7</v>
      </c>
      <c r="Q34" s="181">
        <v>-11.607868419999999</v>
      </c>
      <c r="R34" s="417">
        <v>-9.9999677899999995</v>
      </c>
      <c r="S34" s="417">
        <f>IF(Q34=0, "    ---- ", IF(ABS(ROUND(100/Q34*R34-100,1))&lt;999,ROUND(100/Q34*R34-100,1),IF(ROUND(100/Q34*R34-100,1)&gt;999,999,-999)))</f>
        <v>-13.9</v>
      </c>
      <c r="T34" s="181">
        <v>-164</v>
      </c>
      <c r="U34" s="417">
        <v>-147</v>
      </c>
      <c r="V34" s="322">
        <f>IF(T34=0, "    ---- ", IF(ABS(ROUND(100/T34*U34-100,1))&lt;999,ROUND(100/T34*U34-100,1),IF(ROUND(100/T34*U34-100,1)&gt;999,999,-999)))</f>
        <v>-10.4</v>
      </c>
      <c r="W34" s="181">
        <v>-1.6317077400000002</v>
      </c>
      <c r="X34" s="417">
        <v>-1.7086838100000001</v>
      </c>
      <c r="Y34" s="417">
        <f>IF(W34=0, "    ---- ", IF(ABS(ROUND(100/W34*X34-100,1))&lt;999,ROUND(100/W34*X34-100,1),IF(ROUND(100/W34*X34-100,1)&gt;999,999,-999)))</f>
        <v>4.7</v>
      </c>
      <c r="Z34" s="649">
        <v>-16</v>
      </c>
      <c r="AA34" s="417">
        <v>-18.614766679998091</v>
      </c>
      <c r="AB34" s="417">
        <f>IF(Z34=0, "    ---- ", IF(ABS(ROUND(100/Z34*AA34-100,1))&lt;999,ROUND(100/Z34*AA34-100,1),IF(ROUND(100/Z34*AA34-100,1)&gt;999,999,-999)))</f>
        <v>16.3</v>
      </c>
      <c r="AC34" s="181"/>
      <c r="AD34" s="417"/>
      <c r="AE34" s="417"/>
      <c r="AF34" s="322">
        <f t="shared" si="23"/>
        <v>-880.84025675000009</v>
      </c>
      <c r="AG34" s="322">
        <f t="shared" si="23"/>
        <v>-916.60730966999813</v>
      </c>
      <c r="AH34" s="417">
        <f t="shared" si="11"/>
        <v>4.0999999999999996</v>
      </c>
      <c r="AI34" s="417"/>
      <c r="AJ34" s="417"/>
      <c r="AK34" s="417"/>
    </row>
    <row r="35" spans="1:37" s="437" customFormat="1" ht="18.75" customHeight="1" x14ac:dyDescent="0.3">
      <c r="A35" s="540" t="s">
        <v>277</v>
      </c>
      <c r="B35" s="184">
        <f>SUM(B14+B15+B16+B17+B21+B30+B31+B32+B33+B34)</f>
        <v>-387.71330099000141</v>
      </c>
      <c r="C35" s="421">
        <f>SUM(C14+C15+C16+C17+C21+C30+C31+C32+C33+C34)</f>
        <v>547.17999999999654</v>
      </c>
      <c r="D35" s="422">
        <f>IF(B35=0, "    ---- ", IF(ABS(ROUND(100/B35*C35-100,1))&lt;999,ROUND(100/B35*C35-100,1),IF(ROUND(100/B35*C35-100,1)&gt;999,999,-999)))</f>
        <v>-241.1</v>
      </c>
      <c r="E35" s="184">
        <f>SUM(E14+E15+E16+E17+E21+E30+E31+E32+E33+E34)</f>
        <v>462.80871293000052</v>
      </c>
      <c r="F35" s="421">
        <f>SUM(F14+F15+F16+F17+F21+F30+F31+F32+F33+F34)</f>
        <v>542.84064596999985</v>
      </c>
      <c r="G35" s="422">
        <f>IF(E35=0, "    ---- ", IF(ABS(ROUND(100/E35*F35-100,1))&lt;999,ROUND(100/E35*F35-100,1),IF(ROUND(100/E35*F35-100,1)&gt;999,999,-999)))</f>
        <v>17.3</v>
      </c>
      <c r="H35" s="184">
        <f>SUM(H14+H15+H16+H17+H21+H30+H31+H32+H33+H34)</f>
        <v>2.9895999999922651E-2</v>
      </c>
      <c r="I35" s="421">
        <f>SUM(I14+I15+I16+I17+I21+I30+I31+I32+I33+I34)</f>
        <v>91.820847000000043</v>
      </c>
      <c r="J35" s="422">
        <f>IF(H35=0, "    ---- ", IF(ABS(ROUND(100/H35*I35-100,1))&lt;999,ROUND(100/H35*I35-100,1),IF(ROUND(100/H35*I35-100,1)&gt;999,999,-999)))</f>
        <v>999</v>
      </c>
      <c r="K35" s="184">
        <f>SUM(K14+K15+K16+K17+K21+K30+K31+K32+K33+K34)</f>
        <v>105</v>
      </c>
      <c r="L35" s="421">
        <f>SUM(L14+L15+L16+L17+L21+L30+L31+L32+L33+L34)</f>
        <v>117</v>
      </c>
      <c r="M35" s="422">
        <f>IF(K35=0, "    ---- ", IF(ABS(ROUND(100/K35*L35-100,1))&lt;999,ROUND(100/K35*L35-100,1),IF(ROUND(100/K35*L35-100,1)&gt;999,999,-999)))</f>
        <v>11.4</v>
      </c>
      <c r="N35" s="184">
        <f>SUM(N14+N15+N16+N17+N21+N30+N31+N32+N33+N34)</f>
        <v>400.00879731000737</v>
      </c>
      <c r="O35" s="421">
        <v>240.8200348500045</v>
      </c>
      <c r="P35" s="422">
        <f>IF(N35=0, "    ---- ", IF(ABS(ROUND(100/N35*O35-100,1))&lt;999,ROUND(100/N35*O35-100,1),IF(ROUND(100/N35*O35-100,1)&gt;999,999,-999)))</f>
        <v>-39.799999999999997</v>
      </c>
      <c r="Q35" s="184">
        <f>SUM(Q14+Q15+Q16+Q17+Q21+Q30+Q31+Q32+Q33+Q34)</f>
        <v>553.75993158000153</v>
      </c>
      <c r="R35" s="421">
        <f>SUM(R14+R15+R16+R17+R21+R30+R31+R32+R33+R34)</f>
        <v>684.00003220999997</v>
      </c>
      <c r="S35" s="422">
        <f>IF(Q35=0, "    ---- ", IF(ABS(ROUND(100/Q35*R35-100,1))&lt;999,ROUND(100/Q35*R35-100,1),IF(ROUND(100/Q35*R35-100,1)&gt;999,999,-999)))</f>
        <v>23.5</v>
      </c>
      <c r="T35" s="184">
        <f>SUM(T14+T15+T16+T17+T21+T30+T31+T32+T33+T34)</f>
        <v>244</v>
      </c>
      <c r="U35" s="421">
        <f>SUM(U14+U15+U16+U17+U21+U30+U31+U32+U33+U34)</f>
        <v>256</v>
      </c>
      <c r="V35" s="422">
        <f>IF(T35=0, "    ---- ", IF(ABS(ROUND(100/T35*U35-100,1))&lt;999,ROUND(100/T35*U35-100,1),IF(ROUND(100/T35*U35-100,1)&gt;999,999,-999)))</f>
        <v>4.9000000000000004</v>
      </c>
      <c r="W35" s="184">
        <f>SUM(W14+W15+W16+W17+W21+W30+W31+W32+W33+W34)</f>
        <v>2.4092478292031059</v>
      </c>
      <c r="X35" s="421">
        <f>SUM(X14+X15+X16+X17+X21+X30+X31+X32+X33+X34)</f>
        <v>37.846876612792158</v>
      </c>
      <c r="Y35" s="422">
        <f>IF(W35=0, "    ---- ", IF(ABS(ROUND(100/W35*X35-100,1))&lt;999,ROUND(100/W35*X35-100,1),IF(ROUND(100/W35*X35-100,1)&gt;999,999,-999)))</f>
        <v>999</v>
      </c>
      <c r="Z35" s="184">
        <f>SUM(Z14+Z15+Z16+Z17+Z21+Z30+Z31+Z32+Z33+Z34)</f>
        <v>-370</v>
      </c>
      <c r="AA35" s="421">
        <f>SUM(AA14+AA15+AA16+AA17+AA21+AA30+AA31+AA32+AA33+AA34)</f>
        <v>922.91666068999666</v>
      </c>
      <c r="AB35" s="422">
        <f>IF(Z35=0, "    ---- ", IF(ABS(ROUND(100/Z35*AA35-100,1))&lt;999,ROUND(100/Z35*AA35-100,1),IF(ROUND(100/Z35*AA35-100,1)&gt;999,999,-999)))</f>
        <v>-349.4</v>
      </c>
      <c r="AC35" s="184">
        <f>SUM(AC14+AC15+AC16+AC17+AC21+AC30+AC31+AC32+AC33+AC34)</f>
        <v>-17</v>
      </c>
      <c r="AD35" s="421">
        <f>SUM(AD14+AD15+AD16+AD17+AD21+AD30+AD31+AD32+AD33+AD34)</f>
        <v>-19</v>
      </c>
      <c r="AE35" s="422">
        <f>IF(AC35=0, "    ---- ", IF(ABS(ROUND(100/AC35*AD35-100,1))&lt;999,ROUND(100/AC35*AD35-100,1),IF(ROUND(100/AC35*AD35-100,1)&gt;999,999,-999)))</f>
        <v>11.8</v>
      </c>
      <c r="AF35" s="422">
        <f t="shared" si="23"/>
        <v>1010.3032846592112</v>
      </c>
      <c r="AG35" s="422">
        <f t="shared" si="23"/>
        <v>3440.4250973327898</v>
      </c>
      <c r="AH35" s="422">
        <f t="shared" si="11"/>
        <v>240.5</v>
      </c>
      <c r="AI35" s="422"/>
      <c r="AJ35" s="422"/>
      <c r="AK35" s="422"/>
    </row>
    <row r="36" spans="1:37" s="437" customFormat="1" ht="18.75" customHeight="1" x14ac:dyDescent="0.3">
      <c r="A36" s="541"/>
      <c r="B36" s="638"/>
      <c r="C36" s="444"/>
      <c r="D36" s="415"/>
      <c r="E36" s="638"/>
      <c r="F36" s="444"/>
      <c r="G36" s="415"/>
      <c r="H36" s="638"/>
      <c r="I36" s="444"/>
      <c r="J36" s="415"/>
      <c r="K36" s="638"/>
      <c r="L36" s="444"/>
      <c r="M36" s="415"/>
      <c r="N36" s="638"/>
      <c r="O36" s="444"/>
      <c r="P36" s="415"/>
      <c r="Q36" s="638"/>
      <c r="R36" s="444"/>
      <c r="S36" s="415"/>
      <c r="T36" s="638"/>
      <c r="U36" s="444"/>
      <c r="V36" s="415"/>
      <c r="W36" s="638"/>
      <c r="X36" s="444"/>
      <c r="Y36" s="542"/>
      <c r="Z36" s="638"/>
      <c r="AA36" s="444"/>
      <c r="AB36" s="542"/>
      <c r="AC36" s="638"/>
      <c r="AD36" s="444"/>
      <c r="AE36" s="542"/>
      <c r="AF36" s="542"/>
      <c r="AG36" s="542"/>
      <c r="AH36" s="542"/>
      <c r="AI36" s="543"/>
      <c r="AJ36" s="544"/>
      <c r="AK36" s="545"/>
    </row>
    <row r="37" spans="1:37" s="437" customFormat="1" ht="18.75" customHeight="1" x14ac:dyDescent="0.3">
      <c r="A37" s="531" t="s">
        <v>278</v>
      </c>
      <c r="B37" s="638"/>
      <c r="C37" s="444"/>
      <c r="D37" s="415"/>
      <c r="E37" s="638"/>
      <c r="F37" s="444"/>
      <c r="G37" s="415"/>
      <c r="H37" s="638"/>
      <c r="I37" s="444"/>
      <c r="J37" s="415"/>
      <c r="K37" s="638"/>
      <c r="L37" s="444"/>
      <c r="M37" s="415"/>
      <c r="N37" s="638"/>
      <c r="O37" s="444"/>
      <c r="P37" s="415"/>
      <c r="Q37" s="638"/>
      <c r="R37" s="444"/>
      <c r="S37" s="415"/>
      <c r="T37" s="638"/>
      <c r="U37" s="444"/>
      <c r="V37" s="415"/>
      <c r="W37" s="638"/>
      <c r="X37" s="444"/>
      <c r="Y37" s="415"/>
      <c r="Z37" s="638"/>
      <c r="AA37" s="444"/>
      <c r="AB37" s="415"/>
      <c r="AC37" s="638"/>
      <c r="AD37" s="444"/>
      <c r="AE37" s="415"/>
      <c r="AF37" s="415"/>
      <c r="AG37" s="415"/>
      <c r="AH37" s="415"/>
      <c r="AI37" s="546"/>
      <c r="AJ37" s="547"/>
      <c r="AK37" s="548"/>
    </row>
    <row r="38" spans="1:37" s="427" customFormat="1" ht="18.75" customHeight="1" x14ac:dyDescent="0.3">
      <c r="A38" s="529" t="s">
        <v>279</v>
      </c>
      <c r="B38" s="639">
        <v>533.53897501000006</v>
      </c>
      <c r="C38" s="439">
        <v>729.15599999999995</v>
      </c>
      <c r="D38" s="322">
        <f t="shared" ref="D38:D44" si="24">IF(B38=0, "    ---- ", IF(ABS(ROUND(100/B38*C38-100,1))&lt;999,ROUND(100/B38*C38-100,1),IF(ROUND(100/B38*C38-100,1)&gt;999,999,-999)))</f>
        <v>36.700000000000003</v>
      </c>
      <c r="E38" s="639">
        <v>21.586894620000006</v>
      </c>
      <c r="F38" s="439">
        <v>64.99592973</v>
      </c>
      <c r="G38" s="322">
        <f t="shared" ref="G38:G44" si="25">IF(E38=0, "    ---- ", IF(ABS(ROUND(100/E38*F38-100,1))&lt;999,ROUND(100/E38*F38-100,1),IF(ROUND(100/E38*F38-100,1)&gt;999,999,-999)))</f>
        <v>201.1</v>
      </c>
      <c r="H38" s="639">
        <v>7.9283650000000003</v>
      </c>
      <c r="I38" s="439">
        <v>13.115</v>
      </c>
      <c r="J38" s="322">
        <f t="shared" ref="J38:J44" si="26">IF(H38=0, "    ---- ", IF(ABS(ROUND(100/H38*I38-100,1))&lt;999,ROUND(100/H38*I38-100,1),IF(ROUND(100/H38*I38-100,1)&gt;999,999,-999)))</f>
        <v>65.400000000000006</v>
      </c>
      <c r="K38" s="639">
        <v>28</v>
      </c>
      <c r="L38" s="439">
        <v>26</v>
      </c>
      <c r="M38" s="322">
        <f t="shared" ref="M38:M44" si="27">IF(K38=0, "    ---- ", IF(ABS(ROUND(100/K38*L38-100,1))&lt;999,ROUND(100/K38*L38-100,1),IF(ROUND(100/K38*L38-100,1)&gt;999,999,-999)))</f>
        <v>-7.1</v>
      </c>
      <c r="N38" s="639">
        <v>515.37559392000003</v>
      </c>
      <c r="O38" s="439">
        <v>734.21568309000008</v>
      </c>
      <c r="P38" s="322">
        <f t="shared" ref="P38:P45" si="28">IF(N38=0, "    ---- ", IF(ABS(ROUND(100/N38*O38-100,1))&lt;999,ROUND(100/N38*O38-100,1),IF(ROUND(100/N38*O38-100,1)&gt;999,999,-999)))</f>
        <v>42.5</v>
      </c>
      <c r="Q38" s="639">
        <v>147.749</v>
      </c>
      <c r="R38" s="439">
        <v>292.3</v>
      </c>
      <c r="S38" s="322">
        <f t="shared" ref="S38:S45" si="29">IF(Q38=0, "    ---- ", IF(ABS(ROUND(100/Q38*R38-100,1))&lt;999,ROUND(100/Q38*R38-100,1),IF(ROUND(100/Q38*R38-100,1)&gt;999,999,-999)))</f>
        <v>97.8</v>
      </c>
      <c r="T38" s="639">
        <v>310</v>
      </c>
      <c r="U38" s="439">
        <v>365</v>
      </c>
      <c r="V38" s="322">
        <f t="shared" ref="V38:V44" si="30">IF(T38=0, "    ---- ", IF(ABS(ROUND(100/T38*U38-100,1))&lt;999,ROUND(100/T38*U38-100,1),IF(ROUND(100/T38*U38-100,1)&gt;999,999,-999)))</f>
        <v>17.7</v>
      </c>
      <c r="W38" s="639">
        <v>66.906992610004338</v>
      </c>
      <c r="X38" s="439">
        <v>118.06399480000167</v>
      </c>
      <c r="Y38" s="322">
        <f t="shared" ref="Y38:Y44" si="31">IF(W38=0, "    ---- ", IF(ABS(ROUND(100/W38*X38-100,1))&lt;999,ROUND(100/W38*X38-100,1),IF(ROUND(100/W38*X38-100,1)&gt;999,999,-999)))</f>
        <v>76.5</v>
      </c>
      <c r="Z38" s="639">
        <v>1375</v>
      </c>
      <c r="AA38" s="439">
        <v>1548.8857788700002</v>
      </c>
      <c r="AB38" s="322">
        <f t="shared" ref="AB38:AB45" si="32">IF(Z38=0, "    ---- ", IF(ABS(ROUND(100/Z38*AA38-100,1))&lt;999,ROUND(100/Z38*AA38-100,1),IF(ROUND(100/Z38*AA38-100,1)&gt;999,999,-999)))</f>
        <v>12.6</v>
      </c>
      <c r="AC38" s="639"/>
      <c r="AD38" s="439">
        <v>1</v>
      </c>
      <c r="AE38" s="322" t="str">
        <f t="shared" ref="AE38:AE44" si="33">IF(AC38=0, "    ---- ", IF(ABS(ROUND(100/AC38*AD38-100,1))&lt;999,ROUND(100/AC38*AD38-100,1),IF(ROUND(100/AC38*AD38-100,1)&gt;999,999,-999)))</f>
        <v xml:space="preserve">    ---- </v>
      </c>
      <c r="AF38" s="322">
        <f t="shared" ref="AF38:AG46" si="34">B38+E38+H38+K38+N38+Q38+T38+W38+Z38</f>
        <v>3006.0858211600043</v>
      </c>
      <c r="AG38" s="322">
        <f t="shared" si="34"/>
        <v>3891.7323864900018</v>
      </c>
      <c r="AH38" s="322">
        <f t="shared" si="11"/>
        <v>29.5</v>
      </c>
      <c r="AI38" s="538"/>
      <c r="AJ38" s="549"/>
      <c r="AK38" s="461"/>
    </row>
    <row r="39" spans="1:37" s="427" customFormat="1" ht="18.75" customHeight="1" x14ac:dyDescent="0.3">
      <c r="A39" s="529" t="s">
        <v>280</v>
      </c>
      <c r="B39" s="639">
        <v>5.7484580000000003</v>
      </c>
      <c r="C39" s="439">
        <v>4.84</v>
      </c>
      <c r="D39" s="322">
        <f t="shared" si="24"/>
        <v>-15.8</v>
      </c>
      <c r="E39" s="639"/>
      <c r="F39" s="439"/>
      <c r="G39" s="322"/>
      <c r="H39" s="639"/>
      <c r="I39" s="439"/>
      <c r="J39" s="322"/>
      <c r="K39" s="639"/>
      <c r="L39" s="439"/>
      <c r="M39" s="322"/>
      <c r="N39" s="639">
        <v>17.406143010000001</v>
      </c>
      <c r="O39" s="439">
        <v>30.275390980000001</v>
      </c>
      <c r="P39" s="322">
        <f t="shared" si="28"/>
        <v>73.900000000000006</v>
      </c>
      <c r="Q39" s="639">
        <v>-0.221</v>
      </c>
      <c r="R39" s="439">
        <v>1</v>
      </c>
      <c r="S39" s="322">
        <f t="shared" si="29"/>
        <v>-552.5</v>
      </c>
      <c r="T39" s="639">
        <v>10</v>
      </c>
      <c r="U39" s="439">
        <v>20</v>
      </c>
      <c r="V39" s="322">
        <f t="shared" si="30"/>
        <v>100</v>
      </c>
      <c r="W39" s="639">
        <v>9.5015538499999987</v>
      </c>
      <c r="X39" s="439">
        <v>12.88985252</v>
      </c>
      <c r="Y39" s="322">
        <f t="shared" si="31"/>
        <v>35.700000000000003</v>
      </c>
      <c r="Z39" s="639">
        <v>37</v>
      </c>
      <c r="AA39" s="439">
        <v>36.914798349999984</v>
      </c>
      <c r="AB39" s="322">
        <f t="shared" si="32"/>
        <v>-0.2</v>
      </c>
      <c r="AC39" s="639"/>
      <c r="AD39" s="439"/>
      <c r="AE39" s="322"/>
      <c r="AF39" s="322">
        <f t="shared" si="34"/>
        <v>79.435154860000011</v>
      </c>
      <c r="AG39" s="322">
        <f t="shared" si="34"/>
        <v>105.92004184999999</v>
      </c>
      <c r="AH39" s="322">
        <f t="shared" si="11"/>
        <v>33.299999999999997</v>
      </c>
      <c r="AI39" s="322"/>
      <c r="AJ39" s="550"/>
      <c r="AK39" s="322"/>
    </row>
    <row r="40" spans="1:37" s="427" customFormat="1" ht="18.75" customHeight="1" x14ac:dyDescent="0.3">
      <c r="A40" s="529" t="s">
        <v>281</v>
      </c>
      <c r="B40" s="639">
        <v>-218.55191311999999</v>
      </c>
      <c r="C40" s="439">
        <v>-267.25400000000002</v>
      </c>
      <c r="D40" s="322">
        <f t="shared" si="24"/>
        <v>22.3</v>
      </c>
      <c r="E40" s="639">
        <v>-17.95598481</v>
      </c>
      <c r="F40" s="439">
        <v>-20.867016829999997</v>
      </c>
      <c r="G40" s="322">
        <f t="shared" si="25"/>
        <v>16.2</v>
      </c>
      <c r="H40" s="639"/>
      <c r="I40" s="439"/>
      <c r="J40" s="322"/>
      <c r="K40" s="639">
        <v>-8</v>
      </c>
      <c r="L40" s="439">
        <v>-10</v>
      </c>
      <c r="M40" s="322">
        <f t="shared" si="27"/>
        <v>25</v>
      </c>
      <c r="N40" s="639">
        <v>-158.87975184000001</v>
      </c>
      <c r="O40" s="439">
        <v>-155.22948941999999</v>
      </c>
      <c r="P40" s="322">
        <f t="shared" si="28"/>
        <v>-2.2999999999999998</v>
      </c>
      <c r="Q40" s="639">
        <v>-84.66</v>
      </c>
      <c r="R40" s="439">
        <v>-87</v>
      </c>
      <c r="S40" s="322">
        <f t="shared" si="29"/>
        <v>2.8</v>
      </c>
      <c r="T40" s="639">
        <v>-57</v>
      </c>
      <c r="U40" s="439">
        <v>-17</v>
      </c>
      <c r="V40" s="322">
        <f t="shared" si="30"/>
        <v>-70.2</v>
      </c>
      <c r="W40" s="639">
        <v>-4.2188698792000006</v>
      </c>
      <c r="X40" s="439">
        <v>-6.1293489128000012</v>
      </c>
      <c r="Y40" s="322">
        <f t="shared" si="31"/>
        <v>45.3</v>
      </c>
      <c r="Z40" s="639">
        <v>-523</v>
      </c>
      <c r="AA40" s="439">
        <v>-472.80913882000004</v>
      </c>
      <c r="AB40" s="322">
        <f t="shared" si="32"/>
        <v>-9.6</v>
      </c>
      <c r="AC40" s="639"/>
      <c r="AD40" s="439"/>
      <c r="AE40" s="322"/>
      <c r="AF40" s="322">
        <f t="shared" si="34"/>
        <v>-1072.2665196492001</v>
      </c>
      <c r="AG40" s="322">
        <f t="shared" si="34"/>
        <v>-1036.2889939828001</v>
      </c>
      <c r="AH40" s="322">
        <f t="shared" si="11"/>
        <v>-3.4</v>
      </c>
      <c r="AI40" s="322"/>
      <c r="AJ40" s="550"/>
      <c r="AK40" s="322"/>
    </row>
    <row r="41" spans="1:37" s="552" customFormat="1" ht="18.75" customHeight="1" x14ac:dyDescent="0.3">
      <c r="A41" s="541" t="s">
        <v>282</v>
      </c>
      <c r="B41" s="638">
        <f>SUM(B38:B40)</f>
        <v>320.73551989000009</v>
      </c>
      <c r="C41" s="444">
        <f>SUM(C38:C40)</f>
        <v>466.74199999999996</v>
      </c>
      <c r="D41" s="415">
        <f t="shared" si="24"/>
        <v>45.5</v>
      </c>
      <c r="E41" s="638">
        <f>SUM(E38:E40)</f>
        <v>3.6309098100000057</v>
      </c>
      <c r="F41" s="444">
        <f>SUM(F38:F40)</f>
        <v>44.128912900000003</v>
      </c>
      <c r="G41" s="415">
        <f t="shared" si="25"/>
        <v>999</v>
      </c>
      <c r="H41" s="638">
        <f>SUM(H38:H40)</f>
        <v>7.9283650000000003</v>
      </c>
      <c r="I41" s="444">
        <f>SUM(I38:I40)</f>
        <v>13.115</v>
      </c>
      <c r="J41" s="415">
        <f t="shared" si="26"/>
        <v>65.400000000000006</v>
      </c>
      <c r="K41" s="638">
        <f>SUM(K38:K40)</f>
        <v>20</v>
      </c>
      <c r="L41" s="444">
        <f>SUM(L38:L40)</f>
        <v>16</v>
      </c>
      <c r="M41" s="415">
        <f t="shared" si="27"/>
        <v>-20</v>
      </c>
      <c r="N41" s="638">
        <f>SUM(N38:N40)</f>
        <v>373.90198509000004</v>
      </c>
      <c r="O41" s="444">
        <v>609.26158465000003</v>
      </c>
      <c r="P41" s="415">
        <f t="shared" si="28"/>
        <v>62.9</v>
      </c>
      <c r="Q41" s="638">
        <f>SUM(Q38:Q40)</f>
        <v>62.867999999999995</v>
      </c>
      <c r="R41" s="444">
        <f>SUM(R38:R40)</f>
        <v>206.3</v>
      </c>
      <c r="S41" s="415">
        <f t="shared" si="29"/>
        <v>228.1</v>
      </c>
      <c r="T41" s="638">
        <f>SUM(T38:T40)</f>
        <v>263</v>
      </c>
      <c r="U41" s="444">
        <f>SUM(U38:U40)</f>
        <v>368</v>
      </c>
      <c r="V41" s="415">
        <f t="shared" si="30"/>
        <v>39.9</v>
      </c>
      <c r="W41" s="638">
        <f>SUM(W38:W40)</f>
        <v>72.189676580804331</v>
      </c>
      <c r="X41" s="444">
        <f>SUM(X38:X40)</f>
        <v>124.82449840720167</v>
      </c>
      <c r="Y41" s="415">
        <f t="shared" si="31"/>
        <v>72.900000000000006</v>
      </c>
      <c r="Z41" s="638">
        <f>SUM(Z38:Z40)</f>
        <v>889</v>
      </c>
      <c r="AA41" s="444">
        <f>SUM(AA38:AA40)</f>
        <v>1112.9914384000001</v>
      </c>
      <c r="AB41" s="415">
        <f t="shared" si="32"/>
        <v>25.2</v>
      </c>
      <c r="AC41" s="638">
        <f>SUM(AC38:AC40)</f>
        <v>0</v>
      </c>
      <c r="AD41" s="444">
        <f>SUM(AD38:AD40)</f>
        <v>1</v>
      </c>
      <c r="AE41" s="415" t="str">
        <f t="shared" si="33"/>
        <v xml:space="preserve">    ---- </v>
      </c>
      <c r="AF41" s="415">
        <f t="shared" si="34"/>
        <v>2013.2544563708045</v>
      </c>
      <c r="AG41" s="415">
        <f t="shared" si="34"/>
        <v>2961.3634343572016</v>
      </c>
      <c r="AH41" s="415">
        <f t="shared" si="11"/>
        <v>47.1</v>
      </c>
      <c r="AI41" s="415"/>
      <c r="AJ41" s="551"/>
      <c r="AK41" s="415"/>
    </row>
    <row r="42" spans="1:37" s="552" customFormat="1" ht="18.75" customHeight="1" x14ac:dyDescent="0.3">
      <c r="A42" s="541" t="s">
        <v>283</v>
      </c>
      <c r="B42" s="638">
        <f>B35+B41</f>
        <v>-66.977781100001323</v>
      </c>
      <c r="C42" s="444">
        <f>C35+C41</f>
        <v>1013.9219999999965</v>
      </c>
      <c r="D42" s="415">
        <f t="shared" si="24"/>
        <v>-999</v>
      </c>
      <c r="E42" s="638">
        <f>E35+E41</f>
        <v>466.43962274000052</v>
      </c>
      <c r="F42" s="444">
        <f>F35+F41</f>
        <v>586.9695588699999</v>
      </c>
      <c r="G42" s="415">
        <f t="shared" si="25"/>
        <v>25.8</v>
      </c>
      <c r="H42" s="638">
        <f>H35+H41</f>
        <v>7.958260999999923</v>
      </c>
      <c r="I42" s="444">
        <f>I35+I41</f>
        <v>104.93584700000004</v>
      </c>
      <c r="J42" s="415">
        <f t="shared" si="26"/>
        <v>999</v>
      </c>
      <c r="K42" s="638">
        <f>K35+K41</f>
        <v>125</v>
      </c>
      <c r="L42" s="444">
        <f>L35+L41</f>
        <v>133</v>
      </c>
      <c r="M42" s="415">
        <f t="shared" si="27"/>
        <v>6.4</v>
      </c>
      <c r="N42" s="638">
        <f>N35+N41</f>
        <v>773.91078240000741</v>
      </c>
      <c r="O42" s="444">
        <v>850.08161950000454</v>
      </c>
      <c r="P42" s="415">
        <f t="shared" si="28"/>
        <v>9.8000000000000007</v>
      </c>
      <c r="Q42" s="638">
        <f>Q35+Q41</f>
        <v>616.62793158000159</v>
      </c>
      <c r="R42" s="444">
        <f>R35+R41</f>
        <v>890.30003220999993</v>
      </c>
      <c r="S42" s="415">
        <f t="shared" si="29"/>
        <v>44.4</v>
      </c>
      <c r="T42" s="638">
        <f>T35+T41</f>
        <v>507</v>
      </c>
      <c r="U42" s="444">
        <f>U35+U41</f>
        <v>624</v>
      </c>
      <c r="V42" s="415">
        <f t="shared" si="30"/>
        <v>23.1</v>
      </c>
      <c r="W42" s="638">
        <f>W35+W41</f>
        <v>74.598924410007442</v>
      </c>
      <c r="X42" s="444">
        <f>X35+X41</f>
        <v>162.67137501999383</v>
      </c>
      <c r="Y42" s="415">
        <f t="shared" si="31"/>
        <v>118.1</v>
      </c>
      <c r="Z42" s="638">
        <f>Z35+Z41</f>
        <v>519</v>
      </c>
      <c r="AA42" s="444">
        <f>AA35+AA41</f>
        <v>2035.9080990899968</v>
      </c>
      <c r="AB42" s="415">
        <f t="shared" si="32"/>
        <v>292.3</v>
      </c>
      <c r="AC42" s="638">
        <f>AC35+AC41</f>
        <v>-17</v>
      </c>
      <c r="AD42" s="444">
        <f>AD35+AD41</f>
        <v>-18</v>
      </c>
      <c r="AE42" s="415">
        <f t="shared" si="33"/>
        <v>5.9</v>
      </c>
      <c r="AF42" s="415">
        <f t="shared" si="34"/>
        <v>3023.5577410300157</v>
      </c>
      <c r="AG42" s="415">
        <f t="shared" si="34"/>
        <v>6401.7885316899919</v>
      </c>
      <c r="AH42" s="415">
        <f t="shared" si="11"/>
        <v>111.7</v>
      </c>
      <c r="AI42" s="415"/>
      <c r="AJ42" s="551"/>
      <c r="AK42" s="415"/>
    </row>
    <row r="43" spans="1:37" s="427" customFormat="1" ht="18.75" customHeight="1" x14ac:dyDescent="0.3">
      <c r="A43" s="529" t="s">
        <v>284</v>
      </c>
      <c r="B43" s="639">
        <v>23.213508999999998</v>
      </c>
      <c r="C43" s="439">
        <v>-223.68100000000001</v>
      </c>
      <c r="D43" s="322">
        <f t="shared" si="24"/>
        <v>-999</v>
      </c>
      <c r="E43" s="639">
        <v>-129.02949488000002</v>
      </c>
      <c r="F43" s="439">
        <v>-159.65602053999999</v>
      </c>
      <c r="G43" s="322">
        <f t="shared" si="25"/>
        <v>23.7</v>
      </c>
      <c r="H43" s="639"/>
      <c r="I43" s="439"/>
      <c r="J43" s="322"/>
      <c r="K43" s="639"/>
      <c r="L43" s="439"/>
      <c r="M43" s="322"/>
      <c r="N43" s="639">
        <v>-181.66074947500002</v>
      </c>
      <c r="O43" s="439">
        <v>-181.88421647500002</v>
      </c>
      <c r="P43" s="322">
        <f t="shared" si="28"/>
        <v>0.1</v>
      </c>
      <c r="Q43" s="639">
        <v>-149.63999999999999</v>
      </c>
      <c r="R43" s="439">
        <v>-222</v>
      </c>
      <c r="S43" s="322">
        <f t="shared" si="29"/>
        <v>48.4</v>
      </c>
      <c r="T43" s="639">
        <v>-37</v>
      </c>
      <c r="U43" s="439">
        <v>-178</v>
      </c>
      <c r="V43" s="322">
        <f t="shared" si="30"/>
        <v>381.1</v>
      </c>
      <c r="W43" s="639">
        <v>-17.750503890000001</v>
      </c>
      <c r="X43" s="439">
        <v>-37.318801560000004</v>
      </c>
      <c r="Y43" s="322">
        <f t="shared" si="31"/>
        <v>110.2</v>
      </c>
      <c r="Z43" s="639">
        <v>676</v>
      </c>
      <c r="AA43" s="439">
        <v>-236.03488637999999</v>
      </c>
      <c r="AB43" s="322">
        <f t="shared" si="32"/>
        <v>-134.9</v>
      </c>
      <c r="AC43" s="639"/>
      <c r="AD43" s="439"/>
      <c r="AE43" s="322"/>
      <c r="AF43" s="322">
        <f t="shared" si="34"/>
        <v>184.13276075499999</v>
      </c>
      <c r="AG43" s="322">
        <f t="shared" si="34"/>
        <v>-1238.5749249549999</v>
      </c>
      <c r="AH43" s="322">
        <f t="shared" si="11"/>
        <v>-772.7</v>
      </c>
      <c r="AI43" s="322"/>
      <c r="AJ43" s="550"/>
      <c r="AK43" s="322"/>
    </row>
    <row r="44" spans="1:37" s="552" customFormat="1" ht="18.75" customHeight="1" x14ac:dyDescent="0.3">
      <c r="A44" s="541" t="s">
        <v>384</v>
      </c>
      <c r="B44" s="638">
        <f>B42+B43</f>
        <v>-43.764272100001321</v>
      </c>
      <c r="C44" s="444">
        <f>C42+C43</f>
        <v>790.24099999999646</v>
      </c>
      <c r="D44" s="415">
        <f t="shared" si="24"/>
        <v>-999</v>
      </c>
      <c r="E44" s="638">
        <f>E42+E43</f>
        <v>337.4101278600005</v>
      </c>
      <c r="F44" s="444">
        <f>F42+F43</f>
        <v>427.31353832999991</v>
      </c>
      <c r="G44" s="415">
        <f t="shared" si="25"/>
        <v>26.6</v>
      </c>
      <c r="H44" s="638">
        <f>H42+H43</f>
        <v>7.958260999999923</v>
      </c>
      <c r="I44" s="444">
        <f>I42+I43</f>
        <v>104.93584700000004</v>
      </c>
      <c r="J44" s="415">
        <f t="shared" si="26"/>
        <v>999</v>
      </c>
      <c r="K44" s="638">
        <f>K42+K43</f>
        <v>125</v>
      </c>
      <c r="L44" s="444">
        <f>L42+L43</f>
        <v>133</v>
      </c>
      <c r="M44" s="415">
        <f t="shared" si="27"/>
        <v>6.4</v>
      </c>
      <c r="N44" s="638">
        <f>N42+N43</f>
        <v>592.25003292500742</v>
      </c>
      <c r="O44" s="444">
        <v>668.19740302500452</v>
      </c>
      <c r="P44" s="415">
        <f t="shared" si="28"/>
        <v>12.8</v>
      </c>
      <c r="Q44" s="638">
        <f>Q42+Q43</f>
        <v>466.9879315800016</v>
      </c>
      <c r="R44" s="444">
        <f>R42+R43</f>
        <v>668.30003220999993</v>
      </c>
      <c r="S44" s="415">
        <f t="shared" si="29"/>
        <v>43.1</v>
      </c>
      <c r="T44" s="638">
        <f>T42+T43</f>
        <v>470</v>
      </c>
      <c r="U44" s="444">
        <f>U42+U43</f>
        <v>446</v>
      </c>
      <c r="V44" s="415">
        <f t="shared" si="30"/>
        <v>-5.0999999999999996</v>
      </c>
      <c r="W44" s="638">
        <f>W42+W43</f>
        <v>56.848420520007437</v>
      </c>
      <c r="X44" s="444">
        <f>X42+X43</f>
        <v>125.35257345999383</v>
      </c>
      <c r="Y44" s="415">
        <f t="shared" si="31"/>
        <v>120.5</v>
      </c>
      <c r="Z44" s="638">
        <f>Z42+Z43</f>
        <v>1195</v>
      </c>
      <c r="AA44" s="444">
        <f>AA42+AA43</f>
        <v>1799.8732127099968</v>
      </c>
      <c r="AB44" s="415">
        <f t="shared" si="32"/>
        <v>50.6</v>
      </c>
      <c r="AC44" s="638">
        <f>AC42+AC43</f>
        <v>-17</v>
      </c>
      <c r="AD44" s="444">
        <f>AD42+AD43</f>
        <v>-18</v>
      </c>
      <c r="AE44" s="415">
        <f t="shared" si="33"/>
        <v>5.9</v>
      </c>
      <c r="AF44" s="415">
        <f t="shared" si="34"/>
        <v>3207.6905017850158</v>
      </c>
      <c r="AG44" s="415">
        <f t="shared" si="34"/>
        <v>5163.213606734992</v>
      </c>
      <c r="AH44" s="415">
        <f t="shared" si="11"/>
        <v>61</v>
      </c>
      <c r="AI44" s="415"/>
      <c r="AJ44" s="551"/>
      <c r="AK44" s="415"/>
    </row>
    <row r="45" spans="1:37" s="427" customFormat="1" ht="18.75" customHeight="1" x14ac:dyDescent="0.3">
      <c r="A45" s="529" t="s">
        <v>385</v>
      </c>
      <c r="B45" s="639"/>
      <c r="C45" s="439"/>
      <c r="D45" s="322"/>
      <c r="E45" s="639"/>
      <c r="F45" s="439"/>
      <c r="G45" s="322"/>
      <c r="H45" s="639"/>
      <c r="I45" s="439"/>
      <c r="J45" s="322"/>
      <c r="K45" s="639"/>
      <c r="L45" s="439"/>
      <c r="M45" s="322"/>
      <c r="N45" s="639">
        <v>299.96956210499997</v>
      </c>
      <c r="O45" s="439">
        <v>257.31031661499998</v>
      </c>
      <c r="P45" s="322">
        <f t="shared" si="28"/>
        <v>-14.2</v>
      </c>
      <c r="Q45" s="639">
        <v>14</v>
      </c>
      <c r="R45" s="439">
        <v>12</v>
      </c>
      <c r="S45" s="322">
        <f t="shared" si="29"/>
        <v>-14.3</v>
      </c>
      <c r="T45" s="639"/>
      <c r="U45" s="439"/>
      <c r="V45" s="322"/>
      <c r="W45" s="639"/>
      <c r="X45" s="439"/>
      <c r="Y45" s="322"/>
      <c r="Z45" s="639">
        <v>-7</v>
      </c>
      <c r="AA45" s="439"/>
      <c r="AB45" s="322">
        <f t="shared" si="32"/>
        <v>-100</v>
      </c>
      <c r="AC45" s="639"/>
      <c r="AD45" s="439"/>
      <c r="AE45" s="322"/>
      <c r="AF45" s="322">
        <f t="shared" si="34"/>
        <v>306.96956210499997</v>
      </c>
      <c r="AG45" s="322">
        <f t="shared" si="34"/>
        <v>269.31031661499998</v>
      </c>
      <c r="AH45" s="322">
        <f t="shared" si="11"/>
        <v>-12.3</v>
      </c>
      <c r="AI45" s="322"/>
      <c r="AJ45" s="550"/>
      <c r="AK45" s="322"/>
    </row>
    <row r="46" spans="1:37" s="552" customFormat="1" ht="18.75" customHeight="1" x14ac:dyDescent="0.3">
      <c r="A46" s="540" t="s">
        <v>285</v>
      </c>
      <c r="B46" s="640">
        <f>B44+B45</f>
        <v>-43.764272100001321</v>
      </c>
      <c r="C46" s="445">
        <f>C44+C45</f>
        <v>790.24099999999646</v>
      </c>
      <c r="D46" s="422">
        <f>IF(B46=0, "    ---- ", IF(ABS(ROUND(100/B46*C46-100,1))&lt;999,ROUND(100/B46*C46-100,1),IF(ROUND(100/B46*C46-100,1)&gt;999,999,-999)))</f>
        <v>-999</v>
      </c>
      <c r="E46" s="640">
        <f>E44+E45</f>
        <v>337.4101278600005</v>
      </c>
      <c r="F46" s="445">
        <f>F44+F45</f>
        <v>427.31353832999991</v>
      </c>
      <c r="G46" s="422">
        <f>IF(E46=0, "    ---- ", IF(ABS(ROUND(100/E46*F46-100,1))&lt;999,ROUND(100/E46*F46-100,1),IF(ROUND(100/E46*F46-100,1)&gt;999,999,-999)))</f>
        <v>26.6</v>
      </c>
      <c r="H46" s="640">
        <f>H44+H45</f>
        <v>7.958260999999923</v>
      </c>
      <c r="I46" s="445">
        <f>I44+I45</f>
        <v>104.93584700000004</v>
      </c>
      <c r="J46" s="422">
        <f>IF(H46=0, "    ---- ", IF(ABS(ROUND(100/H46*I46-100,1))&lt;999,ROUND(100/H46*I46-100,1),IF(ROUND(100/H46*I46-100,1)&gt;999,999,-999)))</f>
        <v>999</v>
      </c>
      <c r="K46" s="640">
        <f>K44+K45</f>
        <v>125</v>
      </c>
      <c r="L46" s="445">
        <f>L44+L45</f>
        <v>133</v>
      </c>
      <c r="M46" s="422">
        <f>IF(K46=0, "    ---- ", IF(ABS(ROUND(100/K46*L46-100,1))&lt;999,ROUND(100/K46*L46-100,1),IF(ROUND(100/K46*L46-100,1)&gt;999,999,-999)))</f>
        <v>6.4</v>
      </c>
      <c r="N46" s="640">
        <f>N44+N45</f>
        <v>892.21959503000744</v>
      </c>
      <c r="O46" s="445">
        <v>925.50771964000455</v>
      </c>
      <c r="P46" s="422">
        <f>IF(N46=0, "    ---- ", IF(ABS(ROUND(100/N46*O46-100,1))&lt;999,ROUND(100/N46*O46-100,1),IF(ROUND(100/N46*O46-100,1)&gt;999,999,-999)))</f>
        <v>3.7</v>
      </c>
      <c r="Q46" s="640">
        <f>Q44+Q45</f>
        <v>480.9879315800016</v>
      </c>
      <c r="R46" s="445">
        <f>R44+R45</f>
        <v>680.30003220999993</v>
      </c>
      <c r="S46" s="422">
        <f>IF(Q46=0, "    ---- ", IF(ABS(ROUND(100/Q46*R46-100,1))&lt;999,ROUND(100/Q46*R46-100,1),IF(ROUND(100/Q46*R46-100,1)&gt;999,999,-999)))</f>
        <v>41.4</v>
      </c>
      <c r="T46" s="640">
        <f>T44+T45</f>
        <v>470</v>
      </c>
      <c r="U46" s="445">
        <f>U44+U45</f>
        <v>446</v>
      </c>
      <c r="V46" s="422">
        <f>IF(T46=0, "    ---- ", IF(ABS(ROUND(100/T46*U46-100,1))&lt;999,ROUND(100/T46*U46-100,1),IF(ROUND(100/T46*U46-100,1)&gt;999,999,-999)))</f>
        <v>-5.0999999999999996</v>
      </c>
      <c r="W46" s="640">
        <f>W44+W45</f>
        <v>56.848420520007437</v>
      </c>
      <c r="X46" s="445">
        <f>X44+X45</f>
        <v>125.35257345999383</v>
      </c>
      <c r="Y46" s="422">
        <f>IF(W46=0, "    ---- ", IF(ABS(ROUND(100/W46*X46-100,1))&lt;999,ROUND(100/W46*X46-100,1),IF(ROUND(100/W46*X46-100,1)&gt;999,999,-999)))</f>
        <v>120.5</v>
      </c>
      <c r="Z46" s="640">
        <f>Z44+Z45</f>
        <v>1188</v>
      </c>
      <c r="AA46" s="445">
        <f>AA44+AA45</f>
        <v>1799.8732127099968</v>
      </c>
      <c r="AB46" s="422">
        <f>IF(Z46=0, "    ---- ", IF(ABS(ROUND(100/Z46*AA46-100,1))&lt;999,ROUND(100/Z46*AA46-100,1),IF(ROUND(100/Z46*AA46-100,1)&gt;999,999,-999)))</f>
        <v>51.5</v>
      </c>
      <c r="AC46" s="640">
        <f>AC44+AC45</f>
        <v>-17</v>
      </c>
      <c r="AD46" s="445">
        <f>AD44+AD45</f>
        <v>-18</v>
      </c>
      <c r="AE46" s="422">
        <f>IF(AC46=0, "    ---- ", IF(ABS(ROUND(100/AC46*AD46-100,1))&lt;999,ROUND(100/AC46*AD46-100,1),IF(ROUND(100/AC46*AD46-100,1)&gt;999,999,-999)))</f>
        <v>5.9</v>
      </c>
      <c r="AF46" s="415">
        <f t="shared" si="34"/>
        <v>3514.6600638900159</v>
      </c>
      <c r="AG46" s="415">
        <f t="shared" si="34"/>
        <v>5432.5239233499915</v>
      </c>
      <c r="AH46" s="422">
        <f t="shared" si="11"/>
        <v>54.6</v>
      </c>
      <c r="AI46" s="553"/>
      <c r="AJ46" s="554"/>
      <c r="AK46" s="555"/>
    </row>
    <row r="47" spans="1:37" s="552" customFormat="1" ht="18.75" customHeight="1" x14ac:dyDescent="0.3">
      <c r="A47" s="556"/>
      <c r="B47" s="557"/>
      <c r="C47" s="557"/>
      <c r="D47" s="542"/>
      <c r="E47" s="557"/>
      <c r="F47" s="557"/>
      <c r="G47" s="542"/>
      <c r="H47" s="557"/>
      <c r="I47" s="557"/>
      <c r="J47" s="542"/>
      <c r="K47" s="557"/>
      <c r="L47" s="557"/>
      <c r="M47" s="558"/>
      <c r="N47" s="557"/>
      <c r="O47" s="557"/>
      <c r="P47" s="542"/>
      <c r="Q47" s="557"/>
      <c r="R47" s="557"/>
      <c r="S47" s="542"/>
      <c r="T47" s="557"/>
      <c r="U47" s="557"/>
      <c r="V47" s="542"/>
      <c r="W47" s="557"/>
      <c r="X47" s="557"/>
      <c r="Y47" s="542"/>
      <c r="Z47" s="557"/>
      <c r="AA47" s="557"/>
      <c r="AB47" s="542"/>
      <c r="AC47" s="557"/>
      <c r="AD47" s="557"/>
      <c r="AE47" s="542"/>
      <c r="AF47" s="558"/>
      <c r="AG47" s="558"/>
      <c r="AH47" s="542"/>
      <c r="AI47" s="559"/>
      <c r="AJ47" s="559"/>
      <c r="AK47" s="560"/>
    </row>
    <row r="48" spans="1:37" s="552" customFormat="1" ht="18.75" customHeight="1" x14ac:dyDescent="0.3">
      <c r="A48" s="458" t="s">
        <v>286</v>
      </c>
      <c r="B48" s="561"/>
      <c r="C48" s="561"/>
      <c r="D48" s="561"/>
      <c r="E48" s="561"/>
      <c r="F48" s="561"/>
      <c r="G48" s="561"/>
      <c r="H48" s="561"/>
      <c r="I48" s="561"/>
      <c r="J48" s="561"/>
      <c r="K48" s="561"/>
      <c r="L48" s="561"/>
      <c r="M48" s="561"/>
      <c r="N48" s="561"/>
      <c r="O48" s="561"/>
      <c r="P48" s="561"/>
      <c r="Q48" s="561"/>
      <c r="R48" s="561"/>
      <c r="S48" s="561"/>
      <c r="T48" s="561"/>
      <c r="U48" s="561"/>
      <c r="V48" s="561"/>
      <c r="W48" s="561"/>
      <c r="X48" s="561"/>
      <c r="Y48" s="561"/>
      <c r="Z48" s="561"/>
      <c r="AA48" s="561"/>
      <c r="AB48" s="561"/>
      <c r="AC48" s="561"/>
      <c r="AD48" s="561"/>
      <c r="AE48" s="561"/>
      <c r="AF48" s="561"/>
      <c r="AG48" s="561"/>
      <c r="AH48" s="561"/>
      <c r="AI48" s="561"/>
      <c r="AJ48" s="561"/>
      <c r="AK48" s="561"/>
    </row>
    <row r="49" spans="1:37" s="427" customFormat="1" ht="18.75" customHeight="1" x14ac:dyDescent="0.3">
      <c r="A49" s="561" t="s">
        <v>287</v>
      </c>
      <c r="B49" s="561"/>
      <c r="C49" s="561"/>
      <c r="D49" s="561"/>
      <c r="E49" s="561"/>
      <c r="F49" s="561"/>
      <c r="G49" s="561"/>
      <c r="H49" s="561"/>
      <c r="I49" s="561"/>
      <c r="J49" s="561"/>
      <c r="K49" s="561"/>
      <c r="L49" s="561"/>
      <c r="M49" s="561"/>
      <c r="N49" s="561"/>
      <c r="O49" s="561"/>
      <c r="P49" s="561"/>
      <c r="Q49" s="561"/>
      <c r="R49" s="561"/>
      <c r="S49" s="561"/>
      <c r="T49" s="561"/>
      <c r="U49" s="561"/>
      <c r="V49" s="561"/>
      <c r="W49" s="561"/>
      <c r="X49" s="561"/>
      <c r="Y49" s="561"/>
      <c r="Z49" s="561"/>
      <c r="AA49" s="561"/>
      <c r="AB49" s="561"/>
      <c r="AC49" s="561"/>
      <c r="AD49" s="561"/>
      <c r="AE49" s="561"/>
      <c r="AF49" s="561"/>
      <c r="AG49" s="561"/>
      <c r="AH49" s="561"/>
      <c r="AI49" s="561"/>
      <c r="AJ49" s="561"/>
      <c r="AK49" s="561"/>
    </row>
    <row r="50" spans="1:37" s="427" customFormat="1" ht="18.75" customHeight="1" x14ac:dyDescent="0.3">
      <c r="A50" s="561" t="s">
        <v>288</v>
      </c>
      <c r="B50" s="561"/>
      <c r="C50" s="561"/>
      <c r="D50" s="561"/>
      <c r="E50" s="561"/>
      <c r="F50" s="561"/>
      <c r="G50" s="561"/>
      <c r="H50" s="561"/>
      <c r="I50" s="561"/>
      <c r="J50" s="561"/>
      <c r="K50" s="561"/>
      <c r="L50" s="561"/>
      <c r="M50" s="561"/>
      <c r="N50" s="561"/>
      <c r="O50" s="561"/>
      <c r="P50" s="561"/>
      <c r="Q50" s="561"/>
      <c r="R50" s="561"/>
      <c r="S50" s="561"/>
      <c r="T50" s="561"/>
      <c r="U50" s="561"/>
      <c r="V50" s="561"/>
      <c r="W50" s="561"/>
      <c r="X50" s="561"/>
      <c r="Y50" s="561"/>
      <c r="Z50" s="561"/>
      <c r="AA50" s="561"/>
      <c r="AB50" s="561"/>
      <c r="AC50" s="561"/>
      <c r="AD50" s="561"/>
      <c r="AE50" s="561"/>
      <c r="AF50" s="561"/>
      <c r="AG50" s="561"/>
      <c r="AH50" s="561"/>
      <c r="AI50" s="561"/>
      <c r="AJ50" s="561"/>
      <c r="AK50" s="561"/>
    </row>
    <row r="51" spans="1:37" s="427" customFormat="1" ht="18.75" customHeight="1" x14ac:dyDescent="0.3">
      <c r="A51" s="561" t="s">
        <v>289</v>
      </c>
      <c r="B51" s="561"/>
      <c r="C51" s="561"/>
      <c r="D51" s="561"/>
      <c r="E51" s="561"/>
      <c r="F51" s="561"/>
      <c r="G51" s="561"/>
      <c r="H51" s="561"/>
      <c r="I51" s="561"/>
      <c r="J51" s="561"/>
      <c r="K51" s="561"/>
      <c r="L51" s="561"/>
      <c r="M51" s="561"/>
      <c r="N51" s="561"/>
      <c r="O51" s="561"/>
      <c r="P51" s="561"/>
      <c r="Q51" s="561"/>
      <c r="R51" s="561"/>
      <c r="S51" s="561"/>
      <c r="T51" s="561"/>
      <c r="U51" s="561"/>
      <c r="V51" s="561"/>
      <c r="W51" s="561"/>
      <c r="X51" s="561"/>
      <c r="Y51" s="561"/>
      <c r="Z51" s="561"/>
      <c r="AA51" s="561"/>
      <c r="AB51" s="561"/>
      <c r="AC51" s="561"/>
      <c r="AD51" s="561"/>
      <c r="AE51" s="561"/>
      <c r="AF51" s="561"/>
      <c r="AG51" s="561"/>
      <c r="AH51" s="561"/>
      <c r="AI51" s="561"/>
      <c r="AJ51" s="561"/>
      <c r="AK51" s="561"/>
    </row>
    <row r="52" spans="1:37" s="427" customFormat="1" ht="18.75" customHeight="1" x14ac:dyDescent="0.3">
      <c r="A52" s="561" t="s">
        <v>290</v>
      </c>
      <c r="B52" s="561"/>
      <c r="C52" s="561"/>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561"/>
    </row>
    <row r="53" spans="1:37" s="427" customFormat="1" ht="18.75" customHeight="1" x14ac:dyDescent="0.3">
      <c r="A53" s="561" t="s">
        <v>291</v>
      </c>
      <c r="B53" s="561"/>
      <c r="C53" s="561"/>
      <c r="D53" s="561"/>
      <c r="E53" s="561"/>
      <c r="F53" s="561"/>
      <c r="G53" s="561"/>
      <c r="H53" s="561"/>
      <c r="I53" s="561"/>
      <c r="J53" s="561"/>
      <c r="K53" s="561"/>
      <c r="L53" s="561"/>
      <c r="M53" s="561"/>
      <c r="N53" s="561"/>
      <c r="O53" s="561"/>
      <c r="P53" s="561"/>
      <c r="Q53" s="561"/>
      <c r="R53" s="561"/>
      <c r="S53" s="561"/>
      <c r="T53" s="561"/>
      <c r="U53" s="561"/>
      <c r="V53" s="561"/>
      <c r="W53" s="561"/>
      <c r="X53" s="561"/>
      <c r="Y53" s="561"/>
      <c r="Z53" s="561"/>
      <c r="AA53" s="561"/>
      <c r="AB53" s="561"/>
      <c r="AC53" s="561"/>
      <c r="AD53" s="561"/>
      <c r="AE53" s="561"/>
      <c r="AF53" s="561"/>
      <c r="AG53" s="561"/>
      <c r="AH53" s="561"/>
      <c r="AI53" s="561"/>
      <c r="AJ53" s="561"/>
      <c r="AK53" s="561"/>
    </row>
    <row r="54" spans="1:37" s="427" customFormat="1" ht="18.75" customHeight="1" x14ac:dyDescent="0.3">
      <c r="A54" s="561" t="s">
        <v>292</v>
      </c>
      <c r="B54" s="561"/>
      <c r="C54" s="561"/>
      <c r="D54" s="561"/>
      <c r="E54" s="561"/>
      <c r="F54" s="561"/>
      <c r="G54" s="561"/>
      <c r="H54" s="561"/>
      <c r="I54" s="561"/>
      <c r="J54" s="561"/>
      <c r="K54" s="561"/>
      <c r="L54" s="561"/>
      <c r="M54" s="561"/>
      <c r="N54" s="561"/>
      <c r="O54" s="561"/>
      <c r="P54" s="561"/>
      <c r="Q54" s="561"/>
      <c r="R54" s="561"/>
      <c r="S54" s="561"/>
      <c r="T54" s="561"/>
      <c r="U54" s="561"/>
      <c r="V54" s="561"/>
      <c r="W54" s="561"/>
      <c r="X54" s="561"/>
      <c r="Y54" s="561"/>
      <c r="Z54" s="561"/>
      <c r="AA54" s="561"/>
      <c r="AB54" s="561"/>
      <c r="AC54" s="561"/>
      <c r="AD54" s="561"/>
      <c r="AE54" s="561"/>
      <c r="AF54" s="561"/>
      <c r="AG54" s="561"/>
      <c r="AH54" s="561"/>
      <c r="AI54" s="561"/>
      <c r="AJ54" s="561"/>
      <c r="AK54" s="561"/>
    </row>
    <row r="55" spans="1:37" s="427" customFormat="1" ht="18.75" customHeight="1" x14ac:dyDescent="0.3">
      <c r="A55" s="561" t="s">
        <v>293</v>
      </c>
      <c r="B55" s="561"/>
      <c r="C55" s="561"/>
      <c r="D55" s="561"/>
      <c r="E55" s="561"/>
      <c r="F55" s="561"/>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row>
    <row r="56" spans="1:37" s="427" customFormat="1" ht="18.75" customHeight="1" x14ac:dyDescent="0.3">
      <c r="A56" s="561" t="s">
        <v>294</v>
      </c>
      <c r="B56" s="561"/>
      <c r="C56" s="561"/>
      <c r="D56" s="561"/>
      <c r="E56" s="561"/>
      <c r="F56" s="561"/>
      <c r="G56" s="561"/>
      <c r="H56" s="561"/>
      <c r="I56" s="561"/>
      <c r="J56" s="561"/>
      <c r="K56" s="561"/>
      <c r="L56" s="561"/>
      <c r="M56" s="561"/>
      <c r="N56" s="561"/>
      <c r="O56" s="561"/>
      <c r="P56" s="561"/>
      <c r="Q56" s="561"/>
      <c r="R56" s="561"/>
      <c r="S56" s="561"/>
      <c r="T56" s="561"/>
      <c r="U56" s="561"/>
      <c r="V56" s="561"/>
      <c r="W56" s="561"/>
      <c r="X56" s="561"/>
      <c r="Y56" s="561"/>
      <c r="Z56" s="561"/>
      <c r="AA56" s="561"/>
      <c r="AB56" s="561"/>
      <c r="AC56" s="561"/>
      <c r="AD56" s="561"/>
      <c r="AE56" s="561"/>
      <c r="AF56" s="561"/>
      <c r="AG56" s="561"/>
      <c r="AH56" s="561"/>
      <c r="AI56" s="561"/>
      <c r="AJ56" s="561"/>
      <c r="AK56" s="561"/>
    </row>
    <row r="57" spans="1:37" s="427" customFormat="1" ht="18.75" customHeight="1" x14ac:dyDescent="0.3">
      <c r="A57" s="561" t="s">
        <v>295</v>
      </c>
      <c r="B57" s="561"/>
      <c r="C57" s="561"/>
      <c r="D57" s="561"/>
      <c r="E57" s="561"/>
      <c r="F57" s="561"/>
      <c r="G57" s="561"/>
      <c r="H57" s="561"/>
      <c r="I57" s="561"/>
      <c r="J57" s="561"/>
      <c r="K57" s="561"/>
      <c r="L57" s="561"/>
      <c r="M57" s="561"/>
      <c r="N57" s="561"/>
      <c r="O57" s="561"/>
      <c r="P57" s="561"/>
      <c r="Q57" s="561"/>
      <c r="R57" s="561"/>
      <c r="S57" s="561"/>
      <c r="T57" s="561"/>
      <c r="U57" s="561"/>
      <c r="V57" s="561"/>
      <c r="W57" s="561"/>
      <c r="X57" s="561"/>
      <c r="Y57" s="561"/>
      <c r="Z57" s="561"/>
      <c r="AA57" s="561"/>
      <c r="AB57" s="561"/>
      <c r="AC57" s="561"/>
      <c r="AD57" s="561"/>
      <c r="AE57" s="561"/>
      <c r="AF57" s="561"/>
      <c r="AG57" s="561"/>
      <c r="AH57" s="561"/>
      <c r="AI57" s="561"/>
      <c r="AJ57" s="561"/>
      <c r="AK57" s="561"/>
    </row>
    <row r="58" spans="1:37" s="552" customFormat="1" ht="18.75" customHeight="1" x14ac:dyDescent="0.3">
      <c r="A58" s="459" t="s">
        <v>296</v>
      </c>
      <c r="B58" s="562"/>
      <c r="C58" s="562"/>
      <c r="D58" s="562"/>
      <c r="E58" s="562"/>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2"/>
      <c r="AK58" s="562"/>
    </row>
    <row r="59" spans="1:37" s="430" customFormat="1" ht="18.75" customHeight="1" x14ac:dyDescent="0.3">
      <c r="A59" s="427" t="s">
        <v>222</v>
      </c>
    </row>
    <row r="60" spans="1:37" s="430" customFormat="1" ht="18.75" customHeight="1" x14ac:dyDescent="0.3">
      <c r="A60" s="427" t="s">
        <v>223</v>
      </c>
    </row>
    <row r="61" spans="1:37" s="430" customFormat="1" ht="18.75" customHeight="1" x14ac:dyDescent="0.3">
      <c r="A61" s="427" t="s">
        <v>224</v>
      </c>
    </row>
    <row r="62" spans="1:37" s="430" customFormat="1" ht="18.75" x14ac:dyDescent="0.3"/>
  </sheetData>
  <mergeCells count="23">
    <mergeCell ref="T5:V5"/>
    <mergeCell ref="B5:D5"/>
    <mergeCell ref="E5:G5"/>
    <mergeCell ref="H5:J5"/>
    <mergeCell ref="K5:M5"/>
    <mergeCell ref="N5:P5"/>
    <mergeCell ref="B6:D6"/>
    <mergeCell ref="E6:G6"/>
    <mergeCell ref="H6:J6"/>
    <mergeCell ref="K6:M6"/>
    <mergeCell ref="N6:P6"/>
    <mergeCell ref="W5:Y5"/>
    <mergeCell ref="Z5:AB5"/>
    <mergeCell ref="AC5:AE5"/>
    <mergeCell ref="AF5:AH5"/>
    <mergeCell ref="AI5:AK5"/>
    <mergeCell ref="AI6:AK6"/>
    <mergeCell ref="Q6:S6"/>
    <mergeCell ref="T6:V6"/>
    <mergeCell ref="W6:Y6"/>
    <mergeCell ref="Z6:AB6"/>
    <mergeCell ref="AC6:AE6"/>
    <mergeCell ref="AF6:AH6"/>
  </mergeCells>
  <conditionalFormatting sqref="K30">
    <cfRule type="expression" dxfId="234" priority="112">
      <formula>#REF! ="30≠24+25+26+27+28+29"</formula>
    </cfRule>
  </conditionalFormatting>
  <conditionalFormatting sqref="K35">
    <cfRule type="expression" dxfId="233" priority="113">
      <formula>#REF! ="35≠14+15+16+17+22+30+31+32+33+34"</formula>
    </cfRule>
  </conditionalFormatting>
  <conditionalFormatting sqref="K46">
    <cfRule type="expression" dxfId="232" priority="114">
      <formula>#REF! ="46≠35+38+39+40+43+45"</formula>
    </cfRule>
  </conditionalFormatting>
  <conditionalFormatting sqref="L25">
    <cfRule type="expression" dxfId="231" priority="111">
      <formula>kvartal &lt; 4</formula>
    </cfRule>
  </conditionalFormatting>
  <conditionalFormatting sqref="K14">
    <cfRule type="expression" dxfId="230" priority="109">
      <formula>#REF! ="14≠11+12+13"</formula>
    </cfRule>
  </conditionalFormatting>
  <conditionalFormatting sqref="K21">
    <cfRule type="expression" dxfId="229" priority="110">
      <formula>#REF! ="22≠19+20+21"</formula>
    </cfRule>
  </conditionalFormatting>
  <conditionalFormatting sqref="Q30">
    <cfRule type="expression" dxfId="228" priority="101">
      <formula>#REF! ="30≠24+25+26+27+28+29"</formula>
    </cfRule>
  </conditionalFormatting>
  <conditionalFormatting sqref="Q35">
    <cfRule type="expression" dxfId="227" priority="102">
      <formula>#REF! ="35≠14+15+16+17+22+30+31+32+33+34"</formula>
    </cfRule>
  </conditionalFormatting>
  <conditionalFormatting sqref="Q46">
    <cfRule type="expression" dxfId="226" priority="103">
      <formula>#REF! ="46≠35+38+39+40+43+45"</formula>
    </cfRule>
  </conditionalFormatting>
  <conditionalFormatting sqref="R27">
    <cfRule type="expression" dxfId="225" priority="100">
      <formula>kvartal &lt; 4</formula>
    </cfRule>
  </conditionalFormatting>
  <conditionalFormatting sqref="Q14">
    <cfRule type="expression" dxfId="224" priority="98">
      <formula>#REF! ="14≠11+12+13"</formula>
    </cfRule>
  </conditionalFormatting>
  <conditionalFormatting sqref="Q21">
    <cfRule type="expression" dxfId="223" priority="99">
      <formula>#REF! ="22≠19+20+21"</formula>
    </cfRule>
  </conditionalFormatting>
  <conditionalFormatting sqref="Z14">
    <cfRule type="expression" dxfId="222" priority="88">
      <formula>#REF! ="14≠11+12+13"</formula>
    </cfRule>
  </conditionalFormatting>
  <conditionalFormatting sqref="Z21">
    <cfRule type="expression" dxfId="221" priority="89">
      <formula>#REF! ="22≠19+20+21"</formula>
    </cfRule>
  </conditionalFormatting>
  <conditionalFormatting sqref="Z30">
    <cfRule type="expression" dxfId="220" priority="91">
      <formula>#REF! ="30≠24+25+26+27+28+29"</formula>
    </cfRule>
  </conditionalFormatting>
  <conditionalFormatting sqref="Z35">
    <cfRule type="expression" dxfId="219" priority="92">
      <formula>#REF! ="35≠14+15+16+17+22+30+31+32+33+34"</formula>
    </cfRule>
  </conditionalFormatting>
  <conditionalFormatting sqref="Z46">
    <cfRule type="expression" dxfId="218" priority="93">
      <formula>#REF! ="46≠35+38+39+40+43+45"</formula>
    </cfRule>
  </conditionalFormatting>
  <conditionalFormatting sqref="AA25">
    <cfRule type="expression" dxfId="217" priority="90">
      <formula>kvartal &lt; 4</formula>
    </cfRule>
  </conditionalFormatting>
  <conditionalFormatting sqref="W14">
    <cfRule type="expression" dxfId="216" priority="75">
      <formula>#REF! ="14≠11+12+13"</formula>
    </cfRule>
  </conditionalFormatting>
  <conditionalFormatting sqref="W21">
    <cfRule type="expression" dxfId="215" priority="76">
      <formula>#REF! ="22≠19+20+21"</formula>
    </cfRule>
  </conditionalFormatting>
  <conditionalFormatting sqref="W30">
    <cfRule type="expression" dxfId="214" priority="78">
      <formula>#REF! ="30≠24+25+26+27+28+29"</formula>
    </cfRule>
  </conditionalFormatting>
  <conditionalFormatting sqref="W35">
    <cfRule type="expression" dxfId="213" priority="79">
      <formula>#REF! ="35≠14+15+16+17+22+30+31+32+33+34"</formula>
    </cfRule>
  </conditionalFormatting>
  <conditionalFormatting sqref="W46">
    <cfRule type="expression" dxfId="212" priority="80">
      <formula>#REF! ="46≠35+38+39+40+43+45"</formula>
    </cfRule>
  </conditionalFormatting>
  <conditionalFormatting sqref="X25 X27">
    <cfRule type="expression" dxfId="211" priority="77">
      <formula>kvartal &lt; 4</formula>
    </cfRule>
  </conditionalFormatting>
  <conditionalFormatting sqref="B14">
    <cfRule type="expression" dxfId="210" priority="70">
      <formula>#REF! ="14≠11+12+13"</formula>
    </cfRule>
  </conditionalFormatting>
  <conditionalFormatting sqref="B21">
    <cfRule type="expression" dxfId="209" priority="71">
      <formula>#REF! ="22≠19+20+21"</formula>
    </cfRule>
  </conditionalFormatting>
  <conditionalFormatting sqref="B30">
    <cfRule type="expression" dxfId="208" priority="69">
      <formula>#REF! ="30≠24+25+26+27+28+29"</formula>
    </cfRule>
  </conditionalFormatting>
  <conditionalFormatting sqref="B35">
    <cfRule type="expression" dxfId="207" priority="68">
      <formula>#REF! ="35≠14+15+16+17+22+30+31+32+33+34"</formula>
    </cfRule>
  </conditionalFormatting>
  <conditionalFormatting sqref="B46">
    <cfRule type="expression" dxfId="206" priority="72">
      <formula>#REF! ="46≠35+38+39+40+43+45"</formula>
    </cfRule>
  </conditionalFormatting>
  <conditionalFormatting sqref="C25 C27">
    <cfRule type="expression" dxfId="205" priority="64">
      <formula>kvartal &lt; 4</formula>
    </cfRule>
  </conditionalFormatting>
  <conditionalFormatting sqref="H14">
    <cfRule type="expression" dxfId="204" priority="53">
      <formula>#REF! ="14≠11+12+13"</formula>
    </cfRule>
  </conditionalFormatting>
  <conditionalFormatting sqref="H21">
    <cfRule type="expression" dxfId="203" priority="54">
      <formula>#REF! ="22≠19+20+21"</formula>
    </cfRule>
  </conditionalFormatting>
  <conditionalFormatting sqref="H30">
    <cfRule type="expression" dxfId="202" priority="56">
      <formula>#REF! ="30≠24+25+26+27+28+29"</formula>
    </cfRule>
  </conditionalFormatting>
  <conditionalFormatting sqref="H35">
    <cfRule type="expression" dxfId="201" priority="57">
      <formula>#REF! ="35≠14+15+16+17+22+30+31+32+33+34"</formula>
    </cfRule>
  </conditionalFormatting>
  <conditionalFormatting sqref="H46">
    <cfRule type="expression" dxfId="200" priority="58">
      <formula>#REF! ="46≠35+38+39+40+43+45"</formula>
    </cfRule>
  </conditionalFormatting>
  <conditionalFormatting sqref="I25">
    <cfRule type="expression" dxfId="199" priority="55">
      <formula>kvartal &lt; 4</formula>
    </cfRule>
  </conditionalFormatting>
  <conditionalFormatting sqref="AC14">
    <cfRule type="expression" dxfId="198" priority="42">
      <formula>#REF! ="14≠11+12+13"</formula>
    </cfRule>
  </conditionalFormatting>
  <conditionalFormatting sqref="AC21">
    <cfRule type="expression" dxfId="197" priority="43">
      <formula>#REF! ="22≠19+20+21"</formula>
    </cfRule>
  </conditionalFormatting>
  <conditionalFormatting sqref="AC30">
    <cfRule type="expression" dxfId="196" priority="45">
      <formula>#REF! ="30≠24+25+26+27+28+29"</formula>
    </cfRule>
  </conditionalFormatting>
  <conditionalFormatting sqref="AC35">
    <cfRule type="expression" dxfId="195" priority="46">
      <formula>#REF! ="35≠14+15+16+17+22+30+31+32+33+34"</formula>
    </cfRule>
  </conditionalFormatting>
  <conditionalFormatting sqref="AC46">
    <cfRule type="expression" dxfId="194" priority="47">
      <formula>#REF! ="46≠35+38+39+40+43+45"</formula>
    </cfRule>
  </conditionalFormatting>
  <conditionalFormatting sqref="AD25 AD27">
    <cfRule type="expression" dxfId="193" priority="44">
      <formula>kvartal &lt; 4</formula>
    </cfRule>
  </conditionalFormatting>
  <conditionalFormatting sqref="E14">
    <cfRule type="expression" dxfId="192" priority="31">
      <formula>#REF! ="14≠11+12+13"</formula>
    </cfRule>
  </conditionalFormatting>
  <conditionalFormatting sqref="E21">
    <cfRule type="expression" dxfId="191" priority="32">
      <formula>#REF! ="22≠19+20+21"</formula>
    </cfRule>
  </conditionalFormatting>
  <conditionalFormatting sqref="E30">
    <cfRule type="expression" dxfId="190" priority="34">
      <formula>#REF! ="30≠24+25+26+27+28+29"</formula>
    </cfRule>
  </conditionalFormatting>
  <conditionalFormatting sqref="E35">
    <cfRule type="expression" dxfId="189" priority="36">
      <formula>#REF! ="35≠14+15+16+17+22+30+31+32+33+34"</formula>
    </cfRule>
  </conditionalFormatting>
  <conditionalFormatting sqref="E46">
    <cfRule type="expression" dxfId="188" priority="35">
      <formula>#REF! ="46≠35+38+39+40+43+45"</formula>
    </cfRule>
  </conditionalFormatting>
  <conditionalFormatting sqref="F25 F27">
    <cfRule type="expression" dxfId="187" priority="33">
      <formula>kvartal &lt; 4</formula>
    </cfRule>
  </conditionalFormatting>
  <conditionalFormatting sqref="R25">
    <cfRule type="expression" dxfId="186" priority="30">
      <formula>kvartal &lt; 4</formula>
    </cfRule>
  </conditionalFormatting>
  <conditionalFormatting sqref="T14">
    <cfRule type="expression" dxfId="185" priority="19">
      <formula>#REF! ="14≠11+12+13"</formula>
    </cfRule>
  </conditionalFormatting>
  <conditionalFormatting sqref="T21">
    <cfRule type="expression" dxfId="184" priority="20">
      <formula>#REF! ="22≠19+20+21"</formula>
    </cfRule>
  </conditionalFormatting>
  <conditionalFormatting sqref="T30">
    <cfRule type="expression" dxfId="183" priority="22">
      <formula>#REF! ="30≠24+25+26+27+28+29"</formula>
    </cfRule>
  </conditionalFormatting>
  <conditionalFormatting sqref="T35">
    <cfRule type="expression" dxfId="182" priority="23">
      <formula>#REF! ="35≠14+15+16+17+22+30+31+32+33+34"</formula>
    </cfRule>
  </conditionalFormatting>
  <conditionalFormatting sqref="T46">
    <cfRule type="expression" dxfId="181" priority="24">
      <formula>#REF! ="46≠35+38+39+40+43+45"</formula>
    </cfRule>
  </conditionalFormatting>
  <conditionalFormatting sqref="U25 U27">
    <cfRule type="expression" dxfId="180" priority="21">
      <formula>kvartal &lt; 4</formula>
    </cfRule>
  </conditionalFormatting>
  <conditionalFormatting sqref="N14">
    <cfRule type="expression" dxfId="179" priority="1">
      <formula>#REF! ="14≠11+12+13"</formula>
    </cfRule>
  </conditionalFormatting>
  <conditionalFormatting sqref="N21">
    <cfRule type="expression" dxfId="178" priority="2">
      <formula>#REF! ="22≠19+20+21"</formula>
    </cfRule>
  </conditionalFormatting>
  <conditionalFormatting sqref="N30">
    <cfRule type="expression" dxfId="177" priority="4">
      <formula>#REF! ="30≠24+25+26+27+28+29"</formula>
    </cfRule>
  </conditionalFormatting>
  <conditionalFormatting sqref="O25 O27">
    <cfRule type="expression" dxfId="176" priority="3">
      <formula>kvartal &lt; 4</formula>
    </cfRule>
  </conditionalFormatting>
  <conditionalFormatting sqref="AI30:AJ30 L30 R30 AA30 X30 C30 I30 AD30 F30 U30 O30">
    <cfRule type="expression" dxfId="175" priority="488">
      <formula>#REF! ="30≠24+25+26+27+28+29"</formula>
    </cfRule>
  </conditionalFormatting>
  <conditionalFormatting sqref="AI35:AJ35 AF35:AG35 L35 R35 AA35 X35 C35 I35 AD35 F35 U35 N35:O35">
    <cfRule type="expression" dxfId="174" priority="489">
      <formula>#REF! ="35≠14+15+16+17+22+30+31+32+33+34"</formula>
    </cfRule>
  </conditionalFormatting>
  <conditionalFormatting sqref="AI46:AJ46 L46 R46 AA46 X46 C46 I46 AD46 F46 U46 N46:O46">
    <cfRule type="expression" dxfId="173" priority="491">
      <formula>#REF! ="46≠35+38+39+40+43+45"</formula>
    </cfRule>
  </conditionalFormatting>
  <conditionalFormatting sqref="L14 R14 AA14 X14 C14 I14 AD14 F14 U14 O14">
    <cfRule type="expression" dxfId="172" priority="492">
      <formula>#REF! ="14≠11+12+13"</formula>
    </cfRule>
  </conditionalFormatting>
  <conditionalFormatting sqref="L21 R21 AA20:AA21 X21 C21 I21 AD21 F21 U21 O21">
    <cfRule type="expression" dxfId="171" priority="493">
      <formula>#REF! ="22≠19+20+21"</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A444-C37C-499D-8F4D-6A034CA46052}">
  <dimension ref="A1:AY114"/>
  <sheetViews>
    <sheetView showGridLines="0" zoomScale="70" zoomScaleNormal="70" workbookViewId="0">
      <pane xSplit="1" ySplit="8" topLeftCell="B9" activePane="bottomRight" state="frozen"/>
      <selection activeCell="A4" sqref="A4"/>
      <selection pane="topRight" activeCell="A4" sqref="A4"/>
      <selection pane="bottomLeft" activeCell="A4" sqref="A4"/>
      <selection pane="bottomRight" activeCell="A4" sqref="A4"/>
    </sheetView>
  </sheetViews>
  <sheetFormatPr baseColWidth="10" defaultColWidth="11.42578125" defaultRowHeight="12.75" x14ac:dyDescent="0.2"/>
  <cols>
    <col min="1" max="1" width="111.28515625" style="428" customWidth="1"/>
    <col min="2" max="31" width="11.7109375" style="428" customWidth="1"/>
    <col min="32" max="32" width="15.140625" style="428" customWidth="1"/>
    <col min="33" max="33" width="13" style="428" customWidth="1"/>
    <col min="34" max="34" width="11.7109375" style="428" customWidth="1"/>
    <col min="35" max="36" width="13" style="428" customWidth="1"/>
    <col min="37" max="37" width="11.7109375" style="428" customWidth="1"/>
    <col min="38" max="16384" width="11.42578125" style="428"/>
  </cols>
  <sheetData>
    <row r="1" spans="1:51" ht="20.25" customHeight="1" x14ac:dyDescent="0.3">
      <c r="A1" s="431" t="s">
        <v>152</v>
      </c>
      <c r="B1" s="432"/>
      <c r="C1" s="432"/>
      <c r="D1" s="432"/>
      <c r="E1" s="432"/>
      <c r="F1" s="432"/>
      <c r="G1" s="432"/>
      <c r="H1" s="432"/>
      <c r="I1" s="432"/>
      <c r="J1" s="432"/>
    </row>
    <row r="2" spans="1:51" ht="20.100000000000001" customHeight="1" x14ac:dyDescent="0.3">
      <c r="A2" s="431" t="s">
        <v>153</v>
      </c>
      <c r="C2" s="588"/>
      <c r="D2" s="589"/>
      <c r="E2" s="589"/>
    </row>
    <row r="3" spans="1:51" ht="20.100000000000001" customHeight="1" x14ac:dyDescent="0.3">
      <c r="A3" s="433" t="s">
        <v>154</v>
      </c>
      <c r="B3" s="601"/>
      <c r="C3" s="601"/>
      <c r="D3" s="601"/>
      <c r="E3" s="601"/>
      <c r="F3" s="601"/>
      <c r="G3" s="601"/>
      <c r="H3" s="601"/>
      <c r="I3" s="601"/>
      <c r="J3" s="601"/>
    </row>
    <row r="4" spans="1:51" ht="18.75" customHeight="1" x14ac:dyDescent="0.25">
      <c r="A4" s="593" t="s">
        <v>364</v>
      </c>
      <c r="B4" s="602"/>
      <c r="C4" s="602"/>
      <c r="D4" s="603"/>
      <c r="E4" s="604"/>
      <c r="F4" s="602"/>
      <c r="G4" s="603"/>
      <c r="H4" s="604"/>
      <c r="I4" s="602"/>
      <c r="J4" s="603"/>
      <c r="K4" s="434"/>
      <c r="L4" s="434"/>
      <c r="M4" s="434"/>
      <c r="N4" s="435"/>
      <c r="O4" s="434"/>
      <c r="P4" s="436"/>
      <c r="Q4" s="435"/>
      <c r="R4" s="434"/>
      <c r="S4" s="436"/>
      <c r="T4" s="435"/>
      <c r="U4" s="434"/>
      <c r="V4" s="436"/>
      <c r="W4" s="435"/>
      <c r="X4" s="434"/>
      <c r="Y4" s="436"/>
      <c r="Z4" s="435"/>
      <c r="AA4" s="434"/>
      <c r="AB4" s="436"/>
      <c r="AC4" s="435"/>
      <c r="AD4" s="434"/>
      <c r="AE4" s="436"/>
      <c r="AF4" s="435"/>
      <c r="AG4" s="434"/>
      <c r="AH4" s="436"/>
      <c r="AI4" s="435"/>
      <c r="AJ4" s="434"/>
      <c r="AK4" s="436"/>
      <c r="AL4" s="605"/>
      <c r="AM4" s="605"/>
      <c r="AN4" s="605"/>
      <c r="AO4" s="605"/>
      <c r="AP4" s="605"/>
      <c r="AQ4" s="605"/>
      <c r="AR4" s="605"/>
      <c r="AS4" s="605"/>
      <c r="AT4" s="605"/>
      <c r="AU4" s="605"/>
      <c r="AV4" s="605"/>
      <c r="AW4" s="605"/>
      <c r="AX4" s="605"/>
      <c r="AY4" s="605"/>
    </row>
    <row r="5" spans="1:51" ht="18.75" customHeight="1" x14ac:dyDescent="0.3">
      <c r="A5" s="530" t="s">
        <v>94</v>
      </c>
      <c r="B5" s="727" t="s">
        <v>155</v>
      </c>
      <c r="C5" s="728"/>
      <c r="D5" s="729"/>
      <c r="E5" s="727"/>
      <c r="F5" s="728"/>
      <c r="G5" s="729"/>
      <c r="H5" s="727" t="s">
        <v>156</v>
      </c>
      <c r="I5" s="728"/>
      <c r="J5" s="729"/>
      <c r="K5" s="727" t="s">
        <v>157</v>
      </c>
      <c r="L5" s="728"/>
      <c r="M5" s="729"/>
      <c r="N5" s="727" t="s">
        <v>158</v>
      </c>
      <c r="O5" s="728"/>
      <c r="P5" s="729"/>
      <c r="Q5" s="660"/>
      <c r="R5" s="661"/>
      <c r="S5" s="662"/>
      <c r="T5" s="727" t="s">
        <v>159</v>
      </c>
      <c r="U5" s="728"/>
      <c r="V5" s="729"/>
      <c r="W5" s="727" t="s">
        <v>65</v>
      </c>
      <c r="X5" s="728"/>
      <c r="Y5" s="729"/>
      <c r="Z5" s="727" t="s">
        <v>68</v>
      </c>
      <c r="AA5" s="728"/>
      <c r="AB5" s="729"/>
      <c r="AC5" s="727" t="s">
        <v>373</v>
      </c>
      <c r="AD5" s="728"/>
      <c r="AE5" s="729"/>
      <c r="AF5" s="730" t="s">
        <v>2</v>
      </c>
      <c r="AG5" s="731"/>
      <c r="AH5" s="732"/>
      <c r="AI5" s="730" t="s">
        <v>2</v>
      </c>
      <c r="AJ5" s="731"/>
      <c r="AK5" s="732"/>
      <c r="AL5" s="632"/>
      <c r="AM5" s="632"/>
      <c r="AN5" s="733"/>
      <c r="AO5" s="733"/>
      <c r="AP5" s="733"/>
      <c r="AQ5" s="733"/>
      <c r="AR5" s="733"/>
      <c r="AS5" s="733"/>
      <c r="AT5" s="733"/>
      <c r="AU5" s="733"/>
      <c r="AV5" s="733"/>
      <c r="AW5" s="733"/>
      <c r="AX5" s="733"/>
      <c r="AY5" s="733"/>
    </row>
    <row r="6" spans="1:51" ht="21" customHeight="1" x14ac:dyDescent="0.3">
      <c r="A6" s="531"/>
      <c r="B6" s="724" t="s">
        <v>161</v>
      </c>
      <c r="C6" s="725"/>
      <c r="D6" s="726"/>
      <c r="E6" s="724" t="s">
        <v>357</v>
      </c>
      <c r="F6" s="725"/>
      <c r="G6" s="726"/>
      <c r="H6" s="724" t="s">
        <v>161</v>
      </c>
      <c r="I6" s="725"/>
      <c r="J6" s="726"/>
      <c r="K6" s="724" t="s">
        <v>162</v>
      </c>
      <c r="L6" s="725"/>
      <c r="M6" s="726"/>
      <c r="N6" s="724" t="s">
        <v>61</v>
      </c>
      <c r="O6" s="725"/>
      <c r="P6" s="726"/>
      <c r="Q6" s="724" t="s">
        <v>63</v>
      </c>
      <c r="R6" s="725"/>
      <c r="S6" s="726"/>
      <c r="T6" s="724" t="s">
        <v>160</v>
      </c>
      <c r="U6" s="725"/>
      <c r="V6" s="726"/>
      <c r="W6" s="724" t="s">
        <v>369</v>
      </c>
      <c r="X6" s="725"/>
      <c r="Y6" s="726"/>
      <c r="Z6" s="724" t="s">
        <v>161</v>
      </c>
      <c r="AA6" s="725"/>
      <c r="AB6" s="726"/>
      <c r="AC6" s="724" t="s">
        <v>161</v>
      </c>
      <c r="AD6" s="725"/>
      <c r="AE6" s="726"/>
      <c r="AF6" s="721" t="s">
        <v>393</v>
      </c>
      <c r="AG6" s="722"/>
      <c r="AH6" s="723"/>
      <c r="AI6" s="721" t="s">
        <v>163</v>
      </c>
      <c r="AJ6" s="722"/>
      <c r="AK6" s="723"/>
      <c r="AL6" s="632"/>
      <c r="AM6" s="632"/>
      <c r="AN6" s="733"/>
      <c r="AO6" s="733"/>
      <c r="AP6" s="733"/>
      <c r="AQ6" s="733"/>
      <c r="AR6" s="733"/>
      <c r="AS6" s="733"/>
      <c r="AT6" s="733"/>
      <c r="AU6" s="733"/>
      <c r="AV6" s="733"/>
      <c r="AW6" s="733"/>
      <c r="AX6" s="733"/>
      <c r="AY6" s="733"/>
    </row>
    <row r="7" spans="1:51" ht="18.75" customHeight="1" x14ac:dyDescent="0.3">
      <c r="A7" s="531"/>
      <c r="B7" s="606"/>
      <c r="C7" s="606"/>
      <c r="D7" s="532" t="s">
        <v>76</v>
      </c>
      <c r="E7" s="606"/>
      <c r="F7" s="606"/>
      <c r="G7" s="532" t="s">
        <v>76</v>
      </c>
      <c r="H7" s="606"/>
      <c r="I7" s="606"/>
      <c r="J7" s="532" t="s">
        <v>76</v>
      </c>
      <c r="K7" s="606"/>
      <c r="L7" s="606"/>
      <c r="M7" s="532" t="s">
        <v>76</v>
      </c>
      <c r="N7" s="606"/>
      <c r="O7" s="606"/>
      <c r="P7" s="532" t="s">
        <v>76</v>
      </c>
      <c r="Q7" s="606"/>
      <c r="R7" s="606"/>
      <c r="S7" s="532" t="s">
        <v>76</v>
      </c>
      <c r="T7" s="606"/>
      <c r="U7" s="606"/>
      <c r="V7" s="532" t="s">
        <v>76</v>
      </c>
      <c r="W7" s="606"/>
      <c r="X7" s="606"/>
      <c r="Y7" s="532" t="s">
        <v>76</v>
      </c>
      <c r="Z7" s="606"/>
      <c r="AA7" s="606"/>
      <c r="AB7" s="532" t="s">
        <v>76</v>
      </c>
      <c r="AC7" s="606"/>
      <c r="AD7" s="606"/>
      <c r="AE7" s="532" t="s">
        <v>76</v>
      </c>
      <c r="AF7" s="606"/>
      <c r="AG7" s="606"/>
      <c r="AH7" s="532" t="s">
        <v>76</v>
      </c>
      <c r="AI7" s="606"/>
      <c r="AJ7" s="606"/>
      <c r="AK7" s="532" t="s">
        <v>76</v>
      </c>
      <c r="AL7" s="632"/>
      <c r="AM7" s="632"/>
      <c r="AN7" s="632"/>
      <c r="AO7" s="632"/>
      <c r="AP7" s="632"/>
      <c r="AQ7" s="632"/>
      <c r="AR7" s="632"/>
      <c r="AS7" s="632"/>
      <c r="AT7" s="632"/>
      <c r="AU7" s="632"/>
      <c r="AV7" s="632"/>
      <c r="AW7" s="632"/>
      <c r="AX7" s="632"/>
      <c r="AY7" s="632"/>
    </row>
    <row r="8" spans="1:51" ht="18.75" customHeight="1" x14ac:dyDescent="0.25">
      <c r="A8" s="424" t="s">
        <v>164</v>
      </c>
      <c r="B8" s="501">
        <v>2023</v>
      </c>
      <c r="C8" s="501">
        <v>2024</v>
      </c>
      <c r="D8" s="534" t="s">
        <v>78</v>
      </c>
      <c r="E8" s="501">
        <f>B8</f>
        <v>2023</v>
      </c>
      <c r="F8" s="501">
        <f>C8</f>
        <v>2024</v>
      </c>
      <c r="G8" s="534" t="s">
        <v>78</v>
      </c>
      <c r="H8" s="501">
        <f>E8</f>
        <v>2023</v>
      </c>
      <c r="I8" s="501">
        <f>F8</f>
        <v>2024</v>
      </c>
      <c r="J8" s="534" t="s">
        <v>78</v>
      </c>
      <c r="K8" s="501">
        <f>H8</f>
        <v>2023</v>
      </c>
      <c r="L8" s="501">
        <f>I8</f>
        <v>2024</v>
      </c>
      <c r="M8" s="534" t="s">
        <v>78</v>
      </c>
      <c r="N8" s="501">
        <f>K8</f>
        <v>2023</v>
      </c>
      <c r="O8" s="501">
        <f>L8</f>
        <v>2024</v>
      </c>
      <c r="P8" s="534" t="s">
        <v>78</v>
      </c>
      <c r="Q8" s="501">
        <f>N8</f>
        <v>2023</v>
      </c>
      <c r="R8" s="501">
        <f>O8</f>
        <v>2024</v>
      </c>
      <c r="S8" s="534" t="s">
        <v>78</v>
      </c>
      <c r="T8" s="501">
        <f>Q8</f>
        <v>2023</v>
      </c>
      <c r="U8" s="501">
        <f>R8</f>
        <v>2024</v>
      </c>
      <c r="V8" s="534" t="s">
        <v>78</v>
      </c>
      <c r="W8" s="501">
        <f>T8</f>
        <v>2023</v>
      </c>
      <c r="X8" s="501">
        <f>U8</f>
        <v>2024</v>
      </c>
      <c r="Y8" s="534" t="s">
        <v>78</v>
      </c>
      <c r="Z8" s="501">
        <f>W8</f>
        <v>2023</v>
      </c>
      <c r="AA8" s="501">
        <f>X8</f>
        <v>2024</v>
      </c>
      <c r="AB8" s="534" t="s">
        <v>78</v>
      </c>
      <c r="AC8" s="501">
        <f>Z8</f>
        <v>2023</v>
      </c>
      <c r="AD8" s="501">
        <f>AA8</f>
        <v>2024</v>
      </c>
      <c r="AE8" s="534" t="s">
        <v>78</v>
      </c>
      <c r="AF8" s="501">
        <f>AC8</f>
        <v>2023</v>
      </c>
      <c r="AG8" s="501">
        <f>AD8</f>
        <v>2024</v>
      </c>
      <c r="AH8" s="534" t="s">
        <v>78</v>
      </c>
      <c r="AI8" s="501">
        <f>AF8</f>
        <v>2023</v>
      </c>
      <c r="AJ8" s="501">
        <f>AG8</f>
        <v>2024</v>
      </c>
      <c r="AK8" s="534" t="s">
        <v>78</v>
      </c>
      <c r="AL8" s="607"/>
      <c r="AM8" s="608"/>
      <c r="AN8" s="607"/>
      <c r="AO8" s="607"/>
      <c r="AP8" s="608"/>
      <c r="AQ8" s="607"/>
      <c r="AR8" s="607"/>
      <c r="AS8" s="608"/>
      <c r="AT8" s="607"/>
      <c r="AU8" s="607"/>
      <c r="AV8" s="608"/>
      <c r="AW8" s="607"/>
      <c r="AX8" s="607"/>
      <c r="AY8" s="608"/>
    </row>
    <row r="9" spans="1:51" ht="18.75" customHeight="1" x14ac:dyDescent="0.3">
      <c r="A9" s="425"/>
      <c r="B9" s="563"/>
      <c r="C9" s="413"/>
      <c r="D9" s="413"/>
      <c r="E9" s="563"/>
      <c r="F9" s="413"/>
      <c r="G9" s="413"/>
      <c r="H9" s="563"/>
      <c r="I9" s="413"/>
      <c r="J9" s="413"/>
      <c r="K9" s="536"/>
      <c r="L9" s="414"/>
      <c r="M9" s="414"/>
      <c r="N9" s="536"/>
      <c r="O9" s="414"/>
      <c r="P9" s="322"/>
      <c r="Q9" s="536"/>
      <c r="R9" s="414"/>
      <c r="S9" s="322"/>
      <c r="T9" s="536"/>
      <c r="U9" s="414"/>
      <c r="V9" s="322"/>
      <c r="W9" s="536"/>
      <c r="X9" s="414"/>
      <c r="Y9" s="322"/>
      <c r="Z9" s="647"/>
      <c r="AA9" s="414"/>
      <c r="AB9" s="322"/>
      <c r="AC9" s="536"/>
      <c r="AD9" s="414"/>
      <c r="AE9" s="322"/>
      <c r="AF9" s="414"/>
      <c r="AG9" s="414"/>
      <c r="AH9" s="322"/>
      <c r="AI9" s="414"/>
      <c r="AJ9" s="414"/>
      <c r="AK9" s="322"/>
    </row>
    <row r="10" spans="1:51" s="429" customFormat="1" ht="18.75" customHeight="1" x14ac:dyDescent="0.3">
      <c r="A10" s="541" t="s">
        <v>165</v>
      </c>
      <c r="B10" s="564"/>
      <c r="C10" s="415"/>
      <c r="D10" s="415"/>
      <c r="E10" s="564"/>
      <c r="F10" s="415"/>
      <c r="G10" s="415"/>
      <c r="H10" s="564"/>
      <c r="I10" s="415"/>
      <c r="J10" s="415"/>
      <c r="K10" s="536"/>
      <c r="L10" s="414"/>
      <c r="M10" s="414"/>
      <c r="N10" s="536"/>
      <c r="O10" s="414"/>
      <c r="P10" s="322"/>
      <c r="Q10" s="536"/>
      <c r="R10" s="414"/>
      <c r="S10" s="322"/>
      <c r="T10" s="536"/>
      <c r="U10" s="414"/>
      <c r="V10" s="322"/>
      <c r="W10" s="536"/>
      <c r="X10" s="414"/>
      <c r="Y10" s="322"/>
      <c r="Z10" s="647"/>
      <c r="AA10" s="414"/>
      <c r="AB10" s="322"/>
      <c r="AC10" s="536"/>
      <c r="AD10" s="414"/>
      <c r="AE10" s="322"/>
      <c r="AF10" s="414"/>
      <c r="AG10" s="414"/>
      <c r="AH10" s="322"/>
      <c r="AI10" s="414"/>
      <c r="AJ10" s="414"/>
      <c r="AK10" s="322"/>
    </row>
    <row r="11" spans="1:51" s="429" customFormat="1" ht="18.75" customHeight="1" x14ac:dyDescent="0.3">
      <c r="A11" s="426"/>
      <c r="B11" s="564"/>
      <c r="C11" s="415"/>
      <c r="D11" s="415"/>
      <c r="E11" s="564"/>
      <c r="F11" s="415"/>
      <c r="G11" s="415"/>
      <c r="H11" s="564"/>
      <c r="I11" s="415"/>
      <c r="J11" s="415"/>
      <c r="K11" s="536"/>
      <c r="L11" s="414"/>
      <c r="M11" s="414"/>
      <c r="N11" s="536"/>
      <c r="O11" s="414"/>
      <c r="P11" s="322"/>
      <c r="Q11" s="536"/>
      <c r="R11" s="414"/>
      <c r="S11" s="322"/>
      <c r="T11" s="536"/>
      <c r="U11" s="414"/>
      <c r="V11" s="322"/>
      <c r="W11" s="536"/>
      <c r="X11" s="414"/>
      <c r="Y11" s="322"/>
      <c r="Z11" s="647"/>
      <c r="AA11" s="414"/>
      <c r="AB11" s="322"/>
      <c r="AC11" s="536"/>
      <c r="AD11" s="414"/>
      <c r="AE11" s="322"/>
      <c r="AF11" s="414"/>
      <c r="AG11" s="414"/>
      <c r="AH11" s="322"/>
      <c r="AI11" s="414"/>
      <c r="AJ11" s="414"/>
      <c r="AK11" s="322"/>
    </row>
    <row r="12" spans="1:51" s="429" customFormat="1" ht="20.100000000000001" customHeight="1" x14ac:dyDescent="0.3">
      <c r="A12" s="541" t="s">
        <v>166</v>
      </c>
      <c r="B12" s="183"/>
      <c r="C12" s="416"/>
      <c r="D12" s="416"/>
      <c r="E12" s="183"/>
      <c r="F12" s="416"/>
      <c r="G12" s="416"/>
      <c r="H12" s="183"/>
      <c r="I12" s="416"/>
      <c r="J12" s="416"/>
      <c r="K12" s="536"/>
      <c r="L12" s="414"/>
      <c r="M12" s="414"/>
      <c r="N12" s="536"/>
      <c r="O12" s="414"/>
      <c r="P12" s="322"/>
      <c r="Q12" s="536"/>
      <c r="R12" s="414"/>
      <c r="S12" s="322"/>
      <c r="T12" s="536"/>
      <c r="U12" s="414"/>
      <c r="V12" s="322"/>
      <c r="W12" s="536"/>
      <c r="X12" s="414"/>
      <c r="Y12" s="322"/>
      <c r="Z12" s="647"/>
      <c r="AA12" s="414"/>
      <c r="AB12" s="322"/>
      <c r="AC12" s="536"/>
      <c r="AD12" s="414"/>
      <c r="AE12" s="322"/>
      <c r="AF12" s="414"/>
      <c r="AG12" s="414"/>
      <c r="AH12" s="322"/>
      <c r="AI12" s="414"/>
      <c r="AJ12" s="414"/>
      <c r="AK12" s="322"/>
    </row>
    <row r="13" spans="1:51" s="429" customFormat="1" ht="20.100000000000001" customHeight="1" x14ac:dyDescent="0.3">
      <c r="A13" s="541" t="s">
        <v>167</v>
      </c>
      <c r="B13" s="183"/>
      <c r="C13" s="416"/>
      <c r="D13" s="416"/>
      <c r="E13" s="183"/>
      <c r="F13" s="416"/>
      <c r="G13" s="416"/>
      <c r="H13" s="183"/>
      <c r="I13" s="416"/>
      <c r="J13" s="416"/>
      <c r="K13" s="88"/>
      <c r="L13" s="475"/>
      <c r="M13" s="475"/>
      <c r="N13" s="88"/>
      <c r="O13" s="475"/>
      <c r="P13" s="417"/>
      <c r="Q13" s="88"/>
      <c r="R13" s="475"/>
      <c r="S13" s="417"/>
      <c r="T13" s="88"/>
      <c r="U13" s="475"/>
      <c r="V13" s="417"/>
      <c r="W13" s="88"/>
      <c r="X13" s="475"/>
      <c r="Y13" s="417"/>
      <c r="Z13" s="650"/>
      <c r="AA13" s="475"/>
      <c r="AB13" s="417"/>
      <c r="AC13" s="88"/>
      <c r="AD13" s="475"/>
      <c r="AE13" s="417"/>
      <c r="AF13" s="475"/>
      <c r="AG13" s="475"/>
      <c r="AH13" s="417"/>
      <c r="AI13" s="475"/>
      <c r="AJ13" s="475"/>
      <c r="AK13" s="417"/>
    </row>
    <row r="14" spans="1:51" s="429" customFormat="1" ht="20.100000000000001" customHeight="1" x14ac:dyDescent="0.3">
      <c r="A14" s="529" t="s">
        <v>168</v>
      </c>
      <c r="B14" s="181"/>
      <c r="C14" s="417"/>
      <c r="D14" s="417"/>
      <c r="E14" s="181"/>
      <c r="F14" s="417"/>
      <c r="G14" s="417"/>
      <c r="H14" s="181"/>
      <c r="I14" s="417"/>
      <c r="J14" s="417"/>
      <c r="K14" s="88">
        <v>1</v>
      </c>
      <c r="L14" s="475">
        <v>27</v>
      </c>
      <c r="M14" s="475">
        <f t="shared" ref="M14" si="0">IF(K14=0, "    ---- ", IF(ABS(ROUND(100/K14*L14-100,1))&lt;999,ROUND(100/K14*L14-100,1),IF(ROUND(100/K14*L14-100,1)&gt;999,999,-999)))</f>
        <v>999</v>
      </c>
      <c r="N14" s="88">
        <v>1388.34675075</v>
      </c>
      <c r="O14" s="475">
        <v>1321.99222975</v>
      </c>
      <c r="P14" s="417">
        <f t="shared" ref="P14:P28" si="1">IF(N14=0, "    ---- ", IF(ABS(ROUND(100/N14*O14-100,1))&lt;999,ROUND(100/N14*O14-100,1),IF(ROUND(100/N14*O14-100,1)&gt;999,999,-999)))</f>
        <v>-4.8</v>
      </c>
      <c r="Q14" s="88"/>
      <c r="R14" s="475"/>
      <c r="S14" s="417"/>
      <c r="T14" s="88"/>
      <c r="U14" s="475"/>
      <c r="V14" s="417"/>
      <c r="W14" s="88"/>
      <c r="X14" s="475"/>
      <c r="Y14" s="417"/>
      <c r="Z14" s="650"/>
      <c r="AA14" s="475"/>
      <c r="AB14" s="417"/>
      <c r="AC14" s="88"/>
      <c r="AD14" s="475"/>
      <c r="AE14" s="417"/>
      <c r="AF14" s="475">
        <f t="shared" ref="AF14:AG22" si="2">B14+E14+H14+K14+N14+Q14+T14+W14+Z14</f>
        <v>1389.34675075</v>
      </c>
      <c r="AG14" s="475">
        <f t="shared" si="2"/>
        <v>1348.99222975</v>
      </c>
      <c r="AH14" s="417">
        <f t="shared" ref="AH14:AH28" si="3">IF(AF14=0, "    ---- ", IF(ABS(ROUND(100/AF14*AG14-100,1))&lt;999,ROUND(100/AF14*AG14-100,1),IF(ROUND(100/AF14*AG14-100,1)&gt;999,999,-999)))</f>
        <v>-2.9</v>
      </c>
      <c r="AI14" s="475">
        <f t="shared" ref="AI14:AJ22" si="4">B14+E14+H14+K14+N14+Q14+T14+W14+Z14+AC14</f>
        <v>1389.34675075</v>
      </c>
      <c r="AJ14" s="475">
        <f t="shared" si="4"/>
        <v>1348.99222975</v>
      </c>
      <c r="AK14" s="417">
        <f t="shared" ref="AK14:AK29" si="5">IF(AI14=0, "    ---- ", IF(ABS(ROUND(100/AI14*AJ14-100,1))&lt;999,ROUND(100/AI14*AJ14-100,1),IF(ROUND(100/AI14*AJ14-100,1)&gt;999,999,-999)))</f>
        <v>-2.9</v>
      </c>
    </row>
    <row r="15" spans="1:51" s="429" customFormat="1" ht="20.100000000000001" customHeight="1" x14ac:dyDescent="0.3">
      <c r="A15" s="529" t="s">
        <v>169</v>
      </c>
      <c r="B15" s="181">
        <v>1434.4421653299999</v>
      </c>
      <c r="C15" s="417">
        <v>1174.8503049399999</v>
      </c>
      <c r="D15" s="417">
        <f t="shared" ref="D15:D28" si="6">IF(B15=0, "    ---- ", IF(ABS(ROUND(100/B15*C15-100,1))&lt;999,ROUND(100/B15*C15-100,1),IF(ROUND(100/B15*C15-100,1)&gt;999,999,-999)))</f>
        <v>-18.100000000000001</v>
      </c>
      <c r="E15" s="181"/>
      <c r="F15" s="417"/>
      <c r="G15" s="417"/>
      <c r="H15" s="181"/>
      <c r="I15" s="417"/>
      <c r="J15" s="417"/>
      <c r="K15" s="88"/>
      <c r="L15" s="475"/>
      <c r="M15" s="475"/>
      <c r="N15" s="88">
        <v>9244.6052921099999</v>
      </c>
      <c r="O15" s="475">
        <v>9466.4101861100007</v>
      </c>
      <c r="P15" s="417">
        <f t="shared" si="1"/>
        <v>2.4</v>
      </c>
      <c r="Q15" s="88"/>
      <c r="R15" s="475">
        <v>6</v>
      </c>
      <c r="S15" s="417" t="str">
        <f t="shared" ref="S15:S18" si="7">IF(Q15=0, "    ---- ", IF(ABS(ROUND(100/Q15*R15-100,1))&lt;999,ROUND(100/Q15*R15-100,1),IF(ROUND(100/Q15*R15-100,1)&gt;999,999,-999)))</f>
        <v xml:space="preserve">    ---- </v>
      </c>
      <c r="T15" s="88">
        <f>1008+305</f>
        <v>1313</v>
      </c>
      <c r="U15" s="475">
        <v>1354</v>
      </c>
      <c r="V15" s="417">
        <f t="shared" ref="V15:V28" si="8">IF(T15=0, "    ---- ", IF(ABS(ROUND(100/T15*U15-100,1))&lt;999,ROUND(100/T15*U15-100,1),IF(ROUND(100/T15*U15-100,1)&gt;999,999,-999)))</f>
        <v>3.1</v>
      </c>
      <c r="W15" s="88">
        <v>1363.213</v>
      </c>
      <c r="X15" s="475">
        <v>1366.8019999999999</v>
      </c>
      <c r="Y15" s="417">
        <f t="shared" ref="Y15:Y28" si="9">IF(W15=0, "    ---- ", IF(ABS(ROUND(100/W15*X15-100,1))&lt;999,ROUND(100/W15*X15-100,1),IF(ROUND(100/W15*X15-100,1)&gt;999,999,-999)))</f>
        <v>0.3</v>
      </c>
      <c r="Z15" s="650">
        <v>12855</v>
      </c>
      <c r="AA15" s="475">
        <v>13015.23685465</v>
      </c>
      <c r="AB15" s="417">
        <f t="shared" ref="AB15:AB28" si="10">IF(Z15=0, "    ---- ", IF(ABS(ROUND(100/Z15*AA15-100,1))&lt;999,ROUND(100/Z15*AA15-100,1),IF(ROUND(100/Z15*AA15-100,1)&gt;999,999,-999)))</f>
        <v>1.2</v>
      </c>
      <c r="AC15" s="88"/>
      <c r="AD15" s="475"/>
      <c r="AE15" s="417"/>
      <c r="AF15" s="475">
        <f t="shared" si="2"/>
        <v>26210.260457439999</v>
      </c>
      <c r="AG15" s="475">
        <f t="shared" si="2"/>
        <v>26383.299345700001</v>
      </c>
      <c r="AH15" s="417">
        <f t="shared" si="3"/>
        <v>0.7</v>
      </c>
      <c r="AI15" s="475">
        <f t="shared" si="4"/>
        <v>26210.260457439999</v>
      </c>
      <c r="AJ15" s="475">
        <f t="shared" si="4"/>
        <v>26383.299345700001</v>
      </c>
      <c r="AK15" s="417">
        <f t="shared" si="5"/>
        <v>0.7</v>
      </c>
    </row>
    <row r="16" spans="1:51" s="429" customFormat="1" ht="20.100000000000001" customHeight="1" x14ac:dyDescent="0.3">
      <c r="A16" s="529" t="s">
        <v>170</v>
      </c>
      <c r="B16" s="181">
        <f>SUM(B17+B19)</f>
        <v>18479.573482579999</v>
      </c>
      <c r="C16" s="417">
        <f>SUM(C17+C19)</f>
        <v>18203.775946599999</v>
      </c>
      <c r="D16" s="417">
        <f t="shared" si="6"/>
        <v>-1.5</v>
      </c>
      <c r="E16" s="181">
        <f>SUM(E17+E19)</f>
        <v>541.99542952000013</v>
      </c>
      <c r="F16" s="417">
        <v>740.18803657000001</v>
      </c>
      <c r="G16" s="417">
        <f>IF(E16=0, "    ---- ", IF(ABS(ROUND(100/E16*F16-100,1))&lt;999,ROUND(100/E16*F16-100,1),IF(ROUND(100/E16*F16-100,1)&gt;999,999,-999)))</f>
        <v>36.6</v>
      </c>
      <c r="H16" s="181">
        <f>SUM(H17+H19)</f>
        <v>118.334755</v>
      </c>
      <c r="I16" s="417">
        <f>SUM(I17+I19)</f>
        <v>136.52500000000001</v>
      </c>
      <c r="J16" s="417">
        <f t="shared" ref="J16:J17" si="11">IF(H16=0, "    ---- ", IF(ABS(ROUND(100/H16*I16-100,1))&lt;999,ROUND(100/H16*I16-100,1),IF(ROUND(100/H16*I16-100,1)&gt;999,999,-999)))</f>
        <v>15.4</v>
      </c>
      <c r="K16" s="88">
        <f>SUM(K17+K19)</f>
        <v>217</v>
      </c>
      <c r="L16" s="475">
        <f>SUM(L17+L19)</f>
        <v>154</v>
      </c>
      <c r="M16" s="475">
        <f t="shared" ref="M16" si="12">IF(K16=0, "    ---- ", IF(ABS(ROUND(100/K16*L16-100,1))&lt;999,ROUND(100/K16*L16-100,1),IF(ROUND(100/K16*L16-100,1)&gt;999,999,-999)))</f>
        <v>-29</v>
      </c>
      <c r="N16" s="88">
        <v>21106.527084189998</v>
      </c>
      <c r="O16" s="475">
        <v>21620.361483889999</v>
      </c>
      <c r="P16" s="417">
        <f t="shared" si="1"/>
        <v>2.4</v>
      </c>
      <c r="Q16" s="88">
        <f>SUM(Q17+Q19)</f>
        <v>4838.55</v>
      </c>
      <c r="R16" s="475">
        <f>SUM(R17+R19)</f>
        <v>8834.75</v>
      </c>
      <c r="S16" s="417">
        <f t="shared" si="7"/>
        <v>82.6</v>
      </c>
      <c r="T16" s="88">
        <f>SUM(T17+T19)</f>
        <v>5424</v>
      </c>
      <c r="U16" s="475">
        <f>SUM(U17+U19)</f>
        <v>4955</v>
      </c>
      <c r="V16" s="417">
        <f t="shared" si="8"/>
        <v>-8.6</v>
      </c>
      <c r="W16" s="88">
        <f>SUM(W17+W19)</f>
        <v>1279.9290000000001</v>
      </c>
      <c r="X16" s="475">
        <f>SUM(X17+X19)</f>
        <v>1357.7170000000001</v>
      </c>
      <c r="Y16" s="417">
        <f t="shared" si="9"/>
        <v>6.1</v>
      </c>
      <c r="Z16" s="650">
        <f>2948+13721+384</f>
        <v>17053</v>
      </c>
      <c r="AA16" s="475">
        <f>SUM(AA17+AA19)</f>
        <v>15171.932627730001</v>
      </c>
      <c r="AB16" s="417">
        <f t="shared" si="10"/>
        <v>-11</v>
      </c>
      <c r="AC16" s="88"/>
      <c r="AD16" s="475"/>
      <c r="AE16" s="417"/>
      <c r="AF16" s="475">
        <f t="shared" si="2"/>
        <v>69058.909751290004</v>
      </c>
      <c r="AG16" s="475">
        <f t="shared" si="2"/>
        <v>71174.250094789997</v>
      </c>
      <c r="AH16" s="417">
        <f t="shared" si="3"/>
        <v>3.1</v>
      </c>
      <c r="AI16" s="475">
        <f t="shared" si="4"/>
        <v>69058.909751290004</v>
      </c>
      <c r="AJ16" s="475">
        <f t="shared" si="4"/>
        <v>71174.250094789997</v>
      </c>
      <c r="AK16" s="417">
        <f t="shared" si="5"/>
        <v>3.1</v>
      </c>
    </row>
    <row r="17" spans="1:37" s="429" customFormat="1" ht="20.100000000000001" customHeight="1" x14ac:dyDescent="0.3">
      <c r="A17" s="692" t="s">
        <v>402</v>
      </c>
      <c r="B17" s="181">
        <v>15878.45650464</v>
      </c>
      <c r="C17" s="417">
        <v>17599.42555335</v>
      </c>
      <c r="D17" s="417">
        <f t="shared" si="6"/>
        <v>10.8</v>
      </c>
      <c r="E17" s="181"/>
      <c r="F17" s="417"/>
      <c r="G17" s="417"/>
      <c r="H17" s="181">
        <v>118.334755</v>
      </c>
      <c r="I17" s="417">
        <v>136.52500000000001</v>
      </c>
      <c r="J17" s="417">
        <f t="shared" si="11"/>
        <v>15.4</v>
      </c>
      <c r="K17" s="88"/>
      <c r="L17" s="475"/>
      <c r="M17" s="475"/>
      <c r="N17" s="88">
        <v>7700.9254553400006</v>
      </c>
      <c r="O17" s="475">
        <v>7541.8824149399998</v>
      </c>
      <c r="P17" s="417">
        <f t="shared" si="1"/>
        <v>-2.1</v>
      </c>
      <c r="Q17" s="88">
        <v>4838.55</v>
      </c>
      <c r="R17" s="475">
        <v>8834.75</v>
      </c>
      <c r="S17" s="417">
        <f t="shared" si="7"/>
        <v>82.6</v>
      </c>
      <c r="T17" s="88">
        <v>2831</v>
      </c>
      <c r="U17" s="475">
        <v>2885</v>
      </c>
      <c r="V17" s="417">
        <f t="shared" si="8"/>
        <v>1.9</v>
      </c>
      <c r="W17" s="88">
        <v>37.929000000000002</v>
      </c>
      <c r="X17" s="475">
        <v>1357.7170000000001</v>
      </c>
      <c r="Y17" s="417">
        <f t="shared" si="9"/>
        <v>999</v>
      </c>
      <c r="Z17" s="650"/>
      <c r="AA17" s="475"/>
      <c r="AB17" s="417"/>
      <c r="AC17" s="88"/>
      <c r="AD17" s="475"/>
      <c r="AE17" s="417"/>
      <c r="AF17" s="475">
        <f t="shared" si="2"/>
        <v>31405.19571498</v>
      </c>
      <c r="AG17" s="475">
        <f t="shared" si="2"/>
        <v>38355.299968289997</v>
      </c>
      <c r="AH17" s="417">
        <f t="shared" si="3"/>
        <v>22.1</v>
      </c>
      <c r="AI17" s="475">
        <f t="shared" si="4"/>
        <v>31405.19571498</v>
      </c>
      <c r="AJ17" s="475">
        <f t="shared" si="4"/>
        <v>38355.299968289997</v>
      </c>
      <c r="AK17" s="417">
        <f t="shared" si="5"/>
        <v>22.1</v>
      </c>
    </row>
    <row r="18" spans="1:37" s="429" customFormat="1" ht="20.100000000000001" customHeight="1" x14ac:dyDescent="0.3">
      <c r="A18" s="529" t="s">
        <v>171</v>
      </c>
      <c r="B18" s="181">
        <v>15878.45650464</v>
      </c>
      <c r="C18" s="417">
        <v>17599.42555335</v>
      </c>
      <c r="D18" s="417">
        <f t="shared" si="6"/>
        <v>10.8</v>
      </c>
      <c r="E18" s="181"/>
      <c r="F18" s="417">
        <v>740.18803657000001</v>
      </c>
      <c r="G18" s="417" t="str">
        <f>IF(E18=0, "    ---- ", IF(ABS(ROUND(100/E18*F18-100,1))&lt;999,ROUND(100/E18*F18-100,1),IF(ROUND(100/E18*F18-100,1)&gt;999,999,-999)))</f>
        <v xml:space="preserve">    ---- </v>
      </c>
      <c r="H18" s="181"/>
      <c r="I18" s="417"/>
      <c r="J18" s="417"/>
      <c r="K18" s="88"/>
      <c r="L18" s="475"/>
      <c r="M18" s="475"/>
      <c r="N18" s="88">
        <v>7700.9254553400006</v>
      </c>
      <c r="O18" s="475">
        <v>7541.8824149399998</v>
      </c>
      <c r="P18" s="417">
        <f t="shared" si="1"/>
        <v>-2.1</v>
      </c>
      <c r="Q18" s="88">
        <v>4838.55</v>
      </c>
      <c r="R18" s="475">
        <v>8834.75</v>
      </c>
      <c r="S18" s="417">
        <f t="shared" si="7"/>
        <v>82.6</v>
      </c>
      <c r="T18" s="88"/>
      <c r="U18" s="475"/>
      <c r="V18" s="417"/>
      <c r="W18" s="88">
        <v>9.8654497199996705</v>
      </c>
      <c r="X18" s="475">
        <v>9.8791019799996711</v>
      </c>
      <c r="Y18" s="417">
        <f t="shared" si="9"/>
        <v>0.1</v>
      </c>
      <c r="Z18" s="650"/>
      <c r="AA18" s="475"/>
      <c r="AB18" s="417"/>
      <c r="AC18" s="88"/>
      <c r="AD18" s="475"/>
      <c r="AE18" s="417"/>
      <c r="AF18" s="475">
        <f t="shared" si="2"/>
        <v>28427.797409700001</v>
      </c>
      <c r="AG18" s="475">
        <f t="shared" si="2"/>
        <v>34726.125106840002</v>
      </c>
      <c r="AH18" s="417">
        <f t="shared" si="3"/>
        <v>22.2</v>
      </c>
      <c r="AI18" s="475">
        <f t="shared" si="4"/>
        <v>28427.797409700001</v>
      </c>
      <c r="AJ18" s="475">
        <f t="shared" si="4"/>
        <v>34726.125106840002</v>
      </c>
      <c r="AK18" s="417">
        <f t="shared" si="5"/>
        <v>22.2</v>
      </c>
    </row>
    <row r="19" spans="1:37" s="429" customFormat="1" ht="20.100000000000001" customHeight="1" x14ac:dyDescent="0.3">
      <c r="A19" s="529" t="s">
        <v>172</v>
      </c>
      <c r="B19" s="181">
        <v>2601.1169779400002</v>
      </c>
      <c r="C19" s="417">
        <v>604.35039325000002</v>
      </c>
      <c r="D19" s="417">
        <f t="shared" si="6"/>
        <v>-76.8</v>
      </c>
      <c r="E19" s="181">
        <v>541.99542952000013</v>
      </c>
      <c r="F19" s="417"/>
      <c r="G19" s="417">
        <f>IF(E19=0, "    ---- ", IF(ABS(ROUND(100/E19*F19-100,1))&lt;999,ROUND(100/E19*F19-100,1),IF(ROUND(100/E19*F19-100,1)&gt;999,999,-999)))</f>
        <v>-100</v>
      </c>
      <c r="H19" s="181"/>
      <c r="I19" s="417"/>
      <c r="J19" s="417"/>
      <c r="K19" s="88">
        <v>217</v>
      </c>
      <c r="L19" s="475">
        <v>154</v>
      </c>
      <c r="M19" s="475">
        <f t="shared" ref="M19:M28" si="13">IF(K19=0, "    ---- ", IF(ABS(ROUND(100/K19*L19-100,1))&lt;999,ROUND(100/K19*L19-100,1),IF(ROUND(100/K19*L19-100,1)&gt;999,999,-999)))</f>
        <v>-29</v>
      </c>
      <c r="N19" s="88">
        <v>13405.60162885</v>
      </c>
      <c r="O19" s="475">
        <v>14078.479068950001</v>
      </c>
      <c r="P19" s="417">
        <f t="shared" si="1"/>
        <v>5</v>
      </c>
      <c r="Q19" s="88"/>
      <c r="R19" s="475"/>
      <c r="S19" s="417"/>
      <c r="T19" s="88">
        <v>2593</v>
      </c>
      <c r="U19" s="475">
        <v>2070</v>
      </c>
      <c r="V19" s="417">
        <f t="shared" si="8"/>
        <v>-20.2</v>
      </c>
      <c r="W19" s="88">
        <v>1242</v>
      </c>
      <c r="X19" s="475"/>
      <c r="Y19" s="417">
        <f t="shared" si="9"/>
        <v>-100</v>
      </c>
      <c r="Z19" s="650">
        <f>2948+13721+384</f>
        <v>17053</v>
      </c>
      <c r="AA19" s="475">
        <v>15171.932627730001</v>
      </c>
      <c r="AB19" s="417">
        <f t="shared" si="10"/>
        <v>-11</v>
      </c>
      <c r="AC19" s="88"/>
      <c r="AD19" s="475"/>
      <c r="AE19" s="417"/>
      <c r="AF19" s="475">
        <f t="shared" si="2"/>
        <v>37653.714036310004</v>
      </c>
      <c r="AG19" s="475">
        <f t="shared" si="2"/>
        <v>32078.762089930002</v>
      </c>
      <c r="AH19" s="417">
        <f t="shared" si="3"/>
        <v>-14.8</v>
      </c>
      <c r="AI19" s="475">
        <f t="shared" si="4"/>
        <v>37653.714036310004</v>
      </c>
      <c r="AJ19" s="475">
        <f t="shared" si="4"/>
        <v>32078.762089930002</v>
      </c>
      <c r="AK19" s="417">
        <f t="shared" si="5"/>
        <v>-14.8</v>
      </c>
    </row>
    <row r="20" spans="1:37" s="429" customFormat="1" ht="20.100000000000001" customHeight="1" x14ac:dyDescent="0.3">
      <c r="A20" s="529" t="s">
        <v>173</v>
      </c>
      <c r="B20" s="181">
        <f>SUM(B21:B25)</f>
        <v>12765.71105737582</v>
      </c>
      <c r="C20" s="417">
        <f>C21+C22+C23+C24+C25</f>
        <v>12443.673310769998</v>
      </c>
      <c r="D20" s="417">
        <f t="shared" si="6"/>
        <v>-2.5</v>
      </c>
      <c r="E20" s="181">
        <f>SUM(E21:E25)</f>
        <v>2054.6200361600004</v>
      </c>
      <c r="F20" s="417">
        <v>2096.9803982800004</v>
      </c>
      <c r="G20" s="417">
        <f>IF(E20=0, "    ---- ", IF(ABS(ROUND(100/E20*F20-100,1))&lt;999,ROUND(100/E20*F20-100,1),IF(ROUND(100/E20*F20-100,1)&gt;999,999,-999)))</f>
        <v>2.1</v>
      </c>
      <c r="H20" s="181">
        <f>SUM(H21:H25)</f>
        <v>264.61497400000002</v>
      </c>
      <c r="I20" s="417">
        <f>I21+I22+I23+I24+I25</f>
        <v>310.85000000000002</v>
      </c>
      <c r="J20" s="417">
        <f t="shared" ref="J20:J28" si="14">IF(H20=0, "    ---- ", IF(ABS(ROUND(100/H20*I20-100,1))&lt;999,ROUND(100/H20*I20-100,1),IF(ROUND(100/H20*I20-100,1)&gt;999,999,-999)))</f>
        <v>17.5</v>
      </c>
      <c r="K20" s="88">
        <f>SUM(K21:K25)</f>
        <v>1306</v>
      </c>
      <c r="L20" s="417">
        <f>L21+L22+L23+L24+L25</f>
        <v>966</v>
      </c>
      <c r="M20" s="475">
        <f t="shared" si="13"/>
        <v>-26</v>
      </c>
      <c r="N20" s="88">
        <v>12598.18705439</v>
      </c>
      <c r="O20" s="417">
        <v>13314.16134672</v>
      </c>
      <c r="P20" s="417">
        <f t="shared" si="1"/>
        <v>5.7</v>
      </c>
      <c r="Q20" s="88">
        <f>SUM(Q21:Q25)</f>
        <v>6266.66</v>
      </c>
      <c r="R20" s="417">
        <f>R21+R22+R23+R24+R25</f>
        <v>2392.2499999999995</v>
      </c>
      <c r="S20" s="417">
        <f t="shared" ref="S20:S28" si="15">IF(Q20=0, "    ---- ", IF(ABS(ROUND(100/Q20*R20-100,1))&lt;999,ROUND(100/Q20*R20-100,1),IF(ROUND(100/Q20*R20-100,1)&gt;999,999,-999)))</f>
        <v>-61.8</v>
      </c>
      <c r="T20" s="88">
        <f>SUM(T21:T25)</f>
        <v>4912</v>
      </c>
      <c r="U20" s="417">
        <f>U21+U22+U23+U24+U25</f>
        <v>4500</v>
      </c>
      <c r="V20" s="417">
        <f t="shared" si="8"/>
        <v>-8.4</v>
      </c>
      <c r="W20" s="88">
        <f>SUM(W21:W25)</f>
        <v>3052.16</v>
      </c>
      <c r="X20" s="417">
        <f>X21+X22+X23+X24+X25</f>
        <v>3161.7359999999999</v>
      </c>
      <c r="Y20" s="417">
        <f t="shared" si="9"/>
        <v>3.6</v>
      </c>
      <c r="Z20" s="650">
        <f>SUM(Z21:Z25)</f>
        <v>3861</v>
      </c>
      <c r="AA20" s="417">
        <f>AA21+AA22+AA23+AA24+AA25</f>
        <v>5475.2966593300016</v>
      </c>
      <c r="AB20" s="417">
        <f t="shared" si="10"/>
        <v>41.8</v>
      </c>
      <c r="AC20" s="88">
        <f>SUM(AC21:AC25)</f>
        <v>13</v>
      </c>
      <c r="AD20" s="417">
        <f>AD21+AD22+AD23+AD24+AD25</f>
        <v>0</v>
      </c>
      <c r="AE20" s="417">
        <f t="shared" ref="AE20:AE25" si="16">IF(AC20=0, "    ---- ", IF(ABS(ROUND(100/AC20*AD20-100,1))&lt;999,ROUND(100/AC20*AD20-100,1),IF(ROUND(100/AC20*AD20-100,1)&gt;999,999,-999)))</f>
        <v>-100</v>
      </c>
      <c r="AF20" s="475">
        <f t="shared" si="2"/>
        <v>47080.953121925821</v>
      </c>
      <c r="AG20" s="475">
        <f t="shared" si="2"/>
        <v>44660.947715099996</v>
      </c>
      <c r="AH20" s="417">
        <f t="shared" si="3"/>
        <v>-5.0999999999999996</v>
      </c>
      <c r="AI20" s="475">
        <f t="shared" si="4"/>
        <v>47093.953121925821</v>
      </c>
      <c r="AJ20" s="475">
        <f t="shared" si="4"/>
        <v>44660.947715099996</v>
      </c>
      <c r="AK20" s="417">
        <f t="shared" si="5"/>
        <v>-5.2</v>
      </c>
    </row>
    <row r="21" spans="1:37" s="429" customFormat="1" ht="20.100000000000001" customHeight="1" x14ac:dyDescent="0.3">
      <c r="A21" s="529" t="s">
        <v>174</v>
      </c>
      <c r="B21" s="181">
        <v>958.49355919806567</v>
      </c>
      <c r="C21" s="417">
        <v>1207.4405292000001</v>
      </c>
      <c r="D21" s="417">
        <f t="shared" si="6"/>
        <v>26</v>
      </c>
      <c r="E21" s="181"/>
      <c r="F21" s="417"/>
      <c r="G21" s="417"/>
      <c r="H21" s="181">
        <v>39.979030999999999</v>
      </c>
      <c r="I21" s="417">
        <v>47.438000000000002</v>
      </c>
      <c r="J21" s="417">
        <f t="shared" si="14"/>
        <v>18.7</v>
      </c>
      <c r="K21" s="88">
        <v>30</v>
      </c>
      <c r="L21" s="475">
        <v>19</v>
      </c>
      <c r="M21" s="475">
        <f t="shared" si="13"/>
        <v>-36.700000000000003</v>
      </c>
      <c r="N21" s="88">
        <v>6.1438499999999996</v>
      </c>
      <c r="O21" s="475">
        <v>3.8961000000000001</v>
      </c>
      <c r="P21" s="417">
        <f t="shared" si="1"/>
        <v>-36.6</v>
      </c>
      <c r="Q21" s="88">
        <v>1389.87</v>
      </c>
      <c r="R21" s="475">
        <v>3.89</v>
      </c>
      <c r="S21" s="417">
        <f t="shared" si="15"/>
        <v>-99.7</v>
      </c>
      <c r="T21" s="88">
        <v>2382</v>
      </c>
      <c r="U21" s="475">
        <v>2160</v>
      </c>
      <c r="V21" s="417">
        <f t="shared" si="8"/>
        <v>-9.3000000000000007</v>
      </c>
      <c r="W21" s="88">
        <v>1.702</v>
      </c>
      <c r="X21" s="475">
        <v>1.92</v>
      </c>
      <c r="Y21" s="417">
        <f t="shared" si="9"/>
        <v>12.8</v>
      </c>
      <c r="Z21" s="650">
        <v>343</v>
      </c>
      <c r="AA21" s="475">
        <v>403.44106757000009</v>
      </c>
      <c r="AB21" s="417">
        <f t="shared" si="10"/>
        <v>17.600000000000001</v>
      </c>
      <c r="AC21" s="88"/>
      <c r="AD21" s="475"/>
      <c r="AE21" s="417"/>
      <c r="AF21" s="475">
        <f t="shared" si="2"/>
        <v>5151.1884401980651</v>
      </c>
      <c r="AG21" s="475">
        <f t="shared" si="2"/>
        <v>3847.0256967700006</v>
      </c>
      <c r="AH21" s="417">
        <f t="shared" si="3"/>
        <v>-25.3</v>
      </c>
      <c r="AI21" s="475">
        <f t="shared" si="4"/>
        <v>5151.1884401980651</v>
      </c>
      <c r="AJ21" s="475">
        <f t="shared" si="4"/>
        <v>3847.0256967700006</v>
      </c>
      <c r="AK21" s="417">
        <f t="shared" si="5"/>
        <v>-25.3</v>
      </c>
    </row>
    <row r="22" spans="1:37" s="429" customFormat="1" ht="20.100000000000001" customHeight="1" x14ac:dyDescent="0.3">
      <c r="A22" s="692" t="s">
        <v>403</v>
      </c>
      <c r="B22" s="181">
        <v>11771.494761377755</v>
      </c>
      <c r="C22" s="417">
        <v>11073.736813869999</v>
      </c>
      <c r="D22" s="417">
        <f t="shared" si="6"/>
        <v>-5.9</v>
      </c>
      <c r="E22" s="181">
        <v>2077.2754658100002</v>
      </c>
      <c r="F22" s="417">
        <v>1999.5807045600004</v>
      </c>
      <c r="G22" s="417">
        <f>IF(E22=0, "    ---- ", IF(ABS(ROUND(100/E22*F22-100,1))&lt;999,ROUND(100/E22*F22-100,1),IF(ROUND(100/E22*F22-100,1)&gt;999,999,-999)))</f>
        <v>-3.7</v>
      </c>
      <c r="H22" s="181">
        <v>170.236322</v>
      </c>
      <c r="I22" s="417">
        <v>196.482</v>
      </c>
      <c r="J22" s="417">
        <f t="shared" si="14"/>
        <v>15.4</v>
      </c>
      <c r="K22" s="88">
        <v>1276</v>
      </c>
      <c r="L22" s="475">
        <v>947</v>
      </c>
      <c r="M22" s="475">
        <f t="shared" si="13"/>
        <v>-25.8</v>
      </c>
      <c r="N22" s="88">
        <v>10824.63635701</v>
      </c>
      <c r="O22" s="475">
        <v>12061.6247542</v>
      </c>
      <c r="P22" s="417">
        <f t="shared" si="1"/>
        <v>11.4</v>
      </c>
      <c r="Q22" s="88">
        <v>4170.38</v>
      </c>
      <c r="R22" s="475">
        <v>2374.58</v>
      </c>
      <c r="S22" s="417">
        <f t="shared" si="15"/>
        <v>-43.1</v>
      </c>
      <c r="T22" s="88">
        <v>2514</v>
      </c>
      <c r="U22" s="475">
        <v>2332</v>
      </c>
      <c r="V22" s="417">
        <f t="shared" si="8"/>
        <v>-7.2</v>
      </c>
      <c r="W22" s="88">
        <v>2471.4540000000002</v>
      </c>
      <c r="X22" s="475">
        <v>2517.248</v>
      </c>
      <c r="Y22" s="417">
        <f t="shared" si="9"/>
        <v>1.9</v>
      </c>
      <c r="Z22" s="650">
        <v>3201</v>
      </c>
      <c r="AA22" s="475">
        <v>4983.695300370001</v>
      </c>
      <c r="AB22" s="417">
        <f t="shared" si="10"/>
        <v>55.7</v>
      </c>
      <c r="AC22" s="88"/>
      <c r="AD22" s="475"/>
      <c r="AE22" s="417"/>
      <c r="AF22" s="475">
        <f t="shared" si="2"/>
        <v>38476.476906197757</v>
      </c>
      <c r="AG22" s="475">
        <f t="shared" si="2"/>
        <v>38485.947573000005</v>
      </c>
      <c r="AH22" s="417">
        <f t="shared" si="3"/>
        <v>0</v>
      </c>
      <c r="AI22" s="475">
        <f t="shared" si="4"/>
        <v>38476.476906197757</v>
      </c>
      <c r="AJ22" s="475">
        <f t="shared" si="4"/>
        <v>38485.947573000005</v>
      </c>
      <c r="AK22" s="417">
        <f t="shared" si="5"/>
        <v>0</v>
      </c>
    </row>
    <row r="23" spans="1:37" s="429" customFormat="1" ht="20.100000000000001" customHeight="1" x14ac:dyDescent="0.3">
      <c r="A23" s="529" t="s">
        <v>175</v>
      </c>
      <c r="B23" s="181">
        <v>8.391534609999999</v>
      </c>
      <c r="C23" s="417">
        <v>4.6090882000000004</v>
      </c>
      <c r="D23" s="417">
        <f t="shared" si="6"/>
        <v>-45.1</v>
      </c>
      <c r="E23" s="181">
        <v>-44.848104720000023</v>
      </c>
      <c r="F23" s="417">
        <v>91.086556729999984</v>
      </c>
      <c r="G23" s="417">
        <f>IF(E23=0, "    ---- ", IF(ABS(ROUND(100/E23*F23-100,1))&lt;999,ROUND(100/E23*F23-100,1),IF(ROUND(100/E23*F23-100,1)&gt;999,999,-999)))</f>
        <v>-303.10000000000002</v>
      </c>
      <c r="H23" s="181"/>
      <c r="I23" s="417"/>
      <c r="J23" s="417"/>
      <c r="K23" s="88"/>
      <c r="L23" s="475"/>
      <c r="M23" s="475"/>
      <c r="N23" s="88">
        <v>1130.0508943499999</v>
      </c>
      <c r="O23" s="475">
        <v>795.24225985999999</v>
      </c>
      <c r="P23" s="417">
        <f t="shared" si="1"/>
        <v>-29.6</v>
      </c>
      <c r="Q23" s="88">
        <v>0.11</v>
      </c>
      <c r="R23" s="475">
        <v>0.1</v>
      </c>
      <c r="S23" s="417">
        <f t="shared" si="15"/>
        <v>-9.1</v>
      </c>
      <c r="T23" s="88"/>
      <c r="U23" s="475"/>
      <c r="V23" s="417"/>
      <c r="W23" s="88">
        <v>296.12900000000002</v>
      </c>
      <c r="X23" s="475">
        <v>-3.472</v>
      </c>
      <c r="Y23" s="417">
        <f t="shared" si="9"/>
        <v>-101.2</v>
      </c>
      <c r="Z23" s="650"/>
      <c r="AA23" s="475"/>
      <c r="AB23" s="417"/>
      <c r="AC23" s="88"/>
      <c r="AD23" s="475"/>
      <c r="AE23" s="417"/>
      <c r="AF23" s="475">
        <f>B23+E23+H23+K23+N23+Q23+T23+W23+Z23</f>
        <v>1389.8333242399999</v>
      </c>
      <c r="AG23" s="475">
        <f>C23+F23+I23+L23+O23+R23+U23+X23+AA23</f>
        <v>887.56590478999999</v>
      </c>
      <c r="AH23" s="417">
        <f t="shared" si="3"/>
        <v>-36.1</v>
      </c>
      <c r="AI23" s="475">
        <f>B23+E23+H23+K23+N23+Q23+T23+W23+Z23+AC23</f>
        <v>1389.8333242399999</v>
      </c>
      <c r="AJ23" s="475">
        <f>C23+F23+I23+L23+O23+R23+U23+X23+AA23+AD23</f>
        <v>887.56590478999999</v>
      </c>
      <c r="AK23" s="417">
        <f t="shared" si="5"/>
        <v>-36.1</v>
      </c>
    </row>
    <row r="24" spans="1:37" s="429" customFormat="1" ht="20.100000000000001" customHeight="1" x14ac:dyDescent="0.3">
      <c r="A24" s="529" t="s">
        <v>176</v>
      </c>
      <c r="B24" s="181">
        <v>1.23695548</v>
      </c>
      <c r="C24" s="417">
        <v>11.231670390000001</v>
      </c>
      <c r="D24" s="417">
        <f t="shared" si="6"/>
        <v>808</v>
      </c>
      <c r="E24" s="181"/>
      <c r="F24" s="417"/>
      <c r="G24" s="417"/>
      <c r="H24" s="181"/>
      <c r="I24" s="417"/>
      <c r="J24" s="417"/>
      <c r="K24" s="88"/>
      <c r="L24" s="475"/>
      <c r="M24" s="475"/>
      <c r="N24" s="88">
        <v>591.82111259999999</v>
      </c>
      <c r="O24" s="475">
        <v>401.66937875000002</v>
      </c>
      <c r="P24" s="417">
        <f t="shared" si="1"/>
        <v>-32.1</v>
      </c>
      <c r="Q24" s="88">
        <v>0</v>
      </c>
      <c r="R24" s="475">
        <v>0.35</v>
      </c>
      <c r="S24" s="417" t="str">
        <f t="shared" si="15"/>
        <v xml:space="preserve">    ---- </v>
      </c>
      <c r="T24" s="88">
        <v>16</v>
      </c>
      <c r="U24" s="475">
        <v>8</v>
      </c>
      <c r="V24" s="417">
        <f t="shared" si="8"/>
        <v>-50</v>
      </c>
      <c r="W24" s="88">
        <v>3.72</v>
      </c>
      <c r="X24" s="475">
        <v>9.0839999999999996</v>
      </c>
      <c r="Y24" s="417">
        <f t="shared" si="9"/>
        <v>144.19999999999999</v>
      </c>
      <c r="Z24" s="650">
        <v>317</v>
      </c>
      <c r="AA24" s="475">
        <v>88.160291390000211</v>
      </c>
      <c r="AB24" s="417">
        <f t="shared" si="10"/>
        <v>-72.2</v>
      </c>
      <c r="AC24" s="88"/>
      <c r="AD24" s="475"/>
      <c r="AE24" s="417"/>
      <c r="AF24" s="475">
        <f t="shared" ref="AF24:AG29" si="17">B24+E24+H24+K24+N24+Q24+T24+W24+Z24</f>
        <v>929.77806808000003</v>
      </c>
      <c r="AG24" s="475">
        <f t="shared" si="17"/>
        <v>518.49534053000025</v>
      </c>
      <c r="AH24" s="417">
        <f t="shared" si="3"/>
        <v>-44.2</v>
      </c>
      <c r="AI24" s="475">
        <f t="shared" ref="AI24:AJ29" si="18">B24+E24+H24+K24+N24+Q24+T24+W24+Z24+AC24</f>
        <v>929.77806808000003</v>
      </c>
      <c r="AJ24" s="475">
        <f t="shared" si="18"/>
        <v>518.49534053000025</v>
      </c>
      <c r="AK24" s="417">
        <f t="shared" si="5"/>
        <v>-44.2</v>
      </c>
    </row>
    <row r="25" spans="1:37" s="429" customFormat="1" ht="20.100000000000001" customHeight="1" x14ac:dyDescent="0.3">
      <c r="A25" s="529" t="s">
        <v>177</v>
      </c>
      <c r="B25" s="181">
        <v>26.094246709999997</v>
      </c>
      <c r="C25" s="417">
        <v>146.65520910999999</v>
      </c>
      <c r="D25" s="417">
        <f t="shared" si="6"/>
        <v>462</v>
      </c>
      <c r="E25" s="181">
        <v>22.192675070000004</v>
      </c>
      <c r="F25" s="417">
        <v>6.3131369900000021</v>
      </c>
      <c r="G25" s="417">
        <f>IF(E25=0, "    ---- ", IF(ABS(ROUND(100/E25*F25-100,1))&lt;999,ROUND(100/E25*F25-100,1),IF(ROUND(100/E25*F25-100,1)&gt;999,999,-999)))</f>
        <v>-71.599999999999994</v>
      </c>
      <c r="H25" s="181">
        <v>54.399621000000003</v>
      </c>
      <c r="I25" s="417">
        <v>66.930000000000007</v>
      </c>
      <c r="J25" s="417">
        <f t="shared" si="14"/>
        <v>23</v>
      </c>
      <c r="K25" s="88"/>
      <c r="L25" s="475"/>
      <c r="M25" s="475"/>
      <c r="N25" s="88">
        <v>45.534840430000003</v>
      </c>
      <c r="O25" s="475">
        <v>51.728853909999998</v>
      </c>
      <c r="P25" s="417">
        <f t="shared" si="1"/>
        <v>13.6</v>
      </c>
      <c r="Q25" s="88">
        <v>706.3</v>
      </c>
      <c r="R25" s="475">
        <v>13.33</v>
      </c>
      <c r="S25" s="417">
        <f t="shared" si="15"/>
        <v>-98.1</v>
      </c>
      <c r="T25" s="88"/>
      <c r="U25" s="475"/>
      <c r="V25" s="417"/>
      <c r="W25" s="88">
        <v>279.15499999999997</v>
      </c>
      <c r="X25" s="475">
        <v>636.95600000000002</v>
      </c>
      <c r="Y25" s="417">
        <f t="shared" si="9"/>
        <v>128.19999999999999</v>
      </c>
      <c r="Z25" s="650"/>
      <c r="AA25" s="475"/>
      <c r="AB25" s="417"/>
      <c r="AC25" s="88">
        <v>13</v>
      </c>
      <c r="AD25" s="475"/>
      <c r="AE25" s="417">
        <f t="shared" si="16"/>
        <v>-100</v>
      </c>
      <c r="AF25" s="475">
        <f t="shared" si="17"/>
        <v>1133.67638321</v>
      </c>
      <c r="AG25" s="475">
        <f t="shared" si="17"/>
        <v>921.91320001000008</v>
      </c>
      <c r="AH25" s="417">
        <f t="shared" si="3"/>
        <v>-18.7</v>
      </c>
      <c r="AI25" s="475">
        <f t="shared" si="18"/>
        <v>1146.67638321</v>
      </c>
      <c r="AJ25" s="475">
        <f t="shared" si="18"/>
        <v>921.91320001000008</v>
      </c>
      <c r="AK25" s="417">
        <f t="shared" si="5"/>
        <v>-19.600000000000001</v>
      </c>
    </row>
    <row r="26" spans="1:37" s="429" customFormat="1" ht="20.100000000000001" customHeight="1" x14ac:dyDescent="0.3">
      <c r="A26" s="529" t="s">
        <v>178</v>
      </c>
      <c r="B26" s="181"/>
      <c r="C26" s="417"/>
      <c r="D26" s="417"/>
      <c r="E26" s="181"/>
      <c r="F26" s="417"/>
      <c r="G26" s="417"/>
      <c r="H26" s="181"/>
      <c r="I26" s="417"/>
      <c r="J26" s="417"/>
      <c r="K26" s="88"/>
      <c r="L26" s="475"/>
      <c r="M26" s="475"/>
      <c r="N26" s="88"/>
      <c r="O26" s="475"/>
      <c r="P26" s="417"/>
      <c r="Q26" s="88"/>
      <c r="R26" s="475"/>
      <c r="S26" s="417"/>
      <c r="T26" s="88"/>
      <c r="U26" s="475"/>
      <c r="V26" s="417"/>
      <c r="W26" s="88"/>
      <c r="X26" s="475"/>
      <c r="Y26" s="417"/>
      <c r="Z26" s="650"/>
      <c r="AA26" s="475"/>
      <c r="AB26" s="417"/>
      <c r="AC26" s="88"/>
      <c r="AD26" s="475"/>
      <c r="AE26" s="417"/>
      <c r="AF26" s="475">
        <f t="shared" si="17"/>
        <v>0</v>
      </c>
      <c r="AG26" s="475">
        <f t="shared" si="17"/>
        <v>0</v>
      </c>
      <c r="AH26" s="417" t="str">
        <f t="shared" si="3"/>
        <v xml:space="preserve">    ---- </v>
      </c>
      <c r="AI26" s="475">
        <f t="shared" si="18"/>
        <v>0</v>
      </c>
      <c r="AJ26" s="475">
        <f t="shared" si="18"/>
        <v>0</v>
      </c>
      <c r="AK26" s="417" t="str">
        <f t="shared" si="5"/>
        <v xml:space="preserve">    ---- </v>
      </c>
    </row>
    <row r="27" spans="1:37" s="429" customFormat="1" ht="20.100000000000001" customHeight="1" x14ac:dyDescent="0.3">
      <c r="A27" s="565" t="s">
        <v>179</v>
      </c>
      <c r="B27" s="181">
        <f>SUM(B14+B15+B16+B20+B26)</f>
        <v>32679.726705285822</v>
      </c>
      <c r="C27" s="417">
        <f>SUM(C14+C15+C16+C20+C26)</f>
        <v>31822.299562309996</v>
      </c>
      <c r="D27" s="417">
        <f t="shared" si="6"/>
        <v>-2.6</v>
      </c>
      <c r="E27" s="181">
        <f>SUM(E14+E15+E16+E20+E26)</f>
        <v>2596.6154656800004</v>
      </c>
      <c r="F27" s="417">
        <f>SUM(F14+F15+F16+F20+F26)</f>
        <v>2837.1684348500003</v>
      </c>
      <c r="G27" s="417">
        <f>IF(E27=0, "    ---- ", IF(ABS(ROUND(100/E27*F27-100,1))&lt;999,ROUND(100/E27*F27-100,1),IF(ROUND(100/E27*F27-100,1)&gt;999,999,-999)))</f>
        <v>9.3000000000000007</v>
      </c>
      <c r="H27" s="181">
        <f>SUM(H14+H15+H16+H20+H26)</f>
        <v>382.94972900000005</v>
      </c>
      <c r="I27" s="417">
        <f>SUM(I14+I15+I16+I20+I26)</f>
        <v>447.375</v>
      </c>
      <c r="J27" s="417">
        <f t="shared" si="14"/>
        <v>16.8</v>
      </c>
      <c r="K27" s="88">
        <f>SUM(K14+K15+K16+K20+K26)</f>
        <v>1524</v>
      </c>
      <c r="L27" s="475">
        <f>SUM(L14+L15+L16+L20+L26)</f>
        <v>1147</v>
      </c>
      <c r="M27" s="475">
        <f t="shared" si="13"/>
        <v>-24.7</v>
      </c>
      <c r="N27" s="88">
        <v>44337.666181439999</v>
      </c>
      <c r="O27" s="475">
        <v>45722.925246469997</v>
      </c>
      <c r="P27" s="417">
        <f t="shared" si="1"/>
        <v>3.1</v>
      </c>
      <c r="Q27" s="88">
        <f>SUM(Q14+Q15+Q16+Q20+Q26)</f>
        <v>11105.21</v>
      </c>
      <c r="R27" s="475">
        <f>SUM(R14+R15+R16+R20+R26)</f>
        <v>11233</v>
      </c>
      <c r="S27" s="417">
        <f t="shared" si="15"/>
        <v>1.2</v>
      </c>
      <c r="T27" s="88">
        <f>SUM(T14+T15+T16+T20+T26)</f>
        <v>11649</v>
      </c>
      <c r="U27" s="475">
        <f>SUM(U14+U15+U16+U20+U26)</f>
        <v>10809</v>
      </c>
      <c r="V27" s="417">
        <f t="shared" si="8"/>
        <v>-7.2</v>
      </c>
      <c r="W27" s="88">
        <f>SUM(W14+W15+W16+W20+W26)</f>
        <v>5695.3019999999997</v>
      </c>
      <c r="X27" s="475">
        <f>SUM(X14+X15+X16+X20+X26)</f>
        <v>5886.2550000000001</v>
      </c>
      <c r="Y27" s="417">
        <f t="shared" si="9"/>
        <v>3.4</v>
      </c>
      <c r="Z27" s="650">
        <f>SUM(Z14+Z15+Z16+Z20+Z26)</f>
        <v>33769</v>
      </c>
      <c r="AA27" s="475">
        <f>SUM(AA14+AA15+AA16+AA20+AA26)</f>
        <v>33662.46614171</v>
      </c>
      <c r="AB27" s="417">
        <f t="shared" si="10"/>
        <v>-0.3</v>
      </c>
      <c r="AC27" s="88">
        <f>SUM(AC14+AC15+AC16+AC20+AC26)</f>
        <v>13</v>
      </c>
      <c r="AD27" s="475">
        <f>SUM(AD14+AD15+AD16+AD20+AD26)</f>
        <v>0</v>
      </c>
      <c r="AE27" s="417">
        <f>IF(AC27=0, "    ---- ", IF(ABS(ROUND(100/AC27*AD27-100,1))&lt;999,ROUND(100/AC27*AD27-100,1),IF(ROUND(100/AC27*AD27-100,1)&gt;999,999,-999)))</f>
        <v>-100</v>
      </c>
      <c r="AF27" s="475">
        <f t="shared" si="17"/>
        <v>143739.4700814058</v>
      </c>
      <c r="AG27" s="475">
        <f t="shared" si="17"/>
        <v>143567.48938534001</v>
      </c>
      <c r="AH27" s="417">
        <f t="shared" si="3"/>
        <v>-0.1</v>
      </c>
      <c r="AI27" s="475">
        <f t="shared" si="18"/>
        <v>143752.4700814058</v>
      </c>
      <c r="AJ27" s="475">
        <f t="shared" si="18"/>
        <v>143567.48938534001</v>
      </c>
      <c r="AK27" s="417">
        <f t="shared" si="5"/>
        <v>-0.1</v>
      </c>
    </row>
    <row r="28" spans="1:37" s="429" customFormat="1" ht="20.100000000000001" customHeight="1" x14ac:dyDescent="0.3">
      <c r="A28" s="529" t="s">
        <v>180</v>
      </c>
      <c r="B28" s="181">
        <v>804.1322842699999</v>
      </c>
      <c r="C28" s="417">
        <v>1535.20056901</v>
      </c>
      <c r="D28" s="417">
        <f t="shared" si="6"/>
        <v>90.9</v>
      </c>
      <c r="E28" s="181">
        <v>975.58823622999989</v>
      </c>
      <c r="F28" s="417">
        <v>872.54490095999972</v>
      </c>
      <c r="G28" s="417">
        <f>IF(E28=0, "    ---- ", IF(ABS(ROUND(100/E28*F28-100,1))&lt;999,ROUND(100/E28*F28-100,1),IF(ROUND(100/E28*F28-100,1)&gt;999,999,-999)))</f>
        <v>-10.6</v>
      </c>
      <c r="H28" s="181">
        <v>446.93981600000001</v>
      </c>
      <c r="I28" s="417">
        <v>541.25099999999998</v>
      </c>
      <c r="J28" s="417">
        <f t="shared" si="14"/>
        <v>21.1</v>
      </c>
      <c r="K28" s="88">
        <v>307</v>
      </c>
      <c r="L28" s="475">
        <v>417</v>
      </c>
      <c r="M28" s="475">
        <f t="shared" si="13"/>
        <v>35.799999999999997</v>
      </c>
      <c r="N28" s="88">
        <v>39587.609532629998</v>
      </c>
      <c r="O28" s="475">
        <v>25881.868124320001</v>
      </c>
      <c r="P28" s="417">
        <f t="shared" si="1"/>
        <v>-34.6</v>
      </c>
      <c r="Q28" s="88">
        <v>1286.51</v>
      </c>
      <c r="R28" s="475">
        <v>1263.04</v>
      </c>
      <c r="S28" s="417">
        <f t="shared" si="15"/>
        <v>-1.8</v>
      </c>
      <c r="T28" s="88">
        <f>37+852+72+449-1</f>
        <v>1409</v>
      </c>
      <c r="U28" s="475">
        <v>1119</v>
      </c>
      <c r="V28" s="417">
        <f t="shared" si="8"/>
        <v>-20.6</v>
      </c>
      <c r="W28" s="88">
        <v>913.37599999999998</v>
      </c>
      <c r="X28" s="475">
        <v>763.76499999999999</v>
      </c>
      <c r="Y28" s="417">
        <f t="shared" si="9"/>
        <v>-16.399999999999999</v>
      </c>
      <c r="Z28" s="650">
        <f>64+3468+42835+1545</f>
        <v>47912</v>
      </c>
      <c r="AA28" s="475">
        <v>41409.653834261495</v>
      </c>
      <c r="AB28" s="417">
        <f t="shared" si="10"/>
        <v>-13.6</v>
      </c>
      <c r="AC28" s="88">
        <v>3</v>
      </c>
      <c r="AD28" s="475">
        <v>112</v>
      </c>
      <c r="AE28" s="417">
        <f>IF(AC28=0, "    ---- ", IF(ABS(ROUND(100/AC28*AD28-100,1))&lt;999,ROUND(100/AC28*AD28-100,1),IF(ROUND(100/AC28*AD28-100,1)&gt;999,999,-999)))</f>
        <v>999</v>
      </c>
      <c r="AF28" s="475">
        <f t="shared" si="17"/>
        <v>93642.155869129987</v>
      </c>
      <c r="AG28" s="475">
        <f t="shared" si="17"/>
        <v>73803.323428551492</v>
      </c>
      <c r="AH28" s="417">
        <f t="shared" si="3"/>
        <v>-21.2</v>
      </c>
      <c r="AI28" s="475">
        <f t="shared" si="18"/>
        <v>93645.155869129987</v>
      </c>
      <c r="AJ28" s="475">
        <f t="shared" si="18"/>
        <v>73915.323428551492</v>
      </c>
      <c r="AK28" s="417">
        <f t="shared" si="5"/>
        <v>-21.1</v>
      </c>
    </row>
    <row r="29" spans="1:37" s="429" customFormat="1" ht="20.100000000000001" customHeight="1" x14ac:dyDescent="0.3">
      <c r="A29" s="529" t="s">
        <v>181</v>
      </c>
      <c r="B29" s="181">
        <f>SUM(B27+B28)</f>
        <v>33483.858989555825</v>
      </c>
      <c r="C29" s="417">
        <f>SUM(C27+C28)</f>
        <v>33357.500131319997</v>
      </c>
      <c r="D29" s="417">
        <f>IF(B29=0, "    ---- ", IF(ABS(ROUND(100/B29*C29-100,1))&lt;999,ROUND(100/B29*C29-100,1),IF(ROUND(100/B29*C29-100,1)&gt;999,999,-999)))</f>
        <v>-0.4</v>
      </c>
      <c r="E29" s="181">
        <f>SUM(E27+E28)</f>
        <v>3572.2037019100003</v>
      </c>
      <c r="F29" s="417">
        <f>SUM(F27+F28)</f>
        <v>3709.71333581</v>
      </c>
      <c r="G29" s="417">
        <f>IF(E29=0, "    ---- ", IF(ABS(ROUND(100/E29*F29-100,1))&lt;999,ROUND(100/E29*F29-100,1),IF(ROUND(100/E29*F29-100,1)&gt;999,999,-999)))</f>
        <v>3.8</v>
      </c>
      <c r="H29" s="181">
        <f>SUM(H27+H28)</f>
        <v>829.889545</v>
      </c>
      <c r="I29" s="417">
        <f>SUM(I27+I28)</f>
        <v>988.62599999999998</v>
      </c>
      <c r="J29" s="417">
        <f>IF(H29=0, "    ---- ", IF(ABS(ROUND(100/H29*I29-100,1))&lt;999,ROUND(100/H29*I29-100,1),IF(ROUND(100/H29*I29-100,1)&gt;999,999,-999)))</f>
        <v>19.100000000000001</v>
      </c>
      <c r="K29" s="181">
        <f>SUM(K27+K28)</f>
        <v>1831</v>
      </c>
      <c r="L29" s="417">
        <f>SUM(L27+L28)</f>
        <v>1564</v>
      </c>
      <c r="M29" s="417">
        <f>IF(K29=0, "    ---- ", IF(ABS(ROUND(100/K29*L29-100,1))&lt;999,ROUND(100/K29*L29-100,1),IF(ROUND(100/K29*L29-100,1)&gt;999,999,-999)))</f>
        <v>-14.6</v>
      </c>
      <c r="N29" s="181">
        <v>83925.275714069998</v>
      </c>
      <c r="O29" s="417">
        <v>71604.793370789994</v>
      </c>
      <c r="P29" s="417">
        <f>IF(N29=0, "    ---- ", IF(ABS(ROUND(100/N29*O29-100,1))&lt;999,ROUND(100/N29*O29-100,1),IF(ROUND(100/N29*O29-100,1)&gt;999,999,-999)))</f>
        <v>-14.7</v>
      </c>
      <c r="Q29" s="181">
        <f>SUM(Q27+Q28)</f>
        <v>12391.72</v>
      </c>
      <c r="R29" s="417">
        <f>SUM(R27+R28)</f>
        <v>12496.04</v>
      </c>
      <c r="S29" s="417">
        <f>IF(Q29=0, "    ---- ", IF(ABS(ROUND(100/Q29*R29-100,1))&lt;999,ROUND(100/Q29*R29-100,1),IF(ROUND(100/Q29*R29-100,1)&gt;999,999,-999)))</f>
        <v>0.8</v>
      </c>
      <c r="T29" s="181">
        <f>SUM(T27+T28)</f>
        <v>13058</v>
      </c>
      <c r="U29" s="417">
        <f>SUM(U27+U28)</f>
        <v>11928</v>
      </c>
      <c r="V29" s="417">
        <f>IF(T29=0, "    ---- ", IF(ABS(ROUND(100/T29*U29-100,1))&lt;999,ROUND(100/T29*U29-100,1),IF(ROUND(100/T29*U29-100,1)&gt;999,999,-999)))</f>
        <v>-8.6999999999999993</v>
      </c>
      <c r="W29" s="181">
        <f>SUM(W27+W28)</f>
        <v>6608.6779999999999</v>
      </c>
      <c r="X29" s="417">
        <f>SUM(X27+X28)</f>
        <v>6650.02</v>
      </c>
      <c r="Y29" s="417">
        <f>IF(W29=0, "    ---- ", IF(ABS(ROUND(100/W29*X29-100,1))&lt;999,ROUND(100/W29*X29-100,1),IF(ROUND(100/W29*X29-100,1)&gt;999,999,-999)))</f>
        <v>0.6</v>
      </c>
      <c r="Z29" s="649">
        <f>SUM(Z27+Z28)</f>
        <v>81681</v>
      </c>
      <c r="AA29" s="417">
        <f>SUM(AA27+AA28)</f>
        <v>75072.119975971495</v>
      </c>
      <c r="AB29" s="417">
        <f>IF(Z29=0, "    ---- ", IF(ABS(ROUND(100/Z29*AA29-100,1))&lt;999,ROUND(100/Z29*AA29-100,1),IF(ROUND(100/Z29*AA29-100,1)&gt;999,999,-999)))</f>
        <v>-8.1</v>
      </c>
      <c r="AC29" s="181">
        <f>SUM(AC27+AC28)</f>
        <v>16</v>
      </c>
      <c r="AD29" s="417">
        <f>SUM(AD27+AD28)</f>
        <v>112</v>
      </c>
      <c r="AE29" s="417">
        <f>IF(AC29=0, "    ---- ", IF(ABS(ROUND(100/AC29*AD29-100,1))&lt;999,ROUND(100/AC29*AD29-100,1),IF(ROUND(100/AC29*AD29-100,1)&gt;999,999,-999)))</f>
        <v>600</v>
      </c>
      <c r="AF29" s="475">
        <f t="shared" si="17"/>
        <v>237381.62595053582</v>
      </c>
      <c r="AG29" s="475">
        <f t="shared" si="17"/>
        <v>217370.81281389148</v>
      </c>
      <c r="AH29" s="417">
        <f>IF(AF29=0, "    ---- ", IF(ABS(ROUND(100/AF29*AG29-100,1))&lt;999,ROUND(100/AF29*AG29-100,1),IF(ROUND(100/AF29*AG29-100,1)&gt;999,999,-999)))</f>
        <v>-8.4</v>
      </c>
      <c r="AI29" s="475">
        <f t="shared" si="18"/>
        <v>237397.62595053582</v>
      </c>
      <c r="AJ29" s="475">
        <f t="shared" si="18"/>
        <v>217482.81281389148</v>
      </c>
      <c r="AK29" s="566">
        <f t="shared" si="5"/>
        <v>-8.4</v>
      </c>
    </row>
    <row r="30" spans="1:37" s="429" customFormat="1" ht="20.100000000000001" customHeight="1" x14ac:dyDescent="0.3">
      <c r="A30" s="529"/>
      <c r="B30" s="536"/>
      <c r="C30" s="414"/>
      <c r="D30" s="417"/>
      <c r="E30" s="536"/>
      <c r="F30" s="414"/>
      <c r="G30" s="417"/>
      <c r="H30" s="536"/>
      <c r="I30" s="414"/>
      <c r="J30" s="417"/>
      <c r="K30" s="181"/>
      <c r="L30" s="417"/>
      <c r="M30" s="414"/>
      <c r="N30" s="536"/>
      <c r="O30" s="414"/>
      <c r="P30" s="322"/>
      <c r="Q30" s="536"/>
      <c r="R30" s="414"/>
      <c r="S30" s="322"/>
      <c r="T30" s="536"/>
      <c r="U30" s="414"/>
      <c r="V30" s="322"/>
      <c r="W30" s="536"/>
      <c r="X30" s="414"/>
      <c r="Y30" s="322"/>
      <c r="Z30" s="647"/>
      <c r="AA30" s="414"/>
      <c r="AB30" s="322"/>
      <c r="AC30" s="536"/>
      <c r="AD30" s="414"/>
      <c r="AE30" s="322"/>
      <c r="AF30" s="414"/>
      <c r="AG30" s="414"/>
      <c r="AH30" s="322"/>
      <c r="AI30" s="414"/>
      <c r="AJ30" s="414"/>
      <c r="AK30" s="418"/>
    </row>
    <row r="31" spans="1:37" s="429" customFormat="1" ht="20.100000000000001" customHeight="1" x14ac:dyDescent="0.3">
      <c r="A31" s="541" t="s">
        <v>182</v>
      </c>
      <c r="B31" s="181"/>
      <c r="C31" s="417"/>
      <c r="D31" s="417"/>
      <c r="E31" s="181"/>
      <c r="F31" s="417"/>
      <c r="G31" s="417"/>
      <c r="H31" s="181"/>
      <c r="I31" s="417"/>
      <c r="J31" s="417"/>
      <c r="K31" s="181"/>
      <c r="L31" s="417"/>
      <c r="M31" s="414"/>
      <c r="N31" s="181"/>
      <c r="O31" s="417"/>
      <c r="P31" s="322"/>
      <c r="Q31" s="181"/>
      <c r="R31" s="417"/>
      <c r="S31" s="322"/>
      <c r="T31" s="181"/>
      <c r="U31" s="417"/>
      <c r="V31" s="322"/>
      <c r="W31" s="181"/>
      <c r="X31" s="417"/>
      <c r="Y31" s="322"/>
      <c r="Z31" s="649"/>
      <c r="AA31" s="417"/>
      <c r="AB31" s="322"/>
      <c r="AC31" s="181"/>
      <c r="AD31" s="417"/>
      <c r="AE31" s="322"/>
      <c r="AF31" s="414"/>
      <c r="AG31" s="414"/>
      <c r="AH31" s="322"/>
      <c r="AI31" s="414"/>
      <c r="AJ31" s="414"/>
      <c r="AK31" s="418"/>
    </row>
    <row r="32" spans="1:37" s="429" customFormat="1" ht="20.100000000000001" customHeight="1" x14ac:dyDescent="0.3">
      <c r="A32" s="541" t="s">
        <v>183</v>
      </c>
      <c r="B32" s="181"/>
      <c r="C32" s="417"/>
      <c r="D32" s="322"/>
      <c r="E32" s="181"/>
      <c r="F32" s="417"/>
      <c r="G32" s="322"/>
      <c r="H32" s="181"/>
      <c r="I32" s="417"/>
      <c r="J32" s="322"/>
      <c r="K32" s="181"/>
      <c r="L32" s="417"/>
      <c r="M32" s="414"/>
      <c r="N32" s="181"/>
      <c r="O32" s="417"/>
      <c r="P32" s="322"/>
      <c r="Q32" s="181"/>
      <c r="R32" s="417"/>
      <c r="S32" s="322"/>
      <c r="T32" s="181"/>
      <c r="U32" s="417"/>
      <c r="V32" s="322"/>
      <c r="W32" s="181"/>
      <c r="X32" s="417"/>
      <c r="Y32" s="322"/>
      <c r="Z32" s="649"/>
      <c r="AA32" s="417"/>
      <c r="AB32" s="322"/>
      <c r="AC32" s="181"/>
      <c r="AD32" s="417"/>
      <c r="AE32" s="322"/>
      <c r="AF32" s="414"/>
      <c r="AG32" s="414"/>
      <c r="AH32" s="322"/>
      <c r="AI32" s="414"/>
      <c r="AJ32" s="414"/>
      <c r="AK32" s="418"/>
    </row>
    <row r="33" spans="1:37" s="429" customFormat="1" ht="20.100000000000001" customHeight="1" x14ac:dyDescent="0.3">
      <c r="A33" s="529" t="s">
        <v>184</v>
      </c>
      <c r="B33" s="181">
        <v>14.22554581</v>
      </c>
      <c r="C33" s="417">
        <v>14.22554581</v>
      </c>
      <c r="D33" s="417">
        <f t="shared" ref="D33:D93" si="19">IF(B33=0, "    ---- ", IF(ABS(ROUND(100/B33*C33-100,1))&lt;999,ROUND(100/B33*C33-100,1),IF(ROUND(100/B33*C33-100,1)&gt;999,999,-999)))</f>
        <v>0</v>
      </c>
      <c r="E33" s="181"/>
      <c r="F33" s="417"/>
      <c r="G33" s="417"/>
      <c r="H33" s="181"/>
      <c r="I33" s="417"/>
      <c r="J33" s="417"/>
      <c r="K33" s="181"/>
      <c r="L33" s="417"/>
      <c r="M33" s="414"/>
      <c r="N33" s="181"/>
      <c r="O33" s="417"/>
      <c r="P33" s="322"/>
      <c r="Q33" s="181"/>
      <c r="R33" s="417"/>
      <c r="S33" s="322"/>
      <c r="T33" s="181"/>
      <c r="U33" s="417"/>
      <c r="V33" s="322"/>
      <c r="W33" s="181"/>
      <c r="X33" s="417"/>
      <c r="Y33" s="322"/>
      <c r="Z33" s="649"/>
      <c r="AA33" s="417"/>
      <c r="AB33" s="322"/>
      <c r="AC33" s="181"/>
      <c r="AD33" s="417"/>
      <c r="AE33" s="322"/>
      <c r="AF33" s="475">
        <f t="shared" ref="AF33:AG46" si="20">B33+E33+H33+K33+N33+Q33+T33+W33+Z33</f>
        <v>14.22554581</v>
      </c>
      <c r="AG33" s="475">
        <f t="shared" si="20"/>
        <v>14.22554581</v>
      </c>
      <c r="AH33" s="322">
        <f t="shared" ref="AH33:AH93" si="21">IF(AF33=0, "    ---- ", IF(ABS(ROUND(100/AF33*AG33-100,1))&lt;999,ROUND(100/AF33*AG33-100,1),IF(ROUND(100/AF33*AG33-100,1)&gt;999,999,-999)))</f>
        <v>0</v>
      </c>
      <c r="AI33" s="475">
        <f t="shared" ref="AI33:AJ46" si="22">B33+E33+H33+K33+N33+Q33+T33+W33+Z33+AC33</f>
        <v>14.22554581</v>
      </c>
      <c r="AJ33" s="475">
        <f t="shared" si="22"/>
        <v>14.22554581</v>
      </c>
      <c r="AK33" s="418">
        <f t="shared" ref="AK33:AK93" si="23">IF(AI33=0, "    ---- ", IF(ABS(ROUND(100/AI33*AJ33-100,1))&lt;999,ROUND(100/AI33*AJ33-100,1),IF(ROUND(100/AI33*AJ33-100,1)&gt;999,999,-999)))</f>
        <v>0</v>
      </c>
    </row>
    <row r="34" spans="1:37" s="429" customFormat="1" ht="20.100000000000001" customHeight="1" x14ac:dyDescent="0.3">
      <c r="A34" s="529" t="s">
        <v>185</v>
      </c>
      <c r="B34" s="181">
        <v>22833.27198048</v>
      </c>
      <c r="C34" s="417">
        <v>18327.145380579997</v>
      </c>
      <c r="D34" s="417">
        <f t="shared" si="19"/>
        <v>-19.7</v>
      </c>
      <c r="E34" s="181">
        <v>430.24537836999997</v>
      </c>
      <c r="F34" s="417">
        <v>435.46502820999996</v>
      </c>
      <c r="G34" s="417">
        <f t="shared" ref="G34:G38" si="24">IF(E34=0, "    ---- ", IF(ABS(ROUND(100/E34*F34-100,1))&lt;999,ROUND(100/E34*F34-100,1),IF(ROUND(100/E34*F34-100,1)&gt;999,999,-999)))</f>
        <v>1.2</v>
      </c>
      <c r="H34" s="181"/>
      <c r="I34" s="417"/>
      <c r="J34" s="417"/>
      <c r="K34" s="181">
        <v>738</v>
      </c>
      <c r="L34" s="417">
        <v>306</v>
      </c>
      <c r="M34" s="414">
        <f>IF(K34=0, "    ---- ", IF(ABS(ROUND(100/K34*L34-100,1))&lt;999,ROUND(100/K34*L34-100,1),IF(ROUND(100/K34*L34-100,1)&gt;999,999,-999)))</f>
        <v>-58.5</v>
      </c>
      <c r="N34" s="181">
        <v>94450.063738640005</v>
      </c>
      <c r="O34" s="417">
        <v>94532.603715160003</v>
      </c>
      <c r="P34" s="322">
        <f>IF(N34=0, "    ---- ", IF(ABS(ROUND(100/N34*O34-100,1))&lt;999,ROUND(100/N34*O34-100,1),IF(ROUND(100/N34*O34-100,1)&gt;999,999,-999)))</f>
        <v>0.1</v>
      </c>
      <c r="Q34" s="181">
        <v>7002.8155157400006</v>
      </c>
      <c r="R34" s="417">
        <v>5939.5130482300001</v>
      </c>
      <c r="S34" s="322">
        <f t="shared" ref="S34:S93" si="25">IF(Q34=0, "    ---- ", IF(ABS(ROUND(100/Q34*R34-100,1))&lt;999,ROUND(100/Q34*R34-100,1),IF(ROUND(100/Q34*R34-100,1)&gt;999,999,-999)))</f>
        <v>-15.2</v>
      </c>
      <c r="T34" s="181">
        <f>14554+6978</f>
        <v>21532</v>
      </c>
      <c r="U34" s="417">
        <f>12981+7322</f>
        <v>20303</v>
      </c>
      <c r="V34" s="322">
        <f t="shared" ref="V34:V42" si="26">IF(T34=0, "    ---- ", IF(ABS(ROUND(100/T34*U34-100,1))&lt;999,ROUND(100/T34*U34-100,1),IF(ROUND(100/T34*U34-100,1)&gt;999,999,-999)))</f>
        <v>-5.7</v>
      </c>
      <c r="W34" s="181">
        <v>5312.1890000000003</v>
      </c>
      <c r="X34" s="417">
        <v>4151.9579999999996</v>
      </c>
      <c r="Y34" s="322">
        <f t="shared" ref="Y34:Y93" si="27">IF(W34=0, "    ---- ", IF(ABS(ROUND(100/W34*X34-100,1))&lt;999,ROUND(100/W34*X34-100,1),IF(ROUND(100/W34*X34-100,1)&gt;999,999,-999)))</f>
        <v>-21.8</v>
      </c>
      <c r="Z34" s="649">
        <v>23673</v>
      </c>
      <c r="AA34" s="417">
        <v>20419.862873570019</v>
      </c>
      <c r="AB34" s="322">
        <f t="shared" ref="AB34:AB93" si="28">IF(Z34=0, "    ---- ", IF(ABS(ROUND(100/Z34*AA34-100,1))&lt;999,ROUND(100/Z34*AA34-100,1),IF(ROUND(100/Z34*AA34-100,1)&gt;999,999,-999)))</f>
        <v>-13.7</v>
      </c>
      <c r="AC34" s="181"/>
      <c r="AD34" s="417"/>
      <c r="AE34" s="322"/>
      <c r="AF34" s="475">
        <f t="shared" si="20"/>
        <v>175971.58561323001</v>
      </c>
      <c r="AG34" s="475">
        <f t="shared" si="20"/>
        <v>164415.54804575007</v>
      </c>
      <c r="AH34" s="322">
        <f t="shared" si="21"/>
        <v>-6.6</v>
      </c>
      <c r="AI34" s="475">
        <f t="shared" si="22"/>
        <v>175971.58561323001</v>
      </c>
      <c r="AJ34" s="475">
        <f t="shared" si="22"/>
        <v>164415.54804575007</v>
      </c>
      <c r="AK34" s="418">
        <f t="shared" si="23"/>
        <v>-6.6</v>
      </c>
    </row>
    <row r="35" spans="1:37" s="429" customFormat="1" ht="20.100000000000001" customHeight="1" x14ac:dyDescent="0.3">
      <c r="A35" s="529" t="s">
        <v>186</v>
      </c>
      <c r="B35" s="181">
        <f>SUM(B36+B38)</f>
        <v>129666.32900292</v>
      </c>
      <c r="C35" s="417">
        <f>SUM(C36+C38)</f>
        <v>135855.17427674998</v>
      </c>
      <c r="D35" s="417">
        <f t="shared" si="19"/>
        <v>4.8</v>
      </c>
      <c r="E35" s="181">
        <f>SUM(E36+E38)</f>
        <v>3668.9212307500002</v>
      </c>
      <c r="F35" s="417">
        <f>SUM(F36+F38)</f>
        <v>5539.0722045099992</v>
      </c>
      <c r="G35" s="417">
        <f t="shared" si="24"/>
        <v>51</v>
      </c>
      <c r="H35" s="181">
        <f>SUM(H36+H38)</f>
        <v>507.96678200000002</v>
      </c>
      <c r="I35" s="417">
        <f>SUM(I36+I38)</f>
        <v>576.14200000000005</v>
      </c>
      <c r="J35" s="417">
        <f t="shared" ref="J35:J36" si="29">IF(H35=0, "    ---- ", IF(ABS(ROUND(100/H35*I35-100,1))&lt;999,ROUND(100/H35*I35-100,1),IF(ROUND(100/H35*I35-100,1)&gt;999,999,-999)))</f>
        <v>13.4</v>
      </c>
      <c r="K35" s="181">
        <f>SUM(K36+K38)</f>
        <v>7499</v>
      </c>
      <c r="L35" s="417">
        <f>SUM(L36+L38)</f>
        <v>8526</v>
      </c>
      <c r="M35" s="414">
        <f>IF(K35=0, "    ---- ", IF(ABS(ROUND(100/K35*L35-100,1))&lt;999,ROUND(100/K35*L35-100,1),IF(ROUND(100/K35*L35-100,1)&gt;999,999,-999)))</f>
        <v>13.7</v>
      </c>
      <c r="N35" s="181">
        <v>276864.73136546998</v>
      </c>
      <c r="O35" s="417">
        <v>295694.47264358</v>
      </c>
      <c r="P35" s="322">
        <f>IF(N35=0, "    ---- ", IF(ABS(ROUND(100/N35*O35-100,1))&lt;999,ROUND(100/N35*O35-100,1),IF(ROUND(100/N35*O35-100,1)&gt;999,999,-999)))</f>
        <v>6.8</v>
      </c>
      <c r="Q35" s="181">
        <f>SUM(Q36+Q38)</f>
        <v>40474.456976499998</v>
      </c>
      <c r="R35" s="417">
        <f>SUM(R36+R38)</f>
        <v>40674.304473059899</v>
      </c>
      <c r="S35" s="322">
        <f t="shared" si="25"/>
        <v>0.5</v>
      </c>
      <c r="T35" s="181">
        <f>SUM(T36+T38)</f>
        <v>26426</v>
      </c>
      <c r="U35" s="417">
        <f>SUM(U36+U38)</f>
        <v>28879</v>
      </c>
      <c r="V35" s="322">
        <f t="shared" si="26"/>
        <v>9.3000000000000007</v>
      </c>
      <c r="W35" s="181">
        <f>SUM(W36+W38)</f>
        <v>10168.849</v>
      </c>
      <c r="X35" s="417">
        <f>SUM(X36+X38)</f>
        <v>10908.986999999999</v>
      </c>
      <c r="Y35" s="322">
        <f t="shared" si="27"/>
        <v>7.3</v>
      </c>
      <c r="Z35" s="649">
        <f>133066+17254+4395</f>
        <v>154715</v>
      </c>
      <c r="AA35" s="417">
        <f>SUM(AA36+AA38)</f>
        <v>165307.44704580013</v>
      </c>
      <c r="AB35" s="322">
        <f t="shared" si="28"/>
        <v>6.8</v>
      </c>
      <c r="AC35" s="181"/>
      <c r="AD35" s="417"/>
      <c r="AE35" s="322"/>
      <c r="AF35" s="475">
        <f t="shared" si="20"/>
        <v>649991.25435763993</v>
      </c>
      <c r="AG35" s="475">
        <f t="shared" si="20"/>
        <v>691960.59964370006</v>
      </c>
      <c r="AH35" s="322">
        <f t="shared" si="21"/>
        <v>6.5</v>
      </c>
      <c r="AI35" s="475">
        <f t="shared" si="22"/>
        <v>649991.25435763993</v>
      </c>
      <c r="AJ35" s="475">
        <f t="shared" si="22"/>
        <v>691960.59964370006</v>
      </c>
      <c r="AK35" s="418">
        <f t="shared" si="23"/>
        <v>6.5</v>
      </c>
    </row>
    <row r="36" spans="1:37" s="429" customFormat="1" ht="20.100000000000001" customHeight="1" x14ac:dyDescent="0.3">
      <c r="A36" s="692" t="s">
        <v>404</v>
      </c>
      <c r="B36" s="181">
        <v>111563.43898192</v>
      </c>
      <c r="C36" s="417">
        <v>130519.60143878999</v>
      </c>
      <c r="D36" s="322">
        <f t="shared" si="19"/>
        <v>17</v>
      </c>
      <c r="E36" s="181">
        <v>2.4194484799999998</v>
      </c>
      <c r="F36" s="417">
        <v>5539.0722045099992</v>
      </c>
      <c r="G36" s="417">
        <f t="shared" si="24"/>
        <v>999</v>
      </c>
      <c r="H36" s="181">
        <v>507.96678200000002</v>
      </c>
      <c r="I36" s="417">
        <v>576.14200000000005</v>
      </c>
      <c r="J36" s="417">
        <f t="shared" si="29"/>
        <v>13.4</v>
      </c>
      <c r="K36" s="181"/>
      <c r="L36" s="417"/>
      <c r="M36" s="414"/>
      <c r="N36" s="181"/>
      <c r="O36" s="417"/>
      <c r="P36" s="322"/>
      <c r="Q36" s="181">
        <v>40474.456976499998</v>
      </c>
      <c r="R36" s="417">
        <v>40674.304473059899</v>
      </c>
      <c r="S36" s="322">
        <f t="shared" si="25"/>
        <v>0.5</v>
      </c>
      <c r="T36" s="181">
        <v>3520</v>
      </c>
      <c r="U36" s="417">
        <v>24501</v>
      </c>
      <c r="V36" s="322">
        <f t="shared" si="26"/>
        <v>596.1</v>
      </c>
      <c r="W36" s="181">
        <v>576.36699999999996</v>
      </c>
      <c r="X36" s="417">
        <v>10908.986999999999</v>
      </c>
      <c r="Y36" s="322">
        <f t="shared" si="27"/>
        <v>999</v>
      </c>
      <c r="Z36" s="649"/>
      <c r="AA36" s="417"/>
      <c r="AB36" s="322"/>
      <c r="AC36" s="181"/>
      <c r="AD36" s="417"/>
      <c r="AE36" s="322"/>
      <c r="AF36" s="475">
        <f t="shared" si="20"/>
        <v>156644.64918889999</v>
      </c>
      <c r="AG36" s="475">
        <f t="shared" si="20"/>
        <v>212719.10711635987</v>
      </c>
      <c r="AH36" s="322">
        <f t="shared" si="21"/>
        <v>35.799999999999997</v>
      </c>
      <c r="AI36" s="475">
        <f t="shared" si="22"/>
        <v>156644.64918889999</v>
      </c>
      <c r="AJ36" s="475">
        <f t="shared" si="22"/>
        <v>212719.10711635987</v>
      </c>
      <c r="AK36" s="418">
        <f t="shared" si="23"/>
        <v>35.799999999999997</v>
      </c>
    </row>
    <row r="37" spans="1:37" s="429" customFormat="1" ht="20.100000000000001" customHeight="1" x14ac:dyDescent="0.3">
      <c r="A37" s="529" t="s">
        <v>171</v>
      </c>
      <c r="B37" s="181">
        <v>111563.43898192</v>
      </c>
      <c r="C37" s="417">
        <v>130519.60143878999</v>
      </c>
      <c r="D37" s="417">
        <f t="shared" si="19"/>
        <v>17</v>
      </c>
      <c r="E37" s="181">
        <v>2.4194484799999998</v>
      </c>
      <c r="F37" s="417">
        <v>5539.0722045099992</v>
      </c>
      <c r="G37" s="417">
        <f t="shared" si="24"/>
        <v>999</v>
      </c>
      <c r="H37" s="181"/>
      <c r="I37" s="417"/>
      <c r="J37" s="417"/>
      <c r="K37" s="181"/>
      <c r="L37" s="417"/>
      <c r="M37" s="414"/>
      <c r="N37" s="181"/>
      <c r="O37" s="417"/>
      <c r="P37" s="322"/>
      <c r="Q37" s="181">
        <v>40474.456976499998</v>
      </c>
      <c r="R37" s="417">
        <v>40674.304473059899</v>
      </c>
      <c r="S37" s="322">
        <f t="shared" si="25"/>
        <v>0.5</v>
      </c>
      <c r="T37" s="181"/>
      <c r="U37" s="417"/>
      <c r="V37" s="322"/>
      <c r="W37" s="181">
        <v>245.61399119999913</v>
      </c>
      <c r="X37" s="417">
        <v>33.737492500000101</v>
      </c>
      <c r="Y37" s="322">
        <f t="shared" si="27"/>
        <v>-86.3</v>
      </c>
      <c r="Z37" s="649"/>
      <c r="AA37" s="417"/>
      <c r="AB37" s="322"/>
      <c r="AC37" s="181"/>
      <c r="AD37" s="417"/>
      <c r="AE37" s="322"/>
      <c r="AF37" s="475">
        <f t="shared" si="20"/>
        <v>152285.92939809998</v>
      </c>
      <c r="AG37" s="475">
        <f t="shared" si="20"/>
        <v>176766.71560885987</v>
      </c>
      <c r="AH37" s="322">
        <f t="shared" si="21"/>
        <v>16.100000000000001</v>
      </c>
      <c r="AI37" s="475">
        <f t="shared" si="22"/>
        <v>152285.92939809998</v>
      </c>
      <c r="AJ37" s="475">
        <f t="shared" si="22"/>
        <v>176766.71560885987</v>
      </c>
      <c r="AK37" s="418">
        <f t="shared" si="23"/>
        <v>16.100000000000001</v>
      </c>
    </row>
    <row r="38" spans="1:37" s="429" customFormat="1" ht="20.100000000000001" customHeight="1" x14ac:dyDescent="0.3">
      <c r="A38" s="529" t="s">
        <v>187</v>
      </c>
      <c r="B38" s="181">
        <v>18102.890020999999</v>
      </c>
      <c r="C38" s="417">
        <v>5335.5728379600005</v>
      </c>
      <c r="D38" s="417">
        <f t="shared" si="19"/>
        <v>-70.5</v>
      </c>
      <c r="E38" s="181">
        <v>3666.5017822700001</v>
      </c>
      <c r="F38" s="417">
        <v>0</v>
      </c>
      <c r="G38" s="417">
        <f t="shared" si="24"/>
        <v>-100</v>
      </c>
      <c r="H38" s="181"/>
      <c r="I38" s="417"/>
      <c r="J38" s="417"/>
      <c r="K38" s="181">
        <v>7499</v>
      </c>
      <c r="L38" s="417">
        <v>8526</v>
      </c>
      <c r="M38" s="414">
        <f>IF(K38=0, "    ---- ", IF(ABS(ROUND(100/K38*L38-100,1))&lt;999,ROUND(100/K38*L38-100,1),IF(ROUND(100/K38*L38-100,1)&gt;999,999,-999)))</f>
        <v>13.7</v>
      </c>
      <c r="N38" s="181">
        <v>276864.73136546998</v>
      </c>
      <c r="O38" s="417">
        <v>295694.47264358</v>
      </c>
      <c r="P38" s="322">
        <f t="shared" ref="P38:P45" si="30">IF(N38=0, "    ---- ", IF(ABS(ROUND(100/N38*O38-100,1))&lt;999,ROUND(100/N38*O38-100,1),IF(ROUND(100/N38*O38-100,1)&gt;999,999,-999)))</f>
        <v>6.8</v>
      </c>
      <c r="Q38" s="181"/>
      <c r="R38" s="417"/>
      <c r="S38" s="322"/>
      <c r="T38" s="181">
        <v>22906</v>
      </c>
      <c r="U38" s="417">
        <v>4378</v>
      </c>
      <c r="V38" s="322">
        <f t="shared" si="26"/>
        <v>-80.900000000000006</v>
      </c>
      <c r="W38" s="181">
        <v>9592.482</v>
      </c>
      <c r="X38" s="417">
        <v>0</v>
      </c>
      <c r="Y38" s="322">
        <f t="shared" si="27"/>
        <v>-100</v>
      </c>
      <c r="Z38" s="649">
        <f>133066+17254+4395</f>
        <v>154715</v>
      </c>
      <c r="AA38" s="417">
        <v>165307.44704580013</v>
      </c>
      <c r="AB38" s="322">
        <f t="shared" si="28"/>
        <v>6.8</v>
      </c>
      <c r="AC38" s="181"/>
      <c r="AD38" s="417"/>
      <c r="AE38" s="322"/>
      <c r="AF38" s="475">
        <f t="shared" si="20"/>
        <v>493346.60516873997</v>
      </c>
      <c r="AG38" s="475">
        <f t="shared" si="20"/>
        <v>479241.49252734007</v>
      </c>
      <c r="AH38" s="322">
        <f t="shared" si="21"/>
        <v>-2.9</v>
      </c>
      <c r="AI38" s="475">
        <f t="shared" si="22"/>
        <v>493346.60516873997</v>
      </c>
      <c r="AJ38" s="475">
        <f t="shared" si="22"/>
        <v>479241.49252734007</v>
      </c>
      <c r="AK38" s="418">
        <f t="shared" si="23"/>
        <v>-2.9</v>
      </c>
    </row>
    <row r="39" spans="1:37" s="429" customFormat="1" ht="20.100000000000001" customHeight="1" x14ac:dyDescent="0.3">
      <c r="A39" s="529" t="s">
        <v>188</v>
      </c>
      <c r="B39" s="181">
        <f>SUM(B40:B44)</f>
        <v>40514.144658260004</v>
      </c>
      <c r="C39" s="417">
        <f>SUM(C40+C41+C42+C43+C44)</f>
        <v>34812.521053460005</v>
      </c>
      <c r="D39" s="417">
        <f t="shared" si="19"/>
        <v>-14.1</v>
      </c>
      <c r="E39" s="181">
        <f>SUM(E40:E44)</f>
        <v>4474.1598816100013</v>
      </c>
      <c r="F39" s="417">
        <f>SUM(F40+F41+F42+F43+F44)</f>
        <v>3431.3986612100007</v>
      </c>
      <c r="G39" s="417">
        <f>IF(E39=0, "    ---- ", IF(ABS(ROUND(100/E39*F39-100,1))&lt;999,ROUND(100/E39*F39-100,1),IF(ROUND(100/E39*F39-100,1)&gt;999,999,-999)))</f>
        <v>-23.3</v>
      </c>
      <c r="H39" s="181">
        <f>SUM(H40:H44)</f>
        <v>1138.845732</v>
      </c>
      <c r="I39" s="417">
        <f>SUM(I40+I41+I42+I43+I44)</f>
        <v>1311.7979999999998</v>
      </c>
      <c r="J39" s="417">
        <f t="shared" ref="J39:J46" si="31">IF(H39=0, "    ---- ", IF(ABS(ROUND(100/H39*I39-100,1))&lt;999,ROUND(100/H39*I39-100,1),IF(ROUND(100/H39*I39-100,1)&gt;999,999,-999)))</f>
        <v>15.2</v>
      </c>
      <c r="K39" s="181">
        <f>SUM(K40:K44)</f>
        <v>378</v>
      </c>
      <c r="L39" s="417">
        <f>SUM(L40+L41+L42+L43+L44)</f>
        <v>699</v>
      </c>
      <c r="M39" s="475">
        <f>IF(K39=0, "    ---- ", IF(ABS(ROUND(100/K39*L39-100,1))&lt;999,ROUND(100/K39*L39-100,1),IF(ROUND(100/K39*L39-100,1)&gt;999,999,-999)))</f>
        <v>84.9</v>
      </c>
      <c r="N39" s="181">
        <v>330628.74306850997</v>
      </c>
      <c r="O39" s="417">
        <v>371530.36488548998</v>
      </c>
      <c r="P39" s="417">
        <f t="shared" si="30"/>
        <v>12.4</v>
      </c>
      <c r="Q39" s="181">
        <f>SUM(Q40:Q44)</f>
        <v>8107.2923134499997</v>
      </c>
      <c r="R39" s="417">
        <f>SUM(R40+R41+R42+R43+R44)</f>
        <v>8847.3934791300017</v>
      </c>
      <c r="S39" s="417">
        <f t="shared" si="25"/>
        <v>9.1</v>
      </c>
      <c r="T39" s="181">
        <f>SUM(T40:T44)</f>
        <v>72506</v>
      </c>
      <c r="U39" s="417">
        <f>SUM(U40+U41+U42+U43+U44)</f>
        <v>78980</v>
      </c>
      <c r="V39" s="417">
        <f t="shared" si="26"/>
        <v>8.9</v>
      </c>
      <c r="W39" s="181">
        <f>SUM(W40:W44)</f>
        <v>7982.8739999999989</v>
      </c>
      <c r="X39" s="417">
        <f>SUM(X40+X41+X42+X43+X44)</f>
        <v>8993.6249999999982</v>
      </c>
      <c r="Y39" s="417">
        <f t="shared" si="27"/>
        <v>12.7</v>
      </c>
      <c r="Z39" s="649">
        <f>SUM(Z40:Z44)</f>
        <v>30815</v>
      </c>
      <c r="AA39" s="417">
        <f>SUM(AA40+AA41+AA42+AA43+AA44)</f>
        <v>31278.515776600019</v>
      </c>
      <c r="AB39" s="417">
        <f t="shared" si="28"/>
        <v>1.5</v>
      </c>
      <c r="AC39" s="181"/>
      <c r="AD39" s="417">
        <f>SUM(AD40+AD41+AD42+AD43+AD44)</f>
        <v>16</v>
      </c>
      <c r="AE39" s="322" t="str">
        <f t="shared" ref="AE39:AE45" si="32">IF(AC39=0, "    ---- ", IF(ABS(ROUND(100/AC39*AD39-100,1))&lt;999,ROUND(100/AC39*AD39-100,1),IF(ROUND(100/AC39*AD39-100,1)&gt;999,999,-999)))</f>
        <v xml:space="preserve">    ---- </v>
      </c>
      <c r="AF39" s="475">
        <f t="shared" si="20"/>
        <v>496545.05965383002</v>
      </c>
      <c r="AG39" s="475">
        <f t="shared" si="20"/>
        <v>539884.61685589002</v>
      </c>
      <c r="AH39" s="322">
        <f t="shared" si="21"/>
        <v>8.6999999999999993</v>
      </c>
      <c r="AI39" s="475">
        <f t="shared" si="22"/>
        <v>496545.05965383002</v>
      </c>
      <c r="AJ39" s="475">
        <f t="shared" si="22"/>
        <v>539900.61685589002</v>
      </c>
      <c r="AK39" s="418">
        <f t="shared" si="23"/>
        <v>8.6999999999999993</v>
      </c>
    </row>
    <row r="40" spans="1:37" s="429" customFormat="1" ht="20.100000000000001" customHeight="1" x14ac:dyDescent="0.3">
      <c r="A40" s="529" t="s">
        <v>189</v>
      </c>
      <c r="B40" s="181">
        <v>14257.42465843</v>
      </c>
      <c r="C40" s="417">
        <v>14144.831820700001</v>
      </c>
      <c r="D40" s="322">
        <f t="shared" si="19"/>
        <v>-0.8</v>
      </c>
      <c r="E40" s="181">
        <v>442.73217808000004</v>
      </c>
      <c r="F40" s="417">
        <v>787.50056674999996</v>
      </c>
      <c r="G40" s="322">
        <f>IF(E40=0, "    ---- ", IF(ABS(ROUND(100/E40*F40-100,1))&lt;999,ROUND(100/E40*F40-100,1),IF(ROUND(100/E40*F40-100,1)&gt;999,999,-999)))</f>
        <v>77.900000000000006</v>
      </c>
      <c r="H40" s="181">
        <v>171.61500599999999</v>
      </c>
      <c r="I40" s="417">
        <v>200.19</v>
      </c>
      <c r="J40" s="322">
        <f t="shared" si="31"/>
        <v>16.7</v>
      </c>
      <c r="K40" s="181"/>
      <c r="L40" s="417">
        <v>25</v>
      </c>
      <c r="M40" s="475" t="str">
        <f>IF(K40=0, "    ---- ", IF(ABS(ROUND(100/K40*L40-100,1))&lt;999,ROUND(100/K40*L40-100,1),IF(ROUND(100/K40*L40-100,1)&gt;999,999,-999)))</f>
        <v xml:space="preserve">    ---- </v>
      </c>
      <c r="N40" s="181">
        <v>209075.56301764998</v>
      </c>
      <c r="O40" s="417">
        <v>251800.86583588002</v>
      </c>
      <c r="P40" s="322">
        <f t="shared" si="30"/>
        <v>20.399999999999999</v>
      </c>
      <c r="Q40" s="181">
        <v>6089.05490654</v>
      </c>
      <c r="R40" s="417">
        <v>6217.2807110600006</v>
      </c>
      <c r="S40" s="322">
        <f t="shared" si="25"/>
        <v>2.1</v>
      </c>
      <c r="T40" s="181">
        <v>45484</v>
      </c>
      <c r="U40" s="417">
        <v>46518</v>
      </c>
      <c r="V40" s="322">
        <f t="shared" si="26"/>
        <v>2.2999999999999998</v>
      </c>
      <c r="W40" s="181">
        <v>3668.2339999999999</v>
      </c>
      <c r="X40" s="417">
        <v>3537.2179999999998</v>
      </c>
      <c r="Y40" s="322">
        <f t="shared" si="27"/>
        <v>-3.6</v>
      </c>
      <c r="Z40" s="649">
        <v>19205</v>
      </c>
      <c r="AA40" s="417">
        <v>20360.124399690019</v>
      </c>
      <c r="AB40" s="322">
        <f t="shared" si="28"/>
        <v>6</v>
      </c>
      <c r="AC40" s="181"/>
      <c r="AD40" s="417"/>
      <c r="AE40" s="322"/>
      <c r="AF40" s="475">
        <f t="shared" si="20"/>
        <v>298393.62376669998</v>
      </c>
      <c r="AG40" s="475">
        <f t="shared" si="20"/>
        <v>343591.01133408002</v>
      </c>
      <c r="AH40" s="322">
        <f t="shared" si="21"/>
        <v>15.1</v>
      </c>
      <c r="AI40" s="475">
        <f t="shared" si="22"/>
        <v>298393.62376669998</v>
      </c>
      <c r="AJ40" s="475">
        <f t="shared" si="22"/>
        <v>343591.01133408002</v>
      </c>
      <c r="AK40" s="418">
        <f t="shared" si="23"/>
        <v>15.1</v>
      </c>
    </row>
    <row r="41" spans="1:37" s="429" customFormat="1" ht="20.100000000000001" customHeight="1" x14ac:dyDescent="0.3">
      <c r="A41" s="692" t="s">
        <v>405</v>
      </c>
      <c r="B41" s="181">
        <v>24416.697528020002</v>
      </c>
      <c r="C41" s="417">
        <v>18297.787152189998</v>
      </c>
      <c r="D41" s="417">
        <f t="shared" si="19"/>
        <v>-25.1</v>
      </c>
      <c r="E41" s="181">
        <v>3665.1173732400002</v>
      </c>
      <c r="F41" s="417">
        <v>2714.7168382300006</v>
      </c>
      <c r="G41" s="417">
        <f>IF(E41=0, "    ---- ", IF(ABS(ROUND(100/E41*F41-100,1))&lt;999,ROUND(100/E41*F41-100,1),IF(ROUND(100/E41*F41-100,1)&gt;999,999,-999)))</f>
        <v>-25.9</v>
      </c>
      <c r="H41" s="181">
        <v>730.76076999999998</v>
      </c>
      <c r="I41" s="417">
        <v>829.16099999999994</v>
      </c>
      <c r="J41" s="417">
        <f>IF(H41=0, "    ---- ", IF(ABS(ROUND(100/H41*I41-100,1))&lt;999,ROUND(100/H41*I41-100,1),IF(ROUND(100/H41*I41-100,1)&gt;999,999,-999)))</f>
        <v>13.5</v>
      </c>
      <c r="K41" s="181">
        <v>360</v>
      </c>
      <c r="L41" s="417">
        <v>655</v>
      </c>
      <c r="M41" s="414">
        <f>IF(K41=0, "    ---- ", IF(ABS(ROUND(100/K41*L41-100,1))&lt;999,ROUND(100/K41*L41-100,1),IF(ROUND(100/K41*L41-100,1)&gt;999,999,-999)))</f>
        <v>81.900000000000006</v>
      </c>
      <c r="N41" s="181">
        <v>95351.59638078</v>
      </c>
      <c r="O41" s="417">
        <v>100296.92146332</v>
      </c>
      <c r="P41" s="322">
        <f t="shared" si="30"/>
        <v>5.2</v>
      </c>
      <c r="Q41" s="181">
        <v>1774.8868466500001</v>
      </c>
      <c r="R41" s="417">
        <v>2096.0176402699999</v>
      </c>
      <c r="S41" s="322">
        <f t="shared" si="25"/>
        <v>18.100000000000001</v>
      </c>
      <c r="T41" s="181">
        <v>26175</v>
      </c>
      <c r="U41" s="417">
        <v>28223</v>
      </c>
      <c r="V41" s="322">
        <f t="shared" si="26"/>
        <v>7.8</v>
      </c>
      <c r="W41" s="181">
        <v>4210.5119999999997</v>
      </c>
      <c r="X41" s="417">
        <v>5179.223</v>
      </c>
      <c r="Y41" s="322">
        <f t="shared" si="27"/>
        <v>23</v>
      </c>
      <c r="Z41" s="649">
        <v>8710</v>
      </c>
      <c r="AA41" s="417">
        <v>9592.5941451399995</v>
      </c>
      <c r="AB41" s="322">
        <f t="shared" si="28"/>
        <v>10.1</v>
      </c>
      <c r="AC41" s="181"/>
      <c r="AD41" s="417">
        <v>16</v>
      </c>
      <c r="AE41" s="322" t="str">
        <f t="shared" si="32"/>
        <v xml:space="preserve">    ---- </v>
      </c>
      <c r="AF41" s="475">
        <f t="shared" si="20"/>
        <v>165394.57089868997</v>
      </c>
      <c r="AG41" s="475">
        <f t="shared" si="20"/>
        <v>167884.42123915002</v>
      </c>
      <c r="AH41" s="322">
        <f t="shared" si="21"/>
        <v>1.5</v>
      </c>
      <c r="AI41" s="475">
        <f t="shared" si="22"/>
        <v>165394.57089868997</v>
      </c>
      <c r="AJ41" s="475">
        <f t="shared" si="22"/>
        <v>167900.42123915002</v>
      </c>
      <c r="AK41" s="418">
        <f t="shared" si="23"/>
        <v>1.5</v>
      </c>
    </row>
    <row r="42" spans="1:37" s="429" customFormat="1" ht="20.100000000000001" customHeight="1" x14ac:dyDescent="0.3">
      <c r="A42" s="529" t="s">
        <v>190</v>
      </c>
      <c r="B42" s="181">
        <v>660.15694379999991</v>
      </c>
      <c r="C42" s="417">
        <v>907.05283759000008</v>
      </c>
      <c r="D42" s="417">
        <f t="shared" si="19"/>
        <v>37.4</v>
      </c>
      <c r="E42" s="181">
        <v>44.848104720000023</v>
      </c>
      <c r="F42" s="417">
        <v>-91.086556729999984</v>
      </c>
      <c r="G42" s="417">
        <f t="shared" ref="G42:G43" si="33">IF(E42=0, "    ---- ", IF(ABS(ROUND(100/E42*F42-100,1))&lt;999,ROUND(100/E42*F42-100,1),IF(ROUND(100/E42*F42-100,1)&gt;999,999,-999)))</f>
        <v>-303.10000000000002</v>
      </c>
      <c r="H42" s="181"/>
      <c r="I42" s="417"/>
      <c r="J42" s="417"/>
      <c r="K42" s="181"/>
      <c r="L42" s="417"/>
      <c r="M42" s="414"/>
      <c r="N42" s="181">
        <v>6688.6429883700002</v>
      </c>
      <c r="O42" s="417">
        <v>13780.4459859</v>
      </c>
      <c r="P42" s="322">
        <f t="shared" si="30"/>
        <v>106</v>
      </c>
      <c r="Q42" s="181"/>
      <c r="R42" s="417"/>
      <c r="S42" s="322"/>
      <c r="T42" s="181">
        <v>697</v>
      </c>
      <c r="U42" s="417">
        <v>3765</v>
      </c>
      <c r="V42" s="322">
        <f t="shared" si="26"/>
        <v>440.2</v>
      </c>
      <c r="W42" s="181">
        <v>-22.683</v>
      </c>
      <c r="X42" s="417">
        <v>33.633000000000003</v>
      </c>
      <c r="Y42" s="322">
        <f t="shared" si="27"/>
        <v>-248.3</v>
      </c>
      <c r="Z42" s="649"/>
      <c r="AA42" s="417"/>
      <c r="AB42" s="322"/>
      <c r="AC42" s="181"/>
      <c r="AD42" s="417"/>
      <c r="AE42" s="322"/>
      <c r="AF42" s="475">
        <f t="shared" si="20"/>
        <v>8067.9650368900002</v>
      </c>
      <c r="AG42" s="475">
        <f t="shared" si="20"/>
        <v>18395.045266760004</v>
      </c>
      <c r="AH42" s="322">
        <f t="shared" si="21"/>
        <v>128</v>
      </c>
      <c r="AI42" s="475">
        <f t="shared" si="22"/>
        <v>8067.9650368900002</v>
      </c>
      <c r="AJ42" s="475">
        <f t="shared" si="22"/>
        <v>18395.045266760004</v>
      </c>
      <c r="AK42" s="418">
        <f t="shared" si="23"/>
        <v>128</v>
      </c>
    </row>
    <row r="43" spans="1:37" s="429" customFormat="1" ht="20.100000000000001" customHeight="1" x14ac:dyDescent="0.3">
      <c r="A43" s="529" t="s">
        <v>191</v>
      </c>
      <c r="B43" s="181">
        <v>211.39162721</v>
      </c>
      <c r="C43" s="417">
        <v>382.79243398</v>
      </c>
      <c r="D43" s="417">
        <f t="shared" si="19"/>
        <v>81.099999999999994</v>
      </c>
      <c r="E43" s="181">
        <v>2.8802025300000014</v>
      </c>
      <c r="F43" s="417">
        <v>0</v>
      </c>
      <c r="G43" s="417">
        <f t="shared" si="33"/>
        <v>-100</v>
      </c>
      <c r="H43" s="181"/>
      <c r="I43" s="417"/>
      <c r="J43" s="417"/>
      <c r="K43" s="181"/>
      <c r="L43" s="417"/>
      <c r="M43" s="414"/>
      <c r="N43" s="181">
        <v>2078.0228559500001</v>
      </c>
      <c r="O43" s="417">
        <v>2268.0742301099999</v>
      </c>
      <c r="P43" s="322">
        <f t="shared" si="30"/>
        <v>9.1</v>
      </c>
      <c r="Q43" s="181">
        <v>33.728605299999998</v>
      </c>
      <c r="R43" s="417">
        <v>37.068926140000002</v>
      </c>
      <c r="S43" s="322">
        <f t="shared" si="25"/>
        <v>9.9</v>
      </c>
      <c r="T43" s="181">
        <v>150</v>
      </c>
      <c r="U43" s="417">
        <v>474</v>
      </c>
      <c r="V43" s="322">
        <f>IF(T43=0, "    ---- ", IF(ABS(ROUND(100/T43*U43-100,1))&lt;999,ROUND(100/T43*U43-100,1),IF(ROUND(100/T43*U43-100,1)&gt;999,999,-999)))</f>
        <v>216</v>
      </c>
      <c r="W43" s="181">
        <v>0.375</v>
      </c>
      <c r="X43" s="417">
        <v>5.2389999999999999</v>
      </c>
      <c r="Y43" s="322">
        <f t="shared" si="27"/>
        <v>999</v>
      </c>
      <c r="Z43" s="649">
        <v>2900</v>
      </c>
      <c r="AA43" s="417">
        <v>1325.7972317700005</v>
      </c>
      <c r="AB43" s="322">
        <f t="shared" si="28"/>
        <v>-54.3</v>
      </c>
      <c r="AC43" s="181"/>
      <c r="AD43" s="417"/>
      <c r="AE43" s="322"/>
      <c r="AF43" s="475">
        <f t="shared" si="20"/>
        <v>5376.3982909900005</v>
      </c>
      <c r="AG43" s="475">
        <f t="shared" si="20"/>
        <v>4492.9718220000004</v>
      </c>
      <c r="AH43" s="322">
        <f t="shared" si="21"/>
        <v>-16.399999999999999</v>
      </c>
      <c r="AI43" s="475">
        <f t="shared" si="22"/>
        <v>5376.3982909900005</v>
      </c>
      <c r="AJ43" s="475">
        <f t="shared" si="22"/>
        <v>4492.9718220000004</v>
      </c>
      <c r="AK43" s="418">
        <f t="shared" si="23"/>
        <v>-16.399999999999999</v>
      </c>
    </row>
    <row r="44" spans="1:37" s="429" customFormat="1" ht="20.100000000000001" customHeight="1" x14ac:dyDescent="0.3">
      <c r="A44" s="529" t="s">
        <v>192</v>
      </c>
      <c r="B44" s="181">
        <v>968.47390079999968</v>
      </c>
      <c r="C44" s="417">
        <v>1080.0568089999999</v>
      </c>
      <c r="D44" s="417">
        <f t="shared" si="19"/>
        <v>11.5</v>
      </c>
      <c r="E44" s="181">
        <v>318.58202303999997</v>
      </c>
      <c r="F44" s="417">
        <v>20.267812960000001</v>
      </c>
      <c r="G44" s="417">
        <f>IF(E44=0, "    ---- ", IF(ABS(ROUND(100/E44*F44-100,1))&lt;999,ROUND(100/E44*F44-100,1),IF(ROUND(100/E44*F44-100,1)&gt;999,999,-999)))</f>
        <v>-93.6</v>
      </c>
      <c r="H44" s="181">
        <v>236.469956</v>
      </c>
      <c r="I44" s="417">
        <v>282.447</v>
      </c>
      <c r="J44" s="417">
        <f t="shared" si="31"/>
        <v>19.399999999999999</v>
      </c>
      <c r="K44" s="181">
        <v>18</v>
      </c>
      <c r="L44" s="417">
        <v>19</v>
      </c>
      <c r="M44" s="414">
        <f>IF(K44=0, "    ---- ", IF(ABS(ROUND(100/K44*L44-100,1))&lt;999,ROUND(100/K44*L44-100,1),IF(ROUND(100/K44*L44-100,1)&gt;999,999,-999)))</f>
        <v>5.6</v>
      </c>
      <c r="N44" s="181">
        <v>17434.91782576</v>
      </c>
      <c r="O44" s="417">
        <v>3384.0573702800002</v>
      </c>
      <c r="P44" s="322">
        <f t="shared" si="30"/>
        <v>-80.599999999999994</v>
      </c>
      <c r="Q44" s="181">
        <v>209.62195496000001</v>
      </c>
      <c r="R44" s="417">
        <v>497.02620166000003</v>
      </c>
      <c r="S44" s="322">
        <f t="shared" si="25"/>
        <v>137.1</v>
      </c>
      <c r="T44" s="181"/>
      <c r="U44" s="417"/>
      <c r="V44" s="322"/>
      <c r="W44" s="181">
        <v>126.43600000000001</v>
      </c>
      <c r="X44" s="417">
        <v>238.31200000000001</v>
      </c>
      <c r="Y44" s="322">
        <f t="shared" si="27"/>
        <v>88.5</v>
      </c>
      <c r="Z44" s="649"/>
      <c r="AA44" s="417"/>
      <c r="AB44" s="322"/>
      <c r="AC44" s="181"/>
      <c r="AD44" s="417"/>
      <c r="AE44" s="322"/>
      <c r="AF44" s="475">
        <f t="shared" si="20"/>
        <v>19312.501660559999</v>
      </c>
      <c r="AG44" s="475">
        <f t="shared" si="20"/>
        <v>5521.1671938999998</v>
      </c>
      <c r="AH44" s="322">
        <f t="shared" si="21"/>
        <v>-71.400000000000006</v>
      </c>
      <c r="AI44" s="475">
        <f t="shared" si="22"/>
        <v>19312.501660559999</v>
      </c>
      <c r="AJ44" s="475">
        <f t="shared" si="22"/>
        <v>5521.1671938999998</v>
      </c>
      <c r="AK44" s="418">
        <f t="shared" si="23"/>
        <v>-71.400000000000006</v>
      </c>
    </row>
    <row r="45" spans="1:37" s="429" customFormat="1" ht="20.100000000000001" customHeight="1" x14ac:dyDescent="0.3">
      <c r="A45" s="565" t="s">
        <v>193</v>
      </c>
      <c r="B45" s="181">
        <f>SUM(B33+B34+B35+B39)</f>
        <v>193027.97118747002</v>
      </c>
      <c r="C45" s="417">
        <f>SUM(C33+C34+C35+C39)</f>
        <v>189009.06625659997</v>
      </c>
      <c r="D45" s="322">
        <f t="shared" si="19"/>
        <v>-2.1</v>
      </c>
      <c r="E45" s="181">
        <f>SUM(E33+E34+E35+E39)</f>
        <v>8573.3264907300018</v>
      </c>
      <c r="F45" s="417">
        <f>SUM(F33+F34+F35+F39)</f>
        <v>9405.93589393</v>
      </c>
      <c r="G45" s="322">
        <f>IF(E45=0, "    ---- ", IF(ABS(ROUND(100/E45*F45-100,1))&lt;999,ROUND(100/E45*F45-100,1),IF(ROUND(100/E45*F45-100,1)&gt;999,999,-999)))</f>
        <v>9.6999999999999993</v>
      </c>
      <c r="H45" s="181">
        <f>SUM(H33+H34+H35+H39)</f>
        <v>1646.812514</v>
      </c>
      <c r="I45" s="417">
        <f>SUM(I33+I34+I35+I39)</f>
        <v>1887.9399999999998</v>
      </c>
      <c r="J45" s="322">
        <f t="shared" si="31"/>
        <v>14.6</v>
      </c>
      <c r="K45" s="181">
        <f>SUM(K33+K34+K35+K39)</f>
        <v>8615</v>
      </c>
      <c r="L45" s="417">
        <f>SUM(L33+L34+L35+L39)</f>
        <v>9531</v>
      </c>
      <c r="M45" s="414">
        <f>IF(K45=0, "    ---- ", IF(ABS(ROUND(100/K45*L45-100,1))&lt;999,ROUND(100/K45*L45-100,1),IF(ROUND(100/K45*L45-100,1)&gt;999,999,-999)))</f>
        <v>10.6</v>
      </c>
      <c r="N45" s="181">
        <v>701943.53817261988</v>
      </c>
      <c r="O45" s="417">
        <v>761757.44124422991</v>
      </c>
      <c r="P45" s="322">
        <f t="shared" si="30"/>
        <v>8.5</v>
      </c>
      <c r="Q45" s="181">
        <f>SUM(Q33+Q34+Q35+Q39)</f>
        <v>55584.564805690003</v>
      </c>
      <c r="R45" s="417">
        <f>SUM(R33+R34+R35+R39)</f>
        <v>55461.211000419906</v>
      </c>
      <c r="S45" s="322">
        <f t="shared" si="25"/>
        <v>-0.2</v>
      </c>
      <c r="T45" s="181">
        <f>SUM(T33+T34+T35+T39)</f>
        <v>120464</v>
      </c>
      <c r="U45" s="417">
        <f>SUM(U33+U34+U35+U39)</f>
        <v>128162</v>
      </c>
      <c r="V45" s="322">
        <f>IF(T45=0, "    ---- ", IF(ABS(ROUND(100/T45*U45-100,1))&lt;999,ROUND(100/T45*U45-100,1),IF(ROUND(100/T45*U45-100,1)&gt;999,999,-999)))</f>
        <v>6.4</v>
      </c>
      <c r="W45" s="181">
        <f>SUM(W33+W34+W35+W39)</f>
        <v>23463.912</v>
      </c>
      <c r="X45" s="417">
        <f>SUM(X33+X34+X35+X39)</f>
        <v>24054.57</v>
      </c>
      <c r="Y45" s="322">
        <f t="shared" si="27"/>
        <v>2.5</v>
      </c>
      <c r="Z45" s="649">
        <f>SUM(Z33+Z34+Z35+Z39)</f>
        <v>209203</v>
      </c>
      <c r="AA45" s="417">
        <f>SUM(AA33+AA34+AA35+AA39)</f>
        <v>217005.82569597018</v>
      </c>
      <c r="AB45" s="322">
        <f t="shared" si="28"/>
        <v>3.7</v>
      </c>
      <c r="AC45" s="181"/>
      <c r="AD45" s="417">
        <f>SUM(AD33+AD34+AD35+AD39)</f>
        <v>16</v>
      </c>
      <c r="AE45" s="322" t="str">
        <f t="shared" si="32"/>
        <v xml:space="preserve">    ---- </v>
      </c>
      <c r="AF45" s="475">
        <f t="shared" si="20"/>
        <v>1322522.1251705098</v>
      </c>
      <c r="AG45" s="475">
        <f t="shared" si="20"/>
        <v>1396274.9900911499</v>
      </c>
      <c r="AH45" s="322">
        <f t="shared" si="21"/>
        <v>5.6</v>
      </c>
      <c r="AI45" s="475">
        <f t="shared" si="22"/>
        <v>1322522.1251705098</v>
      </c>
      <c r="AJ45" s="475">
        <f t="shared" si="22"/>
        <v>1396290.9900911499</v>
      </c>
      <c r="AK45" s="418">
        <f t="shared" si="23"/>
        <v>5.6</v>
      </c>
    </row>
    <row r="46" spans="1:37" s="429" customFormat="1" ht="20.100000000000001" customHeight="1" x14ac:dyDescent="0.3">
      <c r="A46" s="541" t="s">
        <v>298</v>
      </c>
      <c r="B46" s="181">
        <v>481.29363124999998</v>
      </c>
      <c r="C46" s="417">
        <v>526.41210591000004</v>
      </c>
      <c r="D46" s="417">
        <f t="shared" si="19"/>
        <v>9.4</v>
      </c>
      <c r="E46" s="181">
        <v>499.53108083999996</v>
      </c>
      <c r="F46" s="417">
        <v>422.64958819999998</v>
      </c>
      <c r="G46" s="322">
        <f>IF(E46=0, "    ---- ", IF(ABS(ROUND(100/E46*F46-100,1))&lt;999,ROUND(100/E46*F46-100,1),IF(ROUND(100/E46*F46-100,1)&gt;999,999,-999)))</f>
        <v>-15.4</v>
      </c>
      <c r="H46" s="181">
        <v>106.968484</v>
      </c>
      <c r="I46" s="417">
        <v>129.97800000000001</v>
      </c>
      <c r="J46" s="322">
        <f t="shared" si="31"/>
        <v>21.5</v>
      </c>
      <c r="K46" s="181">
        <v>691</v>
      </c>
      <c r="L46" s="417">
        <v>927</v>
      </c>
      <c r="M46" s="414">
        <f>IF(K46=0, "    ---- ", IF(ABS(ROUND(100/K46*L46-100,1))&lt;999,ROUND(100/K46*L46-100,1),IF(ROUND(100/K46*L46-100,1)&gt;999,999,-999)))</f>
        <v>34.200000000000003</v>
      </c>
      <c r="N46" s="181"/>
      <c r="O46" s="417"/>
      <c r="P46" s="322"/>
      <c r="Q46" s="181">
        <v>75.099999999999994</v>
      </c>
      <c r="R46" s="417">
        <v>65.900000000000006</v>
      </c>
      <c r="S46" s="322">
        <f t="shared" si="25"/>
        <v>-12.3</v>
      </c>
      <c r="T46" s="181"/>
      <c r="U46" s="417"/>
      <c r="V46" s="322"/>
      <c r="W46" s="181">
        <v>10.821999999999999</v>
      </c>
      <c r="X46" s="417">
        <v>12.224</v>
      </c>
      <c r="Y46" s="322">
        <f t="shared" si="27"/>
        <v>13</v>
      </c>
      <c r="Z46" s="649">
        <v>178</v>
      </c>
      <c r="AA46" s="417">
        <v>164.19961107000006</v>
      </c>
      <c r="AB46" s="322">
        <f t="shared" si="28"/>
        <v>-7.8</v>
      </c>
      <c r="AC46" s="181"/>
      <c r="AD46" s="417"/>
      <c r="AE46" s="322"/>
      <c r="AF46" s="475">
        <f t="shared" si="20"/>
        <v>2042.7151960899998</v>
      </c>
      <c r="AG46" s="475">
        <f t="shared" si="20"/>
        <v>2248.3633051800002</v>
      </c>
      <c r="AH46" s="322">
        <f t="shared" si="21"/>
        <v>10.1</v>
      </c>
      <c r="AI46" s="475">
        <f t="shared" si="22"/>
        <v>2042.7151960899998</v>
      </c>
      <c r="AJ46" s="475">
        <f t="shared" si="22"/>
        <v>2248.3633051800002</v>
      </c>
      <c r="AK46" s="418">
        <f t="shared" si="23"/>
        <v>10.1</v>
      </c>
    </row>
    <row r="47" spans="1:37" s="429" customFormat="1" ht="20.100000000000001" customHeight="1" x14ac:dyDescent="0.3">
      <c r="A47" s="541" t="s">
        <v>194</v>
      </c>
      <c r="B47" s="181"/>
      <c r="C47" s="417"/>
      <c r="D47" s="417"/>
      <c r="E47" s="181"/>
      <c r="F47" s="417"/>
      <c r="G47" s="417"/>
      <c r="H47" s="181"/>
      <c r="I47" s="417"/>
      <c r="J47" s="417"/>
      <c r="K47" s="181"/>
      <c r="L47" s="417"/>
      <c r="M47" s="414"/>
      <c r="N47" s="181"/>
      <c r="O47" s="417"/>
      <c r="P47" s="322"/>
      <c r="Q47" s="181"/>
      <c r="R47" s="417"/>
      <c r="S47" s="322"/>
      <c r="T47" s="181"/>
      <c r="U47" s="417"/>
      <c r="V47" s="322"/>
      <c r="W47" s="181"/>
      <c r="X47" s="417"/>
      <c r="Y47" s="322"/>
      <c r="Z47" s="649"/>
      <c r="AA47" s="417"/>
      <c r="AB47" s="322"/>
      <c r="AC47" s="181"/>
      <c r="AD47" s="417"/>
      <c r="AE47" s="322"/>
      <c r="AF47" s="414"/>
      <c r="AG47" s="414"/>
      <c r="AH47" s="322"/>
      <c r="AI47" s="414"/>
      <c r="AJ47" s="414"/>
      <c r="AK47" s="418"/>
    </row>
    <row r="48" spans="1:37" s="429" customFormat="1" ht="20.100000000000001" customHeight="1" x14ac:dyDescent="0.3">
      <c r="A48" s="529" t="s">
        <v>195</v>
      </c>
      <c r="B48" s="181"/>
      <c r="C48" s="417"/>
      <c r="D48" s="417"/>
      <c r="E48" s="181"/>
      <c r="F48" s="417"/>
      <c r="G48" s="417"/>
      <c r="H48" s="181"/>
      <c r="I48" s="417"/>
      <c r="J48" s="417"/>
      <c r="K48" s="181"/>
      <c r="L48" s="417"/>
      <c r="M48" s="414"/>
      <c r="N48" s="181"/>
      <c r="O48" s="417"/>
      <c r="P48" s="322"/>
      <c r="Q48" s="181"/>
      <c r="R48" s="417"/>
      <c r="S48" s="322"/>
      <c r="T48" s="181"/>
      <c r="U48" s="417"/>
      <c r="V48" s="322"/>
      <c r="W48" s="181"/>
      <c r="X48" s="417"/>
      <c r="Y48" s="322"/>
      <c r="Z48" s="649"/>
      <c r="AA48" s="417"/>
      <c r="AB48" s="322"/>
      <c r="AC48" s="181"/>
      <c r="AD48" s="417"/>
      <c r="AE48" s="322"/>
      <c r="AF48" s="475">
        <f t="shared" ref="AF48:AG62" si="34">B48+E48+H48+K48+N48+Q48+T48+W48+Z48</f>
        <v>0</v>
      </c>
      <c r="AG48" s="475">
        <f t="shared" si="34"/>
        <v>0</v>
      </c>
      <c r="AH48" s="322" t="str">
        <f t="shared" si="21"/>
        <v xml:space="preserve">    ---- </v>
      </c>
      <c r="AI48" s="475">
        <f t="shared" ref="AI48:AJ62" si="35">B48+E48+H48+K48+N48+Q48+T48+W48+Z48+AC48</f>
        <v>0</v>
      </c>
      <c r="AJ48" s="475">
        <f t="shared" si="35"/>
        <v>0</v>
      </c>
      <c r="AK48" s="418" t="str">
        <f t="shared" si="23"/>
        <v xml:space="preserve">    ---- </v>
      </c>
    </row>
    <row r="49" spans="1:37" s="429" customFormat="1" ht="20.100000000000001" customHeight="1" x14ac:dyDescent="0.3">
      <c r="A49" s="529" t="s">
        <v>196</v>
      </c>
      <c r="B49" s="181">
        <v>4512.2886625299998</v>
      </c>
      <c r="C49" s="417">
        <v>5737.9454639730002</v>
      </c>
      <c r="D49" s="417">
        <f t="shared" si="19"/>
        <v>27.2</v>
      </c>
      <c r="E49" s="181"/>
      <c r="F49" s="417"/>
      <c r="G49" s="417"/>
      <c r="H49" s="181"/>
      <c r="I49" s="417"/>
      <c r="J49" s="417"/>
      <c r="K49" s="181">
        <v>2050</v>
      </c>
      <c r="L49" s="417">
        <v>2283</v>
      </c>
      <c r="M49" s="414">
        <f>IF(K49=0, "    ---- ", IF(ABS(ROUND(100/K49*L49-100,1))&lt;999,ROUND(100/K49*L49-100,1),IF(ROUND(100/K49*L49-100,1)&gt;999,999,-999)))</f>
        <v>11.4</v>
      </c>
      <c r="N49" s="181">
        <v>370.23228183999998</v>
      </c>
      <c r="O49" s="417">
        <v>369.92063683999999</v>
      </c>
      <c r="P49" s="322">
        <f t="shared" ref="P49:P60" si="36">IF(N49=0, "    ---- ", IF(ABS(ROUND(100/N49*O49-100,1))&lt;999,ROUND(100/N49*O49-100,1),IF(ROUND(100/N49*O49-100,1)&gt;999,999,-999)))</f>
        <v>-0.1</v>
      </c>
      <c r="Q49" s="181">
        <v>3327.87</v>
      </c>
      <c r="R49" s="417">
        <v>2741.11</v>
      </c>
      <c r="S49" s="322">
        <f t="shared" si="25"/>
        <v>-17.600000000000001</v>
      </c>
      <c r="T49" s="181"/>
      <c r="U49" s="417"/>
      <c r="V49" s="322"/>
      <c r="W49" s="181">
        <v>845.33199999999999</v>
      </c>
      <c r="X49" s="417">
        <v>1211.0070000000001</v>
      </c>
      <c r="Y49" s="322">
        <f t="shared" si="27"/>
        <v>43.3</v>
      </c>
      <c r="Z49" s="649">
        <v>6502</v>
      </c>
      <c r="AA49" s="417">
        <v>7313.7450539900001</v>
      </c>
      <c r="AB49" s="322">
        <f t="shared" si="28"/>
        <v>12.5</v>
      </c>
      <c r="AC49" s="181"/>
      <c r="AD49" s="417"/>
      <c r="AE49" s="322"/>
      <c r="AF49" s="475">
        <f t="shared" si="34"/>
        <v>17607.722944369998</v>
      </c>
      <c r="AG49" s="475">
        <f t="shared" si="34"/>
        <v>19656.728154803001</v>
      </c>
      <c r="AH49" s="322">
        <f t="shared" si="21"/>
        <v>11.6</v>
      </c>
      <c r="AI49" s="475">
        <f t="shared" si="35"/>
        <v>17607.722944369998</v>
      </c>
      <c r="AJ49" s="475">
        <f t="shared" si="35"/>
        <v>19656.728154803001</v>
      </c>
      <c r="AK49" s="418">
        <f t="shared" si="23"/>
        <v>11.6</v>
      </c>
    </row>
    <row r="50" spans="1:37" s="429" customFormat="1" ht="20.100000000000001" customHeight="1" x14ac:dyDescent="0.3">
      <c r="A50" s="529" t="s">
        <v>197</v>
      </c>
      <c r="B50" s="181"/>
      <c r="C50" s="417"/>
      <c r="D50" s="417"/>
      <c r="E50" s="181"/>
      <c r="F50" s="417"/>
      <c r="G50" s="417"/>
      <c r="H50" s="181"/>
      <c r="I50" s="417"/>
      <c r="J50" s="417"/>
      <c r="K50" s="181"/>
      <c r="L50" s="417"/>
      <c r="M50" s="414"/>
      <c r="N50" s="181">
        <v>972.33093252999993</v>
      </c>
      <c r="O50" s="417">
        <v>1007.1773190399999</v>
      </c>
      <c r="P50" s="322">
        <f t="shared" si="36"/>
        <v>3.6</v>
      </c>
      <c r="Q50" s="181"/>
      <c r="R50" s="417"/>
      <c r="S50" s="322"/>
      <c r="T50" s="181"/>
      <c r="U50" s="417"/>
      <c r="V50" s="322"/>
      <c r="W50" s="181"/>
      <c r="X50" s="417"/>
      <c r="Y50" s="322"/>
      <c r="Z50" s="649">
        <f>SUM(Z51+Z53)</f>
        <v>1404</v>
      </c>
      <c r="AA50" s="417">
        <f>SUM(AA51+AA53)</f>
        <v>1760.8686822100003</v>
      </c>
      <c r="AB50" s="322">
        <f t="shared" si="28"/>
        <v>25.4</v>
      </c>
      <c r="AC50" s="181"/>
      <c r="AD50" s="417"/>
      <c r="AE50" s="322"/>
      <c r="AF50" s="475">
        <f t="shared" si="34"/>
        <v>2376.3309325299997</v>
      </c>
      <c r="AG50" s="475">
        <f t="shared" si="34"/>
        <v>2768.0460012500002</v>
      </c>
      <c r="AH50" s="322">
        <f t="shared" si="21"/>
        <v>16.5</v>
      </c>
      <c r="AI50" s="475">
        <f t="shared" si="35"/>
        <v>2376.3309325299997</v>
      </c>
      <c r="AJ50" s="475">
        <f t="shared" si="35"/>
        <v>2768.0460012500002</v>
      </c>
      <c r="AK50" s="418">
        <f t="shared" si="23"/>
        <v>16.5</v>
      </c>
    </row>
    <row r="51" spans="1:37" s="429" customFormat="1" ht="20.100000000000001" customHeight="1" x14ac:dyDescent="0.3">
      <c r="A51" s="692" t="s">
        <v>406</v>
      </c>
      <c r="B51" s="181"/>
      <c r="C51" s="417"/>
      <c r="D51" s="322"/>
      <c r="E51" s="181"/>
      <c r="F51" s="417"/>
      <c r="G51" s="322"/>
      <c r="H51" s="181"/>
      <c r="I51" s="417"/>
      <c r="J51" s="322"/>
      <c r="K51" s="181"/>
      <c r="L51" s="417"/>
      <c r="M51" s="414"/>
      <c r="N51" s="181">
        <v>972.33093252999993</v>
      </c>
      <c r="O51" s="417">
        <v>1007.1773190399999</v>
      </c>
      <c r="P51" s="322">
        <f t="shared" si="36"/>
        <v>3.6</v>
      </c>
      <c r="Q51" s="181"/>
      <c r="R51" s="417"/>
      <c r="S51" s="322"/>
      <c r="T51" s="181"/>
      <c r="U51" s="417"/>
      <c r="V51" s="322"/>
      <c r="W51" s="181"/>
      <c r="X51" s="417"/>
      <c r="Y51" s="322"/>
      <c r="Z51" s="649"/>
      <c r="AA51" s="417"/>
      <c r="AB51" s="322"/>
      <c r="AC51" s="181"/>
      <c r="AD51" s="417"/>
      <c r="AE51" s="322"/>
      <c r="AF51" s="475">
        <f t="shared" si="34"/>
        <v>972.33093252999993</v>
      </c>
      <c r="AG51" s="475">
        <f t="shared" si="34"/>
        <v>1007.1773190399999</v>
      </c>
      <c r="AH51" s="322">
        <f t="shared" si="21"/>
        <v>3.6</v>
      </c>
      <c r="AI51" s="475">
        <f t="shared" si="35"/>
        <v>972.33093252999993</v>
      </c>
      <c r="AJ51" s="475">
        <f t="shared" si="35"/>
        <v>1007.1773190399999</v>
      </c>
      <c r="AK51" s="418">
        <f t="shared" si="23"/>
        <v>3.6</v>
      </c>
    </row>
    <row r="52" spans="1:37" s="429" customFormat="1" ht="20.100000000000001" customHeight="1" x14ac:dyDescent="0.3">
      <c r="A52" s="529" t="s">
        <v>171</v>
      </c>
      <c r="B52" s="181"/>
      <c r="C52" s="417"/>
      <c r="D52" s="417"/>
      <c r="E52" s="181"/>
      <c r="F52" s="417"/>
      <c r="G52" s="417"/>
      <c r="H52" s="181"/>
      <c r="I52" s="417"/>
      <c r="J52" s="417"/>
      <c r="K52" s="181"/>
      <c r="L52" s="417"/>
      <c r="M52" s="475"/>
      <c r="N52" s="181">
        <v>972.33093252999993</v>
      </c>
      <c r="O52" s="417">
        <v>1007.1773190399999</v>
      </c>
      <c r="P52" s="322">
        <f t="shared" si="36"/>
        <v>3.6</v>
      </c>
      <c r="Q52" s="181"/>
      <c r="R52" s="417"/>
      <c r="S52" s="417"/>
      <c r="T52" s="181"/>
      <c r="U52" s="417"/>
      <c r="V52" s="417"/>
      <c r="W52" s="181"/>
      <c r="X52" s="417"/>
      <c r="Y52" s="417"/>
      <c r="Z52" s="649"/>
      <c r="AA52" s="417"/>
      <c r="AB52" s="417"/>
      <c r="AC52" s="181"/>
      <c r="AD52" s="417"/>
      <c r="AE52" s="417"/>
      <c r="AF52" s="475">
        <f t="shared" si="34"/>
        <v>972.33093252999993</v>
      </c>
      <c r="AG52" s="475">
        <f t="shared" si="34"/>
        <v>1007.1773190399999</v>
      </c>
      <c r="AH52" s="417">
        <f t="shared" si="21"/>
        <v>3.6</v>
      </c>
      <c r="AI52" s="475">
        <f t="shared" si="35"/>
        <v>972.33093252999993</v>
      </c>
      <c r="AJ52" s="475">
        <f t="shared" si="35"/>
        <v>1007.1773190399999</v>
      </c>
      <c r="AK52" s="566">
        <f t="shared" si="23"/>
        <v>3.6</v>
      </c>
    </row>
    <row r="53" spans="1:37" s="429" customFormat="1" ht="20.100000000000001" customHeight="1" x14ac:dyDescent="0.3">
      <c r="A53" s="529" t="s">
        <v>198</v>
      </c>
      <c r="B53" s="181"/>
      <c r="C53" s="417"/>
      <c r="D53" s="417"/>
      <c r="E53" s="181"/>
      <c r="F53" s="417"/>
      <c r="G53" s="417"/>
      <c r="H53" s="181"/>
      <c r="I53" s="417"/>
      <c r="J53" s="417"/>
      <c r="K53" s="181"/>
      <c r="L53" s="417"/>
      <c r="M53" s="414"/>
      <c r="N53" s="181"/>
      <c r="O53" s="417"/>
      <c r="P53" s="322"/>
      <c r="Q53" s="181"/>
      <c r="R53" s="417"/>
      <c r="S53" s="322"/>
      <c r="T53" s="181"/>
      <c r="U53" s="417"/>
      <c r="V53" s="322"/>
      <c r="W53" s="181"/>
      <c r="X53" s="417"/>
      <c r="Y53" s="322"/>
      <c r="Z53" s="649">
        <f>188+569+647</f>
        <v>1404</v>
      </c>
      <c r="AA53" s="417">
        <v>1760.8686822100003</v>
      </c>
      <c r="AB53" s="322">
        <f t="shared" si="28"/>
        <v>25.4</v>
      </c>
      <c r="AC53" s="181"/>
      <c r="AD53" s="417"/>
      <c r="AE53" s="322"/>
      <c r="AF53" s="475">
        <f t="shared" si="34"/>
        <v>1404</v>
      </c>
      <c r="AG53" s="475">
        <f t="shared" si="34"/>
        <v>1760.8686822100003</v>
      </c>
      <c r="AH53" s="322">
        <f t="shared" si="21"/>
        <v>25.4</v>
      </c>
      <c r="AI53" s="475">
        <f t="shared" si="35"/>
        <v>1404</v>
      </c>
      <c r="AJ53" s="475">
        <f t="shared" si="35"/>
        <v>1760.8686822100003</v>
      </c>
      <c r="AK53" s="418">
        <f t="shared" si="23"/>
        <v>25.4</v>
      </c>
    </row>
    <row r="54" spans="1:37" s="429" customFormat="1" ht="20.100000000000001" customHeight="1" x14ac:dyDescent="0.3">
      <c r="A54" s="529" t="s">
        <v>199</v>
      </c>
      <c r="B54" s="181">
        <f>SUM(B55:B59)</f>
        <v>147925.0127067042</v>
      </c>
      <c r="C54" s="417">
        <f>SUM(C55+C56+C57+C58+C59)</f>
        <v>181269.529450887</v>
      </c>
      <c r="D54" s="417">
        <f t="shared" si="19"/>
        <v>22.5</v>
      </c>
      <c r="E54" s="181"/>
      <c r="F54" s="417"/>
      <c r="G54" s="417"/>
      <c r="H54" s="181"/>
      <c r="I54" s="417"/>
      <c r="J54" s="417"/>
      <c r="K54" s="181">
        <f>SUM(K55:K59)</f>
        <v>52321</v>
      </c>
      <c r="L54" s="417">
        <f>SUM(L55+L56+L57+L58+L59)</f>
        <v>67190</v>
      </c>
      <c r="M54" s="475">
        <f>IF(K54=0, "    ---- ", IF(ABS(ROUND(100/K54*L54-100,1))&lt;999,ROUND(100/K54*L54-100,1),IF(ROUND(100/K54*L54-100,1)&gt;999,999,-999)))</f>
        <v>28.4</v>
      </c>
      <c r="N54" s="181">
        <v>1490.4358885699999</v>
      </c>
      <c r="O54" s="417">
        <v>1686.6041401799998</v>
      </c>
      <c r="P54" s="417">
        <f t="shared" si="36"/>
        <v>13.2</v>
      </c>
      <c r="Q54" s="181">
        <f>SUM(Q55:Q59)</f>
        <v>133927.70000000001</v>
      </c>
      <c r="R54" s="417">
        <f>SUM(R55+R56+R57+R58+R59)</f>
        <v>164835.02000000002</v>
      </c>
      <c r="S54" s="417">
        <f t="shared" si="25"/>
        <v>23.1</v>
      </c>
      <c r="T54" s="181"/>
      <c r="U54" s="417"/>
      <c r="V54" s="417"/>
      <c r="W54" s="181">
        <f>SUM(W55:W59)</f>
        <v>61461.239999999991</v>
      </c>
      <c r="X54" s="417">
        <f>SUM(X55+X56+X57+X58+X59)</f>
        <v>75805.895999999993</v>
      </c>
      <c r="Y54" s="417">
        <f t="shared" si="27"/>
        <v>23.3</v>
      </c>
      <c r="Z54" s="649">
        <f>138957+49732+129+463</f>
        <v>189281</v>
      </c>
      <c r="AA54" s="417">
        <f>SUM(AA55+AA56+AA57+AA58+AA59)</f>
        <v>223127.87794898002</v>
      </c>
      <c r="AB54" s="417">
        <f t="shared" si="28"/>
        <v>17.899999999999999</v>
      </c>
      <c r="AC54" s="181"/>
      <c r="AD54" s="417"/>
      <c r="AE54" s="417"/>
      <c r="AF54" s="475">
        <f t="shared" si="34"/>
        <v>586406.38859527418</v>
      </c>
      <c r="AG54" s="475">
        <f t="shared" si="34"/>
        <v>713914.92754004709</v>
      </c>
      <c r="AH54" s="417">
        <f t="shared" si="21"/>
        <v>21.7</v>
      </c>
      <c r="AI54" s="475">
        <f t="shared" si="35"/>
        <v>586406.38859527418</v>
      </c>
      <c r="AJ54" s="475">
        <f t="shared" si="35"/>
        <v>713914.92754004709</v>
      </c>
      <c r="AK54" s="566">
        <f t="shared" si="23"/>
        <v>21.7</v>
      </c>
    </row>
    <row r="55" spans="1:37" s="429" customFormat="1" ht="20.100000000000001" customHeight="1" x14ac:dyDescent="0.3">
      <c r="A55" s="529" t="s">
        <v>200</v>
      </c>
      <c r="B55" s="181">
        <v>91479.145016017937</v>
      </c>
      <c r="C55" s="417">
        <v>117070.432855637</v>
      </c>
      <c r="D55" s="417">
        <f t="shared" si="19"/>
        <v>28</v>
      </c>
      <c r="E55" s="181"/>
      <c r="F55" s="417"/>
      <c r="G55" s="417"/>
      <c r="H55" s="181"/>
      <c r="I55" s="417"/>
      <c r="J55" s="417"/>
      <c r="K55" s="181">
        <v>43811</v>
      </c>
      <c r="L55" s="417">
        <v>56614</v>
      </c>
      <c r="M55" s="414">
        <f>IF(K55=0, "    ---- ", IF(ABS(ROUND(100/K55*L55-100,1))&lt;999,ROUND(100/K55*L55-100,1),IF(ROUND(100/K55*L55-100,1)&gt;999,999,-999)))</f>
        <v>29.2</v>
      </c>
      <c r="N55" s="181">
        <v>1079.0102503599999</v>
      </c>
      <c r="O55" s="417">
        <v>1258.1522379800001</v>
      </c>
      <c r="P55" s="322">
        <f t="shared" si="36"/>
        <v>16.600000000000001</v>
      </c>
      <c r="Q55" s="181">
        <v>86010.63</v>
      </c>
      <c r="R55" s="417">
        <v>109866.82000000002</v>
      </c>
      <c r="S55" s="322">
        <f t="shared" si="25"/>
        <v>27.7</v>
      </c>
      <c r="T55" s="181"/>
      <c r="U55" s="417"/>
      <c r="V55" s="322"/>
      <c r="W55" s="181">
        <v>40852.722999999998</v>
      </c>
      <c r="X55" s="417">
        <v>50771.623</v>
      </c>
      <c r="Y55" s="322">
        <f t="shared" si="27"/>
        <v>24.3</v>
      </c>
      <c r="Z55" s="649">
        <v>138957</v>
      </c>
      <c r="AA55" s="417">
        <v>165034.64308491998</v>
      </c>
      <c r="AB55" s="322">
        <f t="shared" si="28"/>
        <v>18.8</v>
      </c>
      <c r="AC55" s="181"/>
      <c r="AD55" s="417"/>
      <c r="AE55" s="322"/>
      <c r="AF55" s="475">
        <f t="shared" si="34"/>
        <v>402189.50826637796</v>
      </c>
      <c r="AG55" s="475">
        <f t="shared" si="34"/>
        <v>500615.67117853696</v>
      </c>
      <c r="AH55" s="322">
        <f t="shared" si="21"/>
        <v>24.5</v>
      </c>
      <c r="AI55" s="475">
        <f t="shared" si="35"/>
        <v>402189.50826637796</v>
      </c>
      <c r="AJ55" s="475">
        <f t="shared" si="35"/>
        <v>500615.67117853696</v>
      </c>
      <c r="AK55" s="418">
        <f t="shared" si="23"/>
        <v>24.5</v>
      </c>
    </row>
    <row r="56" spans="1:37" s="429" customFormat="1" ht="20.100000000000001" customHeight="1" x14ac:dyDescent="0.3">
      <c r="A56" s="692" t="s">
        <v>407</v>
      </c>
      <c r="B56" s="181">
        <v>54983.250016966253</v>
      </c>
      <c r="C56" s="417">
        <v>62720.30342946</v>
      </c>
      <c r="D56" s="417">
        <f t="shared" si="19"/>
        <v>14.1</v>
      </c>
      <c r="E56" s="181"/>
      <c r="F56" s="417"/>
      <c r="G56" s="417"/>
      <c r="H56" s="181"/>
      <c r="I56" s="417"/>
      <c r="J56" s="417"/>
      <c r="K56" s="181">
        <v>8396</v>
      </c>
      <c r="L56" s="417">
        <v>10400</v>
      </c>
      <c r="M56" s="414">
        <f>IF(K56=0, "    ---- ", IF(ABS(ROUND(100/K56*L56-100,1))&lt;999,ROUND(100/K56*L56-100,1),IF(ROUND(100/K56*L56-100,1)&gt;999,999,-999)))</f>
        <v>23.9</v>
      </c>
      <c r="N56" s="181">
        <v>245.53103075999999</v>
      </c>
      <c r="O56" s="417">
        <v>324.3666293</v>
      </c>
      <c r="P56" s="322">
        <f t="shared" si="36"/>
        <v>32.1</v>
      </c>
      <c r="Q56" s="181">
        <v>47487.45</v>
      </c>
      <c r="R56" s="417">
        <v>54098.18</v>
      </c>
      <c r="S56" s="417">
        <f t="shared" si="25"/>
        <v>13.9</v>
      </c>
      <c r="T56" s="181"/>
      <c r="U56" s="417"/>
      <c r="V56" s="322"/>
      <c r="W56" s="181">
        <v>20410.431</v>
      </c>
      <c r="X56" s="417">
        <v>24514.227999999999</v>
      </c>
      <c r="Y56" s="322">
        <f t="shared" si="27"/>
        <v>20.100000000000001</v>
      </c>
      <c r="Z56" s="649">
        <v>49732</v>
      </c>
      <c r="AA56" s="417">
        <v>57111.238247720059</v>
      </c>
      <c r="AB56" s="322">
        <f t="shared" si="28"/>
        <v>14.8</v>
      </c>
      <c r="AC56" s="181"/>
      <c r="AD56" s="417"/>
      <c r="AE56" s="322"/>
      <c r="AF56" s="475">
        <f t="shared" si="34"/>
        <v>181254.66204772625</v>
      </c>
      <c r="AG56" s="475">
        <f t="shared" si="34"/>
        <v>209168.31630648006</v>
      </c>
      <c r="AH56" s="322">
        <f t="shared" si="21"/>
        <v>15.4</v>
      </c>
      <c r="AI56" s="475">
        <f t="shared" si="35"/>
        <v>181254.66204772625</v>
      </c>
      <c r="AJ56" s="475">
        <f t="shared" si="35"/>
        <v>209168.31630648006</v>
      </c>
      <c r="AK56" s="418">
        <f t="shared" si="23"/>
        <v>15.4</v>
      </c>
    </row>
    <row r="57" spans="1:37" s="429" customFormat="1" ht="20.100000000000001" customHeight="1" x14ac:dyDescent="0.3">
      <c r="A57" s="529" t="s">
        <v>201</v>
      </c>
      <c r="B57" s="181">
        <v>1462.6176737199999</v>
      </c>
      <c r="C57" s="417">
        <v>1478.7931657899999</v>
      </c>
      <c r="D57" s="322">
        <f t="shared" si="19"/>
        <v>1.1000000000000001</v>
      </c>
      <c r="E57" s="181"/>
      <c r="F57" s="417"/>
      <c r="G57" s="322"/>
      <c r="H57" s="181"/>
      <c r="I57" s="417"/>
      <c r="J57" s="322"/>
      <c r="K57" s="181">
        <v>-3</v>
      </c>
      <c r="L57" s="417"/>
      <c r="M57" s="322">
        <f>IF(K57=0, "    ---- ", IF(ABS(ROUND(100/K57*L57-100,1))&lt;999,ROUND(100/K57*L57-100,1),IF(ROUND(100/K57*L57-100,1)&gt;999,999,-999)))</f>
        <v>-100</v>
      </c>
      <c r="N57" s="181">
        <v>159.99478283000002</v>
      </c>
      <c r="O57" s="417">
        <v>97.81884427</v>
      </c>
      <c r="P57" s="322">
        <f t="shared" si="36"/>
        <v>-38.9</v>
      </c>
      <c r="Q57" s="181"/>
      <c r="R57" s="417"/>
      <c r="S57" s="417"/>
      <c r="T57" s="181"/>
      <c r="U57" s="417"/>
      <c r="V57" s="322"/>
      <c r="W57" s="181">
        <v>78.914000000000001</v>
      </c>
      <c r="X57" s="417">
        <v>84.771000000000001</v>
      </c>
      <c r="Y57" s="322">
        <f t="shared" si="27"/>
        <v>7.4</v>
      </c>
      <c r="Z57" s="649">
        <v>129</v>
      </c>
      <c r="AA57" s="417">
        <v>136.65710741000007</v>
      </c>
      <c r="AB57" s="322">
        <f t="shared" si="28"/>
        <v>5.9</v>
      </c>
      <c r="AC57" s="181"/>
      <c r="AD57" s="417"/>
      <c r="AE57" s="322"/>
      <c r="AF57" s="475">
        <f t="shared" si="34"/>
        <v>1827.5264565499999</v>
      </c>
      <c r="AG57" s="475">
        <f t="shared" si="34"/>
        <v>1798.0401174699998</v>
      </c>
      <c r="AH57" s="322">
        <f t="shared" si="21"/>
        <v>-1.6</v>
      </c>
      <c r="AI57" s="475">
        <f t="shared" si="35"/>
        <v>1827.5264565499999</v>
      </c>
      <c r="AJ57" s="475">
        <f t="shared" si="35"/>
        <v>1798.0401174699998</v>
      </c>
      <c r="AK57" s="418">
        <f t="shared" si="23"/>
        <v>-1.6</v>
      </c>
    </row>
    <row r="58" spans="1:37" s="429" customFormat="1" ht="20.100000000000001" customHeight="1" x14ac:dyDescent="0.3">
      <c r="A58" s="529" t="s">
        <v>202</v>
      </c>
      <c r="B58" s="181"/>
      <c r="C58" s="417"/>
      <c r="D58" s="322"/>
      <c r="E58" s="181"/>
      <c r="F58" s="417"/>
      <c r="G58" s="322"/>
      <c r="H58" s="181"/>
      <c r="I58" s="417"/>
      <c r="J58" s="322"/>
      <c r="K58" s="181"/>
      <c r="L58" s="417"/>
      <c r="M58" s="322"/>
      <c r="N58" s="181">
        <v>4.80403263</v>
      </c>
      <c r="O58" s="417">
        <v>6.2353410999999994</v>
      </c>
      <c r="P58" s="322">
        <f t="shared" si="36"/>
        <v>29.8</v>
      </c>
      <c r="Q58" s="181">
        <v>-65.16</v>
      </c>
      <c r="R58" s="417">
        <v>162.44</v>
      </c>
      <c r="S58" s="417">
        <f t="shared" si="25"/>
        <v>-349.3</v>
      </c>
      <c r="T58" s="181"/>
      <c r="U58" s="417"/>
      <c r="V58" s="322"/>
      <c r="W58" s="181"/>
      <c r="X58" s="417">
        <v>179.73099999999999</v>
      </c>
      <c r="Y58" s="322" t="str">
        <f t="shared" si="27"/>
        <v xml:space="preserve">    ---- </v>
      </c>
      <c r="Z58" s="649">
        <v>463</v>
      </c>
      <c r="AA58" s="417">
        <v>845.33950893000019</v>
      </c>
      <c r="AB58" s="322">
        <f t="shared" si="28"/>
        <v>82.6</v>
      </c>
      <c r="AC58" s="181"/>
      <c r="AD58" s="417"/>
      <c r="AE58" s="322"/>
      <c r="AF58" s="475">
        <f t="shared" si="34"/>
        <v>402.64403263000003</v>
      </c>
      <c r="AG58" s="475">
        <f t="shared" si="34"/>
        <v>1193.7458500300002</v>
      </c>
      <c r="AH58" s="322">
        <f t="shared" si="21"/>
        <v>196.5</v>
      </c>
      <c r="AI58" s="475">
        <f t="shared" si="35"/>
        <v>402.64403263000003</v>
      </c>
      <c r="AJ58" s="475">
        <f t="shared" si="35"/>
        <v>1193.7458500300002</v>
      </c>
      <c r="AK58" s="418">
        <f t="shared" si="23"/>
        <v>196.5</v>
      </c>
    </row>
    <row r="59" spans="1:37" s="429" customFormat="1" ht="20.100000000000001" customHeight="1" x14ac:dyDescent="0.3">
      <c r="A59" s="529" t="s">
        <v>203</v>
      </c>
      <c r="B59" s="181"/>
      <c r="C59" s="417"/>
      <c r="D59" s="322"/>
      <c r="E59" s="181"/>
      <c r="F59" s="417"/>
      <c r="G59" s="322"/>
      <c r="H59" s="181"/>
      <c r="I59" s="417"/>
      <c r="J59" s="322"/>
      <c r="K59" s="181">
        <v>117</v>
      </c>
      <c r="L59" s="417">
        <v>176</v>
      </c>
      <c r="M59" s="322">
        <f>IF(K59=0, "    ---- ", IF(ABS(ROUND(100/K59*L59-100,1))&lt;999,ROUND(100/K59*L59-100,1),IF(ROUND(100/K59*L59-100,1)&gt;999,999,-999)))</f>
        <v>50.4</v>
      </c>
      <c r="N59" s="181">
        <v>1.0957919899999999</v>
      </c>
      <c r="O59" s="417">
        <v>3.1087529999999999E-2</v>
      </c>
      <c r="P59" s="322">
        <f t="shared" si="36"/>
        <v>-97.2</v>
      </c>
      <c r="Q59" s="181">
        <v>494.78</v>
      </c>
      <c r="R59" s="417">
        <v>707.58</v>
      </c>
      <c r="S59" s="322">
        <f t="shared" si="25"/>
        <v>43</v>
      </c>
      <c r="T59" s="181"/>
      <c r="U59" s="417"/>
      <c r="V59" s="322"/>
      <c r="W59" s="181">
        <v>119.172</v>
      </c>
      <c r="X59" s="417">
        <v>255.54300000000001</v>
      </c>
      <c r="Y59" s="322">
        <f t="shared" si="27"/>
        <v>114.4</v>
      </c>
      <c r="Z59" s="649"/>
      <c r="AA59" s="417"/>
      <c r="AB59" s="322"/>
      <c r="AC59" s="181"/>
      <c r="AD59" s="417"/>
      <c r="AE59" s="322"/>
      <c r="AF59" s="475">
        <f t="shared" si="34"/>
        <v>732.04779198999995</v>
      </c>
      <c r="AG59" s="475">
        <f t="shared" si="34"/>
        <v>1139.1540875300002</v>
      </c>
      <c r="AH59" s="322">
        <f t="shared" si="21"/>
        <v>55.6</v>
      </c>
      <c r="AI59" s="475">
        <f t="shared" si="35"/>
        <v>732.04779198999995</v>
      </c>
      <c r="AJ59" s="475">
        <f t="shared" si="35"/>
        <v>1139.1540875300002</v>
      </c>
      <c r="AK59" s="418">
        <f t="shared" si="23"/>
        <v>55.6</v>
      </c>
    </row>
    <row r="60" spans="1:37" s="429" customFormat="1" ht="20.100000000000001" customHeight="1" x14ac:dyDescent="0.3">
      <c r="A60" s="565" t="s">
        <v>204</v>
      </c>
      <c r="B60" s="181">
        <f>SUM(B48+B49+B50+B54)</f>
        <v>152437.30136923419</v>
      </c>
      <c r="C60" s="417">
        <f>SUM(C48+C49+C50+C54)</f>
        <v>187007.47491486001</v>
      </c>
      <c r="D60" s="322">
        <f t="shared" si="19"/>
        <v>22.7</v>
      </c>
      <c r="E60" s="181"/>
      <c r="F60" s="417"/>
      <c r="G60" s="322"/>
      <c r="H60" s="181"/>
      <c r="I60" s="417"/>
      <c r="J60" s="322"/>
      <c r="K60" s="181">
        <f>SUM(K48+K49+K50+K54)</f>
        <v>54371</v>
      </c>
      <c r="L60" s="417">
        <f>SUM(L48+L49+L50+L54)</f>
        <v>69473</v>
      </c>
      <c r="M60" s="322">
        <f>IF(K60=0, "    ---- ", IF(ABS(ROUND(100/K60*L60-100,1))&lt;999,ROUND(100/K60*L60-100,1),IF(ROUND(100/K60*L60-100,1)&gt;999,999,-999)))</f>
        <v>27.8</v>
      </c>
      <c r="N60" s="181">
        <v>2832.9991029399998</v>
      </c>
      <c r="O60" s="417">
        <v>3063.7020960599998</v>
      </c>
      <c r="P60" s="322">
        <f t="shared" si="36"/>
        <v>8.1</v>
      </c>
      <c r="Q60" s="181">
        <f>SUM(Q48+Q49+Q50+Q54)</f>
        <v>137255.57</v>
      </c>
      <c r="R60" s="417">
        <f>SUM(R48+R49+R50+R54)</f>
        <v>167576.13</v>
      </c>
      <c r="S60" s="322">
        <f t="shared" si="25"/>
        <v>22.1</v>
      </c>
      <c r="T60" s="181"/>
      <c r="U60" s="417"/>
      <c r="V60" s="322"/>
      <c r="W60" s="181">
        <f>SUM(W48+W49+W50+W54)</f>
        <v>62306.571999999993</v>
      </c>
      <c r="X60" s="417">
        <f>SUM(X48+X49+X50+X54)</f>
        <v>77016.902999999991</v>
      </c>
      <c r="Y60" s="322">
        <f t="shared" si="27"/>
        <v>23.6</v>
      </c>
      <c r="Z60" s="649">
        <f>SUM(Z48+Z49+Z50+Z54)</f>
        <v>197187</v>
      </c>
      <c r="AA60" s="417">
        <f>SUM(AA48+AA49+AA50+AA54)</f>
        <v>232202.49168518002</v>
      </c>
      <c r="AB60" s="322">
        <f t="shared" si="28"/>
        <v>17.8</v>
      </c>
      <c r="AC60" s="181"/>
      <c r="AD60" s="417"/>
      <c r="AE60" s="322"/>
      <c r="AF60" s="475">
        <f t="shared" si="34"/>
        <v>606390.44247217418</v>
      </c>
      <c r="AG60" s="475">
        <f t="shared" si="34"/>
        <v>736339.70169610006</v>
      </c>
      <c r="AH60" s="322">
        <f t="shared" si="21"/>
        <v>21.4</v>
      </c>
      <c r="AI60" s="475">
        <f t="shared" si="35"/>
        <v>606390.44247217418</v>
      </c>
      <c r="AJ60" s="475">
        <f t="shared" si="35"/>
        <v>736339.70169610006</v>
      </c>
      <c r="AK60" s="418">
        <f t="shared" si="23"/>
        <v>21.4</v>
      </c>
    </row>
    <row r="61" spans="1:37" s="429" customFormat="1" ht="20.100000000000001" customHeight="1" x14ac:dyDescent="0.3">
      <c r="A61" s="541" t="s">
        <v>299</v>
      </c>
      <c r="B61" s="181"/>
      <c r="C61" s="417"/>
      <c r="D61" s="322"/>
      <c r="E61" s="181"/>
      <c r="F61" s="417"/>
      <c r="G61" s="322"/>
      <c r="H61" s="181"/>
      <c r="I61" s="417"/>
      <c r="J61" s="322"/>
      <c r="K61" s="181">
        <v>5</v>
      </c>
      <c r="L61" s="417">
        <v>5</v>
      </c>
      <c r="M61" s="322">
        <f>IF(K61=0, "    ---- ", IF(ABS(ROUND(100/K61*L61-100,1))&lt;999,ROUND(100/K61*L61-100,1),IF(ROUND(100/K61*L61-100,1)&gt;999,999,-999)))</f>
        <v>0</v>
      </c>
      <c r="N61" s="181"/>
      <c r="O61" s="417"/>
      <c r="P61" s="322"/>
      <c r="Q61" s="181"/>
      <c r="R61" s="417"/>
      <c r="S61" s="322"/>
      <c r="T61" s="181"/>
      <c r="U61" s="417"/>
      <c r="V61" s="322"/>
      <c r="W61" s="181"/>
      <c r="X61" s="417"/>
      <c r="Y61" s="322"/>
      <c r="Z61" s="649"/>
      <c r="AA61" s="417"/>
      <c r="AB61" s="322"/>
      <c r="AC61" s="181"/>
      <c r="AD61" s="417"/>
      <c r="AE61" s="322"/>
      <c r="AF61" s="475">
        <f t="shared" si="34"/>
        <v>5</v>
      </c>
      <c r="AG61" s="475">
        <f t="shared" si="34"/>
        <v>5</v>
      </c>
      <c r="AH61" s="322">
        <f t="shared" si="21"/>
        <v>0</v>
      </c>
      <c r="AI61" s="475">
        <f>B61+E61+H61+K61+N61+Q61+T61+W61+Z61+AC61</f>
        <v>5</v>
      </c>
      <c r="AJ61" s="475">
        <f t="shared" si="35"/>
        <v>5</v>
      </c>
      <c r="AK61" s="418">
        <f t="shared" si="23"/>
        <v>0</v>
      </c>
    </row>
    <row r="62" spans="1:37" s="429" customFormat="1" ht="20.100000000000001" customHeight="1" x14ac:dyDescent="0.3">
      <c r="A62" s="529" t="s">
        <v>205</v>
      </c>
      <c r="B62" s="181">
        <f>SUM(B45+B46+B60+B61)</f>
        <v>345946.56618795422</v>
      </c>
      <c r="C62" s="417">
        <f>SUM(C45+C46+C60+C61)</f>
        <v>376542.95327736996</v>
      </c>
      <c r="D62" s="322">
        <f t="shared" si="19"/>
        <v>8.8000000000000007</v>
      </c>
      <c r="E62" s="181">
        <f>SUM(E45+E46+E60+E61)</f>
        <v>9072.8575715700026</v>
      </c>
      <c r="F62" s="417">
        <f>SUM(F45+F46+F60+F61)</f>
        <v>9828.5854821299999</v>
      </c>
      <c r="G62" s="322">
        <f>IF(E62=0, "    ---- ", IF(ABS(ROUND(100/E62*F62-100,1))&lt;999,ROUND(100/E62*F62-100,1),IF(ROUND(100/E62*F62-100,1)&gt;999,999,-999)))</f>
        <v>8.3000000000000007</v>
      </c>
      <c r="H62" s="181">
        <f>SUM(H45+H46+H60+H61)</f>
        <v>1753.780998</v>
      </c>
      <c r="I62" s="417">
        <f>SUM(I45+I46+I60+I61)</f>
        <v>2017.9179999999999</v>
      </c>
      <c r="J62" s="322">
        <f>IF(H62=0, "    ---- ", IF(ABS(ROUND(100/H62*I62-100,1))&lt;999,ROUND(100/H62*I62-100,1),IF(ROUND(100/H62*I62-100,1)&gt;999,999,-999)))</f>
        <v>15.1</v>
      </c>
      <c r="K62" s="181">
        <f>SUM(K45+K46+K60+K61)</f>
        <v>63682</v>
      </c>
      <c r="L62" s="417">
        <f>SUM(L45+L46+L60+L61)</f>
        <v>79936</v>
      </c>
      <c r="M62" s="322">
        <f>IF(K62=0, "    ---- ", IF(ABS(ROUND(100/K62*L62-100,1))&lt;999,ROUND(100/K62*L62-100,1),IF(ROUND(100/K62*L62-100,1)&gt;999,999,-999)))</f>
        <v>25.5</v>
      </c>
      <c r="N62" s="181">
        <v>704776.53727555985</v>
      </c>
      <c r="O62" s="417">
        <v>764821.14334028994</v>
      </c>
      <c r="P62" s="322">
        <f>IF(N62=0, "    ---- ", IF(ABS(ROUND(100/N62*O62-100,1))&lt;999,ROUND(100/N62*O62-100,1),IF(ROUND(100/N62*O62-100,1)&gt;999,999,-999)))</f>
        <v>8.5</v>
      </c>
      <c r="Q62" s="181">
        <f>SUM(Q45+Q46+Q60+Q61)</f>
        <v>192915.23480569001</v>
      </c>
      <c r="R62" s="417">
        <f>SUM(R45+R46+R60+R61)</f>
        <v>223103.24100041992</v>
      </c>
      <c r="S62" s="322">
        <f t="shared" si="25"/>
        <v>15.6</v>
      </c>
      <c r="T62" s="181">
        <f>SUM(T45+T46+T60+T61)</f>
        <v>120464</v>
      </c>
      <c r="U62" s="417">
        <f>SUM(U45+U46+U60+U61)</f>
        <v>128162</v>
      </c>
      <c r="V62" s="322">
        <f>IF(T62=0, "    ---- ", IF(ABS(ROUND(100/T62*U62-100,1))&lt;999,ROUND(100/T62*U62-100,1),IF(ROUND(100/T62*U62-100,1)&gt;999,999,-999)))</f>
        <v>6.4</v>
      </c>
      <c r="W62" s="181">
        <f>SUM(W45+W46+W60+W61)</f>
        <v>85781.305999999997</v>
      </c>
      <c r="X62" s="417">
        <f>SUM(X45+X46+X60+X61)</f>
        <v>101083.69699999999</v>
      </c>
      <c r="Y62" s="322">
        <f t="shared" si="27"/>
        <v>17.8</v>
      </c>
      <c r="Z62" s="649">
        <f>SUM(Z45+Z46+Z60+Z61)</f>
        <v>406568</v>
      </c>
      <c r="AA62" s="417">
        <f>SUM(AA45+AA46+AA60+AA61)</f>
        <v>449372.51699222019</v>
      </c>
      <c r="AB62" s="322">
        <f t="shared" si="28"/>
        <v>10.5</v>
      </c>
      <c r="AC62" s="181"/>
      <c r="AD62" s="417">
        <f>SUM(AD45+AD46+AD60+AD61)</f>
        <v>16</v>
      </c>
      <c r="AE62" s="322" t="str">
        <f>IF(AC62=0, "    ---- ", IF(ABS(ROUND(100/AC62*AD62-100,1))&lt;999,ROUND(100/AC62*AD62-100,1),IF(ROUND(100/AC62*AD62-100,1)&gt;999,999,-999)))</f>
        <v xml:space="preserve">    ---- </v>
      </c>
      <c r="AF62" s="475">
        <f t="shared" si="34"/>
        <v>1930960.2828387741</v>
      </c>
      <c r="AG62" s="475">
        <f t="shared" si="34"/>
        <v>2134868.0550924297</v>
      </c>
      <c r="AH62" s="322">
        <f t="shared" si="21"/>
        <v>10.6</v>
      </c>
      <c r="AI62" s="475">
        <f>B62+E62+H62+K62+N62+Q62+T62+W62+Z62+AC62</f>
        <v>1930960.2828387741</v>
      </c>
      <c r="AJ62" s="475">
        <f t="shared" si="35"/>
        <v>2134884.0550924297</v>
      </c>
      <c r="AK62" s="418">
        <f t="shared" si="23"/>
        <v>10.6</v>
      </c>
    </row>
    <row r="63" spans="1:37" s="437" customFormat="1" ht="20.100000000000001" customHeight="1" x14ac:dyDescent="0.3">
      <c r="A63" s="541"/>
      <c r="B63" s="183"/>
      <c r="C63" s="416"/>
      <c r="D63" s="415"/>
      <c r="E63" s="183"/>
      <c r="F63" s="416"/>
      <c r="G63" s="415"/>
      <c r="H63" s="183"/>
      <c r="I63" s="416"/>
      <c r="J63" s="415"/>
      <c r="K63" s="183"/>
      <c r="L63" s="416"/>
      <c r="M63" s="419"/>
      <c r="N63" s="183"/>
      <c r="O63" s="416"/>
      <c r="P63" s="415"/>
      <c r="Q63" s="183"/>
      <c r="R63" s="416"/>
      <c r="S63" s="415"/>
      <c r="T63" s="183"/>
      <c r="U63" s="416"/>
      <c r="V63" s="415"/>
      <c r="W63" s="183"/>
      <c r="X63" s="416"/>
      <c r="Y63" s="415"/>
      <c r="Z63" s="651"/>
      <c r="AA63" s="416"/>
      <c r="AB63" s="415"/>
      <c r="AC63" s="183"/>
      <c r="AD63" s="416"/>
      <c r="AE63" s="415"/>
      <c r="AF63" s="419"/>
      <c r="AG63" s="419"/>
      <c r="AH63" s="415"/>
      <c r="AI63" s="419"/>
      <c r="AJ63" s="419"/>
      <c r="AK63" s="420"/>
    </row>
    <row r="64" spans="1:37" s="437" customFormat="1" ht="20.100000000000001" customHeight="1" x14ac:dyDescent="0.3">
      <c r="A64" s="541" t="s">
        <v>206</v>
      </c>
      <c r="B64" s="183">
        <f>SUM(B29+B62)</f>
        <v>379430.42517751001</v>
      </c>
      <c r="C64" s="416">
        <f>SUM(C29+C62)</f>
        <v>409900.45340868994</v>
      </c>
      <c r="D64" s="415">
        <f t="shared" si="19"/>
        <v>8</v>
      </c>
      <c r="E64" s="183">
        <f>SUM(E29+E62)</f>
        <v>12645.061273480003</v>
      </c>
      <c r="F64" s="416">
        <f>SUM(F29+F62)</f>
        <v>13538.29881794</v>
      </c>
      <c r="G64" s="415">
        <f>IF(E64=0, "    ---- ", IF(ABS(ROUND(100/E64*F64-100,1))&lt;999,ROUND(100/E64*F64-100,1),IF(ROUND(100/E64*F64-100,1)&gt;999,999,-999)))</f>
        <v>7.1</v>
      </c>
      <c r="H64" s="183">
        <f>SUM(H29+H62)</f>
        <v>2583.6705430000002</v>
      </c>
      <c r="I64" s="416">
        <f>SUM(I29+I62)</f>
        <v>3006.5439999999999</v>
      </c>
      <c r="J64" s="415">
        <f>IF(H64=0, "    ---- ", IF(ABS(ROUND(100/H64*I64-100,1))&lt;999,ROUND(100/H64*I64-100,1),IF(ROUND(100/H64*I64-100,1)&gt;999,999,-999)))</f>
        <v>16.399999999999999</v>
      </c>
      <c r="K64" s="183">
        <f>SUM(K29+K62)</f>
        <v>65513</v>
      </c>
      <c r="L64" s="416">
        <f>SUM(L29+L62)</f>
        <v>81500</v>
      </c>
      <c r="M64" s="419">
        <f>IF(K64=0, "    ---- ", IF(ABS(ROUND(100/K64*L64-100,1))&lt;999,ROUND(100/K64*L64-100,1),IF(ROUND(100/K64*L64-100,1)&gt;999,999,-999)))</f>
        <v>24.4</v>
      </c>
      <c r="N64" s="183">
        <v>788701.81298962981</v>
      </c>
      <c r="O64" s="416">
        <v>836425.93671107991</v>
      </c>
      <c r="P64" s="415">
        <f>IF(N64=0, "    ---- ", IF(ABS(ROUND(100/N64*O64-100,1))&lt;999,ROUND(100/N64*O64-100,1),IF(ROUND(100/N64*O64-100,1)&gt;999,999,-999)))</f>
        <v>6.1</v>
      </c>
      <c r="Q64" s="183">
        <f>SUM(Q29+Q62)</f>
        <v>205306.95480569001</v>
      </c>
      <c r="R64" s="416">
        <f>SUM(R29+R62)</f>
        <v>235599.28100041993</v>
      </c>
      <c r="S64" s="415">
        <f t="shared" si="25"/>
        <v>14.8</v>
      </c>
      <c r="T64" s="183">
        <f>SUM(T29+T62)</f>
        <v>133522</v>
      </c>
      <c r="U64" s="416">
        <f>SUM(U29+U62)</f>
        <v>140090</v>
      </c>
      <c r="V64" s="415">
        <f>IF(T64=0, "    ---- ", IF(ABS(ROUND(100/T64*U64-100,1))&lt;999,ROUND(100/T64*U64-100,1),IF(ROUND(100/T64*U64-100,1)&gt;999,999,-999)))</f>
        <v>4.9000000000000004</v>
      </c>
      <c r="W64" s="183">
        <f>SUM(W29+W62)</f>
        <v>92389.983999999997</v>
      </c>
      <c r="X64" s="416">
        <f>SUM(X29+X62)</f>
        <v>107733.71699999999</v>
      </c>
      <c r="Y64" s="415">
        <f t="shared" si="27"/>
        <v>16.600000000000001</v>
      </c>
      <c r="Z64" s="651">
        <f>SUM(Z29+Z62)</f>
        <v>488249</v>
      </c>
      <c r="AA64" s="416">
        <f>SUM(AA29+AA62)</f>
        <v>524444.63696819171</v>
      </c>
      <c r="AB64" s="415">
        <f t="shared" si="28"/>
        <v>7.4</v>
      </c>
      <c r="AC64" s="183">
        <f>SUM(AC29+AC62)</f>
        <v>16</v>
      </c>
      <c r="AD64" s="416">
        <f>SUM(AD29+AD62)</f>
        <v>128</v>
      </c>
      <c r="AE64" s="415">
        <f>IF(AC64=0, "    ---- ", IF(ABS(ROUND(100/AC64*AD64-100,1))&lt;999,ROUND(100/AC64*AD64-100,1),IF(ROUND(100/AC64*AD64-100,1)&gt;999,999,-999)))</f>
        <v>700</v>
      </c>
      <c r="AF64" s="568">
        <f t="shared" ref="AF64:AG64" si="37">B64+E64+H64+K64+N64+Q64+T64+W64+Z64</f>
        <v>2168341.9087893097</v>
      </c>
      <c r="AG64" s="568">
        <f t="shared" si="37"/>
        <v>2352238.8679063218</v>
      </c>
      <c r="AH64" s="415">
        <f t="shared" si="21"/>
        <v>8.5</v>
      </c>
      <c r="AI64" s="568">
        <f>B64+E64+H64+K64+N64+Q64+T64+W64+Z64+AC64</f>
        <v>2168357.9087893097</v>
      </c>
      <c r="AJ64" s="568">
        <f>C64+F64+I64+L64+O64+R64+U64+X64+AA64+AD64</f>
        <v>2352366.8679063218</v>
      </c>
      <c r="AK64" s="420">
        <f t="shared" si="23"/>
        <v>8.5</v>
      </c>
    </row>
    <row r="65" spans="1:37" s="429" customFormat="1" ht="20.100000000000001" customHeight="1" x14ac:dyDescent="0.3">
      <c r="A65" s="567"/>
      <c r="B65" s="181"/>
      <c r="C65" s="417"/>
      <c r="D65" s="322"/>
      <c r="E65" s="181"/>
      <c r="F65" s="417"/>
      <c r="G65" s="322"/>
      <c r="H65" s="181"/>
      <c r="I65" s="417"/>
      <c r="J65" s="322"/>
      <c r="K65" s="181"/>
      <c r="L65" s="417"/>
      <c r="M65" s="414"/>
      <c r="N65" s="181"/>
      <c r="O65" s="417"/>
      <c r="P65" s="322"/>
      <c r="Q65" s="181"/>
      <c r="R65" s="417"/>
      <c r="S65" s="322"/>
      <c r="T65" s="181"/>
      <c r="U65" s="417"/>
      <c r="V65" s="322"/>
      <c r="W65" s="181"/>
      <c r="X65" s="417"/>
      <c r="Y65" s="322"/>
      <c r="Z65" s="649"/>
      <c r="AA65" s="417"/>
      <c r="AB65" s="322"/>
      <c r="AC65" s="181"/>
      <c r="AD65" s="417"/>
      <c r="AE65" s="322"/>
      <c r="AF65" s="414"/>
      <c r="AG65" s="414"/>
      <c r="AH65" s="322"/>
      <c r="AI65" s="414"/>
      <c r="AJ65" s="414"/>
      <c r="AK65" s="418"/>
    </row>
    <row r="66" spans="1:37" s="429" customFormat="1" ht="20.100000000000001" customHeight="1" x14ac:dyDescent="0.3">
      <c r="A66" s="541" t="s">
        <v>207</v>
      </c>
      <c r="B66" s="181"/>
      <c r="C66" s="417"/>
      <c r="D66" s="322"/>
      <c r="E66" s="181"/>
      <c r="F66" s="417"/>
      <c r="G66" s="322"/>
      <c r="H66" s="181"/>
      <c r="I66" s="417"/>
      <c r="J66" s="322"/>
      <c r="K66" s="181"/>
      <c r="L66" s="417"/>
      <c r="M66" s="414"/>
      <c r="N66" s="181"/>
      <c r="O66" s="417"/>
      <c r="P66" s="322"/>
      <c r="Q66" s="181"/>
      <c r="R66" s="417"/>
      <c r="S66" s="671"/>
      <c r="T66" s="181"/>
      <c r="U66" s="417"/>
      <c r="V66" s="322"/>
      <c r="W66" s="181"/>
      <c r="X66" s="417"/>
      <c r="Y66" s="322"/>
      <c r="Z66" s="649"/>
      <c r="AA66" s="417"/>
      <c r="AB66" s="322"/>
      <c r="AC66" s="181"/>
      <c r="AD66" s="417"/>
      <c r="AE66" s="322"/>
      <c r="AF66" s="414"/>
      <c r="AG66" s="414"/>
      <c r="AH66" s="322"/>
      <c r="AI66" s="414"/>
      <c r="AJ66" s="414"/>
      <c r="AK66" s="418"/>
    </row>
    <row r="67" spans="1:37" s="429" customFormat="1" ht="20.100000000000001" customHeight="1" x14ac:dyDescent="0.3">
      <c r="A67" s="541"/>
      <c r="B67" s="181"/>
      <c r="C67" s="417"/>
      <c r="D67" s="322"/>
      <c r="E67" s="181"/>
      <c r="F67" s="417"/>
      <c r="G67" s="322"/>
      <c r="H67" s="181"/>
      <c r="I67" s="417"/>
      <c r="J67" s="322"/>
      <c r="K67" s="181"/>
      <c r="L67" s="417"/>
      <c r="M67" s="414"/>
      <c r="N67" s="181"/>
      <c r="O67" s="417"/>
      <c r="P67" s="322"/>
      <c r="Q67" s="181"/>
      <c r="R67" s="417"/>
      <c r="S67" s="322"/>
      <c r="T67" s="181"/>
      <c r="U67" s="417"/>
      <c r="V67" s="322"/>
      <c r="W67" s="181"/>
      <c r="X67" s="417"/>
      <c r="Y67" s="322"/>
      <c r="Z67" s="649"/>
      <c r="AA67" s="417"/>
      <c r="AB67" s="322"/>
      <c r="AC67" s="181"/>
      <c r="AD67" s="417"/>
      <c r="AE67" s="322"/>
      <c r="AF67" s="414"/>
      <c r="AG67" s="414"/>
      <c r="AH67" s="322"/>
      <c r="AI67" s="414"/>
      <c r="AJ67" s="414"/>
      <c r="AK67" s="418"/>
    </row>
    <row r="68" spans="1:37" s="429" customFormat="1" ht="20.100000000000001" customHeight="1" x14ac:dyDescent="0.3">
      <c r="A68" s="529" t="s">
        <v>208</v>
      </c>
      <c r="B68" s="181">
        <v>7657.0531522000001</v>
      </c>
      <c r="C68" s="417">
        <v>7657.0531522000001</v>
      </c>
      <c r="D68" s="322">
        <f t="shared" si="19"/>
        <v>0</v>
      </c>
      <c r="E68" s="181">
        <v>2452.057311</v>
      </c>
      <c r="F68" s="417">
        <v>2452.057311</v>
      </c>
      <c r="G68" s="322">
        <f>IF(E68=0, "    ---- ", IF(ABS(ROUND(100/E68*F68-100,1))&lt;999,ROUND(100/E68*F68-100,1),IF(ROUND(100/E68*F68-100,1)&gt;999,999,-999)))</f>
        <v>0</v>
      </c>
      <c r="H68" s="181">
        <v>221.25</v>
      </c>
      <c r="I68" s="417">
        <v>221.25</v>
      </c>
      <c r="J68" s="322">
        <f>IF(H68=0, "    ---- ", IF(ABS(ROUND(100/H68*I68-100,1))&lt;999,ROUND(100/H68*I68-100,1),IF(ROUND(100/H68*I68-100,1)&gt;999,999,-999)))</f>
        <v>0</v>
      </c>
      <c r="K68" s="181">
        <v>123</v>
      </c>
      <c r="L68" s="417">
        <v>123</v>
      </c>
      <c r="M68" s="414">
        <f>IF(K68=0, "    ---- ", IF(ABS(ROUND(100/K68*L68-100,1))&lt;999,ROUND(100/K68*L68-100,1),IF(ROUND(100/K68*L68-100,1)&gt;999,999,-999)))</f>
        <v>0</v>
      </c>
      <c r="N68" s="181">
        <v>21405.039785000001</v>
      </c>
      <c r="O68" s="417">
        <v>22955.774984</v>
      </c>
      <c r="P68" s="322">
        <f t="shared" ref="P68:P80" si="38">IF(N68=0, "    ---- ", IF(ABS(ROUND(100/N68*O68-100,1))&lt;999,ROUND(100/N68*O68-100,1),IF(ROUND(100/N68*O68-100,1)&gt;999,999,-999)))</f>
        <v>7.2</v>
      </c>
      <c r="Q68" s="181">
        <v>1126.76</v>
      </c>
      <c r="R68" s="417">
        <v>1126.76</v>
      </c>
      <c r="S68" s="322">
        <f t="shared" si="25"/>
        <v>0</v>
      </c>
      <c r="T68" s="181">
        <v>1430</v>
      </c>
      <c r="U68" s="417">
        <v>1430</v>
      </c>
      <c r="V68" s="322">
        <f>IF(T68=0, "    ---- ", IF(ABS(ROUND(100/T68*U68-100,1))&lt;999,ROUND(100/T68*U68-100,1),IF(ROUND(100/T68*U68-100,1)&gt;999,999,-999)))</f>
        <v>0</v>
      </c>
      <c r="W68" s="181">
        <v>4972.6959999999999</v>
      </c>
      <c r="X68" s="417">
        <v>4972.6959999999999</v>
      </c>
      <c r="Y68" s="322">
        <f t="shared" si="27"/>
        <v>0</v>
      </c>
      <c r="Z68" s="649">
        <v>15578</v>
      </c>
      <c r="AA68" s="417">
        <v>15958.56135475</v>
      </c>
      <c r="AB68" s="322">
        <f t="shared" si="28"/>
        <v>2.4</v>
      </c>
      <c r="AC68" s="181">
        <v>57</v>
      </c>
      <c r="AD68" s="417">
        <v>86</v>
      </c>
      <c r="AE68" s="322">
        <f>IF(AC68=0, "    ---- ", IF(ABS(ROUND(100/AC68*AD68-100,1))&lt;999,ROUND(100/AC68*AD68-100,1),IF(ROUND(100/AC68*AD68-100,1)&gt;999,999,-999)))</f>
        <v>50.9</v>
      </c>
      <c r="AF68" s="475">
        <f t="shared" ref="AF68:AG71" si="39">B68+E68+H68+K68+N68+Q68+T68+W68+Z68</f>
        <v>54965.856248199998</v>
      </c>
      <c r="AG68" s="475">
        <f t="shared" si="39"/>
        <v>56897.152801949997</v>
      </c>
      <c r="AH68" s="322">
        <f t="shared" si="21"/>
        <v>3.5</v>
      </c>
      <c r="AI68" s="475">
        <f t="shared" ref="AI68:AJ71" si="40">B68+E68+H68+K68+N68+Q68+T68+W68+Z68+AC68</f>
        <v>55022.856248199998</v>
      </c>
      <c r="AJ68" s="475">
        <f t="shared" si="40"/>
        <v>56983.152801949997</v>
      </c>
      <c r="AK68" s="418">
        <f t="shared" si="23"/>
        <v>3.6</v>
      </c>
    </row>
    <row r="69" spans="1:37" s="429" customFormat="1" ht="20.100000000000001" customHeight="1" x14ac:dyDescent="0.3">
      <c r="A69" s="529" t="s">
        <v>209</v>
      </c>
      <c r="B69" s="181">
        <v>17009.922568449998</v>
      </c>
      <c r="C69" s="417">
        <v>17003.921344039998</v>
      </c>
      <c r="D69" s="322">
        <f t="shared" si="19"/>
        <v>0</v>
      </c>
      <c r="E69" s="181">
        <v>354.20892756000143</v>
      </c>
      <c r="F69" s="417">
        <v>444.11534547000099</v>
      </c>
      <c r="G69" s="322">
        <f>IF(E69=0, "    ---- ", IF(ABS(ROUND(100/E69*F69-100,1))&lt;999,ROUND(100/E69*F69-100,1),IF(ROUND(100/E69*F69-100,1)&gt;999,999,-999)))</f>
        <v>25.4</v>
      </c>
      <c r="H69" s="181">
        <v>329.11751700000002</v>
      </c>
      <c r="I69" s="417">
        <v>408.69099999999997</v>
      </c>
      <c r="J69" s="322">
        <f>IF(H69=0, "    ---- ", IF(ABS(ROUND(100/H69*I69-100,1))&lt;999,ROUND(100/H69*I69-100,1),IF(ROUND(100/H69*I69-100,1)&gt;999,999,-999)))</f>
        <v>24.2</v>
      </c>
      <c r="K69" s="181">
        <v>770</v>
      </c>
      <c r="L69" s="417">
        <v>787</v>
      </c>
      <c r="M69" s="414">
        <f>IF(K69=0, "    ---- ", IF(ABS(ROUND(100/K69*L69-100,1))&lt;999,ROUND(100/K69*L69-100,1),IF(ROUND(100/K69*L69-100,1)&gt;999,999,-999)))</f>
        <v>2.2000000000000002</v>
      </c>
      <c r="N69" s="181">
        <v>22301.164503299999</v>
      </c>
      <c r="O69" s="417">
        <v>21792.006445299998</v>
      </c>
      <c r="P69" s="322">
        <f t="shared" si="38"/>
        <v>-2.2999999999999998</v>
      </c>
      <c r="Q69" s="181">
        <v>7650.65</v>
      </c>
      <c r="R69" s="417">
        <v>7850.36</v>
      </c>
      <c r="S69" s="322">
        <f t="shared" si="25"/>
        <v>2.6</v>
      </c>
      <c r="T69" s="181">
        <v>10597</v>
      </c>
      <c r="U69" s="417">
        <v>11297</v>
      </c>
      <c r="V69" s="322">
        <f>IF(T69=0, "    ---- ", IF(ABS(ROUND(100/T69*U69-100,1))&lt;999,ROUND(100/T69*U69-100,1),IF(ROUND(100/T69*U69-100,1)&gt;999,999,-999)))</f>
        <v>6.6</v>
      </c>
      <c r="W69" s="181">
        <v>1043.3679999999999</v>
      </c>
      <c r="X69" s="417">
        <v>1139.018</v>
      </c>
      <c r="Y69" s="322">
        <f t="shared" si="27"/>
        <v>9.1999999999999993</v>
      </c>
      <c r="Z69" s="649">
        <v>12443</v>
      </c>
      <c r="AA69" s="417">
        <v>12040.344480565649</v>
      </c>
      <c r="AB69" s="322">
        <f t="shared" si="28"/>
        <v>-3.2</v>
      </c>
      <c r="AC69" s="181">
        <v>-55</v>
      </c>
      <c r="AD69" s="417">
        <v>-105</v>
      </c>
      <c r="AE69" s="322">
        <f>IF(AC69=0, "    ---- ", IF(ABS(ROUND(100/AC69*AD69-100,1))&lt;999,ROUND(100/AC69*AD69-100,1),IF(ROUND(100/AC69*AD69-100,1)&gt;999,999,-999)))</f>
        <v>90.9</v>
      </c>
      <c r="AF69" s="475">
        <f t="shared" si="39"/>
        <v>72498.431516309996</v>
      </c>
      <c r="AG69" s="475">
        <f t="shared" si="39"/>
        <v>72762.456615375646</v>
      </c>
      <c r="AH69" s="322">
        <f t="shared" si="21"/>
        <v>0.4</v>
      </c>
      <c r="AI69" s="475">
        <f t="shared" si="40"/>
        <v>72443.431516309996</v>
      </c>
      <c r="AJ69" s="475">
        <f t="shared" si="40"/>
        <v>72657.456615375646</v>
      </c>
      <c r="AK69" s="418">
        <f t="shared" si="23"/>
        <v>0.3</v>
      </c>
    </row>
    <row r="70" spans="1:37" s="429" customFormat="1" ht="20.100000000000001" customHeight="1" x14ac:dyDescent="0.3">
      <c r="A70" s="529" t="s">
        <v>210</v>
      </c>
      <c r="B70" s="181">
        <v>1128.2033292399999</v>
      </c>
      <c r="C70" s="417">
        <v>1291.19246589</v>
      </c>
      <c r="D70" s="322">
        <f>IF(B70=0, "    ---- ", IF(ABS(ROUND(100/B70*C70-100,1))&lt;999,ROUND(100/B70*C70-100,1),IF(ROUND(100/B70*C70-100,1)&gt;999,999,-999)))</f>
        <v>14.4</v>
      </c>
      <c r="E70" s="181"/>
      <c r="F70" s="417"/>
      <c r="G70" s="322"/>
      <c r="H70" s="181">
        <v>26.335768999999999</v>
      </c>
      <c r="I70" s="417">
        <v>11.131</v>
      </c>
      <c r="J70" s="322">
        <f>IF(H70=0, "    ---- ", IF(ABS(ROUND(100/H70*I70-100,1))&lt;999,ROUND(100/H70*I70-100,1),IF(ROUND(100/H70*I70-100,1)&gt;999,999,-999)))</f>
        <v>-57.7</v>
      </c>
      <c r="K70" s="181">
        <v>46</v>
      </c>
      <c r="L70" s="417">
        <v>53</v>
      </c>
      <c r="M70" s="322">
        <f>IF(K70=0, "    ---- ", IF(ABS(ROUND(100/K70*L70-100,1))&lt;999,ROUND(100/K70*L70-100,1),IF(ROUND(100/K70*L70-100,1)&gt;999,999,-999)))</f>
        <v>15.2</v>
      </c>
      <c r="N70" s="181">
        <v>4837.8331352100004</v>
      </c>
      <c r="O70" s="417">
        <v>3843.2966662100002</v>
      </c>
      <c r="P70" s="322">
        <f t="shared" si="38"/>
        <v>-20.6</v>
      </c>
      <c r="Q70" s="181">
        <v>241.98</v>
      </c>
      <c r="R70" s="417">
        <v>300.36</v>
      </c>
      <c r="S70" s="322">
        <f t="shared" si="25"/>
        <v>24.1</v>
      </c>
      <c r="T70" s="181"/>
      <c r="U70" s="417"/>
      <c r="V70" s="322"/>
      <c r="W70" s="181">
        <v>265.67500000000001</v>
      </c>
      <c r="X70" s="417">
        <v>302.93099999999998</v>
      </c>
      <c r="Y70" s="322">
        <f>IF(W70=0, "    ---- ", IF(ABS(ROUND(100/W70*X70-100,1))&lt;999,ROUND(100/W70*X70-100,1),IF(ROUND(100/W70*X70-100,1)&gt;999,999,-999)))</f>
        <v>14</v>
      </c>
      <c r="Z70" s="649">
        <v>966</v>
      </c>
      <c r="AA70" s="417">
        <v>1166.5164840600003</v>
      </c>
      <c r="AB70" s="322">
        <f t="shared" si="28"/>
        <v>20.8</v>
      </c>
      <c r="AC70" s="181"/>
      <c r="AD70" s="417"/>
      <c r="AE70" s="322"/>
      <c r="AF70" s="475">
        <f t="shared" si="39"/>
        <v>7512.0272334499996</v>
      </c>
      <c r="AG70" s="475">
        <f t="shared" si="39"/>
        <v>6968.4276161600001</v>
      </c>
      <c r="AH70" s="322">
        <f t="shared" si="21"/>
        <v>-7.2</v>
      </c>
      <c r="AI70" s="475">
        <f t="shared" si="40"/>
        <v>7512.0272334499996</v>
      </c>
      <c r="AJ70" s="475">
        <f t="shared" si="40"/>
        <v>6968.4276161600001</v>
      </c>
      <c r="AK70" s="418">
        <f t="shared" si="23"/>
        <v>-7.2</v>
      </c>
    </row>
    <row r="71" spans="1:37" s="429" customFormat="1" ht="20.100000000000001" customHeight="1" x14ac:dyDescent="0.3">
      <c r="A71" s="529" t="s">
        <v>211</v>
      </c>
      <c r="B71" s="181">
        <v>7000</v>
      </c>
      <c r="C71" s="417">
        <v>7000</v>
      </c>
      <c r="D71" s="322">
        <f t="shared" si="19"/>
        <v>0</v>
      </c>
      <c r="E71" s="181">
        <v>550</v>
      </c>
      <c r="F71" s="417">
        <v>550</v>
      </c>
      <c r="G71" s="322">
        <f>IF(E71=0, "    ---- ", IF(ABS(ROUND(100/E71*F71-100,1))&lt;999,ROUND(100/E71*F71-100,1),IF(ROUND(100/E71*F71-100,1)&gt;999,999,-999)))</f>
        <v>0</v>
      </c>
      <c r="H71" s="181"/>
      <c r="I71" s="417"/>
      <c r="J71" s="322"/>
      <c r="K71" s="181">
        <v>301</v>
      </c>
      <c r="L71" s="417">
        <v>301</v>
      </c>
      <c r="M71" s="322">
        <f>IF(K71=0, "    ---- ", IF(ABS(ROUND(100/K71*L71-100,1))&lt;999,ROUND(100/K71*L71-100,1),IF(ROUND(100/K71*L71-100,1)&gt;999,999,-999)))</f>
        <v>0</v>
      </c>
      <c r="N71" s="181">
        <v>4968.97759821</v>
      </c>
      <c r="O71" s="417">
        <v>4703.4529254899999</v>
      </c>
      <c r="P71" s="322">
        <f t="shared" si="38"/>
        <v>-5.3</v>
      </c>
      <c r="Q71" s="181">
        <v>2830</v>
      </c>
      <c r="R71" s="417">
        <v>2830</v>
      </c>
      <c r="S71" s="322">
        <f t="shared" si="25"/>
        <v>0</v>
      </c>
      <c r="T71" s="181">
        <v>1240</v>
      </c>
      <c r="U71" s="417">
        <v>0</v>
      </c>
      <c r="V71" s="322">
        <f>IF(T71=0, "    ---- ", IF(ABS(ROUND(100/T71*U71-100,1))&lt;999,ROUND(100/T71*U71-100,1),IF(ROUND(100/T71*U71-100,1)&gt;999,999,-999)))</f>
        <v>-100</v>
      </c>
      <c r="W71" s="181"/>
      <c r="X71" s="417"/>
      <c r="Y71" s="322"/>
      <c r="Z71" s="649">
        <v>9834</v>
      </c>
      <c r="AA71" s="417">
        <v>9873.2881080000006</v>
      </c>
      <c r="AB71" s="322">
        <f t="shared" si="28"/>
        <v>0.4</v>
      </c>
      <c r="AC71" s="181"/>
      <c r="AD71" s="417"/>
      <c r="AE71" s="322"/>
      <c r="AF71" s="475">
        <f t="shared" si="39"/>
        <v>26723.97759821</v>
      </c>
      <c r="AG71" s="475">
        <f t="shared" si="39"/>
        <v>25257.741033490001</v>
      </c>
      <c r="AH71" s="322">
        <f t="shared" si="21"/>
        <v>-5.5</v>
      </c>
      <c r="AI71" s="475">
        <f t="shared" si="40"/>
        <v>26723.97759821</v>
      </c>
      <c r="AJ71" s="475">
        <f t="shared" si="40"/>
        <v>25257.741033490001</v>
      </c>
      <c r="AK71" s="418">
        <f t="shared" si="23"/>
        <v>-5.5</v>
      </c>
    </row>
    <row r="72" spans="1:37" s="429" customFormat="1" ht="20.100000000000001" customHeight="1" x14ac:dyDescent="0.3">
      <c r="A72" s="529" t="s">
        <v>212</v>
      </c>
      <c r="B72" s="181"/>
      <c r="C72" s="417"/>
      <c r="D72" s="322"/>
      <c r="E72" s="181"/>
      <c r="F72" s="417"/>
      <c r="G72" s="322"/>
      <c r="H72" s="181"/>
      <c r="I72" s="417"/>
      <c r="J72" s="322"/>
      <c r="K72" s="181"/>
      <c r="L72" s="417"/>
      <c r="M72" s="414"/>
      <c r="N72" s="181"/>
      <c r="O72" s="417"/>
      <c r="P72" s="322"/>
      <c r="Q72" s="181"/>
      <c r="R72" s="417"/>
      <c r="S72" s="322"/>
      <c r="T72" s="181"/>
      <c r="U72" s="417"/>
      <c r="V72" s="322"/>
      <c r="W72" s="181"/>
      <c r="X72" s="417"/>
      <c r="Y72" s="322"/>
      <c r="Z72" s="649"/>
      <c r="AA72" s="417"/>
      <c r="AB72" s="322"/>
      <c r="AC72" s="181"/>
      <c r="AD72" s="417"/>
      <c r="AE72" s="322"/>
      <c r="AF72" s="414"/>
      <c r="AG72" s="414"/>
      <c r="AH72" s="322"/>
      <c r="AI72" s="414"/>
      <c r="AJ72" s="414"/>
      <c r="AK72" s="418"/>
    </row>
    <row r="73" spans="1:37" s="429" customFormat="1" ht="20.100000000000001" customHeight="1" x14ac:dyDescent="0.3">
      <c r="A73" s="529" t="s">
        <v>352</v>
      </c>
      <c r="B73" s="181">
        <v>178934.96165873</v>
      </c>
      <c r="C73" s="417">
        <v>175731.98043544</v>
      </c>
      <c r="D73" s="322">
        <f t="shared" si="19"/>
        <v>-1.8</v>
      </c>
      <c r="E73" s="181">
        <v>8560.1334909500001</v>
      </c>
      <c r="F73" s="417">
        <v>9421.3181844200008</v>
      </c>
      <c r="G73" s="322">
        <f>IF(E73=0, "    ---- ", IF(ABS(ROUND(100/E73*F73-100,1))&lt;999,ROUND(100/E73*F73-100,1),IF(ROUND(100/E73*F73-100,1)&gt;999,999,-999)))</f>
        <v>10.1</v>
      </c>
      <c r="H73" s="181">
        <v>1960.4250629999999</v>
      </c>
      <c r="I73" s="417">
        <v>2224.2739999999999</v>
      </c>
      <c r="J73" s="322">
        <f>IF(H73=0, "    ---- ", IF(ABS(ROUND(100/H73*I73-100,1))&lt;999,ROUND(100/H73*I73-100,1),IF(ROUND(100/H73*I73-100,1)&gt;999,999,-999)))</f>
        <v>13.5</v>
      </c>
      <c r="K73" s="181">
        <v>8993</v>
      </c>
      <c r="L73" s="417">
        <v>10082</v>
      </c>
      <c r="M73" s="414">
        <f>IF(K73=0, "    ---- ", IF(ABS(ROUND(100/K73*L73-100,1))&lt;999,ROUND(100/K73*L73-100,1),IF(ROUND(100/K73*L73-100,1)&gt;999,999,-999)))</f>
        <v>12.1</v>
      </c>
      <c r="N73" s="181">
        <v>557772.57074829005</v>
      </c>
      <c r="O73" s="417">
        <v>598483.75648929004</v>
      </c>
      <c r="P73" s="322">
        <f t="shared" si="38"/>
        <v>7.3</v>
      </c>
      <c r="Q73" s="181">
        <v>48007.22</v>
      </c>
      <c r="R73" s="417">
        <v>47761.2</v>
      </c>
      <c r="S73" s="322">
        <f t="shared" si="25"/>
        <v>-0.5</v>
      </c>
      <c r="T73" s="181">
        <v>79020</v>
      </c>
      <c r="U73" s="417">
        <v>86648</v>
      </c>
      <c r="V73" s="322">
        <f>IF(T73=0, "    ---- ", IF(ABS(ROUND(100/T73*U73-100,1))&lt;999,ROUND(100/T73*U73-100,1),IF(ROUND(100/T73*U73-100,1)&gt;999,999,-999)))</f>
        <v>9.6999999999999993</v>
      </c>
      <c r="W73" s="181">
        <v>19344.613000000001</v>
      </c>
      <c r="X73" s="417">
        <v>19781.522000000001</v>
      </c>
      <c r="Y73" s="322">
        <f t="shared" si="27"/>
        <v>2.2999999999999998</v>
      </c>
      <c r="Z73" s="649">
        <v>188886</v>
      </c>
      <c r="AA73" s="417">
        <v>195155.13201682988</v>
      </c>
      <c r="AB73" s="322">
        <f t="shared" si="28"/>
        <v>3.3</v>
      </c>
      <c r="AC73" s="181">
        <v>12</v>
      </c>
      <c r="AD73" s="417">
        <v>111</v>
      </c>
      <c r="AE73" s="322">
        <f t="shared" ref="AE73:AE77" si="41">IF(AC73=0, "    ---- ", IF(ABS(ROUND(100/AC73*AD73-100,1))&lt;999,ROUND(100/AC73*AD73-100,1),IF(ROUND(100/AC73*AD73-100,1)&gt;999,999,-999)))</f>
        <v>825</v>
      </c>
      <c r="AF73" s="475">
        <f t="shared" ref="AF73:AG80" si="42">B73+E73+H73+K73+N73+Q73+T73+W73+Z73</f>
        <v>1091478.92396097</v>
      </c>
      <c r="AG73" s="475">
        <f t="shared" si="42"/>
        <v>1145289.1831259797</v>
      </c>
      <c r="AH73" s="322">
        <f t="shared" si="21"/>
        <v>4.9000000000000004</v>
      </c>
      <c r="AI73" s="475">
        <f t="shared" ref="AI73:AJ80" si="43">B73+E73+H73+K73+N73+Q73+T73+W73+Z73+AC73</f>
        <v>1091490.92396097</v>
      </c>
      <c r="AJ73" s="475">
        <f t="shared" si="43"/>
        <v>1145400.1831259797</v>
      </c>
      <c r="AK73" s="418">
        <f t="shared" si="23"/>
        <v>4.9000000000000004</v>
      </c>
    </row>
    <row r="74" spans="1:37" s="429" customFormat="1" ht="20.100000000000001" customHeight="1" x14ac:dyDescent="0.3">
      <c r="A74" s="678" t="s">
        <v>416</v>
      </c>
      <c r="B74" s="181">
        <v>5528.5266126300003</v>
      </c>
      <c r="C74" s="475"/>
      <c r="D74" s="322">
        <f t="shared" si="19"/>
        <v>-100</v>
      </c>
      <c r="E74" s="181"/>
      <c r="F74" s="475"/>
      <c r="G74" s="322"/>
      <c r="H74" s="181">
        <v>6.1892999999999997E-2</v>
      </c>
      <c r="I74" s="671">
        <v>23.856000000000002</v>
      </c>
      <c r="J74" s="322">
        <f>IF(H74=0, "    ---- ", IF(ABS(ROUND(100/H74*I74-100,1))&lt;999,ROUND(100/H74*I74-100,1),IF(ROUND(100/H74*I74-100,1)&gt;999,999,-999)))</f>
        <v>999</v>
      </c>
      <c r="K74" s="181">
        <v>260</v>
      </c>
      <c r="L74" s="475"/>
      <c r="M74" s="414">
        <f>IF(K74=0, "    ---- ", IF(ABS(ROUND(100/K74*L74-100,1))&lt;999,ROUND(100/K74*L74-100,1),IF(ROUND(100/K74*L74-100,1)&gt;999,999,-999)))</f>
        <v>-100</v>
      </c>
      <c r="N74" s="181"/>
      <c r="O74" s="475"/>
      <c r="P74" s="322"/>
      <c r="Q74" s="181">
        <v>3817.02</v>
      </c>
      <c r="R74" s="686"/>
      <c r="S74" s="322">
        <f t="shared" si="25"/>
        <v>-100</v>
      </c>
      <c r="T74" s="181"/>
      <c r="U74" s="475"/>
      <c r="V74" s="322"/>
      <c r="W74" s="181">
        <v>1023.851</v>
      </c>
      <c r="X74" s="475"/>
      <c r="Y74" s="322">
        <f t="shared" si="27"/>
        <v>-100</v>
      </c>
      <c r="Z74" s="649">
        <v>9380</v>
      </c>
      <c r="AA74" s="475"/>
      <c r="AB74" s="322">
        <f t="shared" si="28"/>
        <v>-100</v>
      </c>
      <c r="AC74" s="181"/>
      <c r="AD74" s="475"/>
      <c r="AE74" s="322"/>
      <c r="AF74" s="475">
        <f t="shared" si="42"/>
        <v>20009.459505630002</v>
      </c>
      <c r="AG74" s="475">
        <f t="shared" si="42"/>
        <v>23.856000000000002</v>
      </c>
      <c r="AH74" s="322">
        <f t="shared" si="21"/>
        <v>-99.9</v>
      </c>
      <c r="AI74" s="475">
        <f t="shared" si="43"/>
        <v>20009.459505630002</v>
      </c>
      <c r="AJ74" s="475">
        <f t="shared" si="43"/>
        <v>23.856000000000002</v>
      </c>
      <c r="AK74" s="418">
        <f t="shared" si="23"/>
        <v>-99.9</v>
      </c>
    </row>
    <row r="75" spans="1:37" s="429" customFormat="1" ht="20.100000000000001" customHeight="1" x14ac:dyDescent="0.3">
      <c r="A75" s="678" t="s">
        <v>417</v>
      </c>
      <c r="B75" s="181">
        <v>2019.7323996500002</v>
      </c>
      <c r="C75" s="475"/>
      <c r="D75" s="322">
        <f t="shared" si="19"/>
        <v>-100</v>
      </c>
      <c r="E75" s="181">
        <v>73.428948750000004</v>
      </c>
      <c r="F75" s="475"/>
      <c r="G75" s="322">
        <f>IF(E75=0, "    ---- ", IF(ABS(ROUND(100/E75*F75-100,1))&lt;999,ROUND(100/E75*F75-100,1),IF(ROUND(100/E75*F75-100,1)&gt;999,999,-999)))</f>
        <v>-100</v>
      </c>
      <c r="H75" s="181"/>
      <c r="I75" s="671">
        <v>8.3000000000000007</v>
      </c>
      <c r="J75" s="322" t="str">
        <f>IF(H75=0, "    ---- ", IF(ABS(ROUND(100/H75*I75-100,1))&lt;999,ROUND(100/H75*I75-100,1),IF(ROUND(100/H75*I75-100,1)&gt;999,999,-999)))</f>
        <v xml:space="preserve">    ---- </v>
      </c>
      <c r="K75" s="181">
        <v>2</v>
      </c>
      <c r="L75" s="475"/>
      <c r="M75" s="414">
        <f>IF(K75=0, "    ---- ", IF(ABS(ROUND(100/K75*L75-100,1))&lt;999,ROUND(100/K75*L75-100,1),IF(ROUND(100/K75*L75-100,1)&gt;999,999,-999)))</f>
        <v>-100</v>
      </c>
      <c r="N75" s="181">
        <v>1E-8</v>
      </c>
      <c r="O75" s="475">
        <v>1E-8</v>
      </c>
      <c r="P75" s="322">
        <f t="shared" si="38"/>
        <v>0</v>
      </c>
      <c r="Q75" s="181">
        <v>1953.66</v>
      </c>
      <c r="R75" s="686"/>
      <c r="S75" s="322">
        <f t="shared" si="25"/>
        <v>-100</v>
      </c>
      <c r="T75" s="181"/>
      <c r="U75" s="475"/>
      <c r="V75" s="322"/>
      <c r="W75" s="181">
        <v>2406.1750000000002</v>
      </c>
      <c r="X75" s="475"/>
      <c r="Y75" s="322">
        <f t="shared" si="27"/>
        <v>-100</v>
      </c>
      <c r="Z75" s="649">
        <v>713</v>
      </c>
      <c r="AA75" s="671">
        <v>62.542222069999681</v>
      </c>
      <c r="AB75" s="322">
        <f t="shared" si="28"/>
        <v>-91.2</v>
      </c>
      <c r="AC75" s="181"/>
      <c r="AD75" s="475"/>
      <c r="AE75" s="322"/>
      <c r="AF75" s="475">
        <f t="shared" si="42"/>
        <v>7167.9963484099999</v>
      </c>
      <c r="AG75" s="475">
        <f t="shared" si="42"/>
        <v>70.842222079999686</v>
      </c>
      <c r="AH75" s="322">
        <f t="shared" si="21"/>
        <v>-99</v>
      </c>
      <c r="AI75" s="475">
        <f t="shared" si="43"/>
        <v>7167.9963484099999</v>
      </c>
      <c r="AJ75" s="475">
        <f t="shared" si="43"/>
        <v>70.842222079999686</v>
      </c>
      <c r="AK75" s="418">
        <f t="shared" si="23"/>
        <v>-99</v>
      </c>
    </row>
    <row r="76" spans="1:37" s="429" customFormat="1" ht="20.100000000000001" customHeight="1" x14ac:dyDescent="0.3">
      <c r="A76" s="529" t="s">
        <v>394</v>
      </c>
      <c r="B76" s="181"/>
      <c r="C76" s="417">
        <v>6388.8967637599999</v>
      </c>
      <c r="D76" s="322" t="str">
        <f>IF(B76=0, "    ---- ", IF(ABS(ROUND(100/B76*C76-100,1))&lt;999,ROUND(100/B76*C76-100,1),IF(ROUND(100/B76*C76-100,1)&gt;999,999,-999)))</f>
        <v xml:space="preserve">    ---- </v>
      </c>
      <c r="E76" s="181"/>
      <c r="F76" s="417">
        <v>112.97187583</v>
      </c>
      <c r="G76" s="322" t="str">
        <f>IF(E76=0, "    ---- ", IF(ABS(ROUND(100/E76*F76-100,1))&lt;999,ROUND(100/E76*F76-100,1),IF(ROUND(100/E76*F76-100,1)&gt;999,999,-999)))</f>
        <v xml:space="preserve">    ---- </v>
      </c>
      <c r="H76" s="181"/>
      <c r="I76" s="417"/>
      <c r="J76" s="322"/>
      <c r="K76" s="181"/>
      <c r="L76" s="417">
        <v>291</v>
      </c>
      <c r="M76" s="322" t="str">
        <f>IF(K76=0, "    ---- ", IF(ABS(ROUND(100/K76*L76-100,1))&lt;999,ROUND(100/K76*L76-100,1),IF(ROUND(100/K76*L76-100,1)&gt;999,999,-999)))</f>
        <v xml:space="preserve">    ---- </v>
      </c>
      <c r="N76" s="679">
        <v>101806.72169419999</v>
      </c>
      <c r="O76" s="671">
        <v>108949.31144963999</v>
      </c>
      <c r="P76" s="322">
        <f>IF(N76=0, "    ---- ", IF(ABS(ROUND(100/N76*O76-100,1))&lt;999,ROUND(100/N76*O76-100,1),IF(ROUND(100/N76*O76-100,1)&gt;999,999,-999)))</f>
        <v>7</v>
      </c>
      <c r="Q76" s="181"/>
      <c r="R76" s="181">
        <v>5903.11</v>
      </c>
      <c r="S76" s="322" t="str">
        <f>IF(Q76=0, "    ---- ", IF(ABS(ROUND(100/Q76*R76-100,1))&lt;999,ROUND(100/Q76*R76-100,1),IF(ROUND(100/Q76*R76-100,1)&gt;999,999,-999)))</f>
        <v xml:space="preserve">    ---- </v>
      </c>
      <c r="T76" s="181">
        <v>27647</v>
      </c>
      <c r="U76" s="417">
        <v>29966</v>
      </c>
      <c r="V76" s="322">
        <f>IF(T76=0, "    ---- ", IF(ABS(ROUND(100/T76*U76-100,1))&lt;999,ROUND(100/T76*U76-100,1),IF(ROUND(100/T76*U76-100,1)&gt;999,999,-999)))</f>
        <v>8.4</v>
      </c>
      <c r="W76" s="181">
        <v>343.12799999999999</v>
      </c>
      <c r="X76" s="417">
        <v>3327.4340000000002</v>
      </c>
      <c r="Y76" s="322">
        <f>IF(W76=0, "    ---- ", IF(ABS(ROUND(100/W76*X76-100,1))&lt;999,ROUND(100/W76*X76-100,1),IF(ROUND(100/W76*X76-100,1)&gt;999,999,-999)))</f>
        <v>869.7</v>
      </c>
      <c r="Z76" s="649">
        <v>1970</v>
      </c>
      <c r="AA76" s="417">
        <v>12907.642363219999</v>
      </c>
      <c r="AB76" s="322">
        <f>IF(Z76=0, "    ---- ", IF(ABS(ROUND(100/Z76*AA76-100,1))&lt;999,ROUND(100/Z76*AA76-100,1),IF(ROUND(100/Z76*AA76-100,1)&gt;999,999,-999)))</f>
        <v>555.20000000000005</v>
      </c>
      <c r="AC76" s="181"/>
      <c r="AD76" s="417">
        <v>2</v>
      </c>
      <c r="AE76" s="322" t="str">
        <f t="shared" si="41"/>
        <v xml:space="preserve">    ---- </v>
      </c>
      <c r="AF76" s="475">
        <f t="shared" si="42"/>
        <v>131766.84969419998</v>
      </c>
      <c r="AG76" s="475">
        <f t="shared" si="42"/>
        <v>167846.36645244999</v>
      </c>
      <c r="AH76" s="322">
        <f>IF(AF76=0, "    ---- ", IF(ABS(ROUND(100/AF76*AG76-100,1))&lt;999,ROUND(100/AF76*AG76-100,1),IF(ROUND(100/AF76*AG76-100,1)&gt;999,999,-999)))</f>
        <v>27.4</v>
      </c>
      <c r="AI76" s="475">
        <f t="shared" si="43"/>
        <v>131766.84969419998</v>
      </c>
      <c r="AJ76" s="475">
        <f t="shared" si="43"/>
        <v>167848.36645244999</v>
      </c>
      <c r="AK76" s="322">
        <f>IF(AI76=0, "    ---- ", IF(ABS(ROUND(100/AI76*AJ76-100,1))&lt;999,ROUND(100/AI76*AJ76-100,1),IF(ROUND(100/AI76*AJ76-100,1)&gt;999,999,-999)))</f>
        <v>27.4</v>
      </c>
    </row>
    <row r="77" spans="1:37" s="429" customFormat="1" ht="20.100000000000001" customHeight="1" x14ac:dyDescent="0.3">
      <c r="A77" s="529" t="s">
        <v>395</v>
      </c>
      <c r="B77" s="181">
        <v>391.26393077999995</v>
      </c>
      <c r="C77" s="417">
        <v>362.90353293999999</v>
      </c>
      <c r="D77" s="322">
        <f t="shared" si="19"/>
        <v>-7.2</v>
      </c>
      <c r="E77" s="181"/>
      <c r="F77" s="417"/>
      <c r="G77" s="322"/>
      <c r="H77" s="181"/>
      <c r="I77" s="417"/>
      <c r="J77" s="322"/>
      <c r="K77" s="181">
        <v>7</v>
      </c>
      <c r="L77" s="417">
        <v>1</v>
      </c>
      <c r="M77" s="322">
        <f>IF(K77=0, "    ---- ", IF(ABS(ROUND(100/K77*L77-100,1))&lt;999,ROUND(100/K77*L77-100,1),IF(ROUND(100/K77*L77-100,1)&gt;999,999,-999)))</f>
        <v>-85.7</v>
      </c>
      <c r="N77" s="679">
        <v>31603.79768009</v>
      </c>
      <c r="O77" s="671">
        <v>41618.825063650002</v>
      </c>
      <c r="P77" s="322">
        <f t="shared" si="38"/>
        <v>31.7</v>
      </c>
      <c r="Q77" s="181">
        <v>989.02</v>
      </c>
      <c r="R77" s="181">
        <v>1013.63</v>
      </c>
      <c r="S77" s="322">
        <f t="shared" si="25"/>
        <v>2.5</v>
      </c>
      <c r="T77" s="181">
        <v>7274</v>
      </c>
      <c r="U77" s="417">
        <v>5496</v>
      </c>
      <c r="V77" s="322">
        <f>IF(T77=0, "    ---- ", IF(ABS(ROUND(100/T77*U77-100,1))&lt;999,ROUND(100/T77*U77-100,1),IF(ROUND(100/T77*U77-100,1)&gt;999,999,-999)))</f>
        <v>-24.4</v>
      </c>
      <c r="W77" s="181"/>
      <c r="X77" s="417">
        <v>249.684</v>
      </c>
      <c r="Y77" s="322" t="str">
        <f t="shared" si="27"/>
        <v xml:space="preserve">    ---- </v>
      </c>
      <c r="Z77" s="649">
        <v>3528</v>
      </c>
      <c r="AA77" s="417">
        <v>3007.1327889899999</v>
      </c>
      <c r="AB77" s="322">
        <f t="shared" si="28"/>
        <v>-14.8</v>
      </c>
      <c r="AC77" s="181"/>
      <c r="AD77" s="417">
        <v>4</v>
      </c>
      <c r="AE77" s="322" t="str">
        <f t="shared" si="41"/>
        <v xml:space="preserve">    ---- </v>
      </c>
      <c r="AF77" s="475">
        <f t="shared" si="42"/>
        <v>43793.081610869995</v>
      </c>
      <c r="AG77" s="475">
        <f t="shared" si="42"/>
        <v>51749.175385579998</v>
      </c>
      <c r="AH77" s="322">
        <f t="shared" si="21"/>
        <v>18.2</v>
      </c>
      <c r="AI77" s="475">
        <f t="shared" si="43"/>
        <v>43793.081610869995</v>
      </c>
      <c r="AJ77" s="475">
        <f t="shared" si="43"/>
        <v>51753.175385579998</v>
      </c>
      <c r="AK77" s="418">
        <f t="shared" si="23"/>
        <v>18.2</v>
      </c>
    </row>
    <row r="78" spans="1:37" s="429" customFormat="1" ht="20.100000000000001" customHeight="1" x14ac:dyDescent="0.3">
      <c r="A78" s="529" t="s">
        <v>396</v>
      </c>
      <c r="B78" s="181">
        <v>3190.61417256</v>
      </c>
      <c r="C78" s="417">
        <v>3853.1676062900001</v>
      </c>
      <c r="D78" s="322">
        <f t="shared" si="19"/>
        <v>20.8</v>
      </c>
      <c r="E78" s="181"/>
      <c r="F78" s="417"/>
      <c r="G78" s="322"/>
      <c r="H78" s="181"/>
      <c r="I78" s="417"/>
      <c r="J78" s="322"/>
      <c r="K78" s="181"/>
      <c r="L78" s="417"/>
      <c r="M78" s="414"/>
      <c r="N78" s="679"/>
      <c r="O78" s="671"/>
      <c r="P78" s="322"/>
      <c r="Q78" s="181"/>
      <c r="R78" s="181"/>
      <c r="S78" s="322"/>
      <c r="T78" s="181">
        <v>366</v>
      </c>
      <c r="U78" s="417"/>
      <c r="V78" s="322">
        <f t="shared" ref="V78:V79" si="44">IF(T78=0, "    ---- ", IF(ABS(ROUND(100/T78*U78-100,1))&lt;999,ROUND(100/T78*U78-100,1),IF(ROUND(100/T78*U78-100,1)&gt;999,999,-999)))</f>
        <v>-100</v>
      </c>
      <c r="W78" s="181"/>
      <c r="X78" s="417"/>
      <c r="Y78" s="322"/>
      <c r="Z78" s="649">
        <v>771.4</v>
      </c>
      <c r="AA78" s="417">
        <v>857.01115100000004</v>
      </c>
      <c r="AB78" s="322">
        <f t="shared" si="28"/>
        <v>11.1</v>
      </c>
      <c r="AC78" s="181"/>
      <c r="AD78" s="417"/>
      <c r="AE78" s="322"/>
      <c r="AF78" s="475">
        <f t="shared" si="42"/>
        <v>4328.0141725599997</v>
      </c>
      <c r="AG78" s="475">
        <f t="shared" si="42"/>
        <v>4710.1787572900002</v>
      </c>
      <c r="AH78" s="322">
        <f t="shared" si="21"/>
        <v>8.8000000000000007</v>
      </c>
      <c r="AI78" s="475">
        <f t="shared" si="43"/>
        <v>4328.0141725599997</v>
      </c>
      <c r="AJ78" s="475">
        <f t="shared" si="43"/>
        <v>4710.1787572900002</v>
      </c>
      <c r="AK78" s="418">
        <f t="shared" si="23"/>
        <v>8.8000000000000007</v>
      </c>
    </row>
    <row r="79" spans="1:37" s="429" customFormat="1" ht="20.100000000000001" customHeight="1" x14ac:dyDescent="0.3">
      <c r="A79" s="529" t="s">
        <v>213</v>
      </c>
      <c r="B79" s="181"/>
      <c r="C79" s="417"/>
      <c r="D79" s="322"/>
      <c r="E79" s="181"/>
      <c r="F79" s="417"/>
      <c r="G79" s="322"/>
      <c r="H79" s="181"/>
      <c r="I79" s="417"/>
      <c r="J79" s="322"/>
      <c r="K79" s="181"/>
      <c r="L79" s="417"/>
      <c r="M79" s="414"/>
      <c r="N79" s="181">
        <v>21202.274095000001</v>
      </c>
      <c r="O79" s="417">
        <v>26331.168841999999</v>
      </c>
      <c r="P79" s="322">
        <f t="shared" si="38"/>
        <v>24.2</v>
      </c>
      <c r="Q79" s="181"/>
      <c r="R79" s="417"/>
      <c r="S79" s="322"/>
      <c r="T79" s="181">
        <v>2902</v>
      </c>
      <c r="U79" s="417">
        <v>3657</v>
      </c>
      <c r="V79" s="322">
        <f t="shared" si="44"/>
        <v>26</v>
      </c>
      <c r="W79" s="181">
        <v>8.1297620100002295</v>
      </c>
      <c r="X79" s="417">
        <v>394.25731792000045</v>
      </c>
      <c r="Y79" s="322">
        <f t="shared" si="27"/>
        <v>999</v>
      </c>
      <c r="Z79" s="649">
        <v>466.4</v>
      </c>
      <c r="AA79" s="417">
        <v>837.17202271999986</v>
      </c>
      <c r="AB79" s="322">
        <f t="shared" si="28"/>
        <v>79.5</v>
      </c>
      <c r="AC79" s="181"/>
      <c r="AD79" s="417"/>
      <c r="AE79" s="322"/>
      <c r="AF79" s="475">
        <f t="shared" si="42"/>
        <v>24578.803857010003</v>
      </c>
      <c r="AG79" s="475">
        <f t="shared" si="42"/>
        <v>31219.598182639998</v>
      </c>
      <c r="AH79" s="322">
        <f t="shared" si="21"/>
        <v>27</v>
      </c>
      <c r="AI79" s="475">
        <f t="shared" si="43"/>
        <v>24578.803857010003</v>
      </c>
      <c r="AJ79" s="475">
        <f t="shared" si="43"/>
        <v>31219.598182639998</v>
      </c>
      <c r="AK79" s="418">
        <f t="shared" si="23"/>
        <v>27</v>
      </c>
    </row>
    <row r="80" spans="1:37" s="429" customFormat="1" ht="20.100000000000001" customHeight="1" x14ac:dyDescent="0.3">
      <c r="A80" s="565" t="s">
        <v>214</v>
      </c>
      <c r="B80" s="181">
        <f>SUM(B73:B79)</f>
        <v>190065.09877434999</v>
      </c>
      <c r="C80" s="417">
        <f>SUM(C73:C79)</f>
        <v>186336.94833842997</v>
      </c>
      <c r="D80" s="322">
        <f t="shared" si="19"/>
        <v>-2</v>
      </c>
      <c r="E80" s="181">
        <f>SUM(E73:E79)</f>
        <v>8633.5624396999992</v>
      </c>
      <c r="F80" s="671">
        <v>9537.7785052800009</v>
      </c>
      <c r="G80" s="322">
        <f>IF(E80=0, "    ---- ", IF(ABS(ROUND(100/E80*F80-100,1))&lt;999,ROUND(100/E80*F80-100,1),IF(ROUND(100/E80*F80-100,1)&gt;999,999,-999)))</f>
        <v>10.5</v>
      </c>
      <c r="H80" s="181">
        <f>SUM(H73:H79)</f>
        <v>1960.486956</v>
      </c>
      <c r="I80" s="417">
        <f>SUM(I73:I79)</f>
        <v>2256.4300000000003</v>
      </c>
      <c r="J80" s="322">
        <f>IF(H80=0, "    ---- ", IF(ABS(ROUND(100/H80*I80-100,1))&lt;999,ROUND(100/H80*I80-100,1),IF(ROUND(100/H80*I80-100,1)&gt;999,999,-999)))</f>
        <v>15.1</v>
      </c>
      <c r="K80" s="181">
        <f>SUM(K73:K79)</f>
        <v>9262</v>
      </c>
      <c r="L80" s="417">
        <f>SUM(L73:L79)</f>
        <v>10374</v>
      </c>
      <c r="M80" s="414">
        <f>IF(K80=0, "    ---- ", IF(ABS(ROUND(100/K80*L80-100,1))&lt;999,ROUND(100/K80*L80-100,1),IF(ROUND(100/K80*L80-100,1)&gt;999,999,-999)))</f>
        <v>12</v>
      </c>
      <c r="N80" s="181">
        <v>712385.36421758996</v>
      </c>
      <c r="O80" s="417">
        <v>775383.06184459</v>
      </c>
      <c r="P80" s="322">
        <f t="shared" si="38"/>
        <v>8.8000000000000007</v>
      </c>
      <c r="Q80" s="181">
        <f>SUM(Q73:Q79)</f>
        <v>54766.92</v>
      </c>
      <c r="R80" s="417">
        <f>SUM(R73:R79)</f>
        <v>54677.939999999995</v>
      </c>
      <c r="S80" s="322">
        <f t="shared" si="25"/>
        <v>-0.2</v>
      </c>
      <c r="T80" s="181">
        <f>SUM(T73:T79)</f>
        <v>117209</v>
      </c>
      <c r="U80" s="417">
        <f>SUM(U73:U79)</f>
        <v>125767</v>
      </c>
      <c r="V80" s="322">
        <f>IF(T80=0, "    ---- ", IF(ABS(ROUND(100/T80*U80-100,1))&lt;999,ROUND(100/T80*U80-100,1),IF(ROUND(100/T80*U80-100,1)&gt;999,999,-999)))</f>
        <v>7.3</v>
      </c>
      <c r="W80" s="181">
        <f>SUM(W73:W79)</f>
        <v>23125.896762010001</v>
      </c>
      <c r="X80" s="417">
        <f>SUM(X73:X79)</f>
        <v>23752.897317920004</v>
      </c>
      <c r="Y80" s="322">
        <f t="shared" si="27"/>
        <v>2.7</v>
      </c>
      <c r="Z80" s="649">
        <f>SUM(Z73:Z79)</f>
        <v>205714.8</v>
      </c>
      <c r="AA80" s="417">
        <f>SUM(AA73:AA79)</f>
        <v>212826.63256482992</v>
      </c>
      <c r="AB80" s="322">
        <f t="shared" si="28"/>
        <v>3.5</v>
      </c>
      <c r="AC80" s="181">
        <f>SUM(AC73:AC79)</f>
        <v>12</v>
      </c>
      <c r="AD80" s="417">
        <f>SUM(AD73:AD79)</f>
        <v>117</v>
      </c>
      <c r="AE80" s="322">
        <f>IF(AC80=0, "    ---- ", IF(ABS(ROUND(100/AC80*AD80-100,1))&lt;999,ROUND(100/AC80*AD80-100,1),IF(ROUND(100/AC80*AD80-100,1)&gt;999,999,-999)))</f>
        <v>875</v>
      </c>
      <c r="AF80" s="475">
        <f t="shared" si="42"/>
        <v>1323123.12914965</v>
      </c>
      <c r="AG80" s="475">
        <f t="shared" si="42"/>
        <v>1400912.6885710498</v>
      </c>
      <c r="AH80" s="322">
        <f t="shared" si="21"/>
        <v>5.9</v>
      </c>
      <c r="AI80" s="475">
        <f t="shared" si="43"/>
        <v>1323135.12914965</v>
      </c>
      <c r="AJ80" s="475">
        <f t="shared" si="43"/>
        <v>1401029.6885710498</v>
      </c>
      <c r="AK80" s="418">
        <f t="shared" si="23"/>
        <v>5.9</v>
      </c>
    </row>
    <row r="81" spans="1:37" s="429" customFormat="1" ht="20.100000000000001" customHeight="1" x14ac:dyDescent="0.3">
      <c r="A81" s="529" t="s">
        <v>215</v>
      </c>
      <c r="B81" s="181"/>
      <c r="C81" s="417"/>
      <c r="D81" s="322"/>
      <c r="E81" s="181"/>
      <c r="F81" s="417"/>
      <c r="G81" s="322"/>
      <c r="H81" s="181"/>
      <c r="I81" s="417"/>
      <c r="J81" s="322"/>
      <c r="K81" s="181"/>
      <c r="L81" s="417"/>
      <c r="M81" s="414"/>
      <c r="N81" s="181"/>
      <c r="O81" s="417"/>
      <c r="P81" s="322"/>
      <c r="Q81" s="181"/>
      <c r="R81" s="417"/>
      <c r="S81" s="322"/>
      <c r="T81" s="181"/>
      <c r="U81" s="417"/>
      <c r="V81" s="322"/>
      <c r="W81" s="181"/>
      <c r="X81" s="417"/>
      <c r="Y81" s="322"/>
      <c r="Z81" s="649"/>
      <c r="AA81" s="417"/>
      <c r="AB81" s="322"/>
      <c r="AC81" s="181"/>
      <c r="AD81" s="417"/>
      <c r="AE81" s="322"/>
      <c r="AF81" s="414"/>
      <c r="AG81" s="414"/>
      <c r="AH81" s="322"/>
      <c r="AI81" s="414"/>
      <c r="AJ81" s="414"/>
      <c r="AK81" s="418"/>
    </row>
    <row r="82" spans="1:37" s="429" customFormat="1" ht="20.100000000000001" customHeight="1" x14ac:dyDescent="0.3">
      <c r="A82" s="529" t="s">
        <v>397</v>
      </c>
      <c r="B82" s="181">
        <v>152067.84361222415</v>
      </c>
      <c r="C82" s="417">
        <v>186747.36579703997</v>
      </c>
      <c r="D82" s="322">
        <f t="shared" si="19"/>
        <v>22.8</v>
      </c>
      <c r="E82" s="181"/>
      <c r="F82" s="417"/>
      <c r="G82" s="322"/>
      <c r="H82" s="181"/>
      <c r="I82" s="417"/>
      <c r="J82" s="322"/>
      <c r="K82" s="181">
        <v>54199</v>
      </c>
      <c r="L82" s="417">
        <v>69369</v>
      </c>
      <c r="M82" s="414">
        <f>IF(K82=0, "    ---- ", IF(ABS(ROUND(100/K82*L82-100,1))&lt;999,ROUND(100/K82*L82-100,1),IF(ROUND(100/K82*L82-100,1)&gt;999,999,-999)))</f>
        <v>28</v>
      </c>
      <c r="N82" s="181">
        <v>2155.7883880100003</v>
      </c>
      <c r="O82" s="417">
        <v>2260.7468495399999</v>
      </c>
      <c r="P82" s="322">
        <f t="shared" ref="P82:P93" si="45">IF(N82=0, "    ---- ", IF(ABS(ROUND(100/N82*O82-100,1))&lt;999,ROUND(100/N82*O82-100,1),IF(ROUND(100/N82*O82-100,1)&gt;999,999,-999)))</f>
        <v>4.9000000000000004</v>
      </c>
      <c r="Q82" s="181">
        <v>137257.75</v>
      </c>
      <c r="R82" s="417">
        <v>167574.45000000001</v>
      </c>
      <c r="S82" s="322">
        <f t="shared" si="25"/>
        <v>22.1</v>
      </c>
      <c r="T82" s="181"/>
      <c r="U82" s="417"/>
      <c r="V82" s="322"/>
      <c r="W82" s="181">
        <v>61849.23</v>
      </c>
      <c r="X82" s="417">
        <v>76189.694000000003</v>
      </c>
      <c r="Y82" s="322">
        <f t="shared" si="27"/>
        <v>23.2</v>
      </c>
      <c r="Z82" s="649">
        <v>196087</v>
      </c>
      <c r="AA82" s="417">
        <v>232407.85130380007</v>
      </c>
      <c r="AB82" s="322">
        <f t="shared" si="28"/>
        <v>18.5</v>
      </c>
      <c r="AC82" s="181"/>
      <c r="AD82" s="417"/>
      <c r="AE82" s="322"/>
      <c r="AF82" s="475">
        <f t="shared" ref="AF82:AG91" si="46">B82+E82+H82+K82+N82+Q82+T82+W82+Z82</f>
        <v>603616.61200023419</v>
      </c>
      <c r="AG82" s="475">
        <f t="shared" si="46"/>
        <v>734549.10795038007</v>
      </c>
      <c r="AH82" s="322">
        <f t="shared" si="21"/>
        <v>21.7</v>
      </c>
      <c r="AI82" s="475">
        <f t="shared" ref="AI82:AJ91" si="47">B82+E82+H82+K82+N82+Q82+T82+W82+Z82+AC82</f>
        <v>603616.61200023419</v>
      </c>
      <c r="AJ82" s="475">
        <f t="shared" si="47"/>
        <v>734549.10795038007</v>
      </c>
      <c r="AK82" s="418">
        <f t="shared" si="23"/>
        <v>21.7</v>
      </c>
    </row>
    <row r="83" spans="1:37" s="429" customFormat="1" ht="20.100000000000001" customHeight="1" x14ac:dyDescent="0.3">
      <c r="A83" s="678" t="s">
        <v>416</v>
      </c>
      <c r="B83" s="181"/>
      <c r="C83" s="475"/>
      <c r="D83" s="322"/>
      <c r="E83" s="181"/>
      <c r="F83" s="475"/>
      <c r="G83" s="322"/>
      <c r="H83" s="181"/>
      <c r="I83" s="475"/>
      <c r="J83" s="322"/>
      <c r="K83" s="181"/>
      <c r="L83" s="475"/>
      <c r="M83" s="322"/>
      <c r="N83" s="181">
        <v>61.316423869999994</v>
      </c>
      <c r="O83" s="475"/>
      <c r="P83" s="322">
        <f t="shared" si="45"/>
        <v>-100</v>
      </c>
      <c r="Q83" s="181"/>
      <c r="R83" s="475"/>
      <c r="S83" s="322"/>
      <c r="T83" s="181"/>
      <c r="U83" s="475"/>
      <c r="V83" s="322"/>
      <c r="W83" s="181"/>
      <c r="X83" s="475"/>
      <c r="Y83" s="322"/>
      <c r="Z83" s="649"/>
      <c r="AA83" s="475"/>
      <c r="AB83" s="322"/>
      <c r="AC83" s="181"/>
      <c r="AD83" s="475"/>
      <c r="AE83" s="322"/>
      <c r="AF83" s="475">
        <f t="shared" si="46"/>
        <v>61.316423869999994</v>
      </c>
      <c r="AG83" s="475">
        <f t="shared" si="46"/>
        <v>0</v>
      </c>
      <c r="AH83" s="322">
        <f t="shared" si="21"/>
        <v>-100</v>
      </c>
      <c r="AI83" s="475">
        <f t="shared" si="47"/>
        <v>61.316423869999994</v>
      </c>
      <c r="AJ83" s="475">
        <f t="shared" si="47"/>
        <v>0</v>
      </c>
      <c r="AK83" s="418">
        <f t="shared" si="23"/>
        <v>-100</v>
      </c>
    </row>
    <row r="84" spans="1:37" s="429" customFormat="1" ht="20.100000000000001" customHeight="1" x14ac:dyDescent="0.3">
      <c r="A84" s="529" t="s">
        <v>398</v>
      </c>
      <c r="B84" s="181"/>
      <c r="C84" s="417"/>
      <c r="D84" s="322"/>
      <c r="E84" s="181"/>
      <c r="F84" s="417"/>
      <c r="G84" s="322"/>
      <c r="H84" s="181"/>
      <c r="I84" s="417"/>
      <c r="J84" s="322"/>
      <c r="K84" s="181"/>
      <c r="L84" s="417"/>
      <c r="M84" s="322"/>
      <c r="N84" s="181">
        <v>521.00440892000006</v>
      </c>
      <c r="O84" s="475">
        <v>185.00298753999999</v>
      </c>
      <c r="P84" s="322">
        <f t="shared" si="45"/>
        <v>-64.5</v>
      </c>
      <c r="Q84" s="181"/>
      <c r="R84" s="417"/>
      <c r="S84" s="322"/>
      <c r="T84" s="181"/>
      <c r="U84" s="417"/>
      <c r="V84" s="322"/>
      <c r="W84" s="89"/>
      <c r="X84" s="417"/>
      <c r="Y84" s="322"/>
      <c r="Z84" s="649"/>
      <c r="AA84" s="417"/>
      <c r="AB84" s="322"/>
      <c r="AC84" s="181"/>
      <c r="AD84" s="417"/>
      <c r="AE84" s="322"/>
      <c r="AF84" s="475">
        <f t="shared" si="46"/>
        <v>521.00440892000006</v>
      </c>
      <c r="AG84" s="475">
        <f t="shared" si="46"/>
        <v>185.00298753999999</v>
      </c>
      <c r="AH84" s="322">
        <f t="shared" si="21"/>
        <v>-64.5</v>
      </c>
      <c r="AI84" s="475">
        <f t="shared" si="47"/>
        <v>521.00440892000006</v>
      </c>
      <c r="AJ84" s="475">
        <f t="shared" si="47"/>
        <v>185.00298753999999</v>
      </c>
      <c r="AK84" s="418"/>
    </row>
    <row r="85" spans="1:37" s="429" customFormat="1" ht="20.100000000000001" customHeight="1" x14ac:dyDescent="0.3">
      <c r="A85" s="529" t="s">
        <v>399</v>
      </c>
      <c r="B85" s="537">
        <v>369.45775700999997</v>
      </c>
      <c r="C85" s="322">
        <v>260.10911781999999</v>
      </c>
      <c r="D85" s="322">
        <f t="shared" si="19"/>
        <v>-29.6</v>
      </c>
      <c r="E85" s="537"/>
      <c r="F85" s="322"/>
      <c r="G85" s="322"/>
      <c r="H85" s="537"/>
      <c r="I85" s="322"/>
      <c r="J85" s="322"/>
      <c r="K85" s="537">
        <v>172</v>
      </c>
      <c r="L85" s="322">
        <v>104</v>
      </c>
      <c r="M85" s="322">
        <f>IF(K85=0, "    ---- ", IF(ABS(ROUND(100/K85*L85-100,1))&lt;999,ROUND(100/K85*L85-100,1),IF(ROUND(100/K85*L85-100,1)&gt;999,999,-999)))</f>
        <v>-39.5</v>
      </c>
      <c r="N85" s="537"/>
      <c r="O85" s="417">
        <v>496.54836725000001</v>
      </c>
      <c r="P85" s="322" t="str">
        <f t="shared" si="45"/>
        <v xml:space="preserve">    ---- </v>
      </c>
      <c r="Q85" s="537"/>
      <c r="R85" s="322"/>
      <c r="S85" s="322"/>
      <c r="T85" s="537"/>
      <c r="U85" s="322"/>
      <c r="V85" s="322"/>
      <c r="W85" s="181">
        <v>654.73699999999997</v>
      </c>
      <c r="X85" s="322">
        <v>808.31</v>
      </c>
      <c r="Y85" s="322">
        <f t="shared" si="27"/>
        <v>23.5</v>
      </c>
      <c r="Z85" s="648">
        <v>29.8</v>
      </c>
      <c r="AA85" s="322"/>
      <c r="AB85" s="322">
        <f t="shared" si="28"/>
        <v>-100</v>
      </c>
      <c r="AC85" s="537"/>
      <c r="AD85" s="322"/>
      <c r="AE85" s="322"/>
      <c r="AF85" s="475">
        <f t="shared" si="46"/>
        <v>1225.9947570100001</v>
      </c>
      <c r="AG85" s="475">
        <f t="shared" si="46"/>
        <v>1668.9674850699998</v>
      </c>
      <c r="AH85" s="322">
        <f t="shared" si="21"/>
        <v>36.1</v>
      </c>
      <c r="AI85" s="475">
        <f t="shared" si="47"/>
        <v>1225.9947570100001</v>
      </c>
      <c r="AJ85" s="475">
        <f t="shared" si="47"/>
        <v>1668.9674850699998</v>
      </c>
      <c r="AK85" s="418">
        <f t="shared" si="23"/>
        <v>36.1</v>
      </c>
    </row>
    <row r="86" spans="1:37" s="429" customFormat="1" ht="20.100000000000001" customHeight="1" x14ac:dyDescent="0.3">
      <c r="A86" s="529" t="s">
        <v>213</v>
      </c>
      <c r="B86" s="181"/>
      <c r="C86" s="417"/>
      <c r="D86" s="417"/>
      <c r="E86" s="181"/>
      <c r="F86" s="417"/>
      <c r="G86" s="417"/>
      <c r="H86" s="181"/>
      <c r="I86" s="417"/>
      <c r="J86" s="417"/>
      <c r="K86" s="181"/>
      <c r="L86" s="417"/>
      <c r="M86" s="414"/>
      <c r="N86" s="181">
        <v>115.65169400000001</v>
      </c>
      <c r="O86" s="417">
        <v>133.12910400000001</v>
      </c>
      <c r="P86" s="322">
        <f t="shared" si="45"/>
        <v>15.1</v>
      </c>
      <c r="Q86" s="181"/>
      <c r="R86" s="417"/>
      <c r="S86" s="322"/>
      <c r="T86" s="181"/>
      <c r="U86" s="417"/>
      <c r="V86" s="322"/>
      <c r="W86" s="181"/>
      <c r="X86" s="417"/>
      <c r="Y86" s="322"/>
      <c r="Z86" s="649">
        <v>-24.4</v>
      </c>
      <c r="AA86" s="417">
        <v>-8.4570539999999994</v>
      </c>
      <c r="AB86" s="322">
        <f t="shared" si="28"/>
        <v>-65.3</v>
      </c>
      <c r="AC86" s="181"/>
      <c r="AD86" s="417"/>
      <c r="AE86" s="322"/>
      <c r="AF86" s="475">
        <f t="shared" si="46"/>
        <v>91.251694000000015</v>
      </c>
      <c r="AG86" s="475">
        <f t="shared" si="46"/>
        <v>124.67205000000001</v>
      </c>
      <c r="AH86" s="322">
        <f t="shared" si="21"/>
        <v>36.6</v>
      </c>
      <c r="AI86" s="475">
        <f t="shared" si="47"/>
        <v>91.251694000000015</v>
      </c>
      <c r="AJ86" s="475">
        <f t="shared" si="47"/>
        <v>124.67205000000001</v>
      </c>
      <c r="AK86" s="418">
        <f t="shared" si="23"/>
        <v>36.6</v>
      </c>
    </row>
    <row r="87" spans="1:37" s="429" customFormat="1" ht="20.100000000000001" customHeight="1" x14ac:dyDescent="0.3">
      <c r="A87" s="565" t="s">
        <v>216</v>
      </c>
      <c r="B87" s="181">
        <f>SUM(B82:B86)</f>
        <v>152437.30136923416</v>
      </c>
      <c r="C87" s="417">
        <f>SUM(C82:C86)</f>
        <v>187007.47491485995</v>
      </c>
      <c r="D87" s="417">
        <f t="shared" si="19"/>
        <v>22.7</v>
      </c>
      <c r="E87" s="181"/>
      <c r="F87" s="417"/>
      <c r="G87" s="417"/>
      <c r="H87" s="181"/>
      <c r="I87" s="417"/>
      <c r="J87" s="417"/>
      <c r="K87" s="181">
        <f>SUM(K82:K86)</f>
        <v>54371</v>
      </c>
      <c r="L87" s="417">
        <f>SUM(L82:L86)</f>
        <v>69473</v>
      </c>
      <c r="M87" s="414">
        <f>IF(K87=0, "    ---- ", IF(ABS(ROUND(100/K87*L87-100,1))&lt;999,ROUND(100/K87*L87-100,1),IF(ROUND(100/K87*L87-100,1)&gt;999,999,-999)))</f>
        <v>27.8</v>
      </c>
      <c r="N87" s="181">
        <v>2853.7609148000006</v>
      </c>
      <c r="O87" s="417">
        <v>3075.42730833</v>
      </c>
      <c r="P87" s="322">
        <f t="shared" si="45"/>
        <v>7.8</v>
      </c>
      <c r="Q87" s="181">
        <f>SUM(Q82:Q86)</f>
        <v>137257.75</v>
      </c>
      <c r="R87" s="417">
        <f>SUM(R82:R86)</f>
        <v>167574.45000000001</v>
      </c>
      <c r="S87" s="322">
        <f t="shared" si="25"/>
        <v>22.1</v>
      </c>
      <c r="T87" s="181"/>
      <c r="U87" s="417"/>
      <c r="V87" s="322"/>
      <c r="W87" s="181">
        <f>SUM(W82:W86)</f>
        <v>62503.967000000004</v>
      </c>
      <c r="X87" s="417">
        <f>SUM(X82:X86)</f>
        <v>76998.004000000001</v>
      </c>
      <c r="Y87" s="322">
        <f t="shared" si="27"/>
        <v>23.2</v>
      </c>
      <c r="Z87" s="649">
        <f>SUM(Z82:Z86)</f>
        <v>196092.4</v>
      </c>
      <c r="AA87" s="417">
        <f>SUM(AA82:AA86)</f>
        <v>232399.39424980007</v>
      </c>
      <c r="AB87" s="322">
        <f t="shared" si="28"/>
        <v>18.5</v>
      </c>
      <c r="AC87" s="181"/>
      <c r="AD87" s="417"/>
      <c r="AE87" s="322"/>
      <c r="AF87" s="475">
        <f t="shared" si="46"/>
        <v>605516.17928403418</v>
      </c>
      <c r="AG87" s="475">
        <f t="shared" si="46"/>
        <v>736527.7504729901</v>
      </c>
      <c r="AH87" s="322">
        <f t="shared" si="21"/>
        <v>21.6</v>
      </c>
      <c r="AI87" s="475">
        <f t="shared" si="47"/>
        <v>605516.17928403418</v>
      </c>
      <c r="AJ87" s="475">
        <f t="shared" si="47"/>
        <v>736527.7504729901</v>
      </c>
      <c r="AK87" s="418">
        <f t="shared" si="23"/>
        <v>21.6</v>
      </c>
    </row>
    <row r="88" spans="1:37" s="429" customFormat="1" ht="20.100000000000001" customHeight="1" x14ac:dyDescent="0.3">
      <c r="A88" s="529" t="s">
        <v>217</v>
      </c>
      <c r="B88" s="181">
        <v>1119.2217148899999</v>
      </c>
      <c r="C88" s="417">
        <v>1530.9027772699999</v>
      </c>
      <c r="D88" s="322">
        <f t="shared" si="19"/>
        <v>36.799999999999997</v>
      </c>
      <c r="E88" s="181">
        <v>151.24964415999997</v>
      </c>
      <c r="F88" s="417">
        <v>186.18761253999992</v>
      </c>
      <c r="G88" s="322">
        <f>IF(E88=0, "    ---- ", IF(ABS(ROUND(100/E88*F88-100,1))&lt;999,ROUND(100/E88*F88-100,1),IF(ROUND(100/E88*F88-100,1)&gt;999,999,-999)))</f>
        <v>23.1</v>
      </c>
      <c r="H88" s="181">
        <v>44.604171000000001</v>
      </c>
      <c r="I88" s="417">
        <v>79.599000000000004</v>
      </c>
      <c r="J88" s="322">
        <f>IF(H88=0, "    ---- ", IF(ABS(ROUND(100/H88*I88-100,1))&lt;999,ROUND(100/H88*I88-100,1),IF(ROUND(100/H88*I88-100,1)&gt;999,999,-999)))</f>
        <v>78.5</v>
      </c>
      <c r="K88" s="181">
        <v>45</v>
      </c>
      <c r="L88" s="417">
        <v>102</v>
      </c>
      <c r="M88" s="322">
        <f>IF(K88=0, "    ---- ", IF(ABS(ROUND(100/K88*L88-100,1))&lt;999,ROUND(100/K88*L88-100,1),IF(ROUND(100/K88*L88-100,1)&gt;999,999,-999)))</f>
        <v>126.7</v>
      </c>
      <c r="N88" s="181">
        <v>1031.5670327400001</v>
      </c>
      <c r="O88" s="417">
        <v>1124.8584206400001</v>
      </c>
      <c r="P88" s="322">
        <f t="shared" si="45"/>
        <v>9</v>
      </c>
      <c r="Q88" s="181">
        <v>343.46</v>
      </c>
      <c r="R88" s="417">
        <v>822.79</v>
      </c>
      <c r="S88" s="322">
        <f t="shared" si="25"/>
        <v>139.6</v>
      </c>
      <c r="T88" s="181"/>
      <c r="U88" s="417"/>
      <c r="V88" s="322"/>
      <c r="W88" s="181">
        <v>286.83999999999997</v>
      </c>
      <c r="X88" s="417">
        <v>197.72499999999999</v>
      </c>
      <c r="Y88" s="322">
        <f t="shared" si="27"/>
        <v>-31.1</v>
      </c>
      <c r="Z88" s="649">
        <v>226</v>
      </c>
      <c r="AA88" s="417">
        <v>198.6262330514129</v>
      </c>
      <c r="AB88" s="322">
        <f t="shared" si="28"/>
        <v>-12.1</v>
      </c>
      <c r="AC88" s="181"/>
      <c r="AD88" s="417"/>
      <c r="AE88" s="322"/>
      <c r="AF88" s="475">
        <f t="shared" si="46"/>
        <v>3247.94256279</v>
      </c>
      <c r="AG88" s="475">
        <f t="shared" si="46"/>
        <v>4242.6890435014129</v>
      </c>
      <c r="AH88" s="322">
        <f t="shared" si="21"/>
        <v>30.6</v>
      </c>
      <c r="AI88" s="475">
        <f t="shared" si="47"/>
        <v>3247.94256279</v>
      </c>
      <c r="AJ88" s="475">
        <f t="shared" si="47"/>
        <v>4242.6890435014129</v>
      </c>
      <c r="AK88" s="418">
        <f t="shared" si="23"/>
        <v>30.6</v>
      </c>
    </row>
    <row r="89" spans="1:37" s="429" customFormat="1" ht="20.100000000000001" customHeight="1" x14ac:dyDescent="0.3">
      <c r="A89" s="529" t="s">
        <v>218</v>
      </c>
      <c r="B89" s="181"/>
      <c r="C89" s="417"/>
      <c r="D89" s="322"/>
      <c r="E89" s="181">
        <v>357.65479385999993</v>
      </c>
      <c r="F89" s="417">
        <v>271.16446008999998</v>
      </c>
      <c r="G89" s="322">
        <f t="shared" ref="G89:G90" si="48">IF(E89=0, "    ---- ", IF(ABS(ROUND(100/E89*F89-100,1))&lt;999,ROUND(100/E89*F89-100,1),IF(ROUND(100/E89*F89-100,1)&gt;999,999,-999)))</f>
        <v>-24.2</v>
      </c>
      <c r="H89" s="181"/>
      <c r="I89" s="417"/>
      <c r="J89" s="322"/>
      <c r="K89" s="181"/>
      <c r="L89" s="417"/>
      <c r="M89" s="322"/>
      <c r="N89" s="181"/>
      <c r="O89" s="417"/>
      <c r="P89" s="322"/>
      <c r="Q89" s="181"/>
      <c r="R89" s="417"/>
      <c r="S89" s="322"/>
      <c r="T89" s="181"/>
      <c r="U89" s="417"/>
      <c r="V89" s="322"/>
      <c r="W89" s="181">
        <v>10.821999999999999</v>
      </c>
      <c r="X89" s="417">
        <v>12.224</v>
      </c>
      <c r="Y89" s="322">
        <f t="shared" si="27"/>
        <v>13</v>
      </c>
      <c r="Z89" s="649"/>
      <c r="AA89" s="417"/>
      <c r="AB89" s="322"/>
      <c r="AC89" s="181"/>
      <c r="AD89" s="417"/>
      <c r="AE89" s="322"/>
      <c r="AF89" s="475">
        <f t="shared" si="46"/>
        <v>368.47679385999993</v>
      </c>
      <c r="AG89" s="475">
        <f t="shared" si="46"/>
        <v>283.38846008999997</v>
      </c>
      <c r="AH89" s="322">
        <f t="shared" si="21"/>
        <v>-23.1</v>
      </c>
      <c r="AI89" s="475">
        <f t="shared" si="47"/>
        <v>368.47679385999993</v>
      </c>
      <c r="AJ89" s="475">
        <f t="shared" si="47"/>
        <v>283.38846008999997</v>
      </c>
      <c r="AK89" s="418">
        <f t="shared" si="23"/>
        <v>-23.1</v>
      </c>
    </row>
    <row r="90" spans="1:37" s="429" customFormat="1" ht="20.100000000000001" customHeight="1" x14ac:dyDescent="0.3">
      <c r="A90" s="529" t="s">
        <v>219</v>
      </c>
      <c r="B90" s="181">
        <v>4082.7537274758333</v>
      </c>
      <c r="C90" s="417">
        <v>3296.1765536800172</v>
      </c>
      <c r="D90" s="417">
        <f t="shared" si="19"/>
        <v>-19.3</v>
      </c>
      <c r="E90" s="181">
        <v>146.32815720000005</v>
      </c>
      <c r="F90" s="417">
        <v>96.99558356</v>
      </c>
      <c r="G90" s="322">
        <f t="shared" si="48"/>
        <v>-33.700000000000003</v>
      </c>
      <c r="H90" s="181"/>
      <c r="I90" s="417"/>
      <c r="J90" s="417"/>
      <c r="K90" s="181">
        <v>611</v>
      </c>
      <c r="L90" s="417">
        <v>304</v>
      </c>
      <c r="M90" s="414">
        <f>IF(K90=0, "    ---- ", IF(ABS(ROUND(100/K90*L90-100,1))&lt;999,ROUND(100/K90*L90-100,1),IF(ROUND(100/K90*L90-100,1)&gt;999,999,-999)))</f>
        <v>-50.2</v>
      </c>
      <c r="N90" s="181">
        <v>23638.754529729998</v>
      </c>
      <c r="O90" s="417">
        <v>7284.5683294700002</v>
      </c>
      <c r="P90" s="322">
        <f t="shared" si="45"/>
        <v>-69.2</v>
      </c>
      <c r="Q90" s="181">
        <v>1276.92</v>
      </c>
      <c r="R90" s="417">
        <v>659.58</v>
      </c>
      <c r="S90" s="322">
        <f t="shared" si="25"/>
        <v>-48.3</v>
      </c>
      <c r="T90" s="181">
        <f>518+2427+101</f>
        <v>3046</v>
      </c>
      <c r="U90" s="417">
        <f>666+503+427</f>
        <v>1596</v>
      </c>
      <c r="V90" s="322">
        <f>IF(T90=0, "    ---- ", IF(ABS(ROUND(100/T90*U90-100,1))&lt;999,ROUND(100/T90*U90-100,1),IF(ROUND(100/T90*U90-100,1)&gt;999,999,-999)))</f>
        <v>-47.6</v>
      </c>
      <c r="W90" s="181">
        <v>410.63900000000001</v>
      </c>
      <c r="X90" s="417">
        <v>620.55399999999997</v>
      </c>
      <c r="Y90" s="322">
        <f t="shared" si="27"/>
        <v>51.1</v>
      </c>
      <c r="Z90" s="649">
        <v>47774</v>
      </c>
      <c r="AA90" s="417">
        <v>40550.240807609975</v>
      </c>
      <c r="AB90" s="322">
        <f t="shared" si="28"/>
        <v>-15.1</v>
      </c>
      <c r="AC90" s="181">
        <v>2</v>
      </c>
      <c r="AD90" s="417">
        <v>28</v>
      </c>
      <c r="AE90" s="322">
        <f>IF(AC90=0, "    ---- ", IF(ABS(ROUND(100/AC90*AD90-100,1))&lt;999,ROUND(100/AC90*AD90-100,1),IF(ROUND(100/AC90*AD90-100,1)&gt;999,999,-999)))</f>
        <v>999</v>
      </c>
      <c r="AF90" s="475">
        <f t="shared" si="46"/>
        <v>80986.395414405837</v>
      </c>
      <c r="AG90" s="475">
        <f t="shared" si="46"/>
        <v>54408.115274319993</v>
      </c>
      <c r="AH90" s="322">
        <f t="shared" si="21"/>
        <v>-32.799999999999997</v>
      </c>
      <c r="AI90" s="475">
        <f t="shared" si="47"/>
        <v>80988.395414405837</v>
      </c>
      <c r="AJ90" s="475">
        <f t="shared" si="47"/>
        <v>54436.115274319993</v>
      </c>
      <c r="AK90" s="418">
        <f t="shared" si="23"/>
        <v>-32.799999999999997</v>
      </c>
    </row>
    <row r="91" spans="1:37" s="429" customFormat="1" ht="20.100000000000001" customHeight="1" x14ac:dyDescent="0.3">
      <c r="A91" s="529" t="s">
        <v>220</v>
      </c>
      <c r="B91" s="181">
        <v>59.073871689999997</v>
      </c>
      <c r="C91" s="417">
        <v>67.976328209999991</v>
      </c>
      <c r="D91" s="417">
        <f t="shared" si="19"/>
        <v>15.1</v>
      </c>
      <c r="E91" s="181"/>
      <c r="F91" s="417"/>
      <c r="G91" s="417"/>
      <c r="H91" s="181">
        <v>28.211901999999998</v>
      </c>
      <c r="I91" s="417">
        <v>40.575000000000003</v>
      </c>
      <c r="J91" s="417">
        <f>IF(H91=0, "    ---- ", IF(ABS(ROUND(100/H91*I91-100,1))&lt;999,ROUND(100/H91*I91-100,1),IF(ROUND(100/H91*I91-100,1)&gt;999,999,-999)))</f>
        <v>43.8</v>
      </c>
      <c r="K91" s="181">
        <v>30</v>
      </c>
      <c r="L91" s="417">
        <v>36</v>
      </c>
      <c r="M91" s="322">
        <f>IF(K91=0, "    ---- ", IF(ABS(ROUND(100/K91*L91-100,1))&lt;999,ROUND(100/K91*L91-100,1),IF(ROUND(100/K91*L91-100,1)&gt;999,999,-999)))</f>
        <v>20</v>
      </c>
      <c r="N91" s="181">
        <v>117.18440846999999</v>
      </c>
      <c r="O91" s="417">
        <v>106.78645591</v>
      </c>
      <c r="P91" s="322">
        <f t="shared" si="45"/>
        <v>-8.9</v>
      </c>
      <c r="Q91" s="181">
        <v>54.96</v>
      </c>
      <c r="R91" s="417">
        <v>56.95</v>
      </c>
      <c r="S91" s="322">
        <f t="shared" si="25"/>
        <v>3.6</v>
      </c>
      <c r="T91" s="181"/>
      <c r="U91" s="417"/>
      <c r="V91" s="322"/>
      <c r="W91" s="181">
        <v>35.755000000000003</v>
      </c>
      <c r="X91" s="417">
        <v>40.598999999999997</v>
      </c>
      <c r="Y91" s="322">
        <f t="shared" si="27"/>
        <v>13.5</v>
      </c>
      <c r="Z91" s="649">
        <v>587</v>
      </c>
      <c r="AA91" s="417">
        <v>597.55058279141269</v>
      </c>
      <c r="AB91" s="322">
        <f t="shared" si="28"/>
        <v>1.8</v>
      </c>
      <c r="AC91" s="181"/>
      <c r="AD91" s="417">
        <v>2</v>
      </c>
      <c r="AE91" s="322" t="str">
        <f>IF(AC91=0, "    ---- ", IF(ABS(ROUND(100/AC91*AD91-100,1))&lt;999,ROUND(100/AC91*AD91-100,1),IF(ROUND(100/AC91*AD91-100,1)&gt;999,999,-999)))</f>
        <v xml:space="preserve">    ---- </v>
      </c>
      <c r="AF91" s="475">
        <f t="shared" si="46"/>
        <v>912.18518215999995</v>
      </c>
      <c r="AG91" s="475">
        <f t="shared" si="46"/>
        <v>946.43736691141271</v>
      </c>
      <c r="AH91" s="322">
        <f t="shared" si="21"/>
        <v>3.8</v>
      </c>
      <c r="AI91" s="475">
        <f t="shared" si="47"/>
        <v>912.18518215999995</v>
      </c>
      <c r="AJ91" s="475">
        <f t="shared" si="47"/>
        <v>948.43736691141271</v>
      </c>
      <c r="AK91" s="418">
        <f t="shared" si="23"/>
        <v>4</v>
      </c>
    </row>
    <row r="92" spans="1:37" s="429" customFormat="1" ht="20.100000000000001" customHeight="1" x14ac:dyDescent="0.3">
      <c r="A92" s="529"/>
      <c r="B92" s="181"/>
      <c r="C92" s="417"/>
      <c r="D92" s="322"/>
      <c r="E92" s="181"/>
      <c r="F92" s="417"/>
      <c r="G92" s="322"/>
      <c r="H92" s="181"/>
      <c r="I92" s="417"/>
      <c r="J92" s="322"/>
      <c r="K92" s="181"/>
      <c r="L92" s="417"/>
      <c r="M92" s="322"/>
      <c r="N92" s="181"/>
      <c r="O92" s="417"/>
      <c r="P92" s="322"/>
      <c r="Q92" s="181"/>
      <c r="R92" s="417"/>
      <c r="S92" s="322"/>
      <c r="T92" s="181"/>
      <c r="U92" s="417"/>
      <c r="V92" s="322"/>
      <c r="W92" s="181"/>
      <c r="X92" s="417"/>
      <c r="Y92" s="322"/>
      <c r="Z92" s="649"/>
      <c r="AA92" s="417"/>
      <c r="AB92" s="322"/>
      <c r="AC92" s="181"/>
      <c r="AD92" s="417"/>
      <c r="AE92" s="322"/>
      <c r="AF92" s="414"/>
      <c r="AG92" s="414"/>
      <c r="AH92" s="322"/>
      <c r="AI92" s="414"/>
      <c r="AJ92" s="414"/>
      <c r="AK92" s="418"/>
    </row>
    <row r="93" spans="1:37" s="437" customFormat="1" ht="20.100000000000001" customHeight="1" x14ac:dyDescent="0.3">
      <c r="A93" s="540" t="s">
        <v>221</v>
      </c>
      <c r="B93" s="184">
        <f>SUM(B68+B69+B71+B80+B87+B88+B89+B90+B91)</f>
        <v>379430.42517829</v>
      </c>
      <c r="C93" s="421">
        <f>SUM(C68+C69+C71+C80+C87+C88+C89+C90+C91)</f>
        <v>409900.45340868994</v>
      </c>
      <c r="D93" s="422">
        <f t="shared" si="19"/>
        <v>8</v>
      </c>
      <c r="E93" s="184">
        <f>SUM(E68+E69+E71+E80+E87+E88+E89+E90+E91)</f>
        <v>12645.06127348</v>
      </c>
      <c r="F93" s="421">
        <f>SUM(F68+F69+F71+F80+F87+F88+F89+F90+F91)</f>
        <v>13538.298817940002</v>
      </c>
      <c r="G93" s="422">
        <f>IF(E93=0, "    ---- ", IF(ABS(ROUND(100/E93*F93-100,1))&lt;999,ROUND(100/E93*F93-100,1),IF(ROUND(100/E93*F93-100,1)&gt;999,999,-999)))</f>
        <v>7.1</v>
      </c>
      <c r="H93" s="184">
        <f>SUM(H68+H69+H71+H80+H87+H88+H89+H90+H91)</f>
        <v>2583.6705459999998</v>
      </c>
      <c r="I93" s="421">
        <f>SUM(I68+I69+I71+I80+I87+I88+I89+I90+I91)</f>
        <v>3006.5450000000001</v>
      </c>
      <c r="J93" s="422">
        <f>IF(H93=0, "    ---- ", IF(ABS(ROUND(100/H93*I93-100,1))&lt;999,ROUND(100/H93*I93-100,1),IF(ROUND(100/H93*I93-100,1)&gt;999,999,-999)))</f>
        <v>16.399999999999999</v>
      </c>
      <c r="K93" s="184">
        <f>SUM(K68+K69+K71+K80+K87+K88+K89+K90+K91)</f>
        <v>65513</v>
      </c>
      <c r="L93" s="421">
        <f>SUM(L68+L69+L71+L80+L87+L88+L89+L90+L91)</f>
        <v>81500</v>
      </c>
      <c r="M93" s="422">
        <f>IF(K93=0, "    ---- ", IF(ABS(ROUND(100/K93*L93-100,1))&lt;999,ROUND(100/K93*L93-100,1),IF(ROUND(100/K93*L93-100,1)&gt;999,999,-999)))</f>
        <v>24.4</v>
      </c>
      <c r="N93" s="184">
        <v>788701.81298983993</v>
      </c>
      <c r="O93" s="421">
        <v>836425.93671372987</v>
      </c>
      <c r="P93" s="422">
        <f t="shared" si="45"/>
        <v>6.1</v>
      </c>
      <c r="Q93" s="184">
        <f>SUM(Q68+Q69+Q71+Q80+Q87+Q88+Q89+Q90+Q91)</f>
        <v>205307.42</v>
      </c>
      <c r="R93" s="421">
        <f>SUM(R68+R69+R71+R80+R87+R88+R89+R90+R91)</f>
        <v>235598.83000000002</v>
      </c>
      <c r="S93" s="422">
        <f t="shared" si="25"/>
        <v>14.8</v>
      </c>
      <c r="T93" s="184">
        <f>SUM(T68+T69+T71+T80+T87+T88+T89+T90+T91)</f>
        <v>133522</v>
      </c>
      <c r="U93" s="421">
        <f>SUM(U68+U69+U71+U80+U87+U88+U89+U90+U91)</f>
        <v>140090</v>
      </c>
      <c r="V93" s="422">
        <f>IF(T93=0, "    ---- ", IF(ABS(ROUND(100/T93*U93-100,1))&lt;999,ROUND(100/T93*U93-100,1),IF(ROUND(100/T93*U93-100,1)&gt;999,999,-999)))</f>
        <v>4.9000000000000004</v>
      </c>
      <c r="W93" s="184">
        <f>SUM(W68+W69+W71+W80+W87+W88+W89+W90+W91)</f>
        <v>92389.983762010001</v>
      </c>
      <c r="X93" s="421">
        <f>SUM(X68+X69+X71+X80+X87+X88+X89+X90+X91)</f>
        <v>107733.71731792002</v>
      </c>
      <c r="Y93" s="422">
        <f t="shared" si="27"/>
        <v>16.600000000000001</v>
      </c>
      <c r="Z93" s="652">
        <f>SUM(Z68+Z69+Z71+Z80+Z87+Z88+Z89+Z90+Z91)</f>
        <v>488249.19999999995</v>
      </c>
      <c r="AA93" s="421">
        <f>SUM(AA68+AA69+AA71+AA80+AA87+AA88+AA89+AA90+AA91)</f>
        <v>524444.63838139852</v>
      </c>
      <c r="AB93" s="422">
        <f t="shared" si="28"/>
        <v>7.4</v>
      </c>
      <c r="AC93" s="184">
        <f>SUM(AC68+AC69+AC71+AC80+AC87+AC88+AC89+AC90+AC91)</f>
        <v>16</v>
      </c>
      <c r="AD93" s="421">
        <f>SUM(AD68+AD69+AD71+AD80+AD87+AD88+AD89+AD90+AD91)</f>
        <v>128</v>
      </c>
      <c r="AE93" s="422">
        <f>IF(AC93=0, "    ---- ", IF(ABS(ROUND(100/AC93*AD93-100,1))&lt;999,ROUND(100/AC93*AD93-100,1),IF(ROUND(100/AC93*AD93-100,1)&gt;999,999,-999)))</f>
        <v>700</v>
      </c>
      <c r="AF93" s="609">
        <f t="shared" ref="AF93:AG93" si="49">B93+E93+H93+K93+N93+Q93+T93+W93+Z93</f>
        <v>2168342.5737496195</v>
      </c>
      <c r="AG93" s="609">
        <f t="shared" si="49"/>
        <v>2352238.4196396782</v>
      </c>
      <c r="AH93" s="422">
        <f t="shared" si="21"/>
        <v>8.5</v>
      </c>
      <c r="AI93" s="421">
        <f>B93+E93+H93+K93+N93+Q93+T93+W93+Z93+AC93</f>
        <v>2168358.5737496195</v>
      </c>
      <c r="AJ93" s="421">
        <f>C93+F93+I93+L93+O93+R93+U93+X93+AA93+AD93</f>
        <v>2352366.4196396782</v>
      </c>
      <c r="AK93" s="423">
        <f t="shared" si="23"/>
        <v>8.5</v>
      </c>
    </row>
    <row r="94" spans="1:37" ht="18.75" customHeight="1" x14ac:dyDescent="0.3">
      <c r="A94" s="427" t="s">
        <v>222</v>
      </c>
      <c r="N94" s="427"/>
      <c r="R94" s="569"/>
      <c r="S94" s="569"/>
      <c r="T94" s="569"/>
      <c r="U94" s="569"/>
      <c r="V94" s="569"/>
      <c r="W94" s="427"/>
      <c r="Z94" s="427"/>
      <c r="AC94" s="427"/>
    </row>
    <row r="95" spans="1:37" ht="18.75" customHeight="1" x14ac:dyDescent="0.3">
      <c r="A95" s="427" t="s">
        <v>223</v>
      </c>
      <c r="N95" s="427"/>
      <c r="R95" s="569"/>
      <c r="S95" s="569"/>
      <c r="T95" s="569"/>
      <c r="U95" s="569"/>
      <c r="V95" s="569"/>
      <c r="W95" s="427"/>
      <c r="Z95" s="427"/>
      <c r="AC95" s="427"/>
    </row>
    <row r="96" spans="1:37" s="430" customFormat="1" ht="18.75" customHeight="1" x14ac:dyDescent="0.3">
      <c r="A96" s="427" t="s">
        <v>224</v>
      </c>
      <c r="S96" s="570"/>
      <c r="T96" s="570"/>
      <c r="U96" s="570"/>
      <c r="V96" s="570"/>
    </row>
    <row r="97" s="430" customFormat="1" ht="18.75" x14ac:dyDescent="0.3"/>
    <row r="98" s="430" customFormat="1" ht="18.75" x14ac:dyDescent="0.3"/>
    <row r="99" s="430" customFormat="1" ht="18.75" x14ac:dyDescent="0.3"/>
    <row r="100" s="430" customFormat="1" ht="18.75" x14ac:dyDescent="0.3"/>
    <row r="101" s="430" customFormat="1" ht="18.75" x14ac:dyDescent="0.3"/>
    <row r="102" s="430" customFormat="1" ht="18.75" x14ac:dyDescent="0.3"/>
    <row r="103" s="430" customFormat="1" ht="18.75" x14ac:dyDescent="0.3"/>
    <row r="104" s="430" customFormat="1" ht="18.75" x14ac:dyDescent="0.3"/>
    <row r="105" s="430" customFormat="1" ht="18.75" x14ac:dyDescent="0.3"/>
    <row r="106" s="430" customFormat="1" ht="18.75" x14ac:dyDescent="0.3"/>
    <row r="107" s="430" customFormat="1" ht="18.75" x14ac:dyDescent="0.3"/>
    <row r="108" s="430" customFormat="1" ht="18.75" x14ac:dyDescent="0.3"/>
    <row r="109" s="430" customFormat="1" ht="18.75" x14ac:dyDescent="0.3"/>
    <row r="110" s="430" customFormat="1" ht="18.75" x14ac:dyDescent="0.3"/>
    <row r="111" s="430" customFormat="1" ht="18.75" x14ac:dyDescent="0.3"/>
    <row r="112" s="430" customFormat="1" ht="18.75" x14ac:dyDescent="0.3"/>
    <row r="113" s="438" customFormat="1" ht="15.75" x14ac:dyDescent="0.25"/>
    <row r="114" s="438" customFormat="1" ht="15.75" x14ac:dyDescent="0.25"/>
  </sheetData>
  <mergeCells count="31">
    <mergeCell ref="W5:Y5"/>
    <mergeCell ref="B5:D5"/>
    <mergeCell ref="E5:G5"/>
    <mergeCell ref="H5:J5"/>
    <mergeCell ref="K5:M5"/>
    <mergeCell ref="T5:V5"/>
    <mergeCell ref="N5:P5"/>
    <mergeCell ref="AT5:AV5"/>
    <mergeCell ref="AW5:AY5"/>
    <mergeCell ref="B6:D6"/>
    <mergeCell ref="E6:G6"/>
    <mergeCell ref="H6:J6"/>
    <mergeCell ref="K6:M6"/>
    <mergeCell ref="N6:P6"/>
    <mergeCell ref="Q6:S6"/>
    <mergeCell ref="T6:V6"/>
    <mergeCell ref="W6:Y6"/>
    <mergeCell ref="Z5:AB5"/>
    <mergeCell ref="AC5:AE5"/>
    <mergeCell ref="AF5:AH5"/>
    <mergeCell ref="AI5:AK5"/>
    <mergeCell ref="AN5:AP5"/>
    <mergeCell ref="AQ5:AS5"/>
    <mergeCell ref="AT6:AV6"/>
    <mergeCell ref="AW6:AY6"/>
    <mergeCell ref="Z6:AB6"/>
    <mergeCell ref="AC6:AE6"/>
    <mergeCell ref="AF6:AH6"/>
    <mergeCell ref="AI6:AK6"/>
    <mergeCell ref="AN6:AP6"/>
    <mergeCell ref="AQ6:AS6"/>
  </mergeCells>
  <conditionalFormatting sqref="L74:L75">
    <cfRule type="expression" dxfId="170" priority="303">
      <formula>kvartal &lt; 4</formula>
    </cfRule>
  </conditionalFormatting>
  <conditionalFormatting sqref="L83">
    <cfRule type="expression" dxfId="169" priority="302">
      <formula>kvartal &lt; 4</formula>
    </cfRule>
  </conditionalFormatting>
  <conditionalFormatting sqref="K35">
    <cfRule type="expression" dxfId="168" priority="288">
      <formula>#REF! ="35≠36+38"</formula>
    </cfRule>
  </conditionalFormatting>
  <conditionalFormatting sqref="K39">
    <cfRule type="expression" dxfId="167" priority="289">
      <formula>#REF! ="39≠40+41+42+43+44"</formula>
    </cfRule>
  </conditionalFormatting>
  <conditionalFormatting sqref="K45">
    <cfRule type="expression" dxfId="166" priority="290">
      <formula>#REF! ="45≠33+34+35+39"</formula>
    </cfRule>
  </conditionalFormatting>
  <conditionalFormatting sqref="K50">
    <cfRule type="expression" dxfId="165" priority="291">
      <formula>#REF! ="50≠51+53"</formula>
    </cfRule>
  </conditionalFormatting>
  <conditionalFormatting sqref="K54">
    <cfRule type="expression" dxfId="164" priority="292">
      <formula>#REF! ="54≠55+56+57+58+59"</formula>
    </cfRule>
  </conditionalFormatting>
  <conditionalFormatting sqref="K60">
    <cfRule type="expression" dxfId="163" priority="293">
      <formula>#REF! ="60≠48+49+50+54"</formula>
    </cfRule>
  </conditionalFormatting>
  <conditionalFormatting sqref="K62">
    <cfRule type="expression" dxfId="162" priority="294">
      <formula>#REF! ="62≠45+46+60+61"</formula>
    </cfRule>
  </conditionalFormatting>
  <conditionalFormatting sqref="K64">
    <cfRule type="expression" dxfId="161" priority="295">
      <formula>#REF! ="64≠29+62"</formula>
    </cfRule>
  </conditionalFormatting>
  <conditionalFormatting sqref="K80">
    <cfRule type="expression" dxfId="160" priority="296">
      <formula>#REF! ="80≠73+74+75+76+77+78+79"</formula>
    </cfRule>
  </conditionalFormatting>
  <conditionalFormatting sqref="K87">
    <cfRule type="expression" dxfId="159" priority="297">
      <formula>#REF! ="88≠82+83+84+85+86+87"</formula>
    </cfRule>
  </conditionalFormatting>
  <conditionalFormatting sqref="K93">
    <cfRule type="expression" dxfId="158" priority="298">
      <formula>#REF! = "64≠94"</formula>
    </cfRule>
  </conditionalFormatting>
  <conditionalFormatting sqref="K93">
    <cfRule type="expression" dxfId="157" priority="299">
      <formula>#REF! = "94≠68+69+71+80+88+89+90+91+92"</formula>
    </cfRule>
  </conditionalFormatting>
  <conditionalFormatting sqref="R83">
    <cfRule type="expression" dxfId="156" priority="276">
      <formula>kvartal &lt; 4</formula>
    </cfRule>
  </conditionalFormatting>
  <conditionalFormatting sqref="Q35">
    <cfRule type="expression" dxfId="155" priority="262">
      <formula>#REF! ="35≠36+38"</formula>
    </cfRule>
  </conditionalFormatting>
  <conditionalFormatting sqref="Q39">
    <cfRule type="expression" dxfId="154" priority="263">
      <formula>#REF! ="39≠40+41+42+43+44"</formula>
    </cfRule>
  </conditionalFormatting>
  <conditionalFormatting sqref="Q45">
    <cfRule type="expression" dxfId="153" priority="264">
      <formula>#REF! ="45≠33+34+35+39"</formula>
    </cfRule>
  </conditionalFormatting>
  <conditionalFormatting sqref="Q50">
    <cfRule type="expression" dxfId="152" priority="265">
      <formula>#REF! ="50≠51+53"</formula>
    </cfRule>
  </conditionalFormatting>
  <conditionalFormatting sqref="Q54">
    <cfRule type="expression" dxfId="151" priority="266">
      <formula>#REF! ="54≠55+56+57+58+59"</formula>
    </cfRule>
  </conditionalFormatting>
  <conditionalFormatting sqref="Q60">
    <cfRule type="expression" dxfId="150" priority="267">
      <formula>#REF! ="60≠48+49+50+54"</formula>
    </cfRule>
  </conditionalFormatting>
  <conditionalFormatting sqref="Q62">
    <cfRule type="expression" dxfId="149" priority="268">
      <formula>#REF! ="62≠45+46+60+61"</formula>
    </cfRule>
  </conditionalFormatting>
  <conditionalFormatting sqref="Q64">
    <cfRule type="expression" dxfId="148" priority="269">
      <formula>#REF! ="64≠29+62"</formula>
    </cfRule>
  </conditionalFormatting>
  <conditionalFormatting sqref="Q80">
    <cfRule type="expression" dxfId="147" priority="270">
      <formula>#REF! ="80≠73+74+75+76+77+78+79"</formula>
    </cfRule>
  </conditionalFormatting>
  <conditionalFormatting sqref="Q87">
    <cfRule type="expression" dxfId="146" priority="271">
      <formula>#REF! ="88≠82+83+84+85+86+87"</formula>
    </cfRule>
  </conditionalFormatting>
  <conditionalFormatting sqref="Q93">
    <cfRule type="expression" dxfId="145" priority="272">
      <formula>#REF! = "64≠94"</formula>
    </cfRule>
  </conditionalFormatting>
  <conditionalFormatting sqref="Q93">
    <cfRule type="expression" dxfId="144" priority="273">
      <formula>#REF! = "94≠68+69+71+80+88+89+90+91+92"</formula>
    </cfRule>
  </conditionalFormatting>
  <conditionalFormatting sqref="Z35">
    <cfRule type="expression" dxfId="143" priority="237">
      <formula>#REF! ="35≠36+38"</formula>
    </cfRule>
  </conditionalFormatting>
  <conditionalFormatting sqref="Z39">
    <cfRule type="expression" dxfId="142" priority="238">
      <formula>#REF! ="39≠40+41+42+43+44"</formula>
    </cfRule>
  </conditionalFormatting>
  <conditionalFormatting sqref="Z45">
    <cfRule type="expression" dxfId="141" priority="239">
      <formula>#REF! ="45≠33+34+35+39"</formula>
    </cfRule>
  </conditionalFormatting>
  <conditionalFormatting sqref="Z50">
    <cfRule type="expression" dxfId="140" priority="240">
      <formula>#REF! ="50≠51+53"</formula>
    </cfRule>
  </conditionalFormatting>
  <conditionalFormatting sqref="Z54">
    <cfRule type="expression" dxfId="139" priority="241">
      <formula>#REF! ="54≠55+56+57+58+59"</formula>
    </cfRule>
  </conditionalFormatting>
  <conditionalFormatting sqref="Z60">
    <cfRule type="expression" dxfId="138" priority="242">
      <formula>#REF! ="60≠48+49+50+54"</formula>
    </cfRule>
  </conditionalFormatting>
  <conditionalFormatting sqref="Z62">
    <cfRule type="expression" dxfId="137" priority="243">
      <formula>#REF! ="62≠45+46+60+61"</formula>
    </cfRule>
  </conditionalFormatting>
  <conditionalFormatting sqref="Z64">
    <cfRule type="expression" dxfId="136" priority="244">
      <formula>#REF! ="64≠29+62"</formula>
    </cfRule>
  </conditionalFormatting>
  <conditionalFormatting sqref="Z80">
    <cfRule type="expression" dxfId="135" priority="245">
      <formula>#REF! ="80≠73+74+75+76+77+78+79"</formula>
    </cfRule>
  </conditionalFormatting>
  <conditionalFormatting sqref="Z87">
    <cfRule type="expression" dxfId="134" priority="246">
      <formula>#REF! ="88≠82+83+84+85+86+87"</formula>
    </cfRule>
  </conditionalFormatting>
  <conditionalFormatting sqref="Z93">
    <cfRule type="expression" dxfId="133" priority="247">
      <formula>#REF! = "64≠94"</formula>
    </cfRule>
    <cfRule type="expression" dxfId="132" priority="248">
      <formula>#REF! = "94≠68+69+71+80+88+89+90+91+92"</formula>
    </cfRule>
  </conditionalFormatting>
  <conditionalFormatting sqref="AA74">
    <cfRule type="expression" dxfId="131" priority="236">
      <formula>kvartal &lt; 4</formula>
    </cfRule>
  </conditionalFormatting>
  <conditionalFormatting sqref="AA83">
    <cfRule type="expression" dxfId="130" priority="251">
      <formula>kvartal &lt; 4</formula>
    </cfRule>
  </conditionalFormatting>
  <conditionalFormatting sqref="W35">
    <cfRule type="expression" dxfId="129" priority="210">
      <formula>#REF! ="35≠36+38"</formula>
    </cfRule>
  </conditionalFormatting>
  <conditionalFormatting sqref="W39">
    <cfRule type="expression" dxfId="128" priority="211">
      <formula>#REF! ="39≠40+41+42+43+44"</formula>
    </cfRule>
  </conditionalFormatting>
  <conditionalFormatting sqref="W45">
    <cfRule type="expression" dxfId="127" priority="212">
      <formula>#REF! ="45≠33+34+35+39"</formula>
    </cfRule>
  </conditionalFormatting>
  <conditionalFormatting sqref="W50">
    <cfRule type="expression" dxfId="126" priority="213">
      <formula>#REF! ="50≠51+53"</formula>
    </cfRule>
  </conditionalFormatting>
  <conditionalFormatting sqref="W54">
    <cfRule type="expression" dxfId="125" priority="214">
      <formula>#REF! ="54≠55+56+57+58+59"</formula>
    </cfRule>
  </conditionalFormatting>
  <conditionalFormatting sqref="W60">
    <cfRule type="expression" dxfId="124" priority="215">
      <formula>#REF! ="60≠48+49+50+54"</formula>
    </cfRule>
  </conditionalFormatting>
  <conditionalFormatting sqref="W62">
    <cfRule type="expression" dxfId="123" priority="216">
      <formula>#REF! ="62≠45+46+60+61"</formula>
    </cfRule>
  </conditionalFormatting>
  <conditionalFormatting sqref="W64">
    <cfRule type="expression" dxfId="122" priority="217">
      <formula>#REF! ="64≠29+62"</formula>
    </cfRule>
  </conditionalFormatting>
  <conditionalFormatting sqref="W80">
    <cfRule type="expression" dxfId="121" priority="218">
      <formula>#REF! ="80≠73+74+75+76+77+78+79"</formula>
    </cfRule>
  </conditionalFormatting>
  <conditionalFormatting sqref="W87">
    <cfRule type="expression" dxfId="120" priority="219">
      <formula>#REF! ="88≠82+83+84+85+86+87"</formula>
    </cfRule>
  </conditionalFormatting>
  <conditionalFormatting sqref="W93">
    <cfRule type="expression" dxfId="119" priority="220">
      <formula>#REF! = "94≠68+69+71+80+88+89+90+91+92"</formula>
    </cfRule>
    <cfRule type="expression" dxfId="118" priority="221">
      <formula>#REF! = "64≠94"</formula>
    </cfRule>
  </conditionalFormatting>
  <conditionalFormatting sqref="X74:X75">
    <cfRule type="expression" dxfId="117" priority="225">
      <formula>kvartal &lt; 4</formula>
    </cfRule>
  </conditionalFormatting>
  <conditionalFormatting sqref="X83">
    <cfRule type="expression" dxfId="116" priority="224">
      <formula>kvartal &lt; 4</formula>
    </cfRule>
  </conditionalFormatting>
  <conditionalFormatting sqref="B35">
    <cfRule type="expression" dxfId="115" priority="195">
      <formula>#REF! ="35≠36+38"</formula>
    </cfRule>
  </conditionalFormatting>
  <conditionalFormatting sqref="B39">
    <cfRule type="expression" dxfId="114" priority="196">
      <formula>#REF! ="39≠40+41+42+43+44"</formula>
    </cfRule>
  </conditionalFormatting>
  <conditionalFormatting sqref="B45">
    <cfRule type="expression" dxfId="113" priority="197">
      <formula>#REF! ="45≠33+34+35+39"</formula>
    </cfRule>
  </conditionalFormatting>
  <conditionalFormatting sqref="B50">
    <cfRule type="expression" dxfId="112" priority="198">
      <formula>#REF! ="50≠51+53"</formula>
    </cfRule>
  </conditionalFormatting>
  <conditionalFormatting sqref="B54">
    <cfRule type="expression" dxfId="111" priority="199">
      <formula>#REF! ="54≠55+56+57+58+59"</formula>
    </cfRule>
  </conditionalFormatting>
  <conditionalFormatting sqref="B60">
    <cfRule type="expression" dxfId="110" priority="200">
      <formula>#REF! ="60≠48+49+50+54"</formula>
    </cfRule>
  </conditionalFormatting>
  <conditionalFormatting sqref="B62">
    <cfRule type="expression" dxfId="109" priority="201">
      <formula>#REF! ="62≠45+46+60+61"</formula>
    </cfRule>
  </conditionalFormatting>
  <conditionalFormatting sqref="B64">
    <cfRule type="expression" dxfId="108" priority="202">
      <formula>#REF! ="64≠29+62"</formula>
    </cfRule>
  </conditionalFormatting>
  <conditionalFormatting sqref="B80">
    <cfRule type="expression" dxfId="107" priority="203">
      <formula>#REF! ="80≠73+74+75+76+77+78+79"</formula>
    </cfRule>
  </conditionalFormatting>
  <conditionalFormatting sqref="B87">
    <cfRule type="expression" dxfId="106" priority="204">
      <formula>#REF! ="88≠82+83+84+85+86+87"</formula>
    </cfRule>
  </conditionalFormatting>
  <conditionalFormatting sqref="B93">
    <cfRule type="expression" dxfId="105" priority="205">
      <formula>#REF! = "94≠68+69+71+80+88+89+90+91+92"</formula>
    </cfRule>
    <cfRule type="expression" dxfId="104" priority="206">
      <formula>#REF! = "64≠94"</formula>
    </cfRule>
  </conditionalFormatting>
  <conditionalFormatting sqref="C74:C75">
    <cfRule type="expression" dxfId="103" priority="185">
      <formula>kvartal &lt; 4</formula>
    </cfRule>
  </conditionalFormatting>
  <conditionalFormatting sqref="C83">
    <cfRule type="expression" dxfId="102" priority="184">
      <formula>kvartal &lt; 4</formula>
    </cfRule>
  </conditionalFormatting>
  <conditionalFormatting sqref="H35">
    <cfRule type="expression" dxfId="101" priority="158">
      <formula>#REF! ="35≠36+38"</formula>
    </cfRule>
  </conditionalFormatting>
  <conditionalFormatting sqref="H39">
    <cfRule type="expression" dxfId="100" priority="159">
      <formula>#REF! ="39≠40+41+42+43+44"</formula>
    </cfRule>
  </conditionalFormatting>
  <conditionalFormatting sqref="H45">
    <cfRule type="expression" dxfId="99" priority="160">
      <formula>#REF! ="45≠33+34+35+39"</formula>
    </cfRule>
  </conditionalFormatting>
  <conditionalFormatting sqref="H50">
    <cfRule type="expression" dxfId="98" priority="161">
      <formula>#REF! ="50≠51+53"</formula>
    </cfRule>
  </conditionalFormatting>
  <conditionalFormatting sqref="H54">
    <cfRule type="expression" dxfId="97" priority="162">
      <formula>#REF! ="54≠55+56+57+58+59"</formula>
    </cfRule>
  </conditionalFormatting>
  <conditionalFormatting sqref="H60">
    <cfRule type="expression" dxfId="96" priority="163">
      <formula>#REF! ="60≠48+49+50+54"</formula>
    </cfRule>
  </conditionalFormatting>
  <conditionalFormatting sqref="H62">
    <cfRule type="expression" dxfId="95" priority="164">
      <formula>#REF! ="62≠45+46+60+61"</formula>
    </cfRule>
  </conditionalFormatting>
  <conditionalFormatting sqref="H64">
    <cfRule type="expression" dxfId="94" priority="165">
      <formula>#REF! ="64≠29+62"</formula>
    </cfRule>
  </conditionalFormatting>
  <conditionalFormatting sqref="H80">
    <cfRule type="expression" dxfId="93" priority="166">
      <formula>#REF! ="80≠73+74+75+76+77+78+79"</formula>
    </cfRule>
  </conditionalFormatting>
  <conditionalFormatting sqref="H87">
    <cfRule type="expression" dxfId="92" priority="167">
      <formula>#REF! ="88≠82+83+84+85+86+87"</formula>
    </cfRule>
  </conditionalFormatting>
  <conditionalFormatting sqref="H93">
    <cfRule type="expression" dxfId="91" priority="168">
      <formula>#REF! = "94≠68+69+71+80+88+89+90+91+92"</formula>
    </cfRule>
    <cfRule type="expression" dxfId="90" priority="169">
      <formula>#REF! = "64≠94"</formula>
    </cfRule>
  </conditionalFormatting>
  <conditionalFormatting sqref="I83">
    <cfRule type="expression" dxfId="89" priority="172">
      <formula>kvartal &lt; 4</formula>
    </cfRule>
  </conditionalFormatting>
  <conditionalFormatting sqref="AC35">
    <cfRule type="expression" dxfId="88" priority="132">
      <formula>#REF! ="35≠36+38"</formula>
    </cfRule>
  </conditionalFormatting>
  <conditionalFormatting sqref="AC39">
    <cfRule type="expression" dxfId="87" priority="133">
      <formula>#REF! ="39≠40+41+42+43+44"</formula>
    </cfRule>
  </conditionalFormatting>
  <conditionalFormatting sqref="AC45">
    <cfRule type="expression" dxfId="86" priority="134">
      <formula>#REF! ="45≠33+34+35+39"</formula>
    </cfRule>
  </conditionalFormatting>
  <conditionalFormatting sqref="AC50">
    <cfRule type="expression" dxfId="85" priority="135">
      <formula>#REF! ="50≠51+53"</formula>
    </cfRule>
  </conditionalFormatting>
  <conditionalFormatting sqref="AC54">
    <cfRule type="expression" dxfId="84" priority="136">
      <formula>#REF! ="54≠55+56+57+58+59"</formula>
    </cfRule>
  </conditionalFormatting>
  <conditionalFormatting sqref="AC60">
    <cfRule type="expression" dxfId="83" priority="137">
      <formula>#REF! ="60≠48+49+50+54"</formula>
    </cfRule>
  </conditionalFormatting>
  <conditionalFormatting sqref="AC62">
    <cfRule type="expression" dxfId="82" priority="138">
      <formula>#REF! ="62≠45+46+60+61"</formula>
    </cfRule>
  </conditionalFormatting>
  <conditionalFormatting sqref="AC64">
    <cfRule type="expression" dxfId="81" priority="139">
      <formula>#REF! ="64≠29+62"</formula>
    </cfRule>
  </conditionalFormatting>
  <conditionalFormatting sqref="AC80">
    <cfRule type="expression" dxfId="80" priority="140">
      <formula>#REF! ="80≠73+74+75+76+77+78+79"</formula>
    </cfRule>
  </conditionalFormatting>
  <conditionalFormatting sqref="AC87">
    <cfRule type="expression" dxfId="79" priority="141">
      <formula>#REF! ="88≠82+83+84+85+86+87"</formula>
    </cfRule>
  </conditionalFormatting>
  <conditionalFormatting sqref="AC93">
    <cfRule type="expression" dxfId="78" priority="142">
      <formula>#REF! = "94≠68+69+71+80+88+89+90+91+92"</formula>
    </cfRule>
    <cfRule type="expression" dxfId="77" priority="143">
      <formula>#REF! = "64≠94"</formula>
    </cfRule>
  </conditionalFormatting>
  <conditionalFormatting sqref="AD74:AD75">
    <cfRule type="expression" dxfId="76" priority="147">
      <formula>kvartal &lt; 4</formula>
    </cfRule>
  </conditionalFormatting>
  <conditionalFormatting sqref="AD83">
    <cfRule type="expression" dxfId="75" priority="146">
      <formula>kvartal &lt; 4</formula>
    </cfRule>
  </conditionalFormatting>
  <conditionalFormatting sqref="E35">
    <cfRule type="expression" dxfId="74" priority="106">
      <formula>#REF! ="35≠36+38"</formula>
    </cfRule>
  </conditionalFormatting>
  <conditionalFormatting sqref="E39">
    <cfRule type="expression" dxfId="73" priority="107">
      <formula>#REF! ="39≠40+41+42+43+44"</formula>
    </cfRule>
  </conditionalFormatting>
  <conditionalFormatting sqref="E45">
    <cfRule type="expression" dxfId="72" priority="108">
      <formula>#REF! ="45≠33+34+35+39"</formula>
    </cfRule>
  </conditionalFormatting>
  <conditionalFormatting sqref="E50">
    <cfRule type="expression" dxfId="71" priority="109">
      <formula>#REF! ="50≠51+53"</formula>
    </cfRule>
  </conditionalFormatting>
  <conditionalFormatting sqref="E54">
    <cfRule type="expression" dxfId="70" priority="110">
      <formula>#REF! ="54≠55+56+57+58+59"</formula>
    </cfRule>
  </conditionalFormatting>
  <conditionalFormatting sqref="E60">
    <cfRule type="expression" dxfId="69" priority="111">
      <formula>#REF! ="60≠48+49+50+54"</formula>
    </cfRule>
  </conditionalFormatting>
  <conditionalFormatting sqref="E62">
    <cfRule type="expression" dxfId="68" priority="112">
      <formula>#REF! ="62≠45+46+60+61"</formula>
    </cfRule>
  </conditionalFormatting>
  <conditionalFormatting sqref="E64">
    <cfRule type="expression" dxfId="67" priority="113">
      <formula>#REF! ="64≠29+62"</formula>
    </cfRule>
  </conditionalFormatting>
  <conditionalFormatting sqref="E80">
    <cfRule type="expression" dxfId="66" priority="114">
      <formula>#REF! ="80≠73+74+75+76+77+78+79"</formula>
    </cfRule>
  </conditionalFormatting>
  <conditionalFormatting sqref="E87">
    <cfRule type="expression" dxfId="65" priority="115">
      <formula>#REF! ="88≠82+83+84+85+86+87"</formula>
    </cfRule>
  </conditionalFormatting>
  <conditionalFormatting sqref="E93">
    <cfRule type="expression" dxfId="64" priority="116">
      <formula>#REF! = "64≠94"</formula>
    </cfRule>
    <cfRule type="expression" dxfId="63" priority="117">
      <formula>#REF! = "94≠68+69+71+80+88+89+90+91+92"</formula>
    </cfRule>
  </conditionalFormatting>
  <conditionalFormatting sqref="F74:F75">
    <cfRule type="expression" dxfId="62" priority="119">
      <formula>kvartal &lt; 4</formula>
    </cfRule>
  </conditionalFormatting>
  <conditionalFormatting sqref="F83">
    <cfRule type="expression" dxfId="61" priority="118">
      <formula>kvartal &lt; 4</formula>
    </cfRule>
  </conditionalFormatting>
  <conditionalFormatting sqref="R74:R75">
    <cfRule type="expression" dxfId="60" priority="105">
      <formula>kvartal &lt; 4</formula>
    </cfRule>
  </conditionalFormatting>
  <conditionalFormatting sqref="T35">
    <cfRule type="expression" dxfId="59" priority="79">
      <formula>#REF! ="35≠36+38"</formula>
    </cfRule>
  </conditionalFormatting>
  <conditionalFormatting sqref="T39">
    <cfRule type="expression" dxfId="58" priority="80">
      <formula>#REF! ="39≠40+41+42+43+44"</formula>
    </cfRule>
  </conditionalFormatting>
  <conditionalFormatting sqref="T45">
    <cfRule type="expression" dxfId="57" priority="81">
      <formula>#REF! ="45≠33+34+35+39"</formula>
    </cfRule>
  </conditionalFormatting>
  <conditionalFormatting sqref="T50">
    <cfRule type="expression" dxfId="56" priority="82">
      <formula>#REF! ="50≠51+53"</formula>
    </cfRule>
  </conditionalFormatting>
  <conditionalFormatting sqref="T54">
    <cfRule type="expression" dxfId="55" priority="83">
      <formula>#REF! ="54≠55+56+57+58+59"</formula>
    </cfRule>
  </conditionalFormatting>
  <conditionalFormatting sqref="T60">
    <cfRule type="expression" dxfId="54" priority="84">
      <formula>#REF! ="60≠48+49+50+54"</formula>
    </cfRule>
  </conditionalFormatting>
  <conditionalFormatting sqref="T62">
    <cfRule type="expression" dxfId="53" priority="85">
      <formula>#REF! ="62≠45+46+60+61"</formula>
    </cfRule>
  </conditionalFormatting>
  <conditionalFormatting sqref="T64">
    <cfRule type="expression" dxfId="52" priority="86">
      <formula>#REF! ="64≠29+62"</formula>
    </cfRule>
  </conditionalFormatting>
  <conditionalFormatting sqref="T80">
    <cfRule type="expression" dxfId="51" priority="87">
      <formula>#REF! ="80≠73+74+75+76+77+78+79"</formula>
    </cfRule>
  </conditionalFormatting>
  <conditionalFormatting sqref="T87">
    <cfRule type="expression" dxfId="50" priority="88">
      <formula>#REF! ="88≠82+83+84+85+86+87"</formula>
    </cfRule>
  </conditionalFormatting>
  <conditionalFormatting sqref="T93">
    <cfRule type="expression" dxfId="49" priority="89">
      <formula>#REF! = "94≠68+69+71+80+88+89+90+91+92"</formula>
    </cfRule>
    <cfRule type="expression" dxfId="48" priority="90">
      <formula>#REF! = "64≠94"</formula>
    </cfRule>
  </conditionalFormatting>
  <conditionalFormatting sqref="U74:U75">
    <cfRule type="expression" dxfId="47" priority="94">
      <formula>kvartal &lt; 4</formula>
    </cfRule>
  </conditionalFormatting>
  <conditionalFormatting sqref="U83">
    <cfRule type="expression" dxfId="46" priority="93">
      <formula>kvartal &lt; 4</formula>
    </cfRule>
  </conditionalFormatting>
  <conditionalFormatting sqref="N35">
    <cfRule type="expression" dxfId="45" priority="1">
      <formula>#REF! ="35≠36+38"</formula>
    </cfRule>
  </conditionalFormatting>
  <conditionalFormatting sqref="N39">
    <cfRule type="expression" dxfId="44" priority="2">
      <formula>#REF! ="39≠40+41+42+43+44"</formula>
    </cfRule>
  </conditionalFormatting>
  <conditionalFormatting sqref="N45">
    <cfRule type="expression" dxfId="43" priority="3">
      <formula>#REF! ="45≠33+34+35+39"</formula>
    </cfRule>
  </conditionalFormatting>
  <conditionalFormatting sqref="N50">
    <cfRule type="expression" dxfId="42" priority="4">
      <formula>#REF! ="50≠51+53"</formula>
    </cfRule>
  </conditionalFormatting>
  <conditionalFormatting sqref="N54">
    <cfRule type="expression" dxfId="41" priority="5">
      <formula>#REF! ="54≠55+56+57+58+59"</formula>
    </cfRule>
  </conditionalFormatting>
  <conditionalFormatting sqref="N60">
    <cfRule type="expression" dxfId="40" priority="6">
      <formula>#REF! ="60≠48+49+50+54"</formula>
    </cfRule>
  </conditionalFormatting>
  <conditionalFormatting sqref="N62">
    <cfRule type="expression" dxfId="39" priority="7">
      <formula>#REF! ="62≠45+46+60+61"</formula>
    </cfRule>
  </conditionalFormatting>
  <conditionalFormatting sqref="N64">
    <cfRule type="expression" dxfId="38" priority="8">
      <formula>#REF! ="64≠29+62"</formula>
    </cfRule>
  </conditionalFormatting>
  <conditionalFormatting sqref="N80">
    <cfRule type="expression" dxfId="37" priority="9">
      <formula>#REF! ="80≠73+74+75+76+77+78+79"</formula>
    </cfRule>
  </conditionalFormatting>
  <conditionalFormatting sqref="N87">
    <cfRule type="expression" dxfId="36" priority="10">
      <formula>#REF! ="88≠82+83+84+85+86+87"</formula>
    </cfRule>
  </conditionalFormatting>
  <conditionalFormatting sqref="N93">
    <cfRule type="expression" dxfId="35" priority="11">
      <formula>#REF! = "94≠68+69+71+80+88+89+90+91+92"</formula>
    </cfRule>
    <cfRule type="expression" dxfId="34" priority="12">
      <formula>#REF! = "64≠94"</formula>
    </cfRule>
  </conditionalFormatting>
  <conditionalFormatting sqref="O74:O75">
    <cfRule type="expression" dxfId="33" priority="16">
      <formula>kvartal &lt; 4</formula>
    </cfRule>
  </conditionalFormatting>
  <conditionalFormatting sqref="O83:O84">
    <cfRule type="expression" dxfId="32" priority="15">
      <formula>kvartal &lt; 4</formula>
    </cfRule>
  </conditionalFormatting>
  <conditionalFormatting sqref="AF93:AG93 L93 R93">
    <cfRule type="expression" dxfId="31" priority="494">
      <formula>#REF! = "64≠94"</formula>
    </cfRule>
  </conditionalFormatting>
  <conditionalFormatting sqref="AF93:AG93 L93 R93">
    <cfRule type="expression" dxfId="30" priority="495">
      <formula>#REF! = "94≠68+69+71+80+88+89+90+91+92"</formula>
    </cfRule>
  </conditionalFormatting>
  <conditionalFormatting sqref="L35 R35 AA35 X35 C35 I35 AD35 F35 U35 O35">
    <cfRule type="expression" dxfId="29" priority="496">
      <formula>#REF! ="35≠36+38"</formula>
    </cfRule>
  </conditionalFormatting>
  <conditionalFormatting sqref="L45 R45 AA45 X45 C45 I45 AD45 F45 U45 O45">
    <cfRule type="expression" dxfId="28" priority="497">
      <formula>#REF! ="45≠33+34+35+39"</formula>
    </cfRule>
  </conditionalFormatting>
  <conditionalFormatting sqref="L50 R50 AA50 X50 C50 I50 AD50 F50 U50 O50">
    <cfRule type="expression" dxfId="27" priority="498">
      <formula>#REF! ="50≠51+53"</formula>
    </cfRule>
  </conditionalFormatting>
  <conditionalFormatting sqref="L60 R60 AA60 X60 C60 I60 AD60 F60 U60 O60">
    <cfRule type="expression" dxfId="26" priority="499">
      <formula>#REF! ="60≠48+49+50+54"</formula>
    </cfRule>
  </conditionalFormatting>
  <conditionalFormatting sqref="L62 R62 AA62 X62 C62 I62 AD62 F62 U62 O62">
    <cfRule type="expression" dxfId="25" priority="500">
      <formula>#REF! ="62≠45+46+60+61"</formula>
    </cfRule>
  </conditionalFormatting>
  <conditionalFormatting sqref="L64 R64 AA64 X64 C64 I64 AD64 F64 U64 O64">
    <cfRule type="expression" dxfId="24" priority="501">
      <formula>#REF! ="64≠29+62"</formula>
    </cfRule>
  </conditionalFormatting>
  <conditionalFormatting sqref="L80 R80 AA80 X80 C80 I80 AD80 F80 U80 O80">
    <cfRule type="expression" dxfId="23" priority="502">
      <formula>#REF! ="80≠73+74+75+76+77+78+79"</formula>
    </cfRule>
  </conditionalFormatting>
  <conditionalFormatting sqref="L87 R87 AA87 X87 C87 I87 AD87 F87 U87 O87">
    <cfRule type="expression" dxfId="22" priority="503">
      <formula>#REF! ="88≠82+83+84+85+86+87"</formula>
    </cfRule>
  </conditionalFormatting>
  <conditionalFormatting sqref="L39 R39 AA39 X39 C39 I39 AD39 F39 U39 O39">
    <cfRule type="expression" dxfId="21" priority="506">
      <formula>#REF! ="39≠40+41+42+43+44"</formula>
    </cfRule>
  </conditionalFormatting>
  <conditionalFormatting sqref="L54 R54 AA54 X54 C54 I54 AD54 F54 U54 O54">
    <cfRule type="expression" dxfId="20" priority="507">
      <formula>#REF! ="54≠55+56+57+58+59"</formula>
    </cfRule>
  </conditionalFormatting>
  <conditionalFormatting sqref="AA93 X93 C93 I93 AD93 F93 U93 O93">
    <cfRule type="expression" dxfId="19" priority="528">
      <formula>#REF! = "94≠68+69+71+80+88+89+90+91+92"</formula>
    </cfRule>
    <cfRule type="expression" dxfId="18" priority="529">
      <formula>#REF! = "64≠94"</formula>
    </cfRule>
  </conditionalFormatting>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67B5-A844-47AB-BA92-DDA1529D92A0}">
  <dimension ref="A1:AP27"/>
  <sheetViews>
    <sheetView showGridLines="0" zoomScale="70" zoomScaleNormal="70" workbookViewId="0">
      <pane xSplit="1" ySplit="8" topLeftCell="B9" activePane="bottomRight" state="frozen"/>
      <selection activeCell="A4" sqref="A4"/>
      <selection pane="topRight" activeCell="A4" sqref="A4"/>
      <selection pane="bottomLeft" activeCell="A4" sqref="A4"/>
      <selection pane="bottomRight" activeCell="A4" sqref="A4"/>
    </sheetView>
  </sheetViews>
  <sheetFormatPr baseColWidth="10" defaultColWidth="11.42578125" defaultRowHeight="12.75" x14ac:dyDescent="0.2"/>
  <cols>
    <col min="1" max="1" width="62" style="477" customWidth="1"/>
    <col min="2" max="14" width="11.7109375" style="477" customWidth="1"/>
    <col min="15" max="15" width="13" style="477" bestFit="1" customWidth="1"/>
    <col min="16" max="31" width="11.7109375" style="477" customWidth="1"/>
    <col min="32" max="244" width="11.42578125" style="477"/>
    <col min="245" max="245" width="62" style="477" customWidth="1"/>
    <col min="246" max="281" width="11.7109375" style="477" customWidth="1"/>
    <col min="282" max="500" width="11.42578125" style="477"/>
    <col min="501" max="501" width="62" style="477" customWidth="1"/>
    <col min="502" max="537" width="11.7109375" style="477" customWidth="1"/>
    <col min="538" max="756" width="11.42578125" style="477"/>
    <col min="757" max="757" width="62" style="477" customWidth="1"/>
    <col min="758" max="793" width="11.7109375" style="477" customWidth="1"/>
    <col min="794" max="1012" width="11.42578125" style="477"/>
    <col min="1013" max="1013" width="62" style="477" customWidth="1"/>
    <col min="1014" max="1049" width="11.7109375" style="477" customWidth="1"/>
    <col min="1050" max="1268" width="11.42578125" style="477"/>
    <col min="1269" max="1269" width="62" style="477" customWidth="1"/>
    <col min="1270" max="1305" width="11.7109375" style="477" customWidth="1"/>
    <col min="1306" max="1524" width="11.42578125" style="477"/>
    <col min="1525" max="1525" width="62" style="477" customWidth="1"/>
    <col min="1526" max="1561" width="11.7109375" style="477" customWidth="1"/>
    <col min="1562" max="1780" width="11.42578125" style="477"/>
    <col min="1781" max="1781" width="62" style="477" customWidth="1"/>
    <col min="1782" max="1817" width="11.7109375" style="477" customWidth="1"/>
    <col min="1818" max="2036" width="11.42578125" style="477"/>
    <col min="2037" max="2037" width="62" style="477" customWidth="1"/>
    <col min="2038" max="2073" width="11.7109375" style="477" customWidth="1"/>
    <col min="2074" max="2292" width="11.42578125" style="477"/>
    <col min="2293" max="2293" width="62" style="477" customWidth="1"/>
    <col min="2294" max="2329" width="11.7109375" style="477" customWidth="1"/>
    <col min="2330" max="2548" width="11.42578125" style="477"/>
    <col min="2549" max="2549" width="62" style="477" customWidth="1"/>
    <col min="2550" max="2585" width="11.7109375" style="477" customWidth="1"/>
    <col min="2586" max="2804" width="11.42578125" style="477"/>
    <col min="2805" max="2805" width="62" style="477" customWidth="1"/>
    <col min="2806" max="2841" width="11.7109375" style="477" customWidth="1"/>
    <col min="2842" max="3060" width="11.42578125" style="477"/>
    <col min="3061" max="3061" width="62" style="477" customWidth="1"/>
    <col min="3062" max="3097" width="11.7109375" style="477" customWidth="1"/>
    <col min="3098" max="3316" width="11.42578125" style="477"/>
    <col min="3317" max="3317" width="62" style="477" customWidth="1"/>
    <col min="3318" max="3353" width="11.7109375" style="477" customWidth="1"/>
    <col min="3354" max="3572" width="11.42578125" style="477"/>
    <col min="3573" max="3573" width="62" style="477" customWidth="1"/>
    <col min="3574" max="3609" width="11.7109375" style="477" customWidth="1"/>
    <col min="3610" max="3828" width="11.42578125" style="477"/>
    <col min="3829" max="3829" width="62" style="477" customWidth="1"/>
    <col min="3830" max="3865" width="11.7109375" style="477" customWidth="1"/>
    <col min="3866" max="4084" width="11.42578125" style="477"/>
    <col min="4085" max="4085" width="62" style="477" customWidth="1"/>
    <col min="4086" max="4121" width="11.7109375" style="477" customWidth="1"/>
    <col min="4122" max="4340" width="11.42578125" style="477"/>
    <col min="4341" max="4341" width="62" style="477" customWidth="1"/>
    <col min="4342" max="4377" width="11.7109375" style="477" customWidth="1"/>
    <col min="4378" max="4596" width="11.42578125" style="477"/>
    <col min="4597" max="4597" width="62" style="477" customWidth="1"/>
    <col min="4598" max="4633" width="11.7109375" style="477" customWidth="1"/>
    <col min="4634" max="4852" width="11.42578125" style="477"/>
    <col min="4853" max="4853" width="62" style="477" customWidth="1"/>
    <col min="4854" max="4889" width="11.7109375" style="477" customWidth="1"/>
    <col min="4890" max="5108" width="11.42578125" style="477"/>
    <col min="5109" max="5109" width="62" style="477" customWidth="1"/>
    <col min="5110" max="5145" width="11.7109375" style="477" customWidth="1"/>
    <col min="5146" max="5364" width="11.42578125" style="477"/>
    <col min="5365" max="5365" width="62" style="477" customWidth="1"/>
    <col min="5366" max="5401" width="11.7109375" style="477" customWidth="1"/>
    <col min="5402" max="5620" width="11.42578125" style="477"/>
    <col min="5621" max="5621" width="62" style="477" customWidth="1"/>
    <col min="5622" max="5657" width="11.7109375" style="477" customWidth="1"/>
    <col min="5658" max="5876" width="11.42578125" style="477"/>
    <col min="5877" max="5877" width="62" style="477" customWidth="1"/>
    <col min="5878" max="5913" width="11.7109375" style="477" customWidth="1"/>
    <col min="5914" max="6132" width="11.42578125" style="477"/>
    <col min="6133" max="6133" width="62" style="477" customWidth="1"/>
    <col min="6134" max="6169" width="11.7109375" style="477" customWidth="1"/>
    <col min="6170" max="6388" width="11.42578125" style="477"/>
    <col min="6389" max="6389" width="62" style="477" customWidth="1"/>
    <col min="6390" max="6425" width="11.7109375" style="477" customWidth="1"/>
    <col min="6426" max="6644" width="11.42578125" style="477"/>
    <col min="6645" max="6645" width="62" style="477" customWidth="1"/>
    <col min="6646" max="6681" width="11.7109375" style="477" customWidth="1"/>
    <col min="6682" max="6900" width="11.42578125" style="477"/>
    <col min="6901" max="6901" width="62" style="477" customWidth="1"/>
    <col min="6902" max="6937" width="11.7109375" style="477" customWidth="1"/>
    <col min="6938" max="7156" width="11.42578125" style="477"/>
    <col min="7157" max="7157" width="62" style="477" customWidth="1"/>
    <col min="7158" max="7193" width="11.7109375" style="477" customWidth="1"/>
    <col min="7194" max="7412" width="11.42578125" style="477"/>
    <col min="7413" max="7413" width="62" style="477" customWidth="1"/>
    <col min="7414" max="7449" width="11.7109375" style="477" customWidth="1"/>
    <col min="7450" max="7668" width="11.42578125" style="477"/>
    <col min="7669" max="7669" width="62" style="477" customWidth="1"/>
    <col min="7670" max="7705" width="11.7109375" style="477" customWidth="1"/>
    <col min="7706" max="7924" width="11.42578125" style="477"/>
    <col min="7925" max="7925" width="62" style="477" customWidth="1"/>
    <col min="7926" max="7961" width="11.7109375" style="477" customWidth="1"/>
    <col min="7962" max="8180" width="11.42578125" style="477"/>
    <col min="8181" max="8181" width="62" style="477" customWidth="1"/>
    <col min="8182" max="8217" width="11.7109375" style="477" customWidth="1"/>
    <col min="8218" max="8436" width="11.42578125" style="477"/>
    <col min="8437" max="8437" width="62" style="477" customWidth="1"/>
    <col min="8438" max="8473" width="11.7109375" style="477" customWidth="1"/>
    <col min="8474" max="8692" width="11.42578125" style="477"/>
    <col min="8693" max="8693" width="62" style="477" customWidth="1"/>
    <col min="8694" max="8729" width="11.7109375" style="477" customWidth="1"/>
    <col min="8730" max="8948" width="11.42578125" style="477"/>
    <col min="8949" max="8949" width="62" style="477" customWidth="1"/>
    <col min="8950" max="8985" width="11.7109375" style="477" customWidth="1"/>
    <col min="8986" max="9204" width="11.42578125" style="477"/>
    <col min="9205" max="9205" width="62" style="477" customWidth="1"/>
    <col min="9206" max="9241" width="11.7109375" style="477" customWidth="1"/>
    <col min="9242" max="9460" width="11.42578125" style="477"/>
    <col min="9461" max="9461" width="62" style="477" customWidth="1"/>
    <col min="9462" max="9497" width="11.7109375" style="477" customWidth="1"/>
    <col min="9498" max="9716" width="11.42578125" style="477"/>
    <col min="9717" max="9717" width="62" style="477" customWidth="1"/>
    <col min="9718" max="9753" width="11.7109375" style="477" customWidth="1"/>
    <col min="9754" max="9972" width="11.42578125" style="477"/>
    <col min="9973" max="9973" width="62" style="477" customWidth="1"/>
    <col min="9974" max="10009" width="11.7109375" style="477" customWidth="1"/>
    <col min="10010" max="10228" width="11.42578125" style="477"/>
    <col min="10229" max="10229" width="62" style="477" customWidth="1"/>
    <col min="10230" max="10265" width="11.7109375" style="477" customWidth="1"/>
    <col min="10266" max="10484" width="11.42578125" style="477"/>
    <col min="10485" max="10485" width="62" style="477" customWidth="1"/>
    <col min="10486" max="10521" width="11.7109375" style="477" customWidth="1"/>
    <col min="10522" max="10740" width="11.42578125" style="477"/>
    <col min="10741" max="10741" width="62" style="477" customWidth="1"/>
    <col min="10742" max="10777" width="11.7109375" style="477" customWidth="1"/>
    <col min="10778" max="10996" width="11.42578125" style="477"/>
    <col min="10997" max="10997" width="62" style="477" customWidth="1"/>
    <col min="10998" max="11033" width="11.7109375" style="477" customWidth="1"/>
    <col min="11034" max="11252" width="11.42578125" style="477"/>
    <col min="11253" max="11253" width="62" style="477" customWidth="1"/>
    <col min="11254" max="11289" width="11.7109375" style="477" customWidth="1"/>
    <col min="11290" max="11508" width="11.42578125" style="477"/>
    <col min="11509" max="11509" width="62" style="477" customWidth="1"/>
    <col min="11510" max="11545" width="11.7109375" style="477" customWidth="1"/>
    <col min="11546" max="11764" width="11.42578125" style="477"/>
    <col min="11765" max="11765" width="62" style="477" customWidth="1"/>
    <col min="11766" max="11801" width="11.7109375" style="477" customWidth="1"/>
    <col min="11802" max="12020" width="11.42578125" style="477"/>
    <col min="12021" max="12021" width="62" style="477" customWidth="1"/>
    <col min="12022" max="12057" width="11.7109375" style="477" customWidth="1"/>
    <col min="12058" max="12276" width="11.42578125" style="477"/>
    <col min="12277" max="12277" width="62" style="477" customWidth="1"/>
    <col min="12278" max="12313" width="11.7109375" style="477" customWidth="1"/>
    <col min="12314" max="12532" width="11.42578125" style="477"/>
    <col min="12533" max="12533" width="62" style="477" customWidth="1"/>
    <col min="12534" max="12569" width="11.7109375" style="477" customWidth="1"/>
    <col min="12570" max="12788" width="11.42578125" style="477"/>
    <col min="12789" max="12789" width="62" style="477" customWidth="1"/>
    <col min="12790" max="12825" width="11.7109375" style="477" customWidth="1"/>
    <col min="12826" max="13044" width="11.42578125" style="477"/>
    <col min="13045" max="13045" width="62" style="477" customWidth="1"/>
    <col min="13046" max="13081" width="11.7109375" style="477" customWidth="1"/>
    <col min="13082" max="13300" width="11.42578125" style="477"/>
    <col min="13301" max="13301" width="62" style="477" customWidth="1"/>
    <col min="13302" max="13337" width="11.7109375" style="477" customWidth="1"/>
    <col min="13338" max="13556" width="11.42578125" style="477"/>
    <col min="13557" max="13557" width="62" style="477" customWidth="1"/>
    <col min="13558" max="13593" width="11.7109375" style="477" customWidth="1"/>
    <col min="13594" max="13812" width="11.42578125" style="477"/>
    <col min="13813" max="13813" width="62" style="477" customWidth="1"/>
    <col min="13814" max="13849" width="11.7109375" style="477" customWidth="1"/>
    <col min="13850" max="14068" width="11.42578125" style="477"/>
    <col min="14069" max="14069" width="62" style="477" customWidth="1"/>
    <col min="14070" max="14105" width="11.7109375" style="477" customWidth="1"/>
    <col min="14106" max="14324" width="11.42578125" style="477"/>
    <col min="14325" max="14325" width="62" style="477" customWidth="1"/>
    <col min="14326" max="14361" width="11.7109375" style="477" customWidth="1"/>
    <col min="14362" max="14580" width="11.42578125" style="477"/>
    <col min="14581" max="14581" width="62" style="477" customWidth="1"/>
    <col min="14582" max="14617" width="11.7109375" style="477" customWidth="1"/>
    <col min="14618" max="14836" width="11.42578125" style="477"/>
    <col min="14837" max="14837" width="62" style="477" customWidth="1"/>
    <col min="14838" max="14873" width="11.7109375" style="477" customWidth="1"/>
    <col min="14874" max="15092" width="11.42578125" style="477"/>
    <col min="15093" max="15093" width="62" style="477" customWidth="1"/>
    <col min="15094" max="15129" width="11.7109375" style="477" customWidth="1"/>
    <col min="15130" max="15348" width="11.42578125" style="477"/>
    <col min="15349" max="15349" width="62" style="477" customWidth="1"/>
    <col min="15350" max="15385" width="11.7109375" style="477" customWidth="1"/>
    <col min="15386" max="15604" width="11.42578125" style="477"/>
    <col min="15605" max="15605" width="62" style="477" customWidth="1"/>
    <col min="15606" max="15641" width="11.7109375" style="477" customWidth="1"/>
    <col min="15642" max="15860" width="11.42578125" style="477"/>
    <col min="15861" max="15861" width="62" style="477" customWidth="1"/>
    <col min="15862" max="15897" width="11.7109375" style="477" customWidth="1"/>
    <col min="15898" max="16116" width="11.42578125" style="477"/>
    <col min="16117" max="16117" width="62" style="477" customWidth="1"/>
    <col min="16118" max="16153" width="11.7109375" style="477" customWidth="1"/>
    <col min="16154" max="16384" width="11.42578125" style="477"/>
  </cols>
  <sheetData>
    <row r="1" spans="1:42" ht="20.25" x14ac:dyDescent="0.3">
      <c r="A1" s="476" t="s">
        <v>152</v>
      </c>
    </row>
    <row r="2" spans="1:42" ht="20.25" x14ac:dyDescent="0.3">
      <c r="A2" s="476" t="s">
        <v>239</v>
      </c>
      <c r="Q2" s="670"/>
    </row>
    <row r="3" spans="1:42" ht="18.75" x14ac:dyDescent="0.3">
      <c r="A3" s="478" t="s">
        <v>297</v>
      </c>
    </row>
    <row r="4" spans="1:42" ht="18.75" x14ac:dyDescent="0.3">
      <c r="A4" s="479" t="s">
        <v>364</v>
      </c>
      <c r="B4" s="480"/>
      <c r="C4" s="481"/>
      <c r="D4" s="482"/>
      <c r="E4" s="481"/>
      <c r="F4" s="481"/>
      <c r="G4" s="482"/>
      <c r="H4" s="481"/>
      <c r="I4" s="481"/>
      <c r="J4" s="482"/>
      <c r="K4" s="480"/>
      <c r="L4" s="481"/>
      <c r="M4" s="482"/>
      <c r="N4" s="480"/>
      <c r="O4" s="481"/>
      <c r="P4" s="482"/>
      <c r="Q4" s="480"/>
      <c r="R4" s="481"/>
      <c r="S4" s="482"/>
      <c r="T4" s="480"/>
      <c r="U4" s="481"/>
      <c r="V4" s="482"/>
      <c r="W4" s="480"/>
      <c r="X4" s="481"/>
      <c r="Y4" s="482"/>
      <c r="Z4" s="480"/>
      <c r="AA4" s="481"/>
      <c r="AB4" s="482"/>
      <c r="AC4" s="480"/>
      <c r="AD4" s="483"/>
      <c r="AE4" s="482"/>
      <c r="AF4" s="484"/>
      <c r="AG4" s="484"/>
      <c r="AH4" s="484"/>
      <c r="AI4" s="484"/>
      <c r="AJ4" s="484"/>
      <c r="AK4" s="484"/>
      <c r="AL4" s="484"/>
      <c r="AM4" s="484"/>
      <c r="AN4" s="484"/>
      <c r="AO4" s="484"/>
      <c r="AP4" s="484"/>
    </row>
    <row r="5" spans="1:42" ht="18.75" x14ac:dyDescent="0.3">
      <c r="A5" s="485"/>
      <c r="B5" s="744" t="s">
        <v>155</v>
      </c>
      <c r="C5" s="745"/>
      <c r="D5" s="746"/>
      <c r="E5" s="641"/>
      <c r="F5" s="641"/>
      <c r="G5" s="642"/>
      <c r="H5" s="744" t="s">
        <v>156</v>
      </c>
      <c r="I5" s="745"/>
      <c r="J5" s="746"/>
      <c r="K5" s="744" t="s">
        <v>157</v>
      </c>
      <c r="L5" s="745"/>
      <c r="M5" s="746"/>
      <c r="N5" s="672" t="s">
        <v>158</v>
      </c>
      <c r="O5" s="673"/>
      <c r="P5" s="674"/>
      <c r="Q5" s="663"/>
      <c r="R5" s="664"/>
      <c r="S5" s="665"/>
      <c r="T5" s="744" t="s">
        <v>159</v>
      </c>
      <c r="U5" s="745"/>
      <c r="V5" s="746"/>
      <c r="W5" s="744" t="s">
        <v>65</v>
      </c>
      <c r="X5" s="745"/>
      <c r="Y5" s="746"/>
      <c r="Z5" s="744" t="s">
        <v>68</v>
      </c>
      <c r="AA5" s="745"/>
      <c r="AB5" s="746"/>
      <c r="AC5" s="741" t="s">
        <v>257</v>
      </c>
      <c r="AD5" s="742"/>
      <c r="AE5" s="743"/>
      <c r="AF5" s="633"/>
      <c r="AG5" s="633"/>
      <c r="AH5" s="734"/>
      <c r="AI5" s="734"/>
      <c r="AJ5" s="734"/>
      <c r="AK5" s="734"/>
      <c r="AL5" s="734"/>
      <c r="AM5" s="734"/>
      <c r="AN5" s="734"/>
      <c r="AO5" s="734"/>
      <c r="AP5" s="734"/>
    </row>
    <row r="6" spans="1:42" ht="18.75" x14ac:dyDescent="0.3">
      <c r="A6" s="486"/>
      <c r="B6" s="735" t="s">
        <v>161</v>
      </c>
      <c r="C6" s="736"/>
      <c r="D6" s="737"/>
      <c r="E6" s="735" t="s">
        <v>353</v>
      </c>
      <c r="F6" s="736"/>
      <c r="G6" s="737"/>
      <c r="H6" s="735" t="s">
        <v>161</v>
      </c>
      <c r="I6" s="736"/>
      <c r="J6" s="737"/>
      <c r="K6" s="735" t="s">
        <v>162</v>
      </c>
      <c r="L6" s="736"/>
      <c r="M6" s="737"/>
      <c r="N6" s="735" t="s">
        <v>61</v>
      </c>
      <c r="O6" s="736"/>
      <c r="P6" s="737"/>
      <c r="Q6" s="735" t="s">
        <v>63</v>
      </c>
      <c r="R6" s="736"/>
      <c r="S6" s="737"/>
      <c r="T6" s="735" t="s">
        <v>160</v>
      </c>
      <c r="U6" s="736"/>
      <c r="V6" s="737"/>
      <c r="W6" s="735" t="s">
        <v>369</v>
      </c>
      <c r="X6" s="736"/>
      <c r="Y6" s="737"/>
      <c r="Z6" s="735" t="s">
        <v>161</v>
      </c>
      <c r="AA6" s="736"/>
      <c r="AB6" s="737"/>
      <c r="AC6" s="738" t="s">
        <v>258</v>
      </c>
      <c r="AD6" s="739"/>
      <c r="AE6" s="740"/>
      <c r="AF6" s="633"/>
      <c r="AG6" s="633"/>
      <c r="AH6" s="734"/>
      <c r="AI6" s="734"/>
      <c r="AJ6" s="734"/>
      <c r="AK6" s="734"/>
      <c r="AL6" s="734"/>
      <c r="AM6" s="734"/>
      <c r="AN6" s="734"/>
      <c r="AO6" s="734"/>
      <c r="AP6" s="734"/>
    </row>
    <row r="7" spans="1:42" ht="18.75" x14ac:dyDescent="0.3">
      <c r="A7" s="486"/>
      <c r="B7" s="487"/>
      <c r="C7" s="487"/>
      <c r="D7" s="488" t="s">
        <v>76</v>
      </c>
      <c r="E7" s="487"/>
      <c r="F7" s="487"/>
      <c r="G7" s="488" t="s">
        <v>76</v>
      </c>
      <c r="H7" s="487"/>
      <c r="I7" s="487"/>
      <c r="J7" s="488" t="s">
        <v>76</v>
      </c>
      <c r="K7" s="487"/>
      <c r="L7" s="487"/>
      <c r="M7" s="488" t="s">
        <v>76</v>
      </c>
      <c r="N7" s="487"/>
      <c r="O7" s="487"/>
      <c r="P7" s="488" t="s">
        <v>76</v>
      </c>
      <c r="Q7" s="487"/>
      <c r="R7" s="487"/>
      <c r="S7" s="488" t="s">
        <v>76</v>
      </c>
      <c r="T7" s="487"/>
      <c r="U7" s="487"/>
      <c r="V7" s="488" t="s">
        <v>76</v>
      </c>
      <c r="W7" s="487"/>
      <c r="X7" s="487"/>
      <c r="Y7" s="488" t="s">
        <v>76</v>
      </c>
      <c r="Z7" s="487"/>
      <c r="AA7" s="487"/>
      <c r="AB7" s="488" t="s">
        <v>76</v>
      </c>
      <c r="AC7" s="487"/>
      <c r="AD7" s="487"/>
      <c r="AE7" s="488" t="s">
        <v>76</v>
      </c>
      <c r="AF7" s="633"/>
      <c r="AG7" s="633"/>
      <c r="AH7" s="633"/>
      <c r="AI7" s="633"/>
      <c r="AJ7" s="633"/>
      <c r="AK7" s="633"/>
      <c r="AL7" s="633"/>
      <c r="AM7" s="633"/>
      <c r="AN7" s="633"/>
      <c r="AO7" s="633"/>
      <c r="AP7" s="633"/>
    </row>
    <row r="8" spans="1:42" ht="15.75" x14ac:dyDescent="0.25">
      <c r="A8" s="489" t="s">
        <v>260</v>
      </c>
      <c r="B8" s="490">
        <v>2023</v>
      </c>
      <c r="C8" s="490">
        <v>2024</v>
      </c>
      <c r="D8" s="491" t="s">
        <v>78</v>
      </c>
      <c r="E8" s="490">
        <f>$B$8</f>
        <v>2023</v>
      </c>
      <c r="F8" s="490">
        <f>$C$8</f>
        <v>2024</v>
      </c>
      <c r="G8" s="491" t="s">
        <v>78</v>
      </c>
      <c r="H8" s="490">
        <f>$B$8</f>
        <v>2023</v>
      </c>
      <c r="I8" s="490">
        <f>$C$8</f>
        <v>2024</v>
      </c>
      <c r="J8" s="491" t="s">
        <v>78</v>
      </c>
      <c r="K8" s="490">
        <f>$B$8</f>
        <v>2023</v>
      </c>
      <c r="L8" s="490">
        <f>$C$8</f>
        <v>2024</v>
      </c>
      <c r="M8" s="491" t="s">
        <v>78</v>
      </c>
      <c r="N8" s="490">
        <f>$B$8</f>
        <v>2023</v>
      </c>
      <c r="O8" s="490">
        <f>$C$8</f>
        <v>2024</v>
      </c>
      <c r="P8" s="491" t="s">
        <v>78</v>
      </c>
      <c r="Q8" s="490">
        <f>$B$8</f>
        <v>2023</v>
      </c>
      <c r="R8" s="490">
        <f>$C$8</f>
        <v>2024</v>
      </c>
      <c r="S8" s="491" t="s">
        <v>78</v>
      </c>
      <c r="T8" s="490">
        <f>$B$8</f>
        <v>2023</v>
      </c>
      <c r="U8" s="490">
        <f>$C$8</f>
        <v>2024</v>
      </c>
      <c r="V8" s="491" t="s">
        <v>78</v>
      </c>
      <c r="W8" s="490">
        <f>$B$8</f>
        <v>2023</v>
      </c>
      <c r="X8" s="490">
        <f>$C$8</f>
        <v>2024</v>
      </c>
      <c r="Y8" s="491" t="s">
        <v>78</v>
      </c>
      <c r="Z8" s="490">
        <f>$B$8</f>
        <v>2023</v>
      </c>
      <c r="AA8" s="490">
        <f>$C$8</f>
        <v>2024</v>
      </c>
      <c r="AB8" s="491" t="s">
        <v>78</v>
      </c>
      <c r="AC8" s="490">
        <f>$B$8</f>
        <v>2023</v>
      </c>
      <c r="AD8" s="490">
        <f>$C$8</f>
        <v>2024</v>
      </c>
      <c r="AE8" s="491" t="s">
        <v>78</v>
      </c>
      <c r="AF8" s="493"/>
      <c r="AG8" s="492"/>
      <c r="AH8" s="493"/>
      <c r="AI8" s="493"/>
      <c r="AJ8" s="492"/>
      <c r="AK8" s="493"/>
      <c r="AL8" s="493"/>
      <c r="AM8" s="492"/>
      <c r="AN8" s="493"/>
      <c r="AO8" s="493"/>
      <c r="AP8" s="492"/>
    </row>
    <row r="9" spans="1:42" s="464" customFormat="1" ht="18.75" x14ac:dyDescent="0.3">
      <c r="A9" s="494"/>
      <c r="B9" s="613"/>
      <c r="C9" s="503"/>
      <c r="D9" s="503"/>
      <c r="E9" s="496"/>
      <c r="F9" s="503"/>
      <c r="G9" s="503"/>
      <c r="H9" s="496"/>
      <c r="I9" s="503"/>
      <c r="J9" s="503"/>
      <c r="K9" s="496"/>
      <c r="L9" s="503"/>
      <c r="M9" s="503"/>
      <c r="N9" s="496"/>
      <c r="O9" s="503"/>
      <c r="P9" s="503"/>
      <c r="Q9" s="612"/>
      <c r="R9" s="465"/>
      <c r="S9" s="503"/>
      <c r="T9" s="496"/>
      <c r="U9" s="503"/>
      <c r="V9" s="503"/>
      <c r="W9" s="496"/>
      <c r="X9" s="503"/>
      <c r="Y9" s="503"/>
      <c r="Z9" s="496"/>
      <c r="AA9" s="503"/>
      <c r="AB9" s="503"/>
      <c r="AC9" s="495"/>
      <c r="AD9" s="495"/>
      <c r="AE9" s="495"/>
    </row>
    <row r="10" spans="1:42" s="464" customFormat="1" ht="18.75" x14ac:dyDescent="0.3">
      <c r="A10" s="497" t="s">
        <v>358</v>
      </c>
      <c r="B10" s="613"/>
      <c r="C10" s="503"/>
      <c r="D10" s="503"/>
      <c r="E10" s="496"/>
      <c r="F10" s="503"/>
      <c r="G10" s="503"/>
      <c r="H10" s="496"/>
      <c r="I10" s="503"/>
      <c r="J10" s="503"/>
      <c r="K10" s="496"/>
      <c r="L10" s="503"/>
      <c r="M10" s="503"/>
      <c r="N10" s="496"/>
      <c r="O10" s="503"/>
      <c r="P10" s="503"/>
      <c r="Q10" s="612"/>
      <c r="R10" s="465"/>
      <c r="S10" s="503"/>
      <c r="T10" s="612"/>
      <c r="U10" s="465"/>
      <c r="V10" s="503"/>
      <c r="W10" s="612"/>
      <c r="X10" s="465"/>
      <c r="Y10" s="503"/>
      <c r="Z10" s="612"/>
      <c r="AA10" s="465"/>
      <c r="AB10" s="503"/>
      <c r="AC10" s="503"/>
      <c r="AD10" s="503"/>
      <c r="AE10" s="504"/>
    </row>
    <row r="11" spans="1:42" ht="37.5" x14ac:dyDescent="0.3">
      <c r="A11" s="688" t="s">
        <v>410</v>
      </c>
      <c r="B11" s="613">
        <v>1.0886547518270899</v>
      </c>
      <c r="C11" s="503">
        <v>2.3199999999999998</v>
      </c>
      <c r="D11" s="504">
        <f>IF(B11=0, "    ---- ", IF(ABS(ROUND(100/B11*C11-100,1))&lt;999,ROUND(100/B11*C11-100,1),IF(ROUND(100/B11*C11-100,1)&gt;999,999,-999)))</f>
        <v>113.1</v>
      </c>
      <c r="E11" s="496">
        <v>0.14000000000000001</v>
      </c>
      <c r="F11" s="503">
        <v>2.2000000000000002</v>
      </c>
      <c r="G11" s="503"/>
      <c r="H11" s="496"/>
      <c r="I11" s="503"/>
      <c r="J11" s="503"/>
      <c r="K11" s="496">
        <v>1.29</v>
      </c>
      <c r="L11" s="503">
        <v>1.85</v>
      </c>
      <c r="M11" s="503"/>
      <c r="N11" s="496">
        <v>4.1898516585954226</v>
      </c>
      <c r="O11" s="503">
        <v>4.6100000000000003</v>
      </c>
      <c r="P11" s="503"/>
      <c r="Q11" s="612">
        <v>2</v>
      </c>
      <c r="R11" s="465">
        <v>2.3199999999999998</v>
      </c>
      <c r="S11" s="503"/>
      <c r="T11" s="612"/>
      <c r="U11" s="465">
        <v>3.9</v>
      </c>
      <c r="V11" s="503"/>
      <c r="W11" s="612">
        <v>1.03902099330595</v>
      </c>
      <c r="X11" s="465">
        <v>2.6765919054440501</v>
      </c>
      <c r="Y11" s="503"/>
      <c r="Z11" s="612">
        <v>1.31</v>
      </c>
      <c r="AA11" s="465">
        <v>2.4900000000000002</v>
      </c>
      <c r="AB11" s="503"/>
      <c r="AC11" s="504"/>
      <c r="AD11" s="504"/>
      <c r="AE11" s="504"/>
    </row>
    <row r="12" spans="1:42" ht="18.75" x14ac:dyDescent="0.3">
      <c r="A12" s="689" t="s">
        <v>401</v>
      </c>
      <c r="B12" s="613">
        <v>1.7107833544757201</v>
      </c>
      <c r="C12" s="687"/>
      <c r="D12" s="504">
        <f>IF(B12=0, "    ---- ", IF(ABS(ROUND(100/B12*C12-100,1))&lt;999,ROUND(100/B12*C12-100,1),IF(ROUND(100/B12*C12-100,1)&gt;999,999,-999)))</f>
        <v>-100</v>
      </c>
      <c r="E12" s="496">
        <v>1.6</v>
      </c>
      <c r="F12" s="475"/>
      <c r="G12" s="503"/>
      <c r="H12" s="496"/>
      <c r="I12" s="475"/>
      <c r="J12" s="503"/>
      <c r="K12" s="496">
        <v>1.31</v>
      </c>
      <c r="L12" s="475"/>
      <c r="M12" s="503"/>
      <c r="N12" s="496">
        <v>3.303474082581781</v>
      </c>
      <c r="O12" s="677">
        <v>4.3899999999999997</v>
      </c>
      <c r="P12" s="503"/>
      <c r="Q12" s="612">
        <v>1.7</v>
      </c>
      <c r="R12" s="475"/>
      <c r="S12" s="503"/>
      <c r="T12" s="612">
        <v>3.4</v>
      </c>
      <c r="U12" s="669"/>
      <c r="V12" s="503"/>
      <c r="W12" s="612">
        <v>2.3820306997105898</v>
      </c>
      <c r="X12" s="475"/>
      <c r="Y12" s="503"/>
      <c r="Z12" s="612">
        <v>1.33</v>
      </c>
      <c r="AA12" s="475"/>
      <c r="AB12" s="503"/>
      <c r="AC12" s="504"/>
      <c r="AD12" s="88"/>
      <c r="AE12" s="504"/>
    </row>
    <row r="13" spans="1:42" ht="18.75" x14ac:dyDescent="0.3">
      <c r="A13" s="497"/>
      <c r="B13" s="613"/>
      <c r="C13" s="503"/>
      <c r="D13" s="503"/>
      <c r="E13" s="496"/>
      <c r="F13" s="503"/>
      <c r="G13" s="503"/>
      <c r="H13" s="496"/>
      <c r="I13" s="503"/>
      <c r="J13" s="503"/>
      <c r="K13" s="496"/>
      <c r="L13" s="503"/>
      <c r="M13" s="503"/>
      <c r="N13" s="496"/>
      <c r="O13" s="503"/>
      <c r="P13" s="503"/>
      <c r="Q13" s="612"/>
      <c r="R13" s="465"/>
      <c r="S13" s="503"/>
      <c r="T13" s="612"/>
      <c r="U13" s="465"/>
      <c r="V13" s="503"/>
      <c r="W13" s="612"/>
      <c r="X13" s="465"/>
      <c r="Y13" s="503"/>
      <c r="Z13" s="612"/>
      <c r="AA13" s="465"/>
      <c r="AB13" s="503"/>
      <c r="AC13" s="503"/>
      <c r="AD13" s="503"/>
      <c r="AE13" s="503"/>
    </row>
    <row r="14" spans="1:42" ht="18.75" x14ac:dyDescent="0.3">
      <c r="A14" s="497" t="s">
        <v>359</v>
      </c>
      <c r="B14" s="613">
        <v>16.806232291622099</v>
      </c>
      <c r="C14" s="503">
        <v>19.309999999999999</v>
      </c>
      <c r="D14" s="504">
        <f>IF(B14=0, "    ---- ", IF(ABS(ROUND(100/B14*C14-100,1))&lt;999,ROUND(100/B14*C14-100,1),IF(ROUND(100/B14*C14-100,1)&gt;999,999,-999)))</f>
        <v>14.9</v>
      </c>
      <c r="E14" s="496">
        <v>39.619999999999997</v>
      </c>
      <c r="F14" s="503">
        <v>36.130000000000003</v>
      </c>
      <c r="G14" s="504">
        <f>IF(E14=0, "    ---- ", IF(ABS(ROUND(100/E14*F14-100,1))&lt;999,ROUND(100/E14*F14-100,1),IF(ROUND(100/E14*F14-100,1)&gt;999,999,-999)))</f>
        <v>-8.8000000000000007</v>
      </c>
      <c r="H14" s="496">
        <v>28.1</v>
      </c>
      <c r="I14" s="503">
        <v>27.9</v>
      </c>
      <c r="J14" s="504">
        <f>IF(H14=0, "    ---- ", IF(ABS(ROUND(100/H14*I14-100,1))&lt;999,ROUND(100/H14*I14-100,1),IF(ROUND(100/H14*I14-100,1)&gt;999,999,-999)))</f>
        <v>-0.7</v>
      </c>
      <c r="K14" s="496">
        <v>3.79</v>
      </c>
      <c r="L14" s="503">
        <v>6.72</v>
      </c>
      <c r="M14" s="504">
        <f>IF(K14=0, "    ---- ", IF(ABS(ROUND(100/K14*L14-100,1))&lt;999,ROUND(100/K14*L14-100,1),IF(ROUND(100/K14*L14-100,1)&gt;999,999,-999)))</f>
        <v>77.3</v>
      </c>
      <c r="N14" s="613">
        <v>21.250655152829655</v>
      </c>
      <c r="O14" s="503">
        <v>26.1</v>
      </c>
      <c r="P14" s="504">
        <f>IF(N14=0, "    ---- ", IF(ABS(ROUND(100/N14*O14-100,1))&lt;999,ROUND(100/N14*O14-100,1),IF(ROUND(100/N14*O14-100,1)&gt;999,999,-999)))</f>
        <v>22.8</v>
      </c>
      <c r="Q14" s="612">
        <v>30</v>
      </c>
      <c r="R14" s="465"/>
      <c r="S14" s="504">
        <f>IF(Q14=0, "    ---- ", IF(ABS(ROUND(100/Q14*R14-100,1))&lt;999,ROUND(100/Q14*R14-100,1),IF(ROUND(100/Q14*R14-100,1)&gt;999,999,-999)))</f>
        <v>-100</v>
      </c>
      <c r="T14" s="496">
        <f>(1430+10597+1240+27647-2292)/(79020+7274)*100</f>
        <v>44.756298236262083</v>
      </c>
      <c r="U14" s="503">
        <f>(1430+11297+29966-1224)/(86648+5496)*100</f>
        <v>45.004558083000525</v>
      </c>
      <c r="V14" s="504">
        <f>IF(T14=0, "    ---- ", IF(ABS(ROUND(100/T14*U14-100,1))&lt;999,ROUND(100/T14*U14-100,1),IF(ROUND(100/T14*U14-100,1)&gt;999,999,-999)))</f>
        <v>0.6</v>
      </c>
      <c r="W14" s="612">
        <v>33.343917770433677</v>
      </c>
      <c r="X14" s="465">
        <f>('[2]Tabell 6'!X68+'[2]Tabell 6'!X69+'[2]Tabell 6'!X71+'[2]Tabell 6'!X76+'[2]Tabell 6'!X78+'[2]Tabell 6'!X79-389.187)/('[2]Tabell 6'!X80)*100</f>
        <v>39.760279310410517</v>
      </c>
      <c r="Y14" s="504">
        <f>IF(W14=0, "    ---- ", IF(ABS(ROUND(100/W14*X14-100,1))&lt;999,ROUND(100/W14*X14-100,1),IF(ROUND(100/W14*X14-100,1)&gt;999,999,-999)))</f>
        <v>19.2</v>
      </c>
      <c r="Z14" s="653">
        <v>8.3000000000000007</v>
      </c>
      <c r="AA14" s="465">
        <v>10.1</v>
      </c>
      <c r="AB14" s="504">
        <f>IF(Z14=0, "    ---- ", IF(ABS(ROUND(100/Z14*AA14-100,1))&lt;999,ROUND(100/Z14*AA14-100,1),IF(ROUND(100/Z14*AA14-100,1)&gt;999,999,-999)))</f>
        <v>21.7</v>
      </c>
      <c r="AC14" s="504"/>
      <c r="AD14" s="504"/>
      <c r="AE14" s="504"/>
    </row>
    <row r="15" spans="1:42" ht="18.75" x14ac:dyDescent="0.3">
      <c r="A15" s="497"/>
      <c r="B15" s="613"/>
      <c r="C15" s="503"/>
      <c r="D15" s="503"/>
      <c r="E15" s="496"/>
      <c r="F15" s="503"/>
      <c r="G15" s="503"/>
      <c r="H15" s="496"/>
      <c r="I15" s="503"/>
      <c r="J15" s="503"/>
      <c r="K15" s="496"/>
      <c r="L15" s="503"/>
      <c r="M15" s="503"/>
      <c r="N15" s="496"/>
      <c r="O15" s="503"/>
      <c r="P15" s="503"/>
      <c r="Q15" s="612"/>
      <c r="R15" s="465"/>
      <c r="S15" s="503"/>
      <c r="T15" s="612"/>
      <c r="U15" s="465"/>
      <c r="V15" s="503"/>
      <c r="W15" s="612"/>
      <c r="X15" s="465"/>
      <c r="Y15" s="503"/>
      <c r="Z15" s="653"/>
      <c r="AA15" s="465"/>
      <c r="AB15" s="503"/>
      <c r="AC15" s="503"/>
      <c r="AD15" s="503"/>
      <c r="AE15" s="503"/>
    </row>
    <row r="16" spans="1:42" ht="18.75" x14ac:dyDescent="0.3">
      <c r="A16" s="689" t="s">
        <v>400</v>
      </c>
      <c r="B16" s="610">
        <v>2019.7323996500002</v>
      </c>
      <c r="C16" s="475"/>
      <c r="D16" s="504">
        <f>IF(B16=0, "    ---- ", IF(ABS(ROUND(100/B16*C16-100,1))&lt;999,ROUND(100/B16*C16-100,1),IF(ROUND(100/B16*C16-100,1)&gt;999,999,-999)))</f>
        <v>-100</v>
      </c>
      <c r="E16" s="498">
        <v>73.400000000000006</v>
      </c>
      <c r="F16" s="475"/>
      <c r="G16" s="504"/>
      <c r="H16" s="498"/>
      <c r="I16" s="475"/>
      <c r="J16" s="504"/>
      <c r="K16" s="498">
        <v>1549</v>
      </c>
      <c r="L16" s="475"/>
      <c r="M16" s="504"/>
      <c r="N16" s="498">
        <v>101806.72169420999</v>
      </c>
      <c r="O16" s="475"/>
      <c r="P16" s="504"/>
      <c r="Q16" s="614">
        <v>1954</v>
      </c>
      <c r="R16" s="88"/>
      <c r="S16" s="504"/>
      <c r="T16" s="614"/>
      <c r="U16" s="475"/>
      <c r="V16" s="504"/>
      <c r="W16" s="181">
        <v>2406.1750000000002</v>
      </c>
      <c r="X16" s="475"/>
      <c r="Y16" s="504"/>
      <c r="Z16" s="508">
        <v>713</v>
      </c>
      <c r="AA16" s="687"/>
      <c r="AB16" s="504"/>
      <c r="AC16" s="504">
        <f>B16+E16+H16+K16+N16+Q16+T16+W16+Z16</f>
        <v>110522.02909385999</v>
      </c>
      <c r="AD16" s="88"/>
      <c r="AE16" s="504"/>
    </row>
    <row r="17" spans="1:31" ht="18.75" x14ac:dyDescent="0.3">
      <c r="A17" s="497"/>
      <c r="B17" s="610"/>
      <c r="C17" s="504"/>
      <c r="D17" s="504"/>
      <c r="E17" s="498"/>
      <c r="F17" s="504"/>
      <c r="G17" s="504"/>
      <c r="H17" s="498"/>
      <c r="I17" s="504"/>
      <c r="J17" s="504"/>
      <c r="K17" s="498"/>
      <c r="L17" s="504"/>
      <c r="M17" s="504"/>
      <c r="N17" s="498"/>
      <c r="O17" s="504"/>
      <c r="P17" s="504"/>
      <c r="Q17" s="614"/>
      <c r="R17" s="466"/>
      <c r="S17" s="504"/>
      <c r="T17" s="614"/>
      <c r="U17" s="466"/>
      <c r="V17" s="504"/>
      <c r="W17" s="88"/>
      <c r="X17" s="475"/>
      <c r="Y17" s="504"/>
      <c r="Z17" s="508"/>
      <c r="AA17" s="466"/>
      <c r="AB17" s="504"/>
      <c r="AC17" s="504"/>
      <c r="AD17" s="504"/>
      <c r="AE17" s="504"/>
    </row>
    <row r="18" spans="1:31" ht="18.75" x14ac:dyDescent="0.3">
      <c r="A18" s="497" t="s">
        <v>386</v>
      </c>
      <c r="B18" s="610"/>
      <c r="C18" s="504">
        <v>6382</v>
      </c>
      <c r="D18" s="504" t="str">
        <f>IF(B18=0, "    ---- ", IF(ABS(ROUND(100/B18*C18-100,1))&lt;999,ROUND(100/B18*C18-100,1),IF(ROUND(100/B18*C18-100,1)&gt;999,999,-999)))</f>
        <v xml:space="preserve">    ---- </v>
      </c>
      <c r="E18" s="498"/>
      <c r="F18" s="504"/>
      <c r="G18" s="504" t="str">
        <f>IF(E18=0, "    ---- ", IF(ABS(ROUND(100/E18*F18-100,1))&lt;999,ROUND(100/E18*F18-100,1),IF(ROUND(100/E18*F18-100,1)&gt;999,999,-999)))</f>
        <v xml:space="preserve">    ---- </v>
      </c>
      <c r="H18" s="498"/>
      <c r="I18" s="504"/>
      <c r="J18" s="504" t="str">
        <f>IF(H18=0, "    ---- ", IF(ABS(ROUND(100/H18*I18-100,1))&lt;999,ROUND(100/H18*I18-100,1),IF(ROUND(100/H18*I18-100,1)&gt;999,999,-999)))</f>
        <v xml:space="preserve">    ---- </v>
      </c>
      <c r="K18" s="498"/>
      <c r="L18" s="504">
        <v>291</v>
      </c>
      <c r="M18" s="504" t="str">
        <f>IF(K18=0, "    ---- ", IF(ABS(ROUND(100/K18*L18-100,1))&lt;999,ROUND(100/K18*L18-100,1),IF(ROUND(100/K18*L18-100,1)&gt;999,999,-999)))</f>
        <v xml:space="preserve">    ---- </v>
      </c>
      <c r="N18" s="498"/>
      <c r="O18" s="504">
        <v>108949.31144964999</v>
      </c>
      <c r="P18" s="504" t="str">
        <f>IF(N18=0, "    ---- ", IF(ABS(ROUND(100/N18*O18-100,1))&lt;999,ROUND(100/N18*O18-100,1),IF(ROUND(100/N18*O18-100,1)&gt;999,999,-999)))</f>
        <v xml:space="preserve">    ---- </v>
      </c>
      <c r="Q18" s="614"/>
      <c r="R18" s="466">
        <v>5903</v>
      </c>
      <c r="S18" s="504" t="str">
        <f>IF(Q18=0, "    ---- ", IF(ABS(ROUND(100/Q18*R18-100,1))&lt;999,ROUND(100/Q18*R18-100,1),IF(ROUND(100/Q18*R18-100,1)&gt;999,999,-999)))</f>
        <v xml:space="preserve">    ---- </v>
      </c>
      <c r="T18" s="614">
        <v>27647</v>
      </c>
      <c r="U18" s="466">
        <v>29966</v>
      </c>
      <c r="V18" s="504">
        <f>IF(T18=0, "    ---- ", IF(ABS(ROUND(100/T18*U18-100,1))&lt;999,ROUND(100/T18*U18-100,1),IF(ROUND(100/T18*U18-100,1)&gt;999,999,-999)))</f>
        <v>8.4</v>
      </c>
      <c r="W18" s="614"/>
      <c r="X18" s="466">
        <v>3327.4340000000002</v>
      </c>
      <c r="Y18" s="504" t="str">
        <f>IF(W18=0, "    ---- ", IF(ABS(ROUND(100/W18*X18-100,1))&lt;999,ROUND(100/W18*X18-100,1),IF(ROUND(100/W18*X18-100,1)&gt;999,999,-999)))</f>
        <v xml:space="preserve">    ---- </v>
      </c>
      <c r="Z18" s="508">
        <v>1970</v>
      </c>
      <c r="AA18" s="466">
        <v>12970</v>
      </c>
      <c r="AB18" s="504">
        <f>IF(Z18=0, "    ---- ", IF(ABS(ROUND(100/Z18*AA18-100,1))&lt;999,ROUND(100/Z18*AA18-100,1),IF(ROUND(100/Z18*AA18-100,1)&gt;999,999,-999)))</f>
        <v>558.4</v>
      </c>
      <c r="AC18" s="504">
        <f>B18+E18+H18+K18+N18+Q18+T18+W18+Z18</f>
        <v>29617</v>
      </c>
      <c r="AD18" s="504">
        <f>C18+F18+I18+L18+O18+R18+U18+X18+AA18</f>
        <v>167788.74544964998</v>
      </c>
      <c r="AE18" s="504">
        <f>IF(AC18=0, "    ---- ", IF(ABS(ROUND(100/AC18*AD18-100,1))&lt;999,ROUND(100/AC18*AD18-100,1),IF(ROUND(100/AC18*AD18-100,1)&gt;999,999,-999)))</f>
        <v>466.5</v>
      </c>
    </row>
    <row r="19" spans="1:31" ht="18.75" x14ac:dyDescent="0.3">
      <c r="A19" s="497"/>
      <c r="B19" s="610"/>
      <c r="C19" s="504"/>
      <c r="D19" s="504"/>
      <c r="E19" s="498"/>
      <c r="F19" s="504"/>
      <c r="G19" s="504"/>
      <c r="H19" s="498"/>
      <c r="I19" s="504"/>
      <c r="J19" s="504"/>
      <c r="K19" s="498"/>
      <c r="L19" s="504"/>
      <c r="M19" s="504"/>
      <c r="N19" s="498"/>
      <c r="O19" s="504"/>
      <c r="P19" s="504"/>
      <c r="Q19" s="614"/>
      <c r="R19" s="466"/>
      <c r="S19" s="504"/>
      <c r="T19" s="614"/>
      <c r="U19" s="466"/>
      <c r="V19" s="504"/>
      <c r="W19" s="614"/>
      <c r="X19" s="466"/>
      <c r="Y19" s="504"/>
      <c r="Z19" s="508"/>
      <c r="AA19" s="466"/>
      <c r="AB19" s="504"/>
      <c r="AC19" s="504"/>
      <c r="AD19" s="504"/>
      <c r="AE19" s="504"/>
    </row>
    <row r="20" spans="1:31" ht="18.75" x14ac:dyDescent="0.3">
      <c r="A20" s="499" t="s">
        <v>360</v>
      </c>
      <c r="B20" s="611">
        <v>-8415.0676097699798</v>
      </c>
      <c r="C20" s="505">
        <v>-5134.6601588000103</v>
      </c>
      <c r="D20" s="505">
        <f>IF(B20=0, "    ---- ", IF(ABS(ROUND(100/B20*C20-100,1))&lt;999,ROUND(100/B20*C20-100,1),IF(ROUND(100/B20*C20-100,1)&gt;999,999,-999)))</f>
        <v>-39</v>
      </c>
      <c r="E20" s="659">
        <v>1.2</v>
      </c>
      <c r="F20" s="506">
        <v>17.899999999999999</v>
      </c>
      <c r="G20" s="505"/>
      <c r="H20" s="500"/>
      <c r="I20" s="505"/>
      <c r="J20" s="505"/>
      <c r="K20" s="500">
        <v>-25</v>
      </c>
      <c r="L20" s="505">
        <v>-16</v>
      </c>
      <c r="M20" s="505"/>
      <c r="N20" s="500">
        <v>-1594.904</v>
      </c>
      <c r="O20" s="505">
        <v>-895</v>
      </c>
      <c r="P20" s="505"/>
      <c r="Q20" s="615">
        <v>-3677</v>
      </c>
      <c r="R20" s="467">
        <v>-2619</v>
      </c>
      <c r="S20" s="505"/>
      <c r="T20" s="615">
        <v>-2292</v>
      </c>
      <c r="U20" s="467">
        <v>-1227</v>
      </c>
      <c r="V20" s="505"/>
      <c r="W20" s="615">
        <v>-102.32</v>
      </c>
      <c r="X20" s="467">
        <v>-61.704999999999998</v>
      </c>
      <c r="Y20" s="505"/>
      <c r="Z20" s="654">
        <v>-15542</v>
      </c>
      <c r="AA20" s="467">
        <v>-12665.580653999999</v>
      </c>
      <c r="AB20" s="505"/>
      <c r="AC20" s="505">
        <f>B20+E20+H20+K20+N20+Q20+T20+W20+Z20</f>
        <v>-31647.091609769981</v>
      </c>
      <c r="AD20" s="505">
        <f>C20+F20+I20+L20+O20+R20+U20+X20+AA20</f>
        <v>-22601.04581280001</v>
      </c>
      <c r="AE20" s="505">
        <f>IF(AC20=0, "    ---- ", IF(ABS(ROUND(100/AC20*AD20-100,1))&lt;999,ROUND(100/AC20*AD20-100,1),IF(ROUND(100/AC20*AD20-100,1)&gt;999,999,-999)))</f>
        <v>-28.6</v>
      </c>
    </row>
    <row r="27" spans="1:31" x14ac:dyDescent="0.2">
      <c r="N27" s="675"/>
    </row>
  </sheetData>
  <protectedRanges>
    <protectedRange sqref="AD12" name="Område1_9_6_1"/>
    <protectedRange sqref="R16" name="Område1_3_1_2_1"/>
    <protectedRange sqref="L9:L13 L15:L20" name="Område1_9_6_1_2"/>
    <protectedRange sqref="L14" name="Område1_4_2_6_1_2"/>
    <protectedRange sqref="K9:K13 K15:K20" name="Område1_9_6_1_2_1"/>
    <protectedRange sqref="K14" name="Område1_4_2_6_1_2_1"/>
    <protectedRange sqref="R12" name="Område1_9_6_1_3"/>
    <protectedRange sqref="R9:R10" name="Område1_13_3_1_1_1"/>
    <protectedRange sqref="R11 R13:R15 R17:R20" name="Område1_5_1_2_1_1"/>
    <protectedRange sqref="Q9:Q10" name="Område1_13_3_1_1_2_1"/>
    <protectedRange sqref="Q11:Q20" name="Område1_5_1_2_1_2_1"/>
    <protectedRange sqref="AA9:AA10" name="Område1_10_1_1_1_1"/>
    <protectedRange sqref="AA11 AA13:AA20" name="Område1_8_1_1_1_1_1"/>
    <protectedRange sqref="AA12" name="Område1_9_6_1_4"/>
    <protectedRange sqref="Z9:Z10" name="Område1_10_1_1_1_1_1"/>
    <protectedRange sqref="Z11:Z20" name="Område1_8_1_1_1_1_1_1"/>
    <protectedRange sqref="X12" name="Område1_9_6_1_5"/>
    <protectedRange sqref="X9:X11 X13:X20" name="Område1_11_1_1_1_1"/>
    <protectedRange sqref="W9:W20" name="Område1_11_1_1_1_2"/>
    <protectedRange sqref="C9:C10" name="Område1_13_5_1_1_1"/>
    <protectedRange sqref="C11:C20" name="Område1_2_1_2_1_1_1"/>
    <protectedRange sqref="B9:B10" name="Område1_13_5_1_1_2"/>
    <protectedRange sqref="B11:B20" name="Område1_2_1_2_1_1_2"/>
    <protectedRange sqref="I9:I13 I15:I20" name="Område1_13_1_1_1_1"/>
    <protectedRange sqref="I14" name="Område1_4_1_2_1_1"/>
    <protectedRange sqref="H9:H13 H15:H20" name="Område1_13_1_1_1_2"/>
    <protectedRange sqref="H14" name="Område1_4_1_2_1_2"/>
    <protectedRange sqref="F9:F10" name="Område1_13_5_2_1"/>
    <protectedRange sqref="F11:F20" name="Område1_2_1_2_2_1"/>
    <protectedRange sqref="E9:E10" name="Område1_13_5_2_2"/>
    <protectedRange sqref="E11:E20" name="Område1_2_1_2_2_2"/>
    <protectedRange sqref="U12" name="Område1_9_6_1_1"/>
    <protectedRange sqref="U9:U10" name="Område1_13_4_1_1_1"/>
    <protectedRange sqref="U11 U15:U20 U13" name="Område1_6_1_2_1_1"/>
    <protectedRange sqref="U14" name="Område1_4_2_5_1"/>
    <protectedRange sqref="T9:T10" name="Område1_13_4_1_1_2"/>
    <protectedRange sqref="T11:T13 T15:T20" name="Område1_6_1_2_1_2"/>
    <protectedRange sqref="T14" name="Område1_4_2_2_1"/>
    <protectedRange sqref="O12" name="Område1_9_6_1_7"/>
    <protectedRange sqref="O9:O10" name="Område1_13_2_1_1_2"/>
    <protectedRange sqref="O11 O13:O20" name="Område1_3_1_2_1_2"/>
    <protectedRange sqref="N9:N10" name="Område1_13_2_1_1_2_1_1"/>
    <protectedRange sqref="N11:N20" name="Område1_3_1_2_1_2_1_1"/>
  </protectedRanges>
  <mergeCells count="23">
    <mergeCell ref="AC5:AE5"/>
    <mergeCell ref="AH5:AJ5"/>
    <mergeCell ref="AK5:AM5"/>
    <mergeCell ref="AN5:AP5"/>
    <mergeCell ref="B6:D6"/>
    <mergeCell ref="E6:G6"/>
    <mergeCell ref="H6:J6"/>
    <mergeCell ref="K6:M6"/>
    <mergeCell ref="N6:P6"/>
    <mergeCell ref="Q6:S6"/>
    <mergeCell ref="B5:D5"/>
    <mergeCell ref="H5:J5"/>
    <mergeCell ref="K5:M5"/>
    <mergeCell ref="T5:V5"/>
    <mergeCell ref="W5:Y5"/>
    <mergeCell ref="Z5:AB5"/>
    <mergeCell ref="AN6:AP6"/>
    <mergeCell ref="T6:V6"/>
    <mergeCell ref="W6:Y6"/>
    <mergeCell ref="Z6:AB6"/>
    <mergeCell ref="AC6:AE6"/>
    <mergeCell ref="AH6:AJ6"/>
    <mergeCell ref="AK6:AM6"/>
  </mergeCells>
  <conditionalFormatting sqref="AD16">
    <cfRule type="expression" dxfId="17" priority="31">
      <formula>kvartal &lt; 4</formula>
    </cfRule>
  </conditionalFormatting>
  <conditionalFormatting sqref="AD12">
    <cfRule type="expression" dxfId="16" priority="22">
      <formula>kvartal &lt; 4</formula>
    </cfRule>
  </conditionalFormatting>
  <conditionalFormatting sqref="L16">
    <cfRule type="expression" dxfId="15" priority="21">
      <formula>kvartal &lt; 4</formula>
    </cfRule>
  </conditionalFormatting>
  <conditionalFormatting sqref="L12">
    <cfRule type="expression" dxfId="14" priority="20">
      <formula>kvartal &lt; 4</formula>
    </cfRule>
  </conditionalFormatting>
  <conditionalFormatting sqref="R12">
    <cfRule type="expression" dxfId="13" priority="18">
      <formula>kvartal &lt; 4</formula>
    </cfRule>
  </conditionalFormatting>
  <conditionalFormatting sqref="AA12">
    <cfRule type="expression" dxfId="12" priority="16">
      <formula>kvartal &lt; 4</formula>
    </cfRule>
  </conditionalFormatting>
  <conditionalFormatting sqref="X12">
    <cfRule type="expression" dxfId="11" priority="14">
      <formula>kvartal &lt; 4</formula>
    </cfRule>
  </conditionalFormatting>
  <conditionalFormatting sqref="X16">
    <cfRule type="expression" dxfId="10" priority="15">
      <formula>kvartal &lt; 4</formula>
    </cfRule>
  </conditionalFormatting>
  <conditionalFormatting sqref="C16">
    <cfRule type="expression" dxfId="9" priority="12">
      <formula>kvartal &lt; 4</formula>
    </cfRule>
  </conditionalFormatting>
  <conditionalFormatting sqref="I12">
    <cfRule type="expression" dxfId="8" priority="10">
      <formula>kvartal &lt; 4</formula>
    </cfRule>
  </conditionalFormatting>
  <conditionalFormatting sqref="I16">
    <cfRule type="expression" dxfId="7" priority="11">
      <formula>kvartal &lt; 4</formula>
    </cfRule>
  </conditionalFormatting>
  <conditionalFormatting sqref="F12">
    <cfRule type="expression" dxfId="6" priority="8">
      <formula>kvartal &lt; 4</formula>
    </cfRule>
  </conditionalFormatting>
  <conditionalFormatting sqref="F16">
    <cfRule type="expression" dxfId="5" priority="9">
      <formula>kvartal &lt; 4</formula>
    </cfRule>
  </conditionalFormatting>
  <conditionalFormatting sqref="U12">
    <cfRule type="expression" dxfId="4" priority="6">
      <formula>kvartal &lt; 4</formula>
    </cfRule>
  </conditionalFormatting>
  <conditionalFormatting sqref="U16">
    <cfRule type="expression" dxfId="3" priority="7">
      <formula>kvartal &lt; 4</formula>
    </cfRule>
  </conditionalFormatting>
  <conditionalFormatting sqref="R16">
    <cfRule type="expression" dxfId="2" priority="5">
      <formula>kvartal &lt; 4</formula>
    </cfRule>
  </conditionalFormatting>
  <conditionalFormatting sqref="O12">
    <cfRule type="expression" dxfId="1" priority="1">
      <formula>kvartal &lt; 4</formula>
    </cfRule>
  </conditionalFormatting>
  <conditionalFormatting sqref="O16">
    <cfRule type="expression" dxfId="0" priority="2">
      <formula>kvartal &lt; 4</formula>
    </cfRule>
  </conditionalFormatting>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Ark9"/>
  <dimension ref="A2:Q65"/>
  <sheetViews>
    <sheetView showGridLines="0" zoomScale="90" zoomScaleNormal="90" workbookViewId="0"/>
  </sheetViews>
  <sheetFormatPr baseColWidth="10" defaultColWidth="11.42578125" defaultRowHeight="12.75" x14ac:dyDescent="0.2"/>
  <cols>
    <col min="1" max="1" width="66.28515625" style="1" customWidth="1"/>
    <col min="2" max="2" width="4.28515625" style="50" customWidth="1"/>
    <col min="3" max="3" width="105.28515625" style="1" customWidth="1"/>
    <col min="4" max="8" width="12.7109375" style="1" customWidth="1"/>
    <col min="9" max="257" width="11.42578125" style="1"/>
    <col min="258" max="258" width="2.7109375" style="1" customWidth="1"/>
    <col min="259" max="259" width="176.7109375" style="1" customWidth="1"/>
    <col min="260" max="260" width="11.42578125" style="1"/>
    <col min="261" max="261" width="176.7109375" style="1" customWidth="1"/>
    <col min="262" max="262" width="11.42578125" style="1"/>
    <col min="263" max="263" width="88.7109375" style="1" customWidth="1"/>
    <col min="264" max="513" width="11.42578125" style="1"/>
    <col min="514" max="514" width="2.7109375" style="1" customWidth="1"/>
    <col min="515" max="515" width="176.7109375" style="1" customWidth="1"/>
    <col min="516" max="516" width="11.42578125" style="1"/>
    <col min="517" max="517" width="176.7109375" style="1" customWidth="1"/>
    <col min="518" max="518" width="11.42578125" style="1"/>
    <col min="519" max="519" width="88.7109375" style="1" customWidth="1"/>
    <col min="520" max="769" width="11.42578125" style="1"/>
    <col min="770" max="770" width="2.7109375" style="1" customWidth="1"/>
    <col min="771" max="771" width="176.7109375" style="1" customWidth="1"/>
    <col min="772" max="772" width="11.42578125" style="1"/>
    <col min="773" max="773" width="176.7109375" style="1" customWidth="1"/>
    <col min="774" max="774" width="11.42578125" style="1"/>
    <col min="775" max="775" width="88.7109375" style="1" customWidth="1"/>
    <col min="776" max="1025" width="11.42578125" style="1"/>
    <col min="1026" max="1026" width="2.7109375" style="1" customWidth="1"/>
    <col min="1027" max="1027" width="176.7109375" style="1" customWidth="1"/>
    <col min="1028" max="1028" width="11.42578125" style="1"/>
    <col min="1029" max="1029" width="176.7109375" style="1" customWidth="1"/>
    <col min="1030" max="1030" width="11.42578125" style="1"/>
    <col min="1031" max="1031" width="88.7109375" style="1" customWidth="1"/>
    <col min="1032" max="1281" width="11.42578125" style="1"/>
    <col min="1282" max="1282" width="2.7109375" style="1" customWidth="1"/>
    <col min="1283" max="1283" width="176.7109375" style="1" customWidth="1"/>
    <col min="1284" max="1284" width="11.42578125" style="1"/>
    <col min="1285" max="1285" width="176.7109375" style="1" customWidth="1"/>
    <col min="1286" max="1286" width="11.42578125" style="1"/>
    <col min="1287" max="1287" width="88.7109375" style="1" customWidth="1"/>
    <col min="1288" max="1537" width="11.42578125" style="1"/>
    <col min="1538" max="1538" width="2.7109375" style="1" customWidth="1"/>
    <col min="1539" max="1539" width="176.7109375" style="1" customWidth="1"/>
    <col min="1540" max="1540" width="11.42578125" style="1"/>
    <col min="1541" max="1541" width="176.7109375" style="1" customWidth="1"/>
    <col min="1542" max="1542" width="11.42578125" style="1"/>
    <col min="1543" max="1543" width="88.7109375" style="1" customWidth="1"/>
    <col min="1544" max="1793" width="11.42578125" style="1"/>
    <col min="1794" max="1794" width="2.7109375" style="1" customWidth="1"/>
    <col min="1795" max="1795" width="176.7109375" style="1" customWidth="1"/>
    <col min="1796" max="1796" width="11.42578125" style="1"/>
    <col min="1797" max="1797" width="176.7109375" style="1" customWidth="1"/>
    <col min="1798" max="1798" width="11.42578125" style="1"/>
    <col min="1799" max="1799" width="88.7109375" style="1" customWidth="1"/>
    <col min="1800" max="2049" width="11.42578125" style="1"/>
    <col min="2050" max="2050" width="2.7109375" style="1" customWidth="1"/>
    <col min="2051" max="2051" width="176.7109375" style="1" customWidth="1"/>
    <col min="2052" max="2052" width="11.42578125" style="1"/>
    <col min="2053" max="2053" width="176.7109375" style="1" customWidth="1"/>
    <col min="2054" max="2054" width="11.42578125" style="1"/>
    <col min="2055" max="2055" width="88.7109375" style="1" customWidth="1"/>
    <col min="2056" max="2305" width="11.42578125" style="1"/>
    <col min="2306" max="2306" width="2.7109375" style="1" customWidth="1"/>
    <col min="2307" max="2307" width="176.7109375" style="1" customWidth="1"/>
    <col min="2308" max="2308" width="11.42578125" style="1"/>
    <col min="2309" max="2309" width="176.7109375" style="1" customWidth="1"/>
    <col min="2310" max="2310" width="11.42578125" style="1"/>
    <col min="2311" max="2311" width="88.7109375" style="1" customWidth="1"/>
    <col min="2312" max="2561" width="11.42578125" style="1"/>
    <col min="2562" max="2562" width="2.7109375" style="1" customWidth="1"/>
    <col min="2563" max="2563" width="176.7109375" style="1" customWidth="1"/>
    <col min="2564" max="2564" width="11.42578125" style="1"/>
    <col min="2565" max="2565" width="176.7109375" style="1" customWidth="1"/>
    <col min="2566" max="2566" width="11.42578125" style="1"/>
    <col min="2567" max="2567" width="88.7109375" style="1" customWidth="1"/>
    <col min="2568" max="2817" width="11.42578125" style="1"/>
    <col min="2818" max="2818" width="2.7109375" style="1" customWidth="1"/>
    <col min="2819" max="2819" width="176.7109375" style="1" customWidth="1"/>
    <col min="2820" max="2820" width="11.42578125" style="1"/>
    <col min="2821" max="2821" width="176.7109375" style="1" customWidth="1"/>
    <col min="2822" max="2822" width="11.42578125" style="1"/>
    <col min="2823" max="2823" width="88.7109375" style="1" customWidth="1"/>
    <col min="2824" max="3073" width="11.42578125" style="1"/>
    <col min="3074" max="3074" width="2.7109375" style="1" customWidth="1"/>
    <col min="3075" max="3075" width="176.7109375" style="1" customWidth="1"/>
    <col min="3076" max="3076" width="11.42578125" style="1"/>
    <col min="3077" max="3077" width="176.7109375" style="1" customWidth="1"/>
    <col min="3078" max="3078" width="11.42578125" style="1"/>
    <col min="3079" max="3079" width="88.7109375" style="1" customWidth="1"/>
    <col min="3080" max="3329" width="11.42578125" style="1"/>
    <col min="3330" max="3330" width="2.7109375" style="1" customWidth="1"/>
    <col min="3331" max="3331" width="176.7109375" style="1" customWidth="1"/>
    <col min="3332" max="3332" width="11.42578125" style="1"/>
    <col min="3333" max="3333" width="176.7109375" style="1" customWidth="1"/>
    <col min="3334" max="3334" width="11.42578125" style="1"/>
    <col min="3335" max="3335" width="88.7109375" style="1" customWidth="1"/>
    <col min="3336" max="3585" width="11.42578125" style="1"/>
    <col min="3586" max="3586" width="2.7109375" style="1" customWidth="1"/>
    <col min="3587" max="3587" width="176.7109375" style="1" customWidth="1"/>
    <col min="3588" max="3588" width="11.42578125" style="1"/>
    <col min="3589" max="3589" width="176.7109375" style="1" customWidth="1"/>
    <col min="3590" max="3590" width="11.42578125" style="1"/>
    <col min="3591" max="3591" width="88.7109375" style="1" customWidth="1"/>
    <col min="3592" max="3841" width="11.42578125" style="1"/>
    <col min="3842" max="3842" width="2.7109375" style="1" customWidth="1"/>
    <col min="3843" max="3843" width="176.7109375" style="1" customWidth="1"/>
    <col min="3844" max="3844" width="11.42578125" style="1"/>
    <col min="3845" max="3845" width="176.7109375" style="1" customWidth="1"/>
    <col min="3846" max="3846" width="11.42578125" style="1"/>
    <col min="3847" max="3847" width="88.7109375" style="1" customWidth="1"/>
    <col min="3848" max="4097" width="11.42578125" style="1"/>
    <col min="4098" max="4098" width="2.7109375" style="1" customWidth="1"/>
    <col min="4099" max="4099" width="176.7109375" style="1" customWidth="1"/>
    <col min="4100" max="4100" width="11.42578125" style="1"/>
    <col min="4101" max="4101" width="176.7109375" style="1" customWidth="1"/>
    <col min="4102" max="4102" width="11.42578125" style="1"/>
    <col min="4103" max="4103" width="88.7109375" style="1" customWidth="1"/>
    <col min="4104" max="4353" width="11.42578125" style="1"/>
    <col min="4354" max="4354" width="2.7109375" style="1" customWidth="1"/>
    <col min="4355" max="4355" width="176.7109375" style="1" customWidth="1"/>
    <col min="4356" max="4356" width="11.42578125" style="1"/>
    <col min="4357" max="4357" width="176.7109375" style="1" customWidth="1"/>
    <col min="4358" max="4358" width="11.42578125" style="1"/>
    <col min="4359" max="4359" width="88.7109375" style="1" customWidth="1"/>
    <col min="4360" max="4609" width="11.42578125" style="1"/>
    <col min="4610" max="4610" width="2.7109375" style="1" customWidth="1"/>
    <col min="4611" max="4611" width="176.7109375" style="1" customWidth="1"/>
    <col min="4612" max="4612" width="11.42578125" style="1"/>
    <col min="4613" max="4613" width="176.7109375" style="1" customWidth="1"/>
    <col min="4614" max="4614" width="11.42578125" style="1"/>
    <col min="4615" max="4615" width="88.7109375" style="1" customWidth="1"/>
    <col min="4616" max="4865" width="11.42578125" style="1"/>
    <col min="4866" max="4866" width="2.7109375" style="1" customWidth="1"/>
    <col min="4867" max="4867" width="176.7109375" style="1" customWidth="1"/>
    <col min="4868" max="4868" width="11.42578125" style="1"/>
    <col min="4869" max="4869" width="176.7109375" style="1" customWidth="1"/>
    <col min="4870" max="4870" width="11.42578125" style="1"/>
    <col min="4871" max="4871" width="88.7109375" style="1" customWidth="1"/>
    <col min="4872" max="5121" width="11.42578125" style="1"/>
    <col min="5122" max="5122" width="2.7109375" style="1" customWidth="1"/>
    <col min="5123" max="5123" width="176.7109375" style="1" customWidth="1"/>
    <col min="5124" max="5124" width="11.42578125" style="1"/>
    <col min="5125" max="5125" width="176.7109375" style="1" customWidth="1"/>
    <col min="5126" max="5126" width="11.42578125" style="1"/>
    <col min="5127" max="5127" width="88.7109375" style="1" customWidth="1"/>
    <col min="5128" max="5377" width="11.42578125" style="1"/>
    <col min="5378" max="5378" width="2.7109375" style="1" customWidth="1"/>
    <col min="5379" max="5379" width="176.7109375" style="1" customWidth="1"/>
    <col min="5380" max="5380" width="11.42578125" style="1"/>
    <col min="5381" max="5381" width="176.7109375" style="1" customWidth="1"/>
    <col min="5382" max="5382" width="11.42578125" style="1"/>
    <col min="5383" max="5383" width="88.7109375" style="1" customWidth="1"/>
    <col min="5384" max="5633" width="11.42578125" style="1"/>
    <col min="5634" max="5634" width="2.7109375" style="1" customWidth="1"/>
    <col min="5635" max="5635" width="176.7109375" style="1" customWidth="1"/>
    <col min="5636" max="5636" width="11.42578125" style="1"/>
    <col min="5637" max="5637" width="176.7109375" style="1" customWidth="1"/>
    <col min="5638" max="5638" width="11.42578125" style="1"/>
    <col min="5639" max="5639" width="88.7109375" style="1" customWidth="1"/>
    <col min="5640" max="5889" width="11.42578125" style="1"/>
    <col min="5890" max="5890" width="2.7109375" style="1" customWidth="1"/>
    <col min="5891" max="5891" width="176.7109375" style="1" customWidth="1"/>
    <col min="5892" max="5892" width="11.42578125" style="1"/>
    <col min="5893" max="5893" width="176.7109375" style="1" customWidth="1"/>
    <col min="5894" max="5894" width="11.42578125" style="1"/>
    <col min="5895" max="5895" width="88.7109375" style="1" customWidth="1"/>
    <col min="5896" max="6145" width="11.42578125" style="1"/>
    <col min="6146" max="6146" width="2.7109375" style="1" customWidth="1"/>
    <col min="6147" max="6147" width="176.7109375" style="1" customWidth="1"/>
    <col min="6148" max="6148" width="11.42578125" style="1"/>
    <col min="6149" max="6149" width="176.7109375" style="1" customWidth="1"/>
    <col min="6150" max="6150" width="11.42578125" style="1"/>
    <col min="6151" max="6151" width="88.7109375" style="1" customWidth="1"/>
    <col min="6152" max="6401" width="11.42578125" style="1"/>
    <col min="6402" max="6402" width="2.7109375" style="1" customWidth="1"/>
    <col min="6403" max="6403" width="176.7109375" style="1" customWidth="1"/>
    <col min="6404" max="6404" width="11.42578125" style="1"/>
    <col min="6405" max="6405" width="176.7109375" style="1" customWidth="1"/>
    <col min="6406" max="6406" width="11.42578125" style="1"/>
    <col min="6407" max="6407" width="88.7109375" style="1" customWidth="1"/>
    <col min="6408" max="6657" width="11.42578125" style="1"/>
    <col min="6658" max="6658" width="2.7109375" style="1" customWidth="1"/>
    <col min="6659" max="6659" width="176.7109375" style="1" customWidth="1"/>
    <col min="6660" max="6660" width="11.42578125" style="1"/>
    <col min="6661" max="6661" width="176.7109375" style="1" customWidth="1"/>
    <col min="6662" max="6662" width="11.42578125" style="1"/>
    <col min="6663" max="6663" width="88.7109375" style="1" customWidth="1"/>
    <col min="6664" max="6913" width="11.42578125" style="1"/>
    <col min="6914" max="6914" width="2.7109375" style="1" customWidth="1"/>
    <col min="6915" max="6915" width="176.7109375" style="1" customWidth="1"/>
    <col min="6916" max="6916" width="11.42578125" style="1"/>
    <col min="6917" max="6917" width="176.7109375" style="1" customWidth="1"/>
    <col min="6918" max="6918" width="11.42578125" style="1"/>
    <col min="6919" max="6919" width="88.7109375" style="1" customWidth="1"/>
    <col min="6920" max="7169" width="11.42578125" style="1"/>
    <col min="7170" max="7170" width="2.7109375" style="1" customWidth="1"/>
    <col min="7171" max="7171" width="176.7109375" style="1" customWidth="1"/>
    <col min="7172" max="7172" width="11.42578125" style="1"/>
    <col min="7173" max="7173" width="176.7109375" style="1" customWidth="1"/>
    <col min="7174" max="7174" width="11.42578125" style="1"/>
    <col min="7175" max="7175" width="88.7109375" style="1" customWidth="1"/>
    <col min="7176" max="7425" width="11.42578125" style="1"/>
    <col min="7426" max="7426" width="2.7109375" style="1" customWidth="1"/>
    <col min="7427" max="7427" width="176.7109375" style="1" customWidth="1"/>
    <col min="7428" max="7428" width="11.42578125" style="1"/>
    <col min="7429" max="7429" width="176.7109375" style="1" customWidth="1"/>
    <col min="7430" max="7430" width="11.42578125" style="1"/>
    <col min="7431" max="7431" width="88.7109375" style="1" customWidth="1"/>
    <col min="7432" max="7681" width="11.42578125" style="1"/>
    <col min="7682" max="7682" width="2.7109375" style="1" customWidth="1"/>
    <col min="7683" max="7683" width="176.7109375" style="1" customWidth="1"/>
    <col min="7684" max="7684" width="11.42578125" style="1"/>
    <col min="7685" max="7685" width="176.7109375" style="1" customWidth="1"/>
    <col min="7686" max="7686" width="11.42578125" style="1"/>
    <col min="7687" max="7687" width="88.7109375" style="1" customWidth="1"/>
    <col min="7688" max="7937" width="11.42578125" style="1"/>
    <col min="7938" max="7938" width="2.7109375" style="1" customWidth="1"/>
    <col min="7939" max="7939" width="176.7109375" style="1" customWidth="1"/>
    <col min="7940" max="7940" width="11.42578125" style="1"/>
    <col min="7941" max="7941" width="176.7109375" style="1" customWidth="1"/>
    <col min="7942" max="7942" width="11.42578125" style="1"/>
    <col min="7943" max="7943" width="88.7109375" style="1" customWidth="1"/>
    <col min="7944" max="8193" width="11.42578125" style="1"/>
    <col min="8194" max="8194" width="2.7109375" style="1" customWidth="1"/>
    <col min="8195" max="8195" width="176.7109375" style="1" customWidth="1"/>
    <col min="8196" max="8196" width="11.42578125" style="1"/>
    <col min="8197" max="8197" width="176.7109375" style="1" customWidth="1"/>
    <col min="8198" max="8198" width="11.42578125" style="1"/>
    <col min="8199" max="8199" width="88.7109375" style="1" customWidth="1"/>
    <col min="8200" max="8449" width="11.42578125" style="1"/>
    <col min="8450" max="8450" width="2.7109375" style="1" customWidth="1"/>
    <col min="8451" max="8451" width="176.7109375" style="1" customWidth="1"/>
    <col min="8452" max="8452" width="11.42578125" style="1"/>
    <col min="8453" max="8453" width="176.7109375" style="1" customWidth="1"/>
    <col min="8454" max="8454" width="11.42578125" style="1"/>
    <col min="8455" max="8455" width="88.7109375" style="1" customWidth="1"/>
    <col min="8456" max="8705" width="11.42578125" style="1"/>
    <col min="8706" max="8706" width="2.7109375" style="1" customWidth="1"/>
    <col min="8707" max="8707" width="176.7109375" style="1" customWidth="1"/>
    <col min="8708" max="8708" width="11.42578125" style="1"/>
    <col min="8709" max="8709" width="176.7109375" style="1" customWidth="1"/>
    <col min="8710" max="8710" width="11.42578125" style="1"/>
    <col min="8711" max="8711" width="88.7109375" style="1" customWidth="1"/>
    <col min="8712" max="8961" width="11.42578125" style="1"/>
    <col min="8962" max="8962" width="2.7109375" style="1" customWidth="1"/>
    <col min="8963" max="8963" width="176.7109375" style="1" customWidth="1"/>
    <col min="8964" max="8964" width="11.42578125" style="1"/>
    <col min="8965" max="8965" width="176.7109375" style="1" customWidth="1"/>
    <col min="8966" max="8966" width="11.42578125" style="1"/>
    <col min="8967" max="8967" width="88.7109375" style="1" customWidth="1"/>
    <col min="8968" max="9217" width="11.42578125" style="1"/>
    <col min="9218" max="9218" width="2.7109375" style="1" customWidth="1"/>
    <col min="9219" max="9219" width="176.7109375" style="1" customWidth="1"/>
    <col min="9220" max="9220" width="11.42578125" style="1"/>
    <col min="9221" max="9221" width="176.7109375" style="1" customWidth="1"/>
    <col min="9222" max="9222" width="11.42578125" style="1"/>
    <col min="9223" max="9223" width="88.7109375" style="1" customWidth="1"/>
    <col min="9224" max="9473" width="11.42578125" style="1"/>
    <col min="9474" max="9474" width="2.7109375" style="1" customWidth="1"/>
    <col min="9475" max="9475" width="176.7109375" style="1" customWidth="1"/>
    <col min="9476" max="9476" width="11.42578125" style="1"/>
    <col min="9477" max="9477" width="176.7109375" style="1" customWidth="1"/>
    <col min="9478" max="9478" width="11.42578125" style="1"/>
    <col min="9479" max="9479" width="88.7109375" style="1" customWidth="1"/>
    <col min="9480" max="9729" width="11.42578125" style="1"/>
    <col min="9730" max="9730" width="2.7109375" style="1" customWidth="1"/>
    <col min="9731" max="9731" width="176.7109375" style="1" customWidth="1"/>
    <col min="9732" max="9732" width="11.42578125" style="1"/>
    <col min="9733" max="9733" width="176.7109375" style="1" customWidth="1"/>
    <col min="9734" max="9734" width="11.42578125" style="1"/>
    <col min="9735" max="9735" width="88.7109375" style="1" customWidth="1"/>
    <col min="9736" max="9985" width="11.42578125" style="1"/>
    <col min="9986" max="9986" width="2.7109375" style="1" customWidth="1"/>
    <col min="9987" max="9987" width="176.7109375" style="1" customWidth="1"/>
    <col min="9988" max="9988" width="11.42578125" style="1"/>
    <col min="9989" max="9989" width="176.7109375" style="1" customWidth="1"/>
    <col min="9990" max="9990" width="11.42578125" style="1"/>
    <col min="9991" max="9991" width="88.7109375" style="1" customWidth="1"/>
    <col min="9992" max="10241" width="11.42578125" style="1"/>
    <col min="10242" max="10242" width="2.7109375" style="1" customWidth="1"/>
    <col min="10243" max="10243" width="176.7109375" style="1" customWidth="1"/>
    <col min="10244" max="10244" width="11.42578125" style="1"/>
    <col min="10245" max="10245" width="176.7109375" style="1" customWidth="1"/>
    <col min="10246" max="10246" width="11.42578125" style="1"/>
    <col min="10247" max="10247" width="88.7109375" style="1" customWidth="1"/>
    <col min="10248" max="10497" width="11.42578125" style="1"/>
    <col min="10498" max="10498" width="2.7109375" style="1" customWidth="1"/>
    <col min="10499" max="10499" width="176.7109375" style="1" customWidth="1"/>
    <col min="10500" max="10500" width="11.42578125" style="1"/>
    <col min="10501" max="10501" width="176.7109375" style="1" customWidth="1"/>
    <col min="10502" max="10502" width="11.42578125" style="1"/>
    <col min="10503" max="10503" width="88.7109375" style="1" customWidth="1"/>
    <col min="10504" max="10753" width="11.42578125" style="1"/>
    <col min="10754" max="10754" width="2.7109375" style="1" customWidth="1"/>
    <col min="10755" max="10755" width="176.7109375" style="1" customWidth="1"/>
    <col min="10756" max="10756" width="11.42578125" style="1"/>
    <col min="10757" max="10757" width="176.7109375" style="1" customWidth="1"/>
    <col min="10758" max="10758" width="11.42578125" style="1"/>
    <col min="10759" max="10759" width="88.7109375" style="1" customWidth="1"/>
    <col min="10760" max="11009" width="11.42578125" style="1"/>
    <col min="11010" max="11010" width="2.7109375" style="1" customWidth="1"/>
    <col min="11011" max="11011" width="176.7109375" style="1" customWidth="1"/>
    <col min="11012" max="11012" width="11.42578125" style="1"/>
    <col min="11013" max="11013" width="176.7109375" style="1" customWidth="1"/>
    <col min="11014" max="11014" width="11.42578125" style="1"/>
    <col min="11015" max="11015" width="88.7109375" style="1" customWidth="1"/>
    <col min="11016" max="11265" width="11.42578125" style="1"/>
    <col min="11266" max="11266" width="2.7109375" style="1" customWidth="1"/>
    <col min="11267" max="11267" width="176.7109375" style="1" customWidth="1"/>
    <col min="11268" max="11268" width="11.42578125" style="1"/>
    <col min="11269" max="11269" width="176.7109375" style="1" customWidth="1"/>
    <col min="11270" max="11270" width="11.42578125" style="1"/>
    <col min="11271" max="11271" width="88.7109375" style="1" customWidth="1"/>
    <col min="11272" max="11521" width="11.42578125" style="1"/>
    <col min="11522" max="11522" width="2.7109375" style="1" customWidth="1"/>
    <col min="11523" max="11523" width="176.7109375" style="1" customWidth="1"/>
    <col min="11524" max="11524" width="11.42578125" style="1"/>
    <col min="11525" max="11525" width="176.7109375" style="1" customWidth="1"/>
    <col min="11526" max="11526" width="11.42578125" style="1"/>
    <col min="11527" max="11527" width="88.7109375" style="1" customWidth="1"/>
    <col min="11528" max="11777" width="11.42578125" style="1"/>
    <col min="11778" max="11778" width="2.7109375" style="1" customWidth="1"/>
    <col min="11779" max="11779" width="176.7109375" style="1" customWidth="1"/>
    <col min="11780" max="11780" width="11.42578125" style="1"/>
    <col min="11781" max="11781" width="176.7109375" style="1" customWidth="1"/>
    <col min="11782" max="11782" width="11.42578125" style="1"/>
    <col min="11783" max="11783" width="88.7109375" style="1" customWidth="1"/>
    <col min="11784" max="12033" width="11.42578125" style="1"/>
    <col min="12034" max="12034" width="2.7109375" style="1" customWidth="1"/>
    <col min="12035" max="12035" width="176.7109375" style="1" customWidth="1"/>
    <col min="12036" max="12036" width="11.42578125" style="1"/>
    <col min="12037" max="12037" width="176.7109375" style="1" customWidth="1"/>
    <col min="12038" max="12038" width="11.42578125" style="1"/>
    <col min="12039" max="12039" width="88.7109375" style="1" customWidth="1"/>
    <col min="12040" max="12289" width="11.42578125" style="1"/>
    <col min="12290" max="12290" width="2.7109375" style="1" customWidth="1"/>
    <col min="12291" max="12291" width="176.7109375" style="1" customWidth="1"/>
    <col min="12292" max="12292" width="11.42578125" style="1"/>
    <col min="12293" max="12293" width="176.7109375" style="1" customWidth="1"/>
    <col min="12294" max="12294" width="11.42578125" style="1"/>
    <col min="12295" max="12295" width="88.7109375" style="1" customWidth="1"/>
    <col min="12296" max="12545" width="11.42578125" style="1"/>
    <col min="12546" max="12546" width="2.7109375" style="1" customWidth="1"/>
    <col min="12547" max="12547" width="176.7109375" style="1" customWidth="1"/>
    <col min="12548" max="12548" width="11.42578125" style="1"/>
    <col min="12549" max="12549" width="176.7109375" style="1" customWidth="1"/>
    <col min="12550" max="12550" width="11.42578125" style="1"/>
    <col min="12551" max="12551" width="88.7109375" style="1" customWidth="1"/>
    <col min="12552" max="12801" width="11.42578125" style="1"/>
    <col min="12802" max="12802" width="2.7109375" style="1" customWidth="1"/>
    <col min="12803" max="12803" width="176.7109375" style="1" customWidth="1"/>
    <col min="12804" max="12804" width="11.42578125" style="1"/>
    <col min="12805" max="12805" width="176.7109375" style="1" customWidth="1"/>
    <col min="12806" max="12806" width="11.42578125" style="1"/>
    <col min="12807" max="12807" width="88.7109375" style="1" customWidth="1"/>
    <col min="12808" max="13057" width="11.42578125" style="1"/>
    <col min="13058" max="13058" width="2.7109375" style="1" customWidth="1"/>
    <col min="13059" max="13059" width="176.7109375" style="1" customWidth="1"/>
    <col min="13060" max="13060" width="11.42578125" style="1"/>
    <col min="13061" max="13061" width="176.7109375" style="1" customWidth="1"/>
    <col min="13062" max="13062" width="11.42578125" style="1"/>
    <col min="13063" max="13063" width="88.7109375" style="1" customWidth="1"/>
    <col min="13064" max="13313" width="11.42578125" style="1"/>
    <col min="13314" max="13314" width="2.7109375" style="1" customWidth="1"/>
    <col min="13315" max="13315" width="176.7109375" style="1" customWidth="1"/>
    <col min="13316" max="13316" width="11.42578125" style="1"/>
    <col min="13317" max="13317" width="176.7109375" style="1" customWidth="1"/>
    <col min="13318" max="13318" width="11.42578125" style="1"/>
    <col min="13319" max="13319" width="88.7109375" style="1" customWidth="1"/>
    <col min="13320" max="13569" width="11.42578125" style="1"/>
    <col min="13570" max="13570" width="2.7109375" style="1" customWidth="1"/>
    <col min="13571" max="13571" width="176.7109375" style="1" customWidth="1"/>
    <col min="13572" max="13572" width="11.42578125" style="1"/>
    <col min="13573" max="13573" width="176.7109375" style="1" customWidth="1"/>
    <col min="13574" max="13574" width="11.42578125" style="1"/>
    <col min="13575" max="13575" width="88.7109375" style="1" customWidth="1"/>
    <col min="13576" max="13825" width="11.42578125" style="1"/>
    <col min="13826" max="13826" width="2.7109375" style="1" customWidth="1"/>
    <col min="13827" max="13827" width="176.7109375" style="1" customWidth="1"/>
    <col min="13828" max="13828" width="11.42578125" style="1"/>
    <col min="13829" max="13829" width="176.7109375" style="1" customWidth="1"/>
    <col min="13830" max="13830" width="11.42578125" style="1"/>
    <col min="13831" max="13831" width="88.7109375" style="1" customWidth="1"/>
    <col min="13832" max="14081" width="11.42578125" style="1"/>
    <col min="14082" max="14082" width="2.7109375" style="1" customWidth="1"/>
    <col min="14083" max="14083" width="176.7109375" style="1" customWidth="1"/>
    <col min="14084" max="14084" width="11.42578125" style="1"/>
    <col min="14085" max="14085" width="176.7109375" style="1" customWidth="1"/>
    <col min="14086" max="14086" width="11.42578125" style="1"/>
    <col min="14087" max="14087" width="88.7109375" style="1" customWidth="1"/>
    <col min="14088" max="14337" width="11.42578125" style="1"/>
    <col min="14338" max="14338" width="2.7109375" style="1" customWidth="1"/>
    <col min="14339" max="14339" width="176.7109375" style="1" customWidth="1"/>
    <col min="14340" max="14340" width="11.42578125" style="1"/>
    <col min="14341" max="14341" width="176.7109375" style="1" customWidth="1"/>
    <col min="14342" max="14342" width="11.42578125" style="1"/>
    <col min="14343" max="14343" width="88.7109375" style="1" customWidth="1"/>
    <col min="14344" max="14593" width="11.42578125" style="1"/>
    <col min="14594" max="14594" width="2.7109375" style="1" customWidth="1"/>
    <col min="14595" max="14595" width="176.7109375" style="1" customWidth="1"/>
    <col min="14596" max="14596" width="11.42578125" style="1"/>
    <col min="14597" max="14597" width="176.7109375" style="1" customWidth="1"/>
    <col min="14598" max="14598" width="11.42578125" style="1"/>
    <col min="14599" max="14599" width="88.7109375" style="1" customWidth="1"/>
    <col min="14600" max="14849" width="11.42578125" style="1"/>
    <col min="14850" max="14850" width="2.7109375" style="1" customWidth="1"/>
    <col min="14851" max="14851" width="176.7109375" style="1" customWidth="1"/>
    <col min="14852" max="14852" width="11.42578125" style="1"/>
    <col min="14853" max="14853" width="176.7109375" style="1" customWidth="1"/>
    <col min="14854" max="14854" width="11.42578125" style="1"/>
    <col min="14855" max="14855" width="88.7109375" style="1" customWidth="1"/>
    <col min="14856" max="15105" width="11.42578125" style="1"/>
    <col min="15106" max="15106" width="2.7109375" style="1" customWidth="1"/>
    <col min="15107" max="15107" width="176.7109375" style="1" customWidth="1"/>
    <col min="15108" max="15108" width="11.42578125" style="1"/>
    <col min="15109" max="15109" width="176.7109375" style="1" customWidth="1"/>
    <col min="15110" max="15110" width="11.42578125" style="1"/>
    <col min="15111" max="15111" width="88.7109375" style="1" customWidth="1"/>
    <col min="15112" max="15361" width="11.42578125" style="1"/>
    <col min="15362" max="15362" width="2.7109375" style="1" customWidth="1"/>
    <col min="15363" max="15363" width="176.7109375" style="1" customWidth="1"/>
    <col min="15364" max="15364" width="11.42578125" style="1"/>
    <col min="15365" max="15365" width="176.7109375" style="1" customWidth="1"/>
    <col min="15366" max="15366" width="11.42578125" style="1"/>
    <col min="15367" max="15367" width="88.7109375" style="1" customWidth="1"/>
    <col min="15368" max="15617" width="11.42578125" style="1"/>
    <col min="15618" max="15618" width="2.7109375" style="1" customWidth="1"/>
    <col min="15619" max="15619" width="176.7109375" style="1" customWidth="1"/>
    <col min="15620" max="15620" width="11.42578125" style="1"/>
    <col min="15621" max="15621" width="176.7109375" style="1" customWidth="1"/>
    <col min="15622" max="15622" width="11.42578125" style="1"/>
    <col min="15623" max="15623" width="88.7109375" style="1" customWidth="1"/>
    <col min="15624" max="15873" width="11.42578125" style="1"/>
    <col min="15874" max="15874" width="2.7109375" style="1" customWidth="1"/>
    <col min="15875" max="15875" width="176.7109375" style="1" customWidth="1"/>
    <col min="15876" max="15876" width="11.42578125" style="1"/>
    <col min="15877" max="15877" width="176.7109375" style="1" customWidth="1"/>
    <col min="15878" max="15878" width="11.42578125" style="1"/>
    <col min="15879" max="15879" width="88.7109375" style="1" customWidth="1"/>
    <col min="15880" max="16129" width="11.42578125" style="1"/>
    <col min="16130" max="16130" width="2.7109375" style="1" customWidth="1"/>
    <col min="16131" max="16131" width="176.7109375" style="1" customWidth="1"/>
    <col min="16132" max="16132" width="11.42578125" style="1"/>
    <col min="16133" max="16133" width="176.7109375" style="1" customWidth="1"/>
    <col min="16134" max="16134" width="11.42578125" style="1"/>
    <col min="16135" max="16135" width="88.7109375" style="1" customWidth="1"/>
    <col min="16136" max="16384" width="11.42578125" style="1"/>
  </cols>
  <sheetData>
    <row r="2" spans="1:17" x14ac:dyDescent="0.2">
      <c r="C2" s="314"/>
      <c r="D2" s="314"/>
      <c r="E2" s="314"/>
    </row>
    <row r="3" spans="1:17" x14ac:dyDescent="0.2">
      <c r="A3" s="43" t="s">
        <v>51</v>
      </c>
    </row>
    <row r="4" spans="1:17" x14ac:dyDescent="0.2">
      <c r="C4" s="314"/>
      <c r="D4" s="314"/>
      <c r="E4" s="314"/>
      <c r="F4" s="314"/>
      <c r="G4" s="314"/>
      <c r="H4" s="314"/>
      <c r="I4" s="314"/>
      <c r="J4" s="314"/>
      <c r="K4" s="314"/>
    </row>
    <row r="6" spans="1:17" ht="15.75" x14ac:dyDescent="0.25">
      <c r="C6" s="321" t="s">
        <v>16</v>
      </c>
      <c r="D6" s="3"/>
      <c r="E6" s="321"/>
    </row>
    <row r="7" spans="1:17" ht="18.75" customHeight="1" x14ac:dyDescent="0.2">
      <c r="C7" s="3"/>
      <c r="D7" s="3"/>
      <c r="E7" s="50"/>
    </row>
    <row r="8" spans="1:17" ht="15.75" x14ac:dyDescent="0.25">
      <c r="B8" s="315">
        <v>1</v>
      </c>
      <c r="C8" s="316" t="s">
        <v>310</v>
      </c>
      <c r="E8" s="325"/>
    </row>
    <row r="9" spans="1:17" ht="31.5" x14ac:dyDescent="0.2">
      <c r="B9" s="315">
        <v>2</v>
      </c>
      <c r="C9" s="318" t="s">
        <v>247</v>
      </c>
      <c r="E9" s="8"/>
      <c r="Q9" s="3"/>
    </row>
    <row r="10" spans="1:17" ht="47.25" x14ac:dyDescent="0.2">
      <c r="B10" s="315">
        <v>3</v>
      </c>
      <c r="C10" s="316" t="s">
        <v>248</v>
      </c>
      <c r="E10" s="8"/>
    </row>
    <row r="11" spans="1:17" ht="47.25" x14ac:dyDescent="0.2">
      <c r="B11" s="315">
        <v>4</v>
      </c>
      <c r="C11" s="318" t="s">
        <v>249</v>
      </c>
      <c r="E11" s="8"/>
    </row>
    <row r="12" spans="1:17" ht="31.5" x14ac:dyDescent="0.2">
      <c r="B12" s="315">
        <v>5</v>
      </c>
      <c r="C12" s="316" t="s">
        <v>21</v>
      </c>
      <c r="E12" s="3"/>
    </row>
    <row r="13" spans="1:17" ht="15.75" x14ac:dyDescent="0.2">
      <c r="B13" s="315">
        <v>6</v>
      </c>
      <c r="C13" s="316" t="s">
        <v>311</v>
      </c>
      <c r="E13" s="3"/>
    </row>
    <row r="14" spans="1:17" ht="15.75" x14ac:dyDescent="0.2">
      <c r="B14" s="315">
        <v>7</v>
      </c>
      <c r="C14" s="316" t="s">
        <v>17</v>
      </c>
    </row>
    <row r="15" spans="1:17" ht="18.75" customHeight="1" x14ac:dyDescent="0.2">
      <c r="B15" s="315">
        <v>8</v>
      </c>
      <c r="C15" s="316" t="s">
        <v>18</v>
      </c>
    </row>
    <row r="16" spans="1:17" ht="18.75" customHeight="1" x14ac:dyDescent="0.2">
      <c r="B16" s="315">
        <v>9</v>
      </c>
      <c r="C16" s="316" t="s">
        <v>22</v>
      </c>
    </row>
    <row r="17" spans="2:9" ht="63" x14ac:dyDescent="0.25">
      <c r="B17" s="315">
        <v>10</v>
      </c>
      <c r="C17" s="316" t="s">
        <v>320</v>
      </c>
      <c r="E17" s="321"/>
    </row>
    <row r="18" spans="2:9" ht="15.75" x14ac:dyDescent="0.2">
      <c r="B18" s="315">
        <v>11</v>
      </c>
      <c r="C18" s="316" t="s">
        <v>19</v>
      </c>
      <c r="E18" s="8"/>
    </row>
    <row r="19" spans="2:9" ht="15.75" x14ac:dyDescent="0.2">
      <c r="B19" s="315">
        <v>12</v>
      </c>
      <c r="C19" s="316" t="s">
        <v>251</v>
      </c>
      <c r="E19" s="8"/>
    </row>
    <row r="20" spans="2:9" ht="15.75" x14ac:dyDescent="0.2">
      <c r="B20" s="315">
        <v>13</v>
      </c>
      <c r="C20" s="316" t="s">
        <v>20</v>
      </c>
      <c r="E20" s="3"/>
    </row>
    <row r="21" spans="2:9" ht="47.25" x14ac:dyDescent="0.2">
      <c r="B21" s="315">
        <v>14</v>
      </c>
      <c r="C21" s="316" t="s">
        <v>252</v>
      </c>
      <c r="E21" s="326"/>
    </row>
    <row r="22" spans="2:9" ht="31.5" x14ac:dyDescent="0.2">
      <c r="B22" s="315">
        <v>15</v>
      </c>
      <c r="C22" s="318" t="s">
        <v>300</v>
      </c>
      <c r="E22" s="3"/>
    </row>
    <row r="23" spans="2:9" ht="15.75" x14ac:dyDescent="0.25">
      <c r="B23" s="315">
        <v>16</v>
      </c>
      <c r="C23" s="320" t="s">
        <v>250</v>
      </c>
      <c r="D23" s="319"/>
      <c r="E23" s="314"/>
      <c r="F23" s="319"/>
      <c r="G23" s="2"/>
      <c r="H23" s="2"/>
      <c r="I23" s="2"/>
    </row>
    <row r="24" spans="2:9" ht="18.75" customHeight="1" x14ac:dyDescent="0.25">
      <c r="B24" s="317">
        <v>17</v>
      </c>
      <c r="C24" s="320" t="s">
        <v>253</v>
      </c>
    </row>
    <row r="25" spans="2:9" ht="18.75" customHeight="1" x14ac:dyDescent="0.2">
      <c r="B25" s="527">
        <v>18</v>
      </c>
      <c r="C25" s="747" t="s">
        <v>381</v>
      </c>
    </row>
    <row r="26" spans="2:9" ht="18.75" customHeight="1" x14ac:dyDescent="0.25">
      <c r="B26" s="528"/>
      <c r="C26" s="747"/>
    </row>
    <row r="27" spans="2:9" ht="15.75" customHeight="1" x14ac:dyDescent="0.25">
      <c r="B27" s="50">
        <v>19</v>
      </c>
      <c r="C27" s="320" t="s">
        <v>413</v>
      </c>
    </row>
    <row r="28" spans="2:9" ht="18.75" customHeight="1" x14ac:dyDescent="0.2">
      <c r="C28" s="323"/>
    </row>
    <row r="29" spans="2:9" ht="18.75" customHeight="1" x14ac:dyDescent="0.2">
      <c r="C29" s="323"/>
    </row>
    <row r="31" spans="2:9" ht="18.75" customHeight="1" x14ac:dyDescent="0.2"/>
    <row r="32" spans="2:9" ht="18.75" customHeight="1" x14ac:dyDescent="0.2"/>
    <row r="33" spans="1:14" ht="18.75" customHeight="1" x14ac:dyDescent="0.2"/>
    <row r="34" spans="1:14" ht="18.75" customHeight="1" x14ac:dyDescent="0.2"/>
    <row r="35" spans="1:14" ht="18.75" customHeight="1" x14ac:dyDescent="0.2"/>
    <row r="36" spans="1:14" ht="18.75" customHeight="1" x14ac:dyDescent="0.2"/>
    <row r="37" spans="1:14" ht="18.75" customHeight="1" x14ac:dyDescent="0.2">
      <c r="D37" s="3"/>
      <c r="E37" s="3"/>
      <c r="F37" s="3"/>
      <c r="G37" s="3"/>
      <c r="H37" s="3"/>
      <c r="I37" s="3"/>
      <c r="J37" s="3"/>
      <c r="K37" s="3"/>
      <c r="L37" s="3"/>
      <c r="M37" s="3"/>
      <c r="N37" s="3"/>
    </row>
    <row r="38" spans="1:14" ht="18.75" customHeight="1" x14ac:dyDescent="0.2">
      <c r="D38" s="3"/>
      <c r="E38" s="3"/>
      <c r="F38" s="3"/>
      <c r="G38" s="3"/>
      <c r="H38" s="3"/>
      <c r="I38" s="3"/>
      <c r="J38" s="3"/>
      <c r="K38" s="3"/>
      <c r="L38" s="3"/>
      <c r="M38" s="3"/>
      <c r="N38" s="3"/>
    </row>
    <row r="39" spans="1:14" ht="18.75" customHeight="1" x14ac:dyDescent="0.2">
      <c r="A39" s="4"/>
      <c r="D39" s="3"/>
      <c r="E39" s="3"/>
      <c r="F39" s="3"/>
      <c r="G39" s="3"/>
      <c r="H39" s="3"/>
      <c r="I39" s="3"/>
      <c r="J39" s="3"/>
      <c r="K39" s="3"/>
      <c r="L39" s="3"/>
      <c r="M39" s="3"/>
      <c r="N39" s="3"/>
    </row>
    <row r="40" spans="1:14" ht="18.75" customHeight="1" x14ac:dyDescent="0.2">
      <c r="A40" s="4"/>
      <c r="B40" s="8"/>
      <c r="D40" s="3"/>
      <c r="E40" s="3"/>
      <c r="F40" s="3"/>
      <c r="G40" s="3"/>
      <c r="H40" s="3"/>
      <c r="I40" s="3"/>
      <c r="J40" s="3"/>
      <c r="K40" s="3"/>
      <c r="L40" s="3"/>
      <c r="M40" s="3"/>
      <c r="N40" s="3"/>
    </row>
    <row r="41" spans="1:14" ht="18.75" customHeight="1" x14ac:dyDescent="0.2">
      <c r="A41" s="4"/>
      <c r="B41" s="8"/>
      <c r="D41" s="3"/>
      <c r="E41" s="3"/>
      <c r="F41" s="3"/>
      <c r="G41" s="3"/>
      <c r="H41" s="3"/>
      <c r="I41" s="3"/>
      <c r="J41" s="3"/>
      <c r="K41" s="3"/>
      <c r="L41" s="3"/>
      <c r="M41" s="3"/>
      <c r="N41" s="3"/>
    </row>
    <row r="42" spans="1:14" ht="18.75" customHeight="1" x14ac:dyDescent="0.2">
      <c r="A42" s="4"/>
      <c r="B42" s="8"/>
      <c r="C42" s="4"/>
      <c r="D42" s="3"/>
      <c r="E42" s="3"/>
      <c r="F42" s="3"/>
      <c r="G42" s="3"/>
      <c r="H42" s="3"/>
      <c r="I42" s="3"/>
      <c r="J42" s="3"/>
      <c r="K42" s="3"/>
      <c r="L42" s="3"/>
      <c r="M42" s="3"/>
      <c r="N42" s="3"/>
    </row>
    <row r="43" spans="1:14" ht="18.75" customHeight="1" x14ac:dyDescent="0.2">
      <c r="A43" s="4"/>
      <c r="B43" s="324"/>
      <c r="D43" s="3"/>
      <c r="E43" s="3"/>
      <c r="F43" s="3"/>
      <c r="G43" s="3"/>
      <c r="H43" s="3"/>
      <c r="I43" s="3"/>
      <c r="J43" s="3"/>
      <c r="K43" s="3"/>
      <c r="L43" s="3"/>
      <c r="M43" s="3"/>
      <c r="N43" s="3"/>
    </row>
    <row r="44" spans="1:14" ht="18.75" customHeight="1" x14ac:dyDescent="0.2">
      <c r="B44" s="8"/>
      <c r="D44" s="3"/>
      <c r="E44" s="3"/>
      <c r="F44" s="3"/>
      <c r="G44" s="3"/>
      <c r="H44" s="3"/>
      <c r="I44" s="3"/>
      <c r="J44" s="3"/>
      <c r="K44" s="3"/>
      <c r="L44" s="3"/>
      <c r="M44" s="3"/>
      <c r="N44" s="3"/>
    </row>
    <row r="45" spans="1:14" ht="18.75" customHeight="1" x14ac:dyDescent="0.2">
      <c r="B45" s="8"/>
      <c r="D45" s="3"/>
      <c r="E45" s="3"/>
      <c r="F45" s="3"/>
      <c r="G45" s="3"/>
      <c r="H45" s="3"/>
      <c r="I45" s="3"/>
      <c r="J45" s="3"/>
      <c r="K45" s="3"/>
      <c r="L45" s="3"/>
      <c r="M45" s="3"/>
      <c r="N45" s="3"/>
    </row>
    <row r="46" spans="1:14" ht="18.75" customHeight="1" x14ac:dyDescent="0.2">
      <c r="D46" s="3"/>
      <c r="E46" s="3"/>
      <c r="F46" s="3"/>
      <c r="G46" s="3"/>
      <c r="H46" s="3"/>
      <c r="I46" s="3"/>
      <c r="J46" s="3"/>
      <c r="K46" s="3"/>
      <c r="L46" s="3"/>
      <c r="M46" s="3"/>
      <c r="N46" s="3"/>
    </row>
    <row r="47" spans="1:14" ht="18.75" customHeight="1" x14ac:dyDescent="0.2">
      <c r="D47" s="3"/>
      <c r="E47" s="3"/>
      <c r="F47" s="3"/>
      <c r="G47" s="3"/>
      <c r="H47" s="3"/>
      <c r="I47" s="3"/>
      <c r="J47" s="3"/>
      <c r="K47" s="3"/>
      <c r="L47" s="3"/>
      <c r="M47" s="3"/>
      <c r="N47" s="3"/>
    </row>
    <row r="48" spans="1:14" ht="18.75" customHeight="1" x14ac:dyDescent="0.2">
      <c r="D48" s="3"/>
      <c r="E48" s="3"/>
      <c r="F48" s="3"/>
      <c r="G48" s="3"/>
      <c r="H48" s="3"/>
      <c r="I48" s="3"/>
      <c r="J48" s="3"/>
      <c r="K48" s="3"/>
      <c r="L48" s="3"/>
      <c r="M48" s="3"/>
      <c r="N48" s="3"/>
    </row>
    <row r="49" spans="4:14" ht="18.75" customHeight="1" x14ac:dyDescent="0.2">
      <c r="D49" s="3"/>
      <c r="E49" s="3"/>
      <c r="F49" s="3"/>
      <c r="G49" s="3"/>
      <c r="H49" s="3"/>
      <c r="I49" s="3"/>
      <c r="J49" s="3"/>
      <c r="K49" s="3"/>
      <c r="L49" s="3"/>
      <c r="M49" s="3"/>
      <c r="N49" s="3"/>
    </row>
    <row r="50" spans="4:14" ht="18.75" customHeight="1" x14ac:dyDescent="0.2">
      <c r="D50" s="314"/>
      <c r="E50" s="314"/>
      <c r="F50" s="314"/>
      <c r="G50" s="314"/>
      <c r="H50" s="314"/>
      <c r="I50" s="314"/>
      <c r="J50" s="314"/>
      <c r="K50" s="314"/>
      <c r="L50" s="314"/>
      <c r="M50" s="314"/>
      <c r="N50" s="314"/>
    </row>
    <row r="51" spans="4:14" ht="18.75" customHeight="1" x14ac:dyDescent="0.2"/>
    <row r="52" spans="4:14" ht="18.75" customHeight="1" x14ac:dyDescent="0.2"/>
    <row r="53" spans="4:14" ht="18.75" customHeight="1" x14ac:dyDescent="0.2"/>
    <row r="54" spans="4:14" ht="18.75" customHeight="1" x14ac:dyDescent="0.2"/>
    <row r="55" spans="4:14" ht="18.75" customHeight="1" x14ac:dyDescent="0.2"/>
    <row r="56" spans="4:14" ht="18.75" customHeight="1" x14ac:dyDescent="0.2"/>
    <row r="57" spans="4:14" ht="18.75" customHeight="1" x14ac:dyDescent="0.2"/>
    <row r="58" spans="4:14" ht="18.75" customHeight="1" x14ac:dyDescent="0.2"/>
    <row r="59" spans="4:14" ht="18.75" customHeight="1" x14ac:dyDescent="0.2"/>
    <row r="60" spans="4:14" ht="18.75" customHeight="1" x14ac:dyDescent="0.2"/>
    <row r="61" spans="4:14" ht="18.75" customHeight="1" x14ac:dyDescent="0.2"/>
    <row r="62" spans="4:14" ht="18.75" customHeight="1" x14ac:dyDescent="0.2"/>
    <row r="63" spans="4:14" ht="18.75" customHeight="1" x14ac:dyDescent="0.2"/>
    <row r="64" spans="4:14" ht="18.75" customHeight="1" x14ac:dyDescent="0.2"/>
    <row r="65" ht="18.75" customHeight="1" x14ac:dyDescent="0.2"/>
  </sheetData>
  <sortState xmlns:xlrd2="http://schemas.microsoft.com/office/spreadsheetml/2017/richdata2" ref="B5:E41">
    <sortCondition ref="B5:B41"/>
  </sortState>
  <mergeCells count="1">
    <mergeCell ref="C25:C26"/>
  </mergeCells>
  <pageMargins left="0.78740157480314965" right="0.78740157480314965" top="0.98425196850393704" bottom="0.98425196850393704" header="0.51181102362204722" footer="0.51181102362204722"/>
  <pageSetup paperSize="9" scale="65" fitToWidth="3" orientation="portrait" r:id="rId1"/>
  <headerFooter alignWithMargins="0"/>
  <colBreaks count="2" manualBreakCount="2">
    <brk id="1" max="42" man="1"/>
    <brk id="3" min="4" max="5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1:IF107"/>
  <sheetViews>
    <sheetView showGridLines="0" showZeros="0" zoomScale="70" zoomScaleNormal="70" workbookViewId="0">
      <pane xSplit="1" ySplit="7" topLeftCell="B8" activePane="bottomRight" state="frozen"/>
      <selection activeCell="H73" sqref="H73"/>
      <selection pane="topRight" activeCell="H73" sqref="H73"/>
      <selection pane="bottomLeft" activeCell="H73" sqref="H73"/>
      <selection pane="bottomRight" activeCell="A4" sqref="A4"/>
    </sheetView>
  </sheetViews>
  <sheetFormatPr baseColWidth="10" defaultColWidth="11.42578125" defaultRowHeight="12.75" x14ac:dyDescent="0.2"/>
  <cols>
    <col min="1" max="1" width="49" style="71" customWidth="1"/>
    <col min="2" max="3" width="15.7109375" style="71" customWidth="1"/>
    <col min="4" max="4" width="8.7109375" style="71" customWidth="1"/>
    <col min="5" max="5" width="12.140625" style="71" bestFit="1" customWidth="1"/>
    <col min="6" max="6" width="4.7109375" style="71" customWidth="1"/>
    <col min="7" max="7" width="18.42578125" style="71" customWidth="1"/>
    <col min="8" max="8" width="17.7109375" style="71" customWidth="1"/>
    <col min="9" max="9" width="8.7109375" style="71" customWidth="1"/>
    <col min="10" max="10" width="12.140625" style="71" bestFit="1" customWidth="1"/>
    <col min="11" max="11" width="13.42578125" style="71" hidden="1" customWidth="1"/>
    <col min="12" max="12" width="14.7109375" style="173" hidden="1" customWidth="1"/>
    <col min="13" max="13" width="13.7109375" style="173" hidden="1" customWidth="1"/>
    <col min="14" max="15" width="15.7109375" style="173" hidden="1" customWidth="1"/>
    <col min="16" max="16" width="11.42578125" style="71" hidden="1" customWidth="1"/>
    <col min="17" max="19" width="11.42578125" style="71" customWidth="1"/>
    <col min="20" max="16384" width="11.42578125" style="71"/>
  </cols>
  <sheetData>
    <row r="1" spans="1:17" ht="20.25" x14ac:dyDescent="0.3">
      <c r="A1" s="64" t="s">
        <v>72</v>
      </c>
      <c r="B1" s="57" t="s">
        <v>52</v>
      </c>
      <c r="C1" s="58"/>
      <c r="D1" s="58"/>
      <c r="E1" s="58"/>
      <c r="F1" s="58"/>
      <c r="G1" s="58"/>
      <c r="H1" s="58"/>
      <c r="I1" s="58"/>
      <c r="J1" s="58"/>
      <c r="K1" s="58"/>
    </row>
    <row r="2" spans="1:17" ht="20.25" x14ac:dyDescent="0.3">
      <c r="A2" s="64" t="s">
        <v>73</v>
      </c>
      <c r="B2" s="58"/>
      <c r="C2" s="58"/>
      <c r="D2" s="58"/>
      <c r="E2" s="634"/>
      <c r="F2" s="117"/>
      <c r="G2" s="117"/>
      <c r="H2" s="117"/>
      <c r="I2" s="117"/>
      <c r="J2" s="117"/>
      <c r="K2" s="117"/>
      <c r="L2" s="635"/>
      <c r="M2" s="635"/>
      <c r="N2" s="635"/>
      <c r="O2" s="635"/>
      <c r="P2" s="636"/>
      <c r="Q2" s="636"/>
    </row>
    <row r="3" spans="1:17" ht="18.75" x14ac:dyDescent="0.3">
      <c r="A3" s="695" t="s">
        <v>74</v>
      </c>
      <c r="B3" s="695"/>
      <c r="C3" s="58"/>
      <c r="D3" s="58"/>
      <c r="E3" s="58"/>
      <c r="F3" s="58"/>
      <c r="G3" s="58"/>
      <c r="H3" s="58"/>
      <c r="I3" s="58"/>
      <c r="J3" s="58"/>
      <c r="K3" s="58"/>
    </row>
    <row r="4" spans="1:17" ht="18.75" x14ac:dyDescent="0.3">
      <c r="A4" s="66" t="s">
        <v>364</v>
      </c>
      <c r="B4" s="67"/>
      <c r="C4" s="68"/>
      <c r="D4" s="68"/>
      <c r="E4" s="69"/>
      <c r="F4" s="70"/>
      <c r="G4" s="67"/>
      <c r="H4" s="68"/>
      <c r="I4" s="68"/>
      <c r="J4" s="69"/>
      <c r="K4" s="97"/>
      <c r="L4" s="196"/>
      <c r="M4" s="197"/>
      <c r="N4" s="198"/>
      <c r="O4" s="197"/>
    </row>
    <row r="5" spans="1:17" ht="22.5" x14ac:dyDescent="0.3">
      <c r="A5" s="72"/>
      <c r="B5" s="696" t="s">
        <v>75</v>
      </c>
      <c r="C5" s="697"/>
      <c r="D5" s="697"/>
      <c r="E5" s="698"/>
      <c r="F5" s="74"/>
      <c r="G5" s="696" t="s">
        <v>350</v>
      </c>
      <c r="H5" s="697"/>
      <c r="I5" s="697"/>
      <c r="J5" s="698"/>
      <c r="K5" s="73"/>
      <c r="L5" s="699" t="s">
        <v>124</v>
      </c>
      <c r="M5" s="694"/>
      <c r="N5" s="693" t="s">
        <v>125</v>
      </c>
      <c r="O5" s="694"/>
    </row>
    <row r="6" spans="1:17" ht="18.75" x14ac:dyDescent="0.3">
      <c r="A6" s="75"/>
      <c r="B6" s="76"/>
      <c r="C6" s="77"/>
      <c r="D6" s="77" t="s">
        <v>76</v>
      </c>
      <c r="E6" s="78" t="s">
        <v>29</v>
      </c>
      <c r="F6" s="79"/>
      <c r="G6" s="76"/>
      <c r="H6" s="77"/>
      <c r="I6" s="77" t="s">
        <v>76</v>
      </c>
      <c r="J6" s="78" t="s">
        <v>29</v>
      </c>
      <c r="K6" s="84"/>
      <c r="L6" s="199"/>
      <c r="M6" s="200"/>
      <c r="N6" s="201"/>
      <c r="O6" s="200"/>
    </row>
    <row r="7" spans="1:17" ht="15.75" x14ac:dyDescent="0.25">
      <c r="A7" s="80" t="s">
        <v>77</v>
      </c>
      <c r="B7" s="81">
        <v>2023</v>
      </c>
      <c r="C7" s="81">
        <v>2024</v>
      </c>
      <c r="D7" s="82" t="s">
        <v>78</v>
      </c>
      <c r="E7" s="83" t="s">
        <v>30</v>
      </c>
      <c r="F7" s="79"/>
      <c r="G7" s="81">
        <v>2023</v>
      </c>
      <c r="H7" s="81">
        <v>2024</v>
      </c>
      <c r="I7" s="82" t="s">
        <v>78</v>
      </c>
      <c r="J7" s="83" t="s">
        <v>30</v>
      </c>
      <c r="K7" s="84"/>
      <c r="L7" s="202">
        <v>2015</v>
      </c>
      <c r="M7" s="203">
        <v>2016</v>
      </c>
      <c r="N7" s="204">
        <v>2015</v>
      </c>
      <c r="O7" s="203">
        <v>2016</v>
      </c>
      <c r="P7" s="71" t="s">
        <v>128</v>
      </c>
    </row>
    <row r="8" spans="1:17" ht="18.75" x14ac:dyDescent="0.3">
      <c r="A8" s="85" t="s">
        <v>0</v>
      </c>
      <c r="B8" s="114"/>
      <c r="C8" s="87"/>
      <c r="D8" s="88"/>
      <c r="E8" s="386"/>
      <c r="F8" s="162"/>
      <c r="G8" s="114"/>
      <c r="H8" s="114"/>
      <c r="I8" s="87"/>
      <c r="J8" s="386"/>
      <c r="K8" s="124"/>
      <c r="L8" s="205" t="s">
        <v>0</v>
      </c>
      <c r="M8" s="206"/>
      <c r="N8" s="207"/>
      <c r="O8" s="206"/>
      <c r="P8" s="71" t="s">
        <v>133</v>
      </c>
    </row>
    <row r="9" spans="1:17" ht="18.75" x14ac:dyDescent="0.3">
      <c r="A9" s="178" t="s">
        <v>79</v>
      </c>
      <c r="B9" s="162">
        <f>'DNB Livsforsikring'!B7+'DNB Livsforsikring'!B22+'DNB Livsforsikring'!B36+'DNB Livsforsikring'!B47+'DNB Livsforsikring'!B66+'DNB Livsforsikring'!B134</f>
        <v>1921772.93459</v>
      </c>
      <c r="C9" s="162">
        <f>'DNB Livsforsikring'!C7+'DNB Livsforsikring'!C22+'DNB Livsforsikring'!C36+'DNB Livsforsikring'!C47+'DNB Livsforsikring'!C66+'DNB Livsforsikring'!C134</f>
        <v>2002337</v>
      </c>
      <c r="D9" s="88">
        <f t="shared" ref="D9:D30" si="0">IF(B9=0, "    ---- ", IF(ABS(ROUND(100/B9*C9-100,1))&lt;999,ROUND(100/B9*C9-100,1),IF(ROUND(100/B9*C9-100,1)&gt;999,999,-999)))</f>
        <v>4.2</v>
      </c>
      <c r="E9" s="386">
        <f t="shared" ref="E9:E31" si="1">100/C$32*C9</f>
        <v>3.6722590272555884</v>
      </c>
      <c r="F9" s="87"/>
      <c r="G9" s="162">
        <f>'DNB Livsforsikring'!B10+'DNB Livsforsikring'!B29+'DNB Livsforsikring'!B37+'DNB Livsforsikring'!B87+'DNB Livsforsikring'!B135</f>
        <v>184410173.07699999</v>
      </c>
      <c r="H9" s="162">
        <f>'DNB Livsforsikring'!C10+'DNB Livsforsikring'!C29+'DNB Livsforsikring'!C37+'DNB Livsforsikring'!C87+'DNB Livsforsikring'!C135</f>
        <v>181950975.73127002</v>
      </c>
      <c r="I9" s="88">
        <f t="shared" ref="I9:I27" si="2">IF(G9=0, "    ---- ", IF(ABS(ROUND(100/G9*H9-100,1))&lt;999,ROUND(100/G9*H9-100,1),IF(ROUND(100/G9*H9-100,1)&gt;999,999,-999)))</f>
        <v>-1.3</v>
      </c>
      <c r="J9" s="386">
        <f t="shared" ref="J9:J31" si="3">100/H$32*H9</f>
        <v>13.440367745995903</v>
      </c>
      <c r="K9" s="193" t="s">
        <v>130</v>
      </c>
      <c r="L9" s="208" t="e">
        <f ca="1">INDIRECT("'" &amp;#REF! &amp; "'!" &amp; $P$7)</f>
        <v>#REF!</v>
      </c>
      <c r="M9" s="206" t="e">
        <f ca="1">INDIRECT("'" &amp;#REF! &amp; "'!" &amp; $P$8)</f>
        <v>#REF!</v>
      </c>
      <c r="N9" s="208" t="e">
        <f ca="1">INDIRECT("'" &amp;#REF! &amp; "'!" &amp;#REF!)</f>
        <v>#REF!</v>
      </c>
      <c r="O9" s="206" t="e">
        <f ca="1">INDIRECT("'" &amp;#REF! &amp; "'!" &amp; $P$9)</f>
        <v>#REF!</v>
      </c>
      <c r="P9" s="71" t="s">
        <v>138</v>
      </c>
    </row>
    <row r="10" spans="1:17" ht="18.75" x14ac:dyDescent="0.3">
      <c r="A10" s="178" t="s">
        <v>80</v>
      </c>
      <c r="B10" s="162">
        <f>'Eika Forsikring AS'!B7+'Eika Forsikring AS'!B22+'Eika Forsikring AS'!B36+'Eika Forsikring AS'!B47+'Eika Forsikring AS'!B66+'Eika Forsikring AS'!B134</f>
        <v>328485</v>
      </c>
      <c r="C10" s="162">
        <f>'Eika Forsikring AS'!C7+'Eika Forsikring AS'!C22+'Eika Forsikring AS'!C36+'Eika Forsikring AS'!C47+'Eika Forsikring AS'!C66+'Eika Forsikring AS'!C134</f>
        <v>354498</v>
      </c>
      <c r="D10" s="88">
        <f t="shared" si="0"/>
        <v>7.9</v>
      </c>
      <c r="E10" s="386">
        <f t="shared" si="1"/>
        <v>0.65014454641953456</v>
      </c>
      <c r="F10" s="87"/>
      <c r="G10" s="162">
        <f>'Eika Forsikring AS'!B10+'Eika Forsikring AS'!B29+'Eika Forsikring AS'!B37+'Eika Forsikring AS'!B87+'Eika Forsikring AS'!B135</f>
        <v>0</v>
      </c>
      <c r="H10" s="162">
        <f>'Eika Forsikring AS'!C10+'Eika Forsikring AS'!C29+'Eika Forsikring AS'!C37+'Eika Forsikring AS'!C87+'Eika Forsikring AS'!C135</f>
        <v>0</v>
      </c>
      <c r="I10" s="88"/>
      <c r="J10" s="386">
        <f t="shared" si="3"/>
        <v>0</v>
      </c>
      <c r="K10" s="71" t="s">
        <v>126</v>
      </c>
      <c r="L10" s="208">
        <f ca="1">INDIRECT("'" &amp; $A9 &amp; "'!" &amp; $P$7)</f>
        <v>0</v>
      </c>
      <c r="M10" s="206">
        <f ca="1">INDIRECT("'" &amp; $A9 &amp; "'!" &amp; $P$8)</f>
        <v>0</v>
      </c>
      <c r="N10" s="208" t="e">
        <f ca="1">INDIRECT("'" &amp; $A9 &amp; "'!" &amp;#REF!)</f>
        <v>#REF!</v>
      </c>
      <c r="O10" s="206">
        <f ca="1">INDIRECT("'" &amp; $A9 &amp; "'!" &amp; $P$9)</f>
        <v>0</v>
      </c>
    </row>
    <row r="11" spans="1:17" ht="18.75" x14ac:dyDescent="0.3">
      <c r="A11" s="178" t="s">
        <v>367</v>
      </c>
      <c r="B11" s="162">
        <f>'Euro Accident'!B7+'Euro Accident'!B22+'Euro Accident'!B36+'Euro Accident'!B47+'Euro Accident'!B66+'Euro Accident'!B134</f>
        <v>37969</v>
      </c>
      <c r="C11" s="162">
        <f>'Euro Accident'!C7+'Euro Accident'!C22+'Euro Accident'!C36+'Euro Accident'!C47+'Euro Accident'!C66+'Euro Accident'!C134</f>
        <v>70533</v>
      </c>
      <c r="D11" s="88">
        <f t="shared" ref="D11" si="4">IF(B11=0, "    ---- ", IF(ABS(ROUND(100/B11*C11-100,1))&lt;999,ROUND(100/B11*C11-100,1),IF(ROUND(100/B11*C11-100,1)&gt;999,999,-999)))</f>
        <v>85.8</v>
      </c>
      <c r="E11" s="386">
        <f t="shared" si="1"/>
        <v>0.12935656983285951</v>
      </c>
      <c r="F11" s="87"/>
      <c r="G11" s="162">
        <f>'Euro Accident'!B10+'Euro Accident'!B29+'Euro Accident'!B37+'Euro Accident'!B87+'Euro Accident'!B135</f>
        <v>0</v>
      </c>
      <c r="H11" s="162">
        <f>'Euro Accident'!C10+'Euro Accident'!C29+'Euro Accident'!C37+'Euro Accident'!C87+'Euro Accident'!C135</f>
        <v>0</v>
      </c>
      <c r="I11" s="88"/>
      <c r="J11" s="386">
        <f t="shared" si="3"/>
        <v>0</v>
      </c>
      <c r="L11" s="208"/>
      <c r="M11" s="206"/>
      <c r="N11" s="208"/>
      <c r="O11" s="206"/>
    </row>
    <row r="12" spans="1:17" ht="18.75" x14ac:dyDescent="0.3">
      <c r="A12" s="93" t="s">
        <v>353</v>
      </c>
      <c r="B12" s="162">
        <f>'Fremtind Livsforsikring'!B7+'Fremtind Livsforsikring'!B22+'Fremtind Livsforsikring'!B36+'Fremtind Livsforsikring'!B47+'Fremtind Livsforsikring'!B66+'Fremtind Livsforsikring'!B134</f>
        <v>1787529.9482200001</v>
      </c>
      <c r="C12" s="162">
        <f>'Fremtind Livsforsikring'!C7+'Fremtind Livsforsikring'!C22+'Fremtind Livsforsikring'!C36+'Fremtind Livsforsikring'!C47+'Fremtind Livsforsikring'!C66+'Fremtind Livsforsikring'!C134</f>
        <v>1904465.84512</v>
      </c>
      <c r="D12" s="88">
        <f t="shared" si="0"/>
        <v>6.5</v>
      </c>
      <c r="E12" s="386">
        <f t="shared" si="1"/>
        <v>3.4927646504269076</v>
      </c>
      <c r="F12" s="87"/>
      <c r="G12" s="162">
        <f>'Fremtind Livsforsikring'!B10+'Fremtind Livsforsikring'!B29+'Fremtind Livsforsikring'!B37+'Fremtind Livsforsikring'!B87+'Fremtind Livsforsikring'!B135</f>
        <v>5044781.4030599995</v>
      </c>
      <c r="H12" s="162">
        <f>'Fremtind Livsforsikring'!C10+'Fremtind Livsforsikring'!C29+'Fremtind Livsforsikring'!C37+'Fremtind Livsforsikring'!C87+'Fremtind Livsforsikring'!C135</f>
        <v>5629123.9688099995</v>
      </c>
      <c r="I12" s="88">
        <f t="shared" si="2"/>
        <v>11.6</v>
      </c>
      <c r="J12" s="386">
        <f t="shared" si="3"/>
        <v>0.41581253370329635</v>
      </c>
      <c r="K12" s="71" t="s">
        <v>131</v>
      </c>
      <c r="L12" s="208">
        <f ca="1">INDIRECT("'" &amp; $A10 &amp; "'!" &amp; $P$7)</f>
        <v>0</v>
      </c>
      <c r="M12" s="206">
        <f ca="1">INDIRECT("'" &amp; $A10 &amp; "'!" &amp; $P$8)</f>
        <v>0</v>
      </c>
      <c r="N12" s="208" t="e">
        <f ca="1">INDIRECT("'" &amp; $A10 &amp; "'!" &amp;#REF!)</f>
        <v>#REF!</v>
      </c>
      <c r="O12" s="206">
        <f ca="1">INDIRECT("'" &amp; $A10 &amp; "'!" &amp; $P$9)</f>
        <v>0</v>
      </c>
    </row>
    <row r="13" spans="1:17" ht="18.75" x14ac:dyDescent="0.3">
      <c r="A13" s="178" t="s">
        <v>81</v>
      </c>
      <c r="B13" s="163">
        <f>'Frende Livsforsikring'!B7+'Frende Livsforsikring'!B22+'Frende Livsforsikring'!B36+'Frende Livsforsikring'!B47+'Frende Livsforsikring'!B66+'Frende Livsforsikring'!B134</f>
        <v>560991</v>
      </c>
      <c r="C13" s="163">
        <f>'Frende Livsforsikring'!C7+'Frende Livsforsikring'!C22+'Frende Livsforsikring'!C36+'Frende Livsforsikring'!C47+'Frende Livsforsikring'!C66+'Frende Livsforsikring'!C134</f>
        <v>629116</v>
      </c>
      <c r="D13" s="88">
        <f t="shared" si="0"/>
        <v>12.1</v>
      </c>
      <c r="E13" s="386">
        <f t="shared" si="1"/>
        <v>1.1537902511869513</v>
      </c>
      <c r="F13" s="87"/>
      <c r="G13" s="162">
        <f>'Frende Livsforsikring'!B10+'Frende Livsforsikring'!B29+'Frende Livsforsikring'!B37+'Frende Livsforsikring'!B87+'Frende Livsforsikring'!B135</f>
        <v>1693509</v>
      </c>
      <c r="H13" s="162">
        <f>'Frende Livsforsikring'!C10+'Frende Livsforsikring'!C29+'Frende Livsforsikring'!C37+'Frende Livsforsikring'!C87+'Frende Livsforsikring'!C135</f>
        <v>1980592</v>
      </c>
      <c r="I13" s="88">
        <f t="shared" si="2"/>
        <v>17</v>
      </c>
      <c r="J13" s="386">
        <f t="shared" si="3"/>
        <v>0.14630251213433113</v>
      </c>
      <c r="L13" s="208"/>
      <c r="M13" s="206"/>
      <c r="N13" s="208"/>
      <c r="O13" s="206"/>
    </row>
    <row r="14" spans="1:17" ht="18.75" x14ac:dyDescent="0.3">
      <c r="A14" s="178" t="s">
        <v>82</v>
      </c>
      <c r="B14" s="162">
        <f>'Frende Skadeforsikring'!B7+'Frende Skadeforsikring'!B22+'Frende Skadeforsikring'!B36+'Frende Skadeforsikring'!B47+'Frende Skadeforsikring'!B66+'Frende Skadeforsikring'!B134</f>
        <v>6421.1409999999996</v>
      </c>
      <c r="C14" s="162">
        <f>'Frende Skadeforsikring'!C7+'Frende Skadeforsikring'!C22+'Frende Skadeforsikring'!C36+'Frende Skadeforsikring'!C47+'Frende Skadeforsikring'!C66+'Frende Skadeforsikring'!C134</f>
        <v>4207.2179999999998</v>
      </c>
      <c r="D14" s="88">
        <f t="shared" si="0"/>
        <v>-34.5</v>
      </c>
      <c r="E14" s="386">
        <f t="shared" si="1"/>
        <v>7.7159810162486138E-3</v>
      </c>
      <c r="F14" s="87"/>
      <c r="G14" s="162">
        <f>'Frende Skadeforsikring'!B10+'Frende Skadeforsikring'!B29+'Frende Skadeforsikring'!B37+'Frende Skadeforsikring'!B87+'Frende Skadeforsikring'!B135</f>
        <v>0</v>
      </c>
      <c r="H14" s="162">
        <f>'Frende Skadeforsikring'!C10+'Frende Skadeforsikring'!C29+'Frende Skadeforsikring'!C37+'Frende Skadeforsikring'!C87+'Frende Skadeforsikring'!C135</f>
        <v>0</v>
      </c>
      <c r="I14" s="88"/>
      <c r="J14" s="386">
        <f t="shared" si="3"/>
        <v>0</v>
      </c>
      <c r="K14" s="71" t="s">
        <v>127</v>
      </c>
      <c r="L14" s="208">
        <f t="shared" ref="L14:L30" ca="1" si="5">INDIRECT("'" &amp; $A13 &amp; "'!" &amp; $P$7)</f>
        <v>0</v>
      </c>
      <c r="M14" s="206">
        <f t="shared" ref="M14:M30" ca="1" si="6">INDIRECT("'" &amp; $A13 &amp; "'!" &amp; $P$8)</f>
        <v>0</v>
      </c>
      <c r="N14" s="208" t="e">
        <f ca="1">INDIRECT("'" &amp; $A13 &amp; "'!" &amp;#REF!)</f>
        <v>#REF!</v>
      </c>
      <c r="O14" s="206">
        <f t="shared" ref="O14:O30" ca="1" si="7">INDIRECT("'" &amp; $A13 &amp; "'!" &amp; $P$9)</f>
        <v>0</v>
      </c>
    </row>
    <row r="15" spans="1:17" ht="18.75" x14ac:dyDescent="0.3">
      <c r="A15" s="178" t="s">
        <v>83</v>
      </c>
      <c r="B15" s="162">
        <f>'Gjensidige Forsikring'!B7+'Gjensidige Forsikring'!B22+'Gjensidige Forsikring'!B36+'Gjensidige Forsikring'!B47+'Gjensidige Forsikring'!B66+'Gjensidige Forsikring'!B134</f>
        <v>1738257.38</v>
      </c>
      <c r="C15" s="162">
        <f>'Gjensidige Forsikring'!C7+'Gjensidige Forsikring'!C22+'Gjensidige Forsikring'!C36+'Gjensidige Forsikring'!C47+'Gjensidige Forsikring'!C66+'Gjensidige Forsikring'!C134</f>
        <v>1777605.365</v>
      </c>
      <c r="D15" s="88">
        <f t="shared" si="0"/>
        <v>2.2999999999999998</v>
      </c>
      <c r="E15" s="386">
        <f t="shared" si="1"/>
        <v>3.2601042424523019</v>
      </c>
      <c r="F15" s="87"/>
      <c r="G15" s="162">
        <f>'Gjensidige Forsikring'!B10+'Gjensidige Forsikring'!B29+'Gjensidige Forsikring'!B37+'Gjensidige Forsikring'!B87+'Gjensidige Forsikring'!B135</f>
        <v>0</v>
      </c>
      <c r="H15" s="162">
        <f>'Gjensidige Forsikring'!C10+'Gjensidige Forsikring'!C29+'Gjensidige Forsikring'!C37+'Gjensidige Forsikring'!C87+'Gjensidige Forsikring'!C135</f>
        <v>0</v>
      </c>
      <c r="I15" s="88"/>
      <c r="J15" s="386">
        <f t="shared" si="3"/>
        <v>0</v>
      </c>
      <c r="K15" s="71" t="s">
        <v>132</v>
      </c>
      <c r="L15" s="208">
        <f t="shared" ca="1" si="5"/>
        <v>0</v>
      </c>
      <c r="M15" s="206">
        <f t="shared" ca="1" si="6"/>
        <v>0</v>
      </c>
      <c r="N15" s="208" t="e">
        <f ca="1">INDIRECT("'" &amp; $A14 &amp; "'!" &amp;#REF!)</f>
        <v>#REF!</v>
      </c>
      <c r="O15" s="206">
        <f t="shared" ca="1" si="7"/>
        <v>0</v>
      </c>
    </row>
    <row r="16" spans="1:17" ht="18.75" x14ac:dyDescent="0.3">
      <c r="A16" s="178" t="s">
        <v>84</v>
      </c>
      <c r="B16" s="162">
        <f>'Gjensidige Pensjon'!B7+'Gjensidige Pensjon'!B22+'Gjensidige Pensjon'!B36+'Gjensidige Pensjon'!B47+'Gjensidige Pensjon'!B66+'Gjensidige Pensjon'!B134</f>
        <v>501647</v>
      </c>
      <c r="C16" s="162">
        <f>'Gjensidige Pensjon'!C7+'Gjensidige Pensjon'!C22+'Gjensidige Pensjon'!C36+'Gjensidige Pensjon'!C47+'Gjensidige Pensjon'!C66+'Gjensidige Pensjon'!C134</f>
        <v>555519</v>
      </c>
      <c r="D16" s="88">
        <f t="shared" si="0"/>
        <v>10.7</v>
      </c>
      <c r="E16" s="386">
        <f t="shared" si="1"/>
        <v>1.01881434671686</v>
      </c>
      <c r="F16" s="87"/>
      <c r="G16" s="162">
        <f>'Gjensidige Pensjon'!B10+'Gjensidige Pensjon'!B29+'Gjensidige Pensjon'!B37+'Gjensidige Pensjon'!B87+'Gjensidige Pensjon'!B135</f>
        <v>9260165</v>
      </c>
      <c r="H16" s="162">
        <f>'Gjensidige Pensjon'!C10+'Gjensidige Pensjon'!C29+'Gjensidige Pensjon'!C37+'Gjensidige Pensjon'!C87+'Gjensidige Pensjon'!C135</f>
        <v>10373836</v>
      </c>
      <c r="I16" s="88">
        <f t="shared" si="2"/>
        <v>12</v>
      </c>
      <c r="J16" s="386">
        <f t="shared" si="3"/>
        <v>0.76629526286562855</v>
      </c>
      <c r="K16" s="71" t="s">
        <v>128</v>
      </c>
      <c r="L16" s="208">
        <f t="shared" ca="1" si="5"/>
        <v>0</v>
      </c>
      <c r="M16" s="206">
        <f t="shared" ca="1" si="6"/>
        <v>0</v>
      </c>
      <c r="N16" s="208" t="e">
        <f ca="1">INDIRECT("'" &amp; $A15 &amp; "'!" &amp;#REF!)</f>
        <v>#REF!</v>
      </c>
      <c r="O16" s="206">
        <f t="shared" ca="1" si="7"/>
        <v>0</v>
      </c>
    </row>
    <row r="17" spans="1:21" ht="18.75" x14ac:dyDescent="0.3">
      <c r="A17" s="178" t="s">
        <v>85</v>
      </c>
      <c r="B17" s="162">
        <f>'If Skadeforsikring NUF'!B7+'If Skadeforsikring NUF'!B22+'If Skadeforsikring NUF'!B36+'If Skadeforsikring NUF'!B47+'If Skadeforsikring NUF'!B66+'If Skadeforsikring NUF'!B134</f>
        <v>390067.28087663499</v>
      </c>
      <c r="C17" s="162">
        <f>'If Skadeforsikring NUF'!C7+'If Skadeforsikring NUF'!C22+'If Skadeforsikring NUF'!C36+'If Skadeforsikring NUF'!C47+'If Skadeforsikring NUF'!C66+'If Skadeforsikring NUF'!C134</f>
        <v>430213.39947497001</v>
      </c>
      <c r="D17" s="88">
        <f t="shared" si="0"/>
        <v>10.3</v>
      </c>
      <c r="E17" s="386">
        <f t="shared" si="1"/>
        <v>0.78900556692917989</v>
      </c>
      <c r="F17" s="87"/>
      <c r="G17" s="162">
        <f>'If Skadeforsikring NUF'!B10+'If Skadeforsikring NUF'!B29+'If Skadeforsikring NUF'!B37+'If Skadeforsikring NUF'!B87+'If Skadeforsikring NUF'!B135</f>
        <v>0</v>
      </c>
      <c r="H17" s="162">
        <f>'If Skadeforsikring NUF'!C10+'If Skadeforsikring NUF'!C29+'If Skadeforsikring NUF'!C37+'If Skadeforsikring NUF'!C87+'If Skadeforsikring NUF'!C135</f>
        <v>0</v>
      </c>
      <c r="I17" s="88"/>
      <c r="J17" s="386">
        <f t="shared" si="3"/>
        <v>0</v>
      </c>
      <c r="K17" s="124"/>
      <c r="L17" s="208" t="e">
        <f ca="1">INDIRECT("'" &amp;#REF! &amp; "'!" &amp; $P$7)</f>
        <v>#REF!</v>
      </c>
      <c r="M17" s="206" t="e">
        <f ca="1">INDIRECT("'" &amp;#REF! &amp; "'!" &amp; $P$8)</f>
        <v>#REF!</v>
      </c>
      <c r="N17" s="208" t="e">
        <f ca="1">INDIRECT("'" &amp;#REF! &amp; "'!" &amp;#REF!)</f>
        <v>#REF!</v>
      </c>
      <c r="O17" s="206" t="e">
        <f ca="1">INDIRECT("'" &amp;#REF! &amp; "'!" &amp; $P$9)</f>
        <v>#REF!</v>
      </c>
    </row>
    <row r="18" spans="1:21" ht="18.75" x14ac:dyDescent="0.3">
      <c r="A18" s="178" t="s">
        <v>61</v>
      </c>
      <c r="B18" s="162">
        <f>KLP!B7+KLP!B22+KLP!B36+KLP!B47+KLP!B66+KLP!B134</f>
        <v>50821943.510260001</v>
      </c>
      <c r="C18" s="162">
        <f>KLP!C7+KLP!C22+KLP!C36+KLP!C47+KLP!C66+KLP!C134</f>
        <v>37126670.17317</v>
      </c>
      <c r="D18" s="88">
        <f t="shared" si="0"/>
        <v>-26.9</v>
      </c>
      <c r="E18" s="386">
        <f t="shared" si="1"/>
        <v>68.089811902474125</v>
      </c>
      <c r="F18" s="87"/>
      <c r="G18" s="162">
        <f>KLP!B10+KLP!B29+KLP!B37+KLP!B87+KLP!B135</f>
        <v>712385364.21757996</v>
      </c>
      <c r="H18" s="162">
        <f>KLP!C10+KLP!C29+KLP!C37+KLP!C87+KLP!C135</f>
        <v>775383061.84458005</v>
      </c>
      <c r="I18" s="88">
        <f t="shared" si="2"/>
        <v>8.8000000000000007</v>
      </c>
      <c r="J18" s="386">
        <f t="shared" si="3"/>
        <v>57.276051712958292</v>
      </c>
      <c r="K18" s="124"/>
      <c r="L18" s="208" t="e">
        <f ca="1">INDIRECT("'" &amp;#REF! &amp; "'!" &amp; $P$7)</f>
        <v>#REF!</v>
      </c>
      <c r="M18" s="206" t="e">
        <f ca="1">INDIRECT("'" &amp;#REF! &amp; "'!" &amp; $P$8)</f>
        <v>#REF!</v>
      </c>
      <c r="N18" s="208" t="e">
        <f ca="1">INDIRECT("'" &amp;#REF! &amp; "'!" &amp;#REF!)</f>
        <v>#REF!</v>
      </c>
      <c r="O18" s="206" t="e">
        <f ca="1">INDIRECT("'" &amp;#REF! &amp; "'!" &amp; $P$9)</f>
        <v>#REF!</v>
      </c>
    </row>
    <row r="19" spans="1:21" ht="18.75" x14ac:dyDescent="0.3">
      <c r="A19" s="93" t="s">
        <v>86</v>
      </c>
      <c r="B19" s="162">
        <f>'KLP Skadeforsikring AS'!B7+'KLP Skadeforsikring AS'!B22+'KLP Skadeforsikring AS'!B36+'KLP Skadeforsikring AS'!B47+'KLP Skadeforsikring AS'!B66+'KLP Skadeforsikring AS'!B134</f>
        <v>291794.03399999999</v>
      </c>
      <c r="C19" s="162">
        <f>'KLP Skadeforsikring AS'!C7+'KLP Skadeforsikring AS'!C22+'KLP Skadeforsikring AS'!C36+'KLP Skadeforsikring AS'!C47+'KLP Skadeforsikring AS'!C66+'KLP Skadeforsikring AS'!C134</f>
        <v>323278.35000000003</v>
      </c>
      <c r="D19" s="88">
        <f t="shared" si="0"/>
        <v>10.8</v>
      </c>
      <c r="E19" s="386">
        <f t="shared" si="1"/>
        <v>0.59288812977225702</v>
      </c>
      <c r="F19" s="87"/>
      <c r="G19" s="162">
        <f>'KLP Skadeforsikring AS'!B10+'KLP Skadeforsikring AS'!B29+'KLP Skadeforsikring AS'!B37+'KLP Skadeforsikring AS'!B87+'KLP Skadeforsikring AS'!B135</f>
        <v>122314.74400000001</v>
      </c>
      <c r="H19" s="162">
        <f>'KLP Skadeforsikring AS'!C10+'KLP Skadeforsikring AS'!C29+'KLP Skadeforsikring AS'!C37+'KLP Skadeforsikring AS'!C87+'KLP Skadeforsikring AS'!C135</f>
        <v>144158.478</v>
      </c>
      <c r="I19" s="88">
        <f t="shared" si="2"/>
        <v>17.899999999999999</v>
      </c>
      <c r="J19" s="386">
        <f t="shared" si="3"/>
        <v>1.0648708808710581E-2</v>
      </c>
      <c r="K19" s="124"/>
      <c r="L19" s="208">
        <f ca="1">INDIRECT("'" &amp; $A31 &amp; "'!" &amp; $P$7)</f>
        <v>0</v>
      </c>
      <c r="M19" s="206">
        <f ca="1">INDIRECT("'" &amp; $A31 &amp; "'!" &amp; $P$8)</f>
        <v>0</v>
      </c>
      <c r="N19" s="208" t="e">
        <f ca="1">INDIRECT("'" &amp; $A31 &amp; "'!" &amp;#REF!)</f>
        <v>#REF!</v>
      </c>
      <c r="O19" s="206">
        <f ca="1">INDIRECT("'" &amp; $A31 &amp; "'!" &amp; $P$9)</f>
        <v>0</v>
      </c>
    </row>
    <row r="20" spans="1:21" ht="18.75" x14ac:dyDescent="0.3">
      <c r="A20" s="93" t="s">
        <v>361</v>
      </c>
      <c r="B20" s="162">
        <f>'Landkreditt Forsikring'!B7+'Landkreditt Forsikring'!B22+'Landkreditt Forsikring'!B36+'Landkreditt Forsikring'!B47+'Landkreditt Forsikring'!B66+'Landkreditt Forsikring'!B134</f>
        <v>27211</v>
      </c>
      <c r="C20" s="162">
        <f>'Landkreditt Forsikring'!C7+'Landkreditt Forsikring'!C22+'Landkreditt Forsikring'!C36+'Landkreditt Forsikring'!C47+'Landkreditt Forsikring'!C66+'Landkreditt Forsikring'!C134</f>
        <v>30587</v>
      </c>
      <c r="D20" s="88">
        <f t="shared" si="0"/>
        <v>12.4</v>
      </c>
      <c r="E20" s="386">
        <f t="shared" si="1"/>
        <v>5.6096145087798248E-2</v>
      </c>
      <c r="F20" s="87"/>
      <c r="G20" s="162">
        <f>'Landkreditt Forsikring'!B10+'Landkreditt Forsikring'!B29+'Landkreditt Forsikring'!B37+'Landkreditt Forsikring'!B87+'Landkreditt Forsikring'!B135</f>
        <v>0</v>
      </c>
      <c r="H20" s="162">
        <f>'Landkreditt Forsikring'!C10+'Landkreditt Forsikring'!C29+'Landkreditt Forsikring'!C37+'Landkreditt Forsikring'!C87+'Landkreditt Forsikring'!C135</f>
        <v>0</v>
      </c>
      <c r="I20" s="88"/>
      <c r="J20" s="386">
        <f t="shared" si="3"/>
        <v>0</v>
      </c>
      <c r="K20" s="124"/>
      <c r="L20" s="208">
        <f t="shared" ca="1" si="5"/>
        <v>0</v>
      </c>
      <c r="M20" s="206">
        <f t="shared" ca="1" si="6"/>
        <v>0</v>
      </c>
      <c r="N20" s="208" t="e">
        <f ca="1">INDIRECT("'" &amp; $A19 &amp; "'!" &amp;#REF!)</f>
        <v>#REF!</v>
      </c>
      <c r="O20" s="206">
        <f t="shared" ca="1" si="7"/>
        <v>0</v>
      </c>
    </row>
    <row r="21" spans="1:21" ht="18.75" x14ac:dyDescent="0.3">
      <c r="A21" s="93" t="s">
        <v>371</v>
      </c>
      <c r="B21" s="162">
        <f>'Ly Forsikring'!B7+'Ly Forsikring'!B22+'Ly Forsikring'!B36+'Ly Forsikring'!B47+'Ly Forsikring'!B66+'Ly Forsikring'!B134</f>
        <v>17589.487000000001</v>
      </c>
      <c r="C21" s="162">
        <f>'Ly Forsikring'!C7+'Ly Forsikring'!C22+'Ly Forsikring'!C36+'Ly Forsikring'!C47+'Ly Forsikring'!C66+'Ly Forsikring'!C134</f>
        <v>21876</v>
      </c>
      <c r="D21" s="88">
        <f t="shared" ref="D21" si="8">IF(B21=0, "    ---- ", IF(ABS(ROUND(100/B21*C21-100,1))&lt;999,ROUND(100/B21*C21-100,1),IF(ROUND(100/B21*C21-100,1)&gt;999,999,-999)))</f>
        <v>24.4</v>
      </c>
      <c r="E21" s="386">
        <f t="shared" si="1"/>
        <v>4.0120288682795775E-2</v>
      </c>
      <c r="F21" s="87"/>
      <c r="G21" s="162">
        <f>'Ly Forsikring'!B10+'Ly Forsikring'!B29+'Ly Forsikring'!B37+'Ly Forsikring'!B87+'Ly Forsikring'!B135</f>
        <v>0</v>
      </c>
      <c r="H21" s="162">
        <f>'Ly Forsikring'!C10+'Ly Forsikring'!C29+'Ly Forsikring'!C37+'Ly Forsikring'!C87+'Ly Forsikring'!C135</f>
        <v>0</v>
      </c>
      <c r="I21" s="88"/>
      <c r="J21" s="386">
        <f t="shared" si="3"/>
        <v>0</v>
      </c>
      <c r="K21" s="124"/>
      <c r="L21" s="208"/>
      <c r="M21" s="206"/>
      <c r="N21" s="208"/>
      <c r="O21" s="206"/>
    </row>
    <row r="22" spans="1:21" ht="18.75" x14ac:dyDescent="0.3">
      <c r="A22" s="93" t="s">
        <v>87</v>
      </c>
      <c r="B22" s="162">
        <f>'Nordea Liv '!B7+'Nordea Liv '!B22+'Nordea Liv '!B36+'Nordea Liv '!B47+'Nordea Liv '!B66+'Nordea Liv '!B134</f>
        <v>1049648.6027257838</v>
      </c>
      <c r="C22" s="162">
        <f>'Nordea Liv '!C7+'Nordea Liv '!C22+'Nordea Liv '!C36+'Nordea Liv '!C47+'Nordea Liv '!C66+'Nordea Liv '!C134</f>
        <v>1101856.443037055</v>
      </c>
      <c r="D22" s="88">
        <f t="shared" si="0"/>
        <v>5</v>
      </c>
      <c r="E22" s="386">
        <f t="shared" si="1"/>
        <v>2.020789841911006</v>
      </c>
      <c r="F22" s="87"/>
      <c r="G22" s="163">
        <f>'Nordea Liv '!B10+'Nordea Liv '!B29+'Nordea Liv '!B37+'Nordea Liv '!B87+'Nordea Liv '!B135</f>
        <v>54766919.999997467</v>
      </c>
      <c r="H22" s="163">
        <f>'Nordea Liv '!C10+'Nordea Liv '!C29+'Nordea Liv '!C37+'Nordea Liv '!C87+'Nordea Liv '!C135</f>
        <v>54677939.999999009</v>
      </c>
      <c r="I22" s="88">
        <f t="shared" si="2"/>
        <v>-0.2</v>
      </c>
      <c r="J22" s="386">
        <f t="shared" si="3"/>
        <v>4.0389539997788964</v>
      </c>
      <c r="K22" s="124"/>
      <c r="L22" s="208">
        <f ca="1">INDIRECT("'" &amp; $A20 &amp; "'!" &amp; $P$7)</f>
        <v>0</v>
      </c>
      <c r="M22" s="206">
        <f ca="1">INDIRECT("'" &amp; $A20 &amp; "'!" &amp; $P$8)</f>
        <v>0</v>
      </c>
      <c r="N22" s="208" t="e">
        <f ca="1">INDIRECT("'" &amp; $A20 &amp; "'!" &amp;#REF!)</f>
        <v>#REF!</v>
      </c>
      <c r="O22" s="206">
        <f ca="1">INDIRECT("'" &amp; $A20 &amp; "'!" &amp; $P$9)</f>
        <v>0</v>
      </c>
    </row>
    <row r="23" spans="1:21" ht="18.75" x14ac:dyDescent="0.3">
      <c r="A23" s="93" t="s">
        <v>409</v>
      </c>
      <c r="B23" s="163">
        <f>'Oslo Forsikring'!B7+'Oslo Forsikring'!B22+'Oslo Forsikring'!B36+'Oslo Forsikring'!B47+'Oslo Forsikring'!B66+'Oslo Forsikring'!B134</f>
        <v>0</v>
      </c>
      <c r="C23" s="163">
        <f>'Oslo Forsikring'!C7+'Oslo Forsikring'!C22+'Oslo Forsikring'!C36+'Oslo Forsikring'!C47+'Oslo Forsikring'!C66+'Oslo Forsikring'!C134</f>
        <v>16932</v>
      </c>
      <c r="D23" s="91" t="str">
        <f t="shared" ref="D23" si="9">IF(B23=0, "    ---- ", IF(ABS(ROUND(100/B23*C23-100,1))&lt;999,ROUND(100/B23*C23-100,1),IF(ROUND(100/B23*C23-100,1)&gt;999,999,-999)))</f>
        <v xml:space="preserve">    ---- </v>
      </c>
      <c r="E23" s="388">
        <f t="shared" si="1"/>
        <v>3.1053059424807922E-2</v>
      </c>
      <c r="F23" s="90"/>
      <c r="G23" s="163">
        <f>'Oslo Forsikring'!B10+'Oslo Forsikring'!B29+'Oslo Forsikring'!B37+'Oslo Forsikring'!B87+'Oslo Forsikring'!B135</f>
        <v>0</v>
      </c>
      <c r="H23" s="163">
        <f>'Oslo Forsikring'!C10+'Oslo Forsikring'!C29+'Oslo Forsikring'!C37+'Oslo Forsikring'!C87+'Oslo Forsikring'!C135</f>
        <v>0</v>
      </c>
      <c r="I23" s="91"/>
      <c r="J23" s="388">
        <f t="shared" si="3"/>
        <v>0</v>
      </c>
      <c r="K23" s="124"/>
      <c r="L23" s="208"/>
      <c r="M23" s="206"/>
      <c r="N23" s="208"/>
      <c r="O23" s="206"/>
    </row>
    <row r="24" spans="1:21" ht="18.75" x14ac:dyDescent="0.3">
      <c r="A24" s="93" t="s">
        <v>88</v>
      </c>
      <c r="B24" s="162">
        <f>'Oslo Pensjonsforsikring'!B7+'Oslo Pensjonsforsikring'!B22+'Oslo Pensjonsforsikring'!B36+'Oslo Pensjonsforsikring'!B47+'Oslo Pensjonsforsikring'!B66+'Oslo Pensjonsforsikring'!B134</f>
        <v>1628400</v>
      </c>
      <c r="C24" s="162">
        <f>'Oslo Pensjonsforsikring'!C7+'Oslo Pensjonsforsikring'!C22+'Oslo Pensjonsforsikring'!C36+'Oslo Pensjonsforsikring'!C47+'Oslo Pensjonsforsikring'!C66+'Oslo Pensjonsforsikring'!C134</f>
        <v>1975000</v>
      </c>
      <c r="D24" s="88">
        <f t="shared" si="0"/>
        <v>21.3</v>
      </c>
      <c r="E24" s="386">
        <f t="shared" si="1"/>
        <v>3.6221233382940969</v>
      </c>
      <c r="F24" s="87"/>
      <c r="G24" s="162">
        <f>'Oslo Pensjonsforsikring'!B10+'Oslo Pensjonsforsikring'!B29+'Oslo Pensjonsforsikring'!B37+'Oslo Pensjonsforsikring'!B87+'Oslo Pensjonsforsikring'!B135</f>
        <v>89562000</v>
      </c>
      <c r="H24" s="162">
        <f>'Oslo Pensjonsforsikring'!C10+'Oslo Pensjonsforsikring'!C29+'Oslo Pensjonsforsikring'!C37+'Oslo Pensjonsforsikring'!C87+'Oslo Pensjonsforsikring'!C135</f>
        <v>92155000</v>
      </c>
      <c r="I24" s="88">
        <f t="shared" si="2"/>
        <v>2.9</v>
      </c>
      <c r="J24" s="386">
        <f t="shared" si="3"/>
        <v>6.8073121600709712</v>
      </c>
      <c r="K24" s="124"/>
      <c r="L24" s="208">
        <f ca="1">INDIRECT("'" &amp; $A22 &amp; "'!" &amp; $P$7)</f>
        <v>0</v>
      </c>
      <c r="M24" s="206">
        <f ca="1">INDIRECT("'" &amp; $A22 &amp; "'!" &amp; $P$8)</f>
        <v>0</v>
      </c>
      <c r="N24" s="208" t="e">
        <f ca="1">INDIRECT("'" &amp; $A22 &amp; "'!" &amp;#REF!)</f>
        <v>#REF!</v>
      </c>
      <c r="O24" s="206">
        <f ca="1">INDIRECT("'" &amp; $A22 &amp; "'!" &amp; $P$9)</f>
        <v>0</v>
      </c>
    </row>
    <row r="25" spans="1:21" ht="18.75" x14ac:dyDescent="0.3">
      <c r="A25" s="93" t="s">
        <v>321</v>
      </c>
      <c r="B25" s="162">
        <f>'Protector Forsikring'!B7+'Protector Forsikring'!B22+'Protector Forsikring'!B36+'Protector Forsikring'!B47+'Protector Forsikring'!B66+'Protector Forsikring'!B134</f>
        <v>344520.89481466758</v>
      </c>
      <c r="C25" s="162">
        <f>'Protector Forsikring'!C7+'Protector Forsikring'!C22+'Protector Forsikring'!C36+'Protector Forsikring'!C47+'Protector Forsikring'!C66+'Protector Forsikring'!C134</f>
        <v>369670</v>
      </c>
      <c r="D25" s="88">
        <f t="shared" si="0"/>
        <v>7.3</v>
      </c>
      <c r="E25" s="386">
        <f t="shared" si="1"/>
        <v>0.67796978960363485</v>
      </c>
      <c r="F25" s="87"/>
      <c r="G25" s="162">
        <f>'Protector Forsikring'!B10+'Protector Forsikring'!B29+'Protector Forsikring'!B37+'Protector Forsikring'!B87+'Protector Forsikring'!B135</f>
        <v>0</v>
      </c>
      <c r="H25" s="162">
        <f>'Protector Forsikring'!C10+'Protector Forsikring'!C29+'Protector Forsikring'!C37+'Protector Forsikring'!C87+'Protector Forsikring'!C135</f>
        <v>0</v>
      </c>
      <c r="I25" s="88"/>
      <c r="J25" s="386">
        <f t="shared" si="3"/>
        <v>0</v>
      </c>
      <c r="K25" s="124"/>
      <c r="L25" s="208">
        <f t="shared" ca="1" si="5"/>
        <v>0</v>
      </c>
      <c r="M25" s="206">
        <f t="shared" ca="1" si="6"/>
        <v>0</v>
      </c>
      <c r="N25" s="208" t="e">
        <f ca="1">INDIRECT("'" &amp; $A24 &amp; "'!" &amp;#REF!)</f>
        <v>#REF!</v>
      </c>
      <c r="O25" s="206">
        <f t="shared" ca="1" si="7"/>
        <v>0</v>
      </c>
    </row>
    <row r="26" spans="1:21" ht="18.75" x14ac:dyDescent="0.3">
      <c r="A26" s="178" t="s">
        <v>370</v>
      </c>
      <c r="B26" s="162">
        <f>'Sparebank 1 Fors.'!B7+'Sparebank 1 Fors.'!B22+'Sparebank 1 Fors.'!B36+'Sparebank 1 Fors.'!B47+'Sparebank 1 Fors.'!B66+'Sparebank 1 Fors.'!B134</f>
        <v>447144.46056000004</v>
      </c>
      <c r="C26" s="162">
        <f>'Sparebank 1 Fors.'!C7+'Sparebank 1 Fors.'!C22+'Sparebank 1 Fors.'!C36+'Sparebank 1 Fors.'!C47+'Sparebank 1 Fors.'!C66+'Sparebank 1 Fors.'!C134</f>
        <v>483891.55215999996</v>
      </c>
      <c r="D26" s="88">
        <f t="shared" si="0"/>
        <v>8.1999999999999993</v>
      </c>
      <c r="E26" s="386">
        <f t="shared" si="1"/>
        <v>0.88745057432004615</v>
      </c>
      <c r="F26" s="87"/>
      <c r="G26" s="162">
        <f>'Sparebank 1 Fors.'!B10+'Sparebank 1 Fors.'!B29+'Sparebank 1 Fors.'!B37+'Sparebank 1 Fors.'!B87+'Sparebank 1 Fors.'!B135</f>
        <v>19477675.069359999</v>
      </c>
      <c r="H26" s="162">
        <f>'Sparebank 1 Fors.'!C10+'Sparebank 1 Fors.'!C29+'Sparebank 1 Fors.'!C37+'Sparebank 1 Fors.'!C87+'Sparebank 1 Fors.'!C135</f>
        <v>22009714.530510001</v>
      </c>
      <c r="I26" s="88">
        <f t="shared" si="2"/>
        <v>13</v>
      </c>
      <c r="J26" s="386">
        <f t="shared" si="3"/>
        <v>1.6258151740353912</v>
      </c>
      <c r="K26" s="124"/>
      <c r="L26" s="208">
        <f t="shared" ca="1" si="5"/>
        <v>0</v>
      </c>
      <c r="M26" s="206">
        <f t="shared" ca="1" si="6"/>
        <v>0</v>
      </c>
      <c r="N26" s="208" t="e">
        <f ca="1">INDIRECT("'" &amp; $A25 &amp; "'!" &amp;#REF!)</f>
        <v>#REF!</v>
      </c>
      <c r="O26" s="206">
        <f t="shared" ca="1" si="7"/>
        <v>0</v>
      </c>
    </row>
    <row r="27" spans="1:21" ht="18.75" x14ac:dyDescent="0.3">
      <c r="A27" s="93" t="s">
        <v>89</v>
      </c>
      <c r="B27" s="162">
        <f>'Storebrand Livsforsikring'!B7+'Storebrand Livsforsikring'!B22+'Storebrand Livsforsikring'!B36+'Storebrand Livsforsikring'!B47+'Storebrand Livsforsikring'!B66+'Storebrand Livsforsikring'!B134</f>
        <v>4982353.1144599998</v>
      </c>
      <c r="C27" s="162">
        <f>'Storebrand Livsforsikring'!C7+'Storebrand Livsforsikring'!C22+'Storebrand Livsforsikring'!C36+'Storebrand Livsforsikring'!C47+'Storebrand Livsforsikring'!C66+'Storebrand Livsforsikring'!C134</f>
        <v>4493232.5606899997</v>
      </c>
      <c r="D27" s="88">
        <f t="shared" si="0"/>
        <v>-9.8000000000000007</v>
      </c>
      <c r="E27" s="386">
        <f t="shared" si="1"/>
        <v>8.240527859472504</v>
      </c>
      <c r="F27" s="87"/>
      <c r="G27" s="162">
        <f>'Storebrand Livsforsikring'!B10+'Storebrand Livsforsikring'!B29+'Storebrand Livsforsikring'!B37+'Storebrand Livsforsikring'!B87+'Storebrand Livsforsikring'!B135</f>
        <v>202047929.34364003</v>
      </c>
      <c r="H27" s="162">
        <f>'Storebrand Livsforsikring'!C10+'Storebrand Livsforsikring'!C29+'Storebrand Livsforsikring'!C37+'Storebrand Livsforsikring'!C87+'Storebrand Livsforsikring'!C135</f>
        <v>209403887.42301998</v>
      </c>
      <c r="I27" s="88">
        <f t="shared" si="2"/>
        <v>3.6</v>
      </c>
      <c r="J27" s="386">
        <f t="shared" si="3"/>
        <v>15.46826139895672</v>
      </c>
      <c r="K27" s="124"/>
      <c r="L27" s="208" t="e">
        <f t="shared" ca="1" si="5"/>
        <v>#REF!</v>
      </c>
      <c r="M27" s="206" t="e">
        <f t="shared" ca="1" si="6"/>
        <v>#REF!</v>
      </c>
      <c r="N27" s="208" t="e">
        <f ca="1">INDIRECT("'" &amp; $A26 &amp; "'!" &amp;#REF!)</f>
        <v>#REF!</v>
      </c>
      <c r="O27" s="206" t="e">
        <f t="shared" ca="1" si="7"/>
        <v>#REF!</v>
      </c>
    </row>
    <row r="28" spans="1:21" ht="18.75" x14ac:dyDescent="0.3">
      <c r="A28" s="93" t="s">
        <v>90</v>
      </c>
      <c r="B28" s="162">
        <f>'Telenor Forsikring'!B7+'Telenor Forsikring'!B22+'Telenor Forsikring'!B36+'Telenor Forsikring'!B47+'Telenor Forsikring'!B66+'Telenor Forsikring'!B134</f>
        <v>4532</v>
      </c>
      <c r="C28" s="162">
        <f>'Telenor Forsikring'!C7+'Telenor Forsikring'!C22+'Telenor Forsikring'!C36+'Telenor Forsikring'!C47+'Telenor Forsikring'!C66+'Telenor Forsikring'!C134</f>
        <v>4814</v>
      </c>
      <c r="D28" s="88">
        <f t="shared" si="0"/>
        <v>6.2</v>
      </c>
      <c r="E28" s="386">
        <f t="shared" si="1"/>
        <v>8.8288110129355855E-3</v>
      </c>
      <c r="F28" s="87"/>
      <c r="G28" s="162">
        <f>'Telenor Forsikring'!B10+'Telenor Forsikring'!B29+'Telenor Forsikring'!B37+'Telenor Forsikring'!B87+'Telenor Forsikring'!B135</f>
        <v>0</v>
      </c>
      <c r="H28" s="162">
        <f>'Telenor Forsikring'!C10+'Telenor Forsikring'!C29+'Telenor Forsikring'!C37+'Telenor Forsikring'!C87+'Telenor Forsikring'!C135</f>
        <v>0</v>
      </c>
      <c r="I28" s="88"/>
      <c r="J28" s="386">
        <f t="shared" si="3"/>
        <v>0</v>
      </c>
      <c r="K28" s="124"/>
      <c r="L28" s="208">
        <f t="shared" ca="1" si="5"/>
        <v>0</v>
      </c>
      <c r="M28" s="206">
        <f t="shared" ca="1" si="6"/>
        <v>0</v>
      </c>
      <c r="N28" s="208" t="e">
        <f ca="1">INDIRECT("'" &amp; $A27 &amp; "'!" &amp;#REF!)</f>
        <v>#REF!</v>
      </c>
      <c r="O28" s="206">
        <f t="shared" ca="1" si="7"/>
        <v>0</v>
      </c>
      <c r="R28" s="507"/>
    </row>
    <row r="29" spans="1:21" ht="18.75" x14ac:dyDescent="0.3">
      <c r="A29" s="93" t="s">
        <v>91</v>
      </c>
      <c r="B29" s="162">
        <f>'Tryg Forsikring'!B7+'Tryg Forsikring'!B22+'Tryg Forsikring'!B36+'Tryg Forsikring'!B47+'Tryg Forsikring'!B66+'Tryg Forsikring'!B134</f>
        <v>730497.88699999999</v>
      </c>
      <c r="C29" s="162">
        <f>'Tryg Forsikring'!C7+'Tryg Forsikring'!C22+'Tryg Forsikring'!C36+'Tryg Forsikring'!C47+'Tryg Forsikring'!C66+'Tryg Forsikring'!C134</f>
        <v>805943</v>
      </c>
      <c r="D29" s="88">
        <f t="shared" si="0"/>
        <v>10.3</v>
      </c>
      <c r="E29" s="386">
        <f t="shared" si="1"/>
        <v>1.478088582093549</v>
      </c>
      <c r="F29" s="87"/>
      <c r="G29" s="680"/>
      <c r="I29" s="88"/>
      <c r="J29" s="386">
        <f t="shared" si="3"/>
        <v>0</v>
      </c>
      <c r="K29" s="192"/>
      <c r="L29" s="208">
        <f t="shared" ca="1" si="5"/>
        <v>0</v>
      </c>
      <c r="M29" s="206">
        <f t="shared" ca="1" si="6"/>
        <v>0</v>
      </c>
      <c r="N29" s="208" t="e">
        <f ca="1">INDIRECT("'" &amp; $A28 &amp; "'!" &amp;#REF!)</f>
        <v>#REF!</v>
      </c>
      <c r="O29" s="206">
        <f t="shared" ca="1" si="7"/>
        <v>0</v>
      </c>
    </row>
    <row r="30" spans="1:21" ht="18.75" x14ac:dyDescent="0.3">
      <c r="A30" s="178" t="s">
        <v>365</v>
      </c>
      <c r="B30" s="162">
        <f>'WaterCircles F'!B7+'WaterCircles F'!B22+'WaterCircles F'!B36+'WaterCircles F'!B47+'WaterCircles F'!B66+'WaterCircles F'!B136</f>
        <v>1888</v>
      </c>
      <c r="C30" s="162">
        <f>'WaterCircles F'!C7+'WaterCircles F'!C22+'WaterCircles F'!C36+'WaterCircles F'!C47+'WaterCircles F'!C66+'WaterCircles F'!C136</f>
        <v>1769.49</v>
      </c>
      <c r="D30" s="88">
        <f t="shared" si="0"/>
        <v>-6.3</v>
      </c>
      <c r="E30" s="386">
        <f t="shared" si="1"/>
        <v>3.2452207725964665E-3</v>
      </c>
      <c r="F30" s="178"/>
      <c r="G30" s="87">
        <f>'WaterCircles F'!B10+'WaterCircles F'!B29+'WaterCircles F'!B37+'WaterCircles F'!B87+'WaterCircles F'!B135</f>
        <v>0</v>
      </c>
      <c r="H30" s="87">
        <f>'WaterCircles F'!C10+'WaterCircles F'!C29+'WaterCircles F'!C37+'WaterCircles F'!C87+'WaterCircles F'!C135</f>
        <v>0</v>
      </c>
      <c r="I30" s="88"/>
      <c r="J30" s="386">
        <f t="shared" si="3"/>
        <v>0</v>
      </c>
      <c r="K30" s="192"/>
      <c r="L30" s="208">
        <f t="shared" ca="1" si="5"/>
        <v>0</v>
      </c>
      <c r="M30" s="206">
        <f t="shared" ca="1" si="6"/>
        <v>0</v>
      </c>
      <c r="N30" s="208" t="e">
        <f ca="1">INDIRECT("'" &amp; $A29 &amp; "'!" &amp;#REF!)</f>
        <v>#REF!</v>
      </c>
      <c r="O30" s="206">
        <f t="shared" ca="1" si="7"/>
        <v>0</v>
      </c>
    </row>
    <row r="31" spans="1:21" ht="18.75" x14ac:dyDescent="0.3">
      <c r="A31" s="93" t="s">
        <v>372</v>
      </c>
      <c r="B31" s="162">
        <f>'Youplus Livsforsikring'!B7+'Youplus Livsforsikring'!B22+'Youplus Livsforsikring'!B36+'Youplus Livsforsikring'!B47+'Youplus Livsforsikring'!B66+'Youplus Livsforsikring'!B134</f>
        <v>4956</v>
      </c>
      <c r="C31" s="162">
        <f>'Youplus Livsforsikring'!C7+'Youplus Livsforsikring'!C22+'Youplus Livsforsikring'!C36+'Youplus Livsforsikring'!C47+'Youplus Livsforsikring'!C66+'Youplus Livsforsikring'!C134</f>
        <v>42013</v>
      </c>
      <c r="D31" s="88">
        <f>IF(B31=0, "    ---- ", IF(ABS(ROUND(100/B31*C31-100,1))&lt;999,ROUND(100/B31*C31-100,1),IF(ROUND(100/B31*C31-100,1)&gt;999,999,-999)))</f>
        <v>747.7</v>
      </c>
      <c r="E31" s="386">
        <f t="shared" si="1"/>
        <v>7.7051274841392348E-2</v>
      </c>
      <c r="F31" s="87"/>
      <c r="G31" s="162">
        <f>'Youplus Livsforsikring'!B10+'Youplus Livsforsikring'!B29+'Youplus Livsforsikring'!B37+'Youplus Livsforsikring'!B87+'Youplus Livsforsikring'!B135</f>
        <v>8446</v>
      </c>
      <c r="H31" s="162">
        <f>'Youplus Livsforsikring'!C10+'Youplus Livsforsikring'!C29+'Youplus Livsforsikring'!C37+'Youplus Livsforsikring'!C87+'Youplus Livsforsikring'!C135</f>
        <v>56571</v>
      </c>
      <c r="I31" s="88">
        <f>IF(G31=0, "    ---- ", IF(ABS(ROUND(100/G31*H31-100,1))&lt;999,ROUND(100/G31*H31-100,1),IF(ROUND(100/G31*H31-100,1)&gt;999,999,-999)))</f>
        <v>569.79999999999995</v>
      </c>
      <c r="J31" s="386">
        <f t="shared" si="3"/>
        <v>4.1787906918493286E-3</v>
      </c>
      <c r="K31" s="124"/>
      <c r="L31" s="208">
        <f ca="1">INDIRECT("'" &amp; $A18 &amp; "'!" &amp; $P$7)</f>
        <v>0</v>
      </c>
      <c r="M31" s="206">
        <f ca="1">INDIRECT("'" &amp; $A18 &amp; "'!" &amp; $P$8)</f>
        <v>0</v>
      </c>
      <c r="N31" s="208" t="e">
        <f ca="1">INDIRECT("'" &amp; $A18 &amp; "'!" &amp;#REF!)</f>
        <v>#REF!</v>
      </c>
      <c r="O31" s="206">
        <f ca="1">INDIRECT("'" &amp; $A18 &amp; "'!" &amp; $P$9)</f>
        <v>0</v>
      </c>
    </row>
    <row r="32" spans="1:21" s="96" customFormat="1" ht="18.75" x14ac:dyDescent="0.3">
      <c r="A32" s="122" t="s">
        <v>92</v>
      </c>
      <c r="B32" s="164">
        <f>SUM(B9:B31)</f>
        <v>67625619.675507084</v>
      </c>
      <c r="C32" s="226">
        <f>SUM(C9:C31)</f>
        <v>54526028.396652035</v>
      </c>
      <c r="D32" s="88">
        <f t="shared" ref="D32" si="10">IF(B32=0, "    ---- ", IF(ABS(ROUND(100/B32*C32-100,1))&lt;999,ROUND(100/B32*C32-100,1),IF(ROUND(100/B32*C32-100,1)&gt;999,999,-999)))</f>
        <v>-19.399999999999999</v>
      </c>
      <c r="E32" s="387">
        <f>SUM(E9:E31)</f>
        <v>100</v>
      </c>
      <c r="F32" s="94"/>
      <c r="G32" s="164">
        <f>SUM(G9:G31)</f>
        <v>1278779277.8546374</v>
      </c>
      <c r="H32" s="164">
        <f>SUM(H9:H31)</f>
        <v>1353764860.9761891</v>
      </c>
      <c r="I32" s="88">
        <f t="shared" ref="I32" si="11">IF(G32=0, "    ---- ", IF(ABS(ROUND(100/G32*H32-100,1))&lt;999,ROUND(100/G32*H32-100,1),IF(ROUND(100/G32*H32-100,1)&gt;999,999,-999)))</f>
        <v>5.9</v>
      </c>
      <c r="J32" s="387">
        <f>SUM(J9:J31)</f>
        <v>100.00000000000001</v>
      </c>
      <c r="K32" s="194"/>
      <c r="L32" s="208" t="e">
        <f ca="1">SUM(L9:L30)</f>
        <v>#REF!</v>
      </c>
      <c r="M32" s="206" t="e">
        <f ca="1">SUM(M9:M30)</f>
        <v>#REF!</v>
      </c>
      <c r="N32" s="208" t="e">
        <f ca="1">SUM(N9:N30)</f>
        <v>#REF!</v>
      </c>
      <c r="O32" s="206" t="e">
        <f ca="1">SUM(O9:O30)</f>
        <v>#REF!</v>
      </c>
      <c r="U32" s="190"/>
    </row>
    <row r="33" spans="1:20" ht="18.75" x14ac:dyDescent="0.3">
      <c r="A33" s="70"/>
      <c r="B33" s="162"/>
      <c r="C33" s="124"/>
      <c r="D33" s="88"/>
      <c r="E33" s="386"/>
      <c r="F33" s="87"/>
      <c r="G33" s="162"/>
      <c r="H33" s="87"/>
      <c r="I33" s="88"/>
      <c r="J33" s="386"/>
      <c r="K33" s="192"/>
      <c r="L33" s="205" t="s">
        <v>1</v>
      </c>
      <c r="M33" s="206"/>
      <c r="N33" s="208"/>
      <c r="O33" s="206"/>
    </row>
    <row r="34" spans="1:20" ht="18.75" x14ac:dyDescent="0.3">
      <c r="A34" s="85" t="s">
        <v>1</v>
      </c>
      <c r="B34" s="162"/>
      <c r="C34" s="124"/>
      <c r="D34" s="88"/>
      <c r="E34" s="386"/>
      <c r="F34" s="87"/>
      <c r="G34" s="162"/>
      <c r="H34" s="87"/>
      <c r="I34" s="88"/>
      <c r="J34" s="386"/>
      <c r="K34" s="192"/>
      <c r="L34" s="209">
        <v>2015</v>
      </c>
      <c r="M34" s="210">
        <v>2016</v>
      </c>
      <c r="N34" s="209">
        <v>2015</v>
      </c>
      <c r="O34" s="210">
        <v>2016</v>
      </c>
      <c r="P34" s="71" t="s">
        <v>136</v>
      </c>
    </row>
    <row r="35" spans="1:20" ht="18.75" x14ac:dyDescent="0.3">
      <c r="A35" s="70" t="s">
        <v>79</v>
      </c>
      <c r="B35" s="115">
        <f>'DNB Livsforsikring'!F7+'DNB Livsforsikring'!F22+'DNB Livsforsikring'!F66+'DNB Livsforsikring'!F134</f>
        <v>7066194.9060000004</v>
      </c>
      <c r="C35" s="115">
        <f>'DNB Livsforsikring'!G7+'DNB Livsforsikring'!G22+'DNB Livsforsikring'!G66+'DNB Livsforsikring'!G134</f>
        <v>7890424</v>
      </c>
      <c r="D35" s="88">
        <f t="shared" ref="D35:D41" si="12">IF(B35=0, "    ---- ", IF(ABS(ROUND(100/B35*C35-100,1))&lt;999,ROUND(100/B35*C35-100,1),IF(ROUND(100/B35*C35-100,1)&gt;999,999,-999)))</f>
        <v>11.7</v>
      </c>
      <c r="E35" s="386">
        <f t="shared" ref="E35:E40" si="13">100/C$41*C35</f>
        <v>22.764881220111977</v>
      </c>
      <c r="F35" s="87"/>
      <c r="G35" s="162">
        <f>'DNB Livsforsikring'!F10+'DNB Livsforsikring'!F29+'DNB Livsforsikring'!F87+'DNB Livsforsikring'!F135</f>
        <v>152437302</v>
      </c>
      <c r="H35" s="162">
        <f>'DNB Livsforsikring'!G10+'DNB Livsforsikring'!G29+'DNB Livsforsikring'!G87+'DNB Livsforsikring'!G135</f>
        <v>187007474</v>
      </c>
      <c r="I35" s="88">
        <f t="shared" ref="I35:I41" si="14">IF(G35=0, "    ---- ", IF(ABS(ROUND(100/G35*H35-100,1))&lt;999,ROUND(100/G35*H35-100,1),IF(ROUND(100/G35*H35-100,1)&gt;999,999,-999)))</f>
        <v>22.7</v>
      </c>
      <c r="J35" s="386">
        <f t="shared" ref="J35:J40" si="15">100/H$41*H35</f>
        <v>25.346033679342082</v>
      </c>
      <c r="K35" s="71" t="s">
        <v>134</v>
      </c>
      <c r="L35" s="208">
        <f t="shared" ref="L35:L40" ca="1" si="16">INDIRECT("'" &amp; $A35 &amp; "'!" &amp; $P$34)</f>
        <v>0</v>
      </c>
      <c r="M35" s="206" t="e">
        <f ca="1">INDIRECT("'" &amp; $A35 &amp; "'!" &amp;#REF!)</f>
        <v>#REF!</v>
      </c>
      <c r="N35" s="208">
        <f t="shared" ref="N35:N40" ca="1" si="17">INDIRECT("'" &amp; $A35 &amp; "'!" &amp; $P$35)</f>
        <v>0</v>
      </c>
      <c r="O35" s="206" t="e">
        <f ca="1">INDIRECT("'"&amp;$A35&amp;"'!"&amp;#REF!)</f>
        <v>#REF!</v>
      </c>
      <c r="P35" s="71" t="s">
        <v>137</v>
      </c>
    </row>
    <row r="36" spans="1:20" ht="18.75" x14ac:dyDescent="0.3">
      <c r="A36" s="92" t="s">
        <v>84</v>
      </c>
      <c r="B36" s="115">
        <f>'Gjensidige Pensjon'!F7+'Gjensidige Pensjon'!F22+'Gjensidige Pensjon'!F66+'Gjensidige Pensjon'!F134</f>
        <v>2603075</v>
      </c>
      <c r="C36" s="115">
        <f>'Gjensidige Pensjon'!G7+'Gjensidige Pensjon'!G22+'Gjensidige Pensjon'!G66+'Gjensidige Pensjon'!G134</f>
        <v>3214737</v>
      </c>
      <c r="D36" s="88">
        <f t="shared" si="12"/>
        <v>23.5</v>
      </c>
      <c r="E36" s="386">
        <f t="shared" si="13"/>
        <v>9.274926918870154</v>
      </c>
      <c r="F36" s="87"/>
      <c r="G36" s="162">
        <f>'Gjensidige Pensjon'!F10+'Gjensidige Pensjon'!F29+'Gjensidige Pensjon'!F87+'Gjensidige Pensjon'!F135</f>
        <v>54371233</v>
      </c>
      <c r="H36" s="162">
        <f>'Gjensidige Pensjon'!G10+'Gjensidige Pensjon'!G29+'Gjensidige Pensjon'!G87+'Gjensidige Pensjon'!G135</f>
        <v>69473279</v>
      </c>
      <c r="I36" s="88">
        <f t="shared" si="14"/>
        <v>27.8</v>
      </c>
      <c r="J36" s="386">
        <f t="shared" si="15"/>
        <v>9.4160518383790848</v>
      </c>
      <c r="K36" s="71" t="s">
        <v>135</v>
      </c>
      <c r="L36" s="208">
        <f t="shared" ca="1" si="16"/>
        <v>0</v>
      </c>
      <c r="M36" s="206" t="e">
        <f ca="1">INDIRECT("'" &amp; $A36 &amp; "'!" &amp;#REF!)</f>
        <v>#REF!</v>
      </c>
      <c r="N36" s="208">
        <f t="shared" ca="1" si="17"/>
        <v>0</v>
      </c>
      <c r="O36" s="206" t="e">
        <f ca="1">INDIRECT("'"&amp;$A36&amp;"'!"&amp;#REF!)</f>
        <v>#REF!</v>
      </c>
    </row>
    <row r="37" spans="1:20" ht="18.75" x14ac:dyDescent="0.3">
      <c r="A37" s="92" t="s">
        <v>61</v>
      </c>
      <c r="B37" s="115">
        <f>KLP!F7+KLP!F22+KLP!F66+KLP!F134</f>
        <v>189248.239</v>
      </c>
      <c r="C37" s="115">
        <f>KLP!G7+KLP!G22+KLP!G66+KLP!G134</f>
        <v>129541.768</v>
      </c>
      <c r="D37" s="88">
        <f t="shared" si="12"/>
        <v>-31.5</v>
      </c>
      <c r="E37" s="386">
        <f t="shared" si="13"/>
        <v>0.37374454928699685</v>
      </c>
      <c r="F37" s="87"/>
      <c r="G37" s="162">
        <f>KLP!F10+KLP!F29+KLP!F87+KLP!F135</f>
        <v>2792444.4909299999</v>
      </c>
      <c r="H37" s="162">
        <f>KLP!G10+KLP!G29+KLP!G87+KLP!G135</f>
        <v>2890424.3207899998</v>
      </c>
      <c r="I37" s="88">
        <f t="shared" si="14"/>
        <v>3.5</v>
      </c>
      <c r="J37" s="386">
        <f t="shared" si="15"/>
        <v>0.39175328458975278</v>
      </c>
      <c r="K37" s="71" t="s">
        <v>129</v>
      </c>
      <c r="L37" s="208">
        <f t="shared" ca="1" si="16"/>
        <v>0</v>
      </c>
      <c r="M37" s="206" t="e">
        <f ca="1">INDIRECT("'" &amp; $A37 &amp; "'!" &amp;#REF!)</f>
        <v>#REF!</v>
      </c>
      <c r="N37" s="208">
        <f t="shared" ca="1" si="17"/>
        <v>0</v>
      </c>
      <c r="O37" s="206" t="e">
        <f ca="1">INDIRECT("'"&amp;$A37&amp;"'!"&amp;#REF!)</f>
        <v>#REF!</v>
      </c>
    </row>
    <row r="38" spans="1:20" ht="18.75" x14ac:dyDescent="0.3">
      <c r="A38" s="92" t="s">
        <v>87</v>
      </c>
      <c r="B38" s="115">
        <f>'Nordea Liv '!F7+'Nordea Liv '!F22+'Nordea Liv '!F66+'Nordea Liv '!F134</f>
        <v>7948920.37763</v>
      </c>
      <c r="C38" s="115">
        <f>'Nordea Liv '!G7+'Nordea Liv '!G22+'Nordea Liv '!G66+'Nordea Liv '!G134</f>
        <v>10691816.457010001</v>
      </c>
      <c r="D38" s="88">
        <f t="shared" si="12"/>
        <v>34.5</v>
      </c>
      <c r="E38" s="386">
        <f t="shared" si="13"/>
        <v>30.847256328819739</v>
      </c>
      <c r="F38" s="87"/>
      <c r="G38" s="162">
        <f>'Nordea Liv '!F10+'Nordea Liv '!F29+'Nordea Liv '!F87+'Nordea Liv '!F135</f>
        <v>137257750</v>
      </c>
      <c r="H38" s="162">
        <f>'Nordea Liv '!G10+'Nordea Liv '!G29+'Nordea Liv '!G87+'Nordea Liv '!G135</f>
        <v>167574450</v>
      </c>
      <c r="I38" s="88">
        <f t="shared" si="14"/>
        <v>22.1</v>
      </c>
      <c r="J38" s="386">
        <f t="shared" si="15"/>
        <v>22.71218129761608</v>
      </c>
      <c r="K38" s="192"/>
      <c r="L38" s="208">
        <f t="shared" ca="1" si="16"/>
        <v>0</v>
      </c>
      <c r="M38" s="206" t="e">
        <f ca="1">INDIRECT("'" &amp; $A38 &amp; "'!" &amp;#REF!)</f>
        <v>#REF!</v>
      </c>
      <c r="N38" s="208">
        <f t="shared" ca="1" si="17"/>
        <v>0</v>
      </c>
      <c r="O38" s="206" t="e">
        <f ca="1">INDIRECT("'"&amp;$A38&amp;"'!"&amp;#REF!)</f>
        <v>#REF!</v>
      </c>
    </row>
    <row r="39" spans="1:20" ht="18.75" x14ac:dyDescent="0.3">
      <c r="A39" s="70" t="s">
        <v>370</v>
      </c>
      <c r="B39" s="115">
        <f>'Sparebank 1 Fors.'!F7+'Sparebank 1 Fors.'!F22+'Sparebank 1 Fors.'!F66+'Sparebank 1 Fors.'!F134</f>
        <v>3397452.4664799999</v>
      </c>
      <c r="C39" s="115">
        <f>'Sparebank 1 Fors.'!G7+'Sparebank 1 Fors.'!G22+'Sparebank 1 Fors.'!G66+'Sparebank 1 Fors.'!G134</f>
        <v>3747368.3149599996</v>
      </c>
      <c r="D39" s="88">
        <f t="shared" si="12"/>
        <v>10.3</v>
      </c>
      <c r="E39" s="386">
        <f t="shared" si="13"/>
        <v>10.811636304725267</v>
      </c>
      <c r="F39" s="87"/>
      <c r="G39" s="162">
        <f>'Sparebank 1 Fors.'!F10+'Sparebank 1 Fors.'!F29+'Sparebank 1 Fors.'!F87+'Sparebank 1 Fors.'!F135</f>
        <v>63741211.108069912</v>
      </c>
      <c r="H39" s="162">
        <f>'Sparebank 1 Fors.'!G10+'Sparebank 1 Fors.'!G29+'Sparebank 1 Fors.'!G87+'Sparebank 1 Fors.'!G135</f>
        <v>78440211.861239895</v>
      </c>
      <c r="I39" s="88">
        <f t="shared" si="14"/>
        <v>23.1</v>
      </c>
      <c r="J39" s="386">
        <f t="shared" si="15"/>
        <v>10.631383918108613</v>
      </c>
      <c r="K39" s="124"/>
      <c r="L39" s="208" t="e">
        <f t="shared" ca="1" si="16"/>
        <v>#REF!</v>
      </c>
      <c r="M39" s="206" t="e">
        <f ca="1">INDIRECT("'" &amp; $A39 &amp; "'!" &amp;#REF!)</f>
        <v>#REF!</v>
      </c>
      <c r="N39" s="208" t="e">
        <f t="shared" ca="1" si="17"/>
        <v>#REF!</v>
      </c>
      <c r="O39" s="206" t="e">
        <f ca="1">INDIRECT("'"&amp;$A39&amp;"'!"&amp;#REF!)</f>
        <v>#REF!</v>
      </c>
    </row>
    <row r="40" spans="1:20" ht="18.75" x14ac:dyDescent="0.3">
      <c r="A40" s="70" t="s">
        <v>89</v>
      </c>
      <c r="B40" s="115">
        <f>'Storebrand Livsforsikring'!F7+'Storebrand Livsforsikring'!F22+'Storebrand Livsforsikring'!F66+'Storebrand Livsforsikring'!F134</f>
        <v>8584720.5231100004</v>
      </c>
      <c r="C40" s="115">
        <f>'Storebrand Livsforsikring'!G7+'Storebrand Livsforsikring'!G22+'Storebrand Livsforsikring'!G66+'Storebrand Livsforsikring'!G134</f>
        <v>8986622.7596799992</v>
      </c>
      <c r="D40" s="88">
        <f t="shared" si="12"/>
        <v>4.7</v>
      </c>
      <c r="E40" s="386">
        <f t="shared" si="13"/>
        <v>25.927554678185874</v>
      </c>
      <c r="F40" s="87"/>
      <c r="G40" s="162">
        <f>'Storebrand Livsforsikring'!F10+'Storebrand Livsforsikring'!F29+'Storebrand Livsforsikring'!F87+'Storebrand Livsforsikring'!F135</f>
        <v>196541367.01923001</v>
      </c>
      <c r="H40" s="162">
        <f>'Storebrand Livsforsikring'!G10+'Storebrand Livsforsikring'!G29+'Storebrand Livsforsikring'!G87+'Storebrand Livsforsikring'!G135</f>
        <v>232431668.54273</v>
      </c>
      <c r="I40" s="88">
        <f t="shared" si="14"/>
        <v>18.3</v>
      </c>
      <c r="J40" s="386">
        <f t="shared" si="15"/>
        <v>31.50259598196439</v>
      </c>
      <c r="K40" s="124"/>
      <c r="L40" s="208">
        <f t="shared" ca="1" si="16"/>
        <v>0</v>
      </c>
      <c r="M40" s="206" t="e">
        <f ca="1">INDIRECT("'" &amp; $A40 &amp; "'!" &amp;#REF!)</f>
        <v>#REF!</v>
      </c>
      <c r="N40" s="208">
        <f t="shared" ca="1" si="17"/>
        <v>0</v>
      </c>
      <c r="O40" s="206" t="e">
        <f ca="1">INDIRECT("'"&amp;$A40&amp;"'!"&amp;#REF!)</f>
        <v>#REF!</v>
      </c>
    </row>
    <row r="41" spans="1:20" s="96" customFormat="1" ht="18.75" x14ac:dyDescent="0.3">
      <c r="A41" s="85" t="s">
        <v>93</v>
      </c>
      <c r="B41" s="226">
        <f>SUM(B35:B40)</f>
        <v>29789611.512220003</v>
      </c>
      <c r="C41" s="226">
        <f>SUM(C35:C40)</f>
        <v>34660510.299649999</v>
      </c>
      <c r="D41" s="88">
        <f t="shared" si="12"/>
        <v>16.399999999999999</v>
      </c>
      <c r="E41" s="387">
        <f>SUM(E35:E40)</f>
        <v>100</v>
      </c>
      <c r="F41" s="94"/>
      <c r="G41" s="164">
        <f>SUM(G35:G40)</f>
        <v>607141307.61822987</v>
      </c>
      <c r="H41" s="164">
        <f>SUM(H35:H40)</f>
        <v>737817507.72475994</v>
      </c>
      <c r="I41" s="88">
        <f t="shared" si="14"/>
        <v>21.5</v>
      </c>
      <c r="J41" s="387">
        <f>SUM(J35:J40)</f>
        <v>100</v>
      </c>
      <c r="K41" s="124"/>
      <c r="L41" s="208" t="e">
        <f ca="1">SUM(L35:L40)</f>
        <v>#REF!</v>
      </c>
      <c r="M41" s="206" t="e">
        <f ca="1">SUM(M35:M40)</f>
        <v>#REF!</v>
      </c>
      <c r="N41" s="208" t="e">
        <f ca="1">SUM(N35:N40)</f>
        <v>#REF!</v>
      </c>
      <c r="O41" s="206" t="e">
        <f ca="1">SUM(O35:O40)</f>
        <v>#REF!</v>
      </c>
    </row>
    <row r="42" spans="1:20" ht="18.75" x14ac:dyDescent="0.3">
      <c r="A42" s="85"/>
      <c r="B42" s="115"/>
      <c r="C42" s="94"/>
      <c r="D42" s="95"/>
      <c r="E42" s="386"/>
      <c r="F42" s="94"/>
      <c r="G42" s="164"/>
      <c r="H42" s="94"/>
      <c r="I42" s="95"/>
      <c r="J42" s="387"/>
      <c r="K42" s="124"/>
      <c r="L42" s="205" t="s">
        <v>94</v>
      </c>
      <c r="M42" s="211"/>
      <c r="N42" s="212"/>
      <c r="O42" s="211"/>
    </row>
    <row r="43" spans="1:20" ht="18.75" x14ac:dyDescent="0.3">
      <c r="A43" s="70"/>
      <c r="B43" s="115"/>
      <c r="C43" s="87"/>
      <c r="D43" s="88"/>
      <c r="E43" s="386"/>
      <c r="F43" s="87"/>
      <c r="G43" s="162"/>
      <c r="H43" s="87"/>
      <c r="I43" s="88"/>
      <c r="J43" s="386"/>
      <c r="K43" s="124"/>
      <c r="L43" s="209">
        <v>2015</v>
      </c>
      <c r="M43" s="210">
        <v>2016</v>
      </c>
      <c r="N43" s="209">
        <v>2015</v>
      </c>
      <c r="O43" s="210">
        <v>2016</v>
      </c>
    </row>
    <row r="44" spans="1:20" ht="18.75" x14ac:dyDescent="0.3">
      <c r="A44" s="85" t="s">
        <v>94</v>
      </c>
      <c r="B44" s="115"/>
      <c r="C44" s="87"/>
      <c r="D44" s="88"/>
      <c r="E44" s="386"/>
      <c r="F44" s="87"/>
      <c r="G44" s="162"/>
      <c r="H44" s="87"/>
      <c r="I44" s="88"/>
      <c r="J44" s="386"/>
      <c r="K44" s="124"/>
      <c r="L44" s="208"/>
      <c r="M44" s="206"/>
      <c r="N44" s="208"/>
      <c r="O44" s="206"/>
      <c r="P44" s="192"/>
      <c r="Q44" s="192"/>
      <c r="R44" s="192"/>
      <c r="S44" s="167"/>
      <c r="T44" s="124"/>
    </row>
    <row r="45" spans="1:20" ht="18.75" x14ac:dyDescent="0.3">
      <c r="A45" s="70" t="s">
        <v>79</v>
      </c>
      <c r="B45" s="115">
        <f>B9+B35</f>
        <v>8987967.8405900002</v>
      </c>
      <c r="C45" s="87">
        <f>+C9+C35</f>
        <v>9892761</v>
      </c>
      <c r="D45" s="88">
        <f t="shared" ref="D45:D66" si="18">IF(B45=0, "    ---- ", IF(ABS(ROUND(100/B45*C45-100,1))&lt;999,ROUND(100/B45*C45-100,1),IF(ROUND(100/B45*C45-100,1)&gt;999,999,-999)))</f>
        <v>10.1</v>
      </c>
      <c r="E45" s="386">
        <f t="shared" ref="E45:E65" si="19">100/C$68*C45</f>
        <v>11.092213179936072</v>
      </c>
      <c r="F45" s="87"/>
      <c r="G45" s="162">
        <f>+G9+G35</f>
        <v>336847475.07700002</v>
      </c>
      <c r="H45" s="162">
        <f>+H9+H35</f>
        <v>368958449.73127002</v>
      </c>
      <c r="I45" s="88">
        <f t="shared" ref="I45:I63" si="20">IF(G45=0, "    ---- ", IF(ABS(ROUND(100/G45*H45-100,1))&lt;999,ROUND(100/G45*H45-100,1),IF(ROUND(100/G45*H45-100,1)&gt;999,999,-999)))</f>
        <v>9.5</v>
      </c>
      <c r="J45" s="386">
        <f t="shared" ref="J45:J65" si="21">100/H$68*H45</f>
        <v>17.64015872635342</v>
      </c>
      <c r="K45" s="124"/>
      <c r="L45" s="208">
        <f ca="1">L10+L35</f>
        <v>0</v>
      </c>
      <c r="M45" s="206" t="e">
        <f ca="1">+M10+M35</f>
        <v>#REF!</v>
      </c>
      <c r="N45" s="208" t="e">
        <f ca="1">+N10+N35</f>
        <v>#REF!</v>
      </c>
      <c r="O45" s="206" t="e">
        <f ca="1">+O10+O35</f>
        <v>#REF!</v>
      </c>
      <c r="P45" s="192"/>
      <c r="Q45" s="192"/>
      <c r="R45" s="192"/>
      <c r="S45" s="167"/>
      <c r="T45" s="124"/>
    </row>
    <row r="46" spans="1:20" ht="18.75" x14ac:dyDescent="0.3">
      <c r="A46" s="70" t="s">
        <v>80</v>
      </c>
      <c r="B46" s="115">
        <f t="shared" ref="B46:C50" si="22">B10</f>
        <v>328485</v>
      </c>
      <c r="C46" s="87">
        <f t="shared" si="22"/>
        <v>354498</v>
      </c>
      <c r="D46" s="88">
        <f t="shared" si="18"/>
        <v>7.9</v>
      </c>
      <c r="E46" s="386">
        <f t="shared" si="19"/>
        <v>0.39747926669419975</v>
      </c>
      <c r="F46" s="87"/>
      <c r="G46" s="162">
        <f t="shared" ref="G46:H50" si="23">G10</f>
        <v>0</v>
      </c>
      <c r="H46" s="162">
        <f t="shared" si="23"/>
        <v>0</v>
      </c>
      <c r="I46" s="88"/>
      <c r="J46" s="386">
        <f t="shared" si="21"/>
        <v>0</v>
      </c>
      <c r="K46" s="124"/>
      <c r="L46" s="208">
        <f ca="1">L12</f>
        <v>0</v>
      </c>
      <c r="M46" s="206">
        <f ca="1">M12</f>
        <v>0</v>
      </c>
      <c r="N46" s="208" t="e">
        <f ca="1">N12</f>
        <v>#REF!</v>
      </c>
      <c r="O46" s="206" t="e">
        <f ca="1">+O12+#REF!</f>
        <v>#REF!</v>
      </c>
      <c r="P46" s="192"/>
      <c r="Q46" s="192"/>
      <c r="R46" s="192"/>
      <c r="S46" s="167"/>
      <c r="T46" s="124"/>
    </row>
    <row r="47" spans="1:20" ht="18.75" x14ac:dyDescent="0.3">
      <c r="A47" s="70" t="s">
        <v>367</v>
      </c>
      <c r="B47" s="115">
        <f t="shared" si="22"/>
        <v>37969</v>
      </c>
      <c r="C47" s="115">
        <f t="shared" si="22"/>
        <v>70533</v>
      </c>
      <c r="D47" s="88">
        <f t="shared" ref="D47" si="24">IF(B47=0, "    ---- ", IF(ABS(ROUND(100/B47*C47-100,1))&lt;999,ROUND(100/B47*C47-100,1),IF(ROUND(100/B47*C47-100,1)&gt;999,999,-999)))</f>
        <v>85.8</v>
      </c>
      <c r="E47" s="386">
        <f t="shared" si="19"/>
        <v>7.9084804759806795E-2</v>
      </c>
      <c r="F47" s="87"/>
      <c r="G47" s="162">
        <f t="shared" si="23"/>
        <v>0</v>
      </c>
      <c r="H47" s="162">
        <f t="shared" si="23"/>
        <v>0</v>
      </c>
      <c r="I47" s="88"/>
      <c r="J47" s="386">
        <f t="shared" si="21"/>
        <v>0</v>
      </c>
      <c r="K47" s="124"/>
      <c r="L47" s="208"/>
      <c r="M47" s="206"/>
      <c r="N47" s="208"/>
      <c r="O47" s="206"/>
      <c r="P47" s="192"/>
      <c r="Q47" s="192"/>
      <c r="R47" s="192"/>
      <c r="S47" s="167"/>
      <c r="T47" s="124"/>
    </row>
    <row r="48" spans="1:20" ht="18.75" x14ac:dyDescent="0.3">
      <c r="A48" s="92" t="s">
        <v>353</v>
      </c>
      <c r="B48" s="115">
        <f t="shared" si="22"/>
        <v>1787529.9482200001</v>
      </c>
      <c r="C48" s="115">
        <f t="shared" si="22"/>
        <v>1904465.84512</v>
      </c>
      <c r="D48" s="88">
        <f t="shared" ref="D48" si="25">IF(B48=0, "    ---- ", IF(ABS(ROUND(100/B48*C48-100,1))&lt;999,ROUND(100/B48*C48-100,1),IF(ROUND(100/B48*C48-100,1)&gt;999,999,-999)))</f>
        <v>6.5</v>
      </c>
      <c r="E48" s="386">
        <f t="shared" si="19"/>
        <v>2.1353736482644385</v>
      </c>
      <c r="F48" s="87"/>
      <c r="G48" s="162">
        <f t="shared" si="23"/>
        <v>5044781.4030599995</v>
      </c>
      <c r="H48" s="162">
        <f t="shared" si="23"/>
        <v>5629123.9688099995</v>
      </c>
      <c r="I48" s="88">
        <f t="shared" ref="I48" si="26">IF(G48=0, "    ---- ", IF(ABS(ROUND(100/G48*H48-100,1))&lt;999,ROUND(100/G48*H48-100,1),IF(ROUND(100/G48*H48-100,1)&gt;999,999,-999)))</f>
        <v>11.6</v>
      </c>
      <c r="J48" s="386">
        <f t="shared" si="21"/>
        <v>0.26913231116526221</v>
      </c>
      <c r="K48" s="124"/>
      <c r="L48" s="208"/>
      <c r="M48" s="206"/>
      <c r="N48" s="208"/>
      <c r="O48" s="206"/>
      <c r="P48" s="192"/>
      <c r="Q48" s="192"/>
      <c r="R48" s="192"/>
      <c r="S48" s="167"/>
      <c r="T48" s="124"/>
    </row>
    <row r="49" spans="1:20" ht="18.75" x14ac:dyDescent="0.3">
      <c r="A49" s="92" t="s">
        <v>81</v>
      </c>
      <c r="B49" s="115">
        <f t="shared" si="22"/>
        <v>560991</v>
      </c>
      <c r="C49" s="90">
        <f t="shared" si="22"/>
        <v>629116</v>
      </c>
      <c r="D49" s="91">
        <f t="shared" si="18"/>
        <v>12.1</v>
      </c>
      <c r="E49" s="388">
        <f t="shared" si="19"/>
        <v>0.70539344748232191</v>
      </c>
      <c r="F49" s="90"/>
      <c r="G49" s="163">
        <f t="shared" si="23"/>
        <v>1693509</v>
      </c>
      <c r="H49" s="163">
        <f t="shared" si="23"/>
        <v>1980592</v>
      </c>
      <c r="I49" s="88">
        <f t="shared" si="20"/>
        <v>17</v>
      </c>
      <c r="J49" s="386">
        <f t="shared" si="21"/>
        <v>9.4693473689497418E-2</v>
      </c>
      <c r="K49" s="124"/>
      <c r="L49" s="208" t="e">
        <f ca="1">L14+#REF!</f>
        <v>#REF!</v>
      </c>
      <c r="M49" s="206" t="e">
        <f ca="1">M14+#REF!</f>
        <v>#REF!</v>
      </c>
      <c r="N49" s="208" t="e">
        <f ca="1">N14+#REF!</f>
        <v>#REF!</v>
      </c>
      <c r="O49" s="206" t="e">
        <f ca="1">O14+#REF!</f>
        <v>#REF!</v>
      </c>
      <c r="P49" s="195"/>
      <c r="Q49" s="195"/>
      <c r="R49" s="195"/>
      <c r="S49" s="167"/>
      <c r="T49" s="124"/>
    </row>
    <row r="50" spans="1:20" ht="18.75" x14ac:dyDescent="0.3">
      <c r="A50" s="92" t="s">
        <v>82</v>
      </c>
      <c r="B50" s="115">
        <f t="shared" si="22"/>
        <v>6421.1409999999996</v>
      </c>
      <c r="C50" s="90">
        <f t="shared" si="22"/>
        <v>4207.2179999999998</v>
      </c>
      <c r="D50" s="91">
        <f t="shared" si="18"/>
        <v>-34.5</v>
      </c>
      <c r="E50" s="388">
        <f t="shared" si="19"/>
        <v>4.7173240059538773E-3</v>
      </c>
      <c r="F50" s="90"/>
      <c r="G50" s="163">
        <f t="shared" si="23"/>
        <v>0</v>
      </c>
      <c r="H50" s="163">
        <f t="shared" si="23"/>
        <v>0</v>
      </c>
      <c r="I50" s="88"/>
      <c r="J50" s="386">
        <f t="shared" si="21"/>
        <v>0</v>
      </c>
      <c r="K50" s="124"/>
      <c r="L50" s="208">
        <f ca="1">L15</f>
        <v>0</v>
      </c>
      <c r="M50" s="206">
        <f ca="1">M15</f>
        <v>0</v>
      </c>
      <c r="N50" s="208" t="e">
        <f ca="1">N15</f>
        <v>#REF!</v>
      </c>
      <c r="O50" s="206">
        <f ca="1">O15</f>
        <v>0</v>
      </c>
      <c r="P50" s="195"/>
      <c r="Q50" s="195"/>
      <c r="R50" s="195"/>
      <c r="S50" s="167"/>
      <c r="T50" s="124"/>
    </row>
    <row r="51" spans="1:20" ht="18.75" x14ac:dyDescent="0.3">
      <c r="A51" s="70" t="s">
        <v>83</v>
      </c>
      <c r="B51" s="87">
        <f>B15</f>
        <v>1738257.38</v>
      </c>
      <c r="C51" s="87">
        <f>+C15</f>
        <v>1777605.365</v>
      </c>
      <c r="D51" s="88">
        <f t="shared" si="18"/>
        <v>2.2999999999999998</v>
      </c>
      <c r="E51" s="386">
        <f t="shared" si="19"/>
        <v>1.9931319131613585</v>
      </c>
      <c r="F51" s="87"/>
      <c r="G51" s="162">
        <f>+G15</f>
        <v>0</v>
      </c>
      <c r="H51" s="162">
        <f>+H15</f>
        <v>0</v>
      </c>
      <c r="I51" s="88"/>
      <c r="J51" s="386">
        <f t="shared" si="21"/>
        <v>0</v>
      </c>
      <c r="K51" s="124"/>
      <c r="L51" s="208">
        <f ca="1">L16</f>
        <v>0</v>
      </c>
      <c r="M51" s="206">
        <f ca="1">+M16</f>
        <v>0</v>
      </c>
      <c r="N51" s="208" t="e">
        <f ca="1">+N16</f>
        <v>#REF!</v>
      </c>
      <c r="O51" s="206">
        <f ca="1">+O16</f>
        <v>0</v>
      </c>
      <c r="P51" s="192"/>
      <c r="Q51" s="192"/>
      <c r="R51" s="192"/>
      <c r="S51" s="167"/>
      <c r="T51" s="124"/>
    </row>
    <row r="52" spans="1:20" ht="18.75" x14ac:dyDescent="0.3">
      <c r="A52" s="70" t="s">
        <v>84</v>
      </c>
      <c r="B52" s="87">
        <f>B16+B36</f>
        <v>3104722</v>
      </c>
      <c r="C52" s="87">
        <f>C16+C36</f>
        <v>3770256</v>
      </c>
      <c r="D52" s="88">
        <f t="shared" si="18"/>
        <v>21.4</v>
      </c>
      <c r="E52" s="386">
        <f t="shared" si="19"/>
        <v>4.2273823551315006</v>
      </c>
      <c r="F52" s="87"/>
      <c r="G52" s="162">
        <f>G16+G36</f>
        <v>63631398</v>
      </c>
      <c r="H52" s="162">
        <f>H16+H36</f>
        <v>79847115</v>
      </c>
      <c r="I52" s="88">
        <f t="shared" si="20"/>
        <v>25.5</v>
      </c>
      <c r="J52" s="386">
        <f t="shared" si="21"/>
        <v>3.8175458062209557</v>
      </c>
      <c r="K52" s="124"/>
      <c r="L52" s="208" t="e">
        <f ca="1">#REF!+L36</f>
        <v>#REF!</v>
      </c>
      <c r="M52" s="206" t="e">
        <f ca="1">#REF!+M36</f>
        <v>#REF!</v>
      </c>
      <c r="N52" s="208" t="e">
        <f ca="1">#REF!+N36</f>
        <v>#REF!</v>
      </c>
      <c r="O52" s="206" t="e">
        <f ca="1">#REF!+O36</f>
        <v>#REF!</v>
      </c>
      <c r="P52" s="192"/>
      <c r="Q52" s="192"/>
      <c r="R52" s="192"/>
      <c r="S52" s="167"/>
      <c r="T52" s="124"/>
    </row>
    <row r="53" spans="1:20" ht="18.75" x14ac:dyDescent="0.3">
      <c r="A53" s="70" t="s">
        <v>85</v>
      </c>
      <c r="B53" s="87">
        <f>B17</f>
        <v>390067.28087663499</v>
      </c>
      <c r="C53" s="87">
        <f>+C17</f>
        <v>430213.39947497001</v>
      </c>
      <c r="D53" s="88">
        <f t="shared" si="18"/>
        <v>10.3</v>
      </c>
      <c r="E53" s="386">
        <f t="shared" si="19"/>
        <v>0.48237481324388259</v>
      </c>
      <c r="F53" s="87"/>
      <c r="G53" s="162">
        <f>+G17</f>
        <v>0</v>
      </c>
      <c r="H53" s="162">
        <f>+H17</f>
        <v>0</v>
      </c>
      <c r="I53" s="88"/>
      <c r="J53" s="386">
        <f t="shared" si="21"/>
        <v>0</v>
      </c>
      <c r="K53" s="124"/>
      <c r="L53" s="208" t="e">
        <f>#REF!</f>
        <v>#REF!</v>
      </c>
      <c r="M53" s="206" t="e">
        <f>+#REF!</f>
        <v>#REF!</v>
      </c>
      <c r="N53" s="208" t="e">
        <f>+#REF!</f>
        <v>#REF!</v>
      </c>
      <c r="O53" s="206" t="e">
        <f>+#REF!</f>
        <v>#REF!</v>
      </c>
      <c r="P53" s="192"/>
      <c r="Q53" s="192"/>
      <c r="R53" s="192"/>
      <c r="S53" s="167"/>
      <c r="T53" s="124"/>
    </row>
    <row r="54" spans="1:20" ht="18.75" x14ac:dyDescent="0.3">
      <c r="A54" s="70" t="s">
        <v>61</v>
      </c>
      <c r="B54" s="90">
        <f>B18+B37</f>
        <v>51011191.749260001</v>
      </c>
      <c r="C54" s="90">
        <f>C18+C37</f>
        <v>37256211.94117</v>
      </c>
      <c r="D54" s="91">
        <f t="shared" si="18"/>
        <v>-27</v>
      </c>
      <c r="E54" s="388">
        <f t="shared" si="19"/>
        <v>41.773357824811249</v>
      </c>
      <c r="F54" s="90"/>
      <c r="G54" s="163">
        <f>G18+G37</f>
        <v>715177808.70850992</v>
      </c>
      <c r="H54" s="163">
        <f>H18+H37</f>
        <v>778273486.16537011</v>
      </c>
      <c r="I54" s="88">
        <f t="shared" si="20"/>
        <v>8.8000000000000007</v>
      </c>
      <c r="J54" s="386">
        <f t="shared" si="21"/>
        <v>37.209793781573346</v>
      </c>
      <c r="K54" s="124"/>
      <c r="L54" s="208">
        <f ca="1">L31+L37</f>
        <v>0</v>
      </c>
      <c r="M54" s="206" t="e">
        <f ca="1">M31+M37</f>
        <v>#REF!</v>
      </c>
      <c r="N54" s="208" t="e">
        <f ca="1">N31+N37</f>
        <v>#REF!</v>
      </c>
      <c r="O54" s="206" t="e">
        <f ca="1">O31+O37</f>
        <v>#REF!</v>
      </c>
      <c r="P54" s="195"/>
      <c r="Q54" s="195"/>
      <c r="R54" s="195"/>
      <c r="S54" s="167"/>
      <c r="T54" s="124"/>
    </row>
    <row r="55" spans="1:20" ht="18.75" x14ac:dyDescent="0.3">
      <c r="A55" s="70" t="s">
        <v>86</v>
      </c>
      <c r="B55" s="87">
        <f t="shared" ref="B55:C57" si="27">B19</f>
        <v>291794.03399999999</v>
      </c>
      <c r="C55" s="87">
        <f t="shared" si="27"/>
        <v>323278.35000000003</v>
      </c>
      <c r="D55" s="88">
        <f t="shared" si="18"/>
        <v>10.8</v>
      </c>
      <c r="E55" s="386">
        <f t="shared" si="19"/>
        <v>0.36247437643120933</v>
      </c>
      <c r="F55" s="87"/>
      <c r="G55" s="162">
        <f t="shared" ref="G55:H57" si="28">G19</f>
        <v>122314.74400000001</v>
      </c>
      <c r="H55" s="162">
        <f t="shared" si="28"/>
        <v>144158.478</v>
      </c>
      <c r="I55" s="88">
        <f t="shared" si="20"/>
        <v>17.899999999999999</v>
      </c>
      <c r="J55" s="386">
        <f t="shared" si="21"/>
        <v>6.8923165617204322E-3</v>
      </c>
      <c r="K55" s="124"/>
      <c r="L55" s="208">
        <f ca="1">L20</f>
        <v>0</v>
      </c>
      <c r="M55" s="206">
        <f ca="1">M20</f>
        <v>0</v>
      </c>
      <c r="N55" s="208" t="e">
        <f ca="1">N20</f>
        <v>#REF!</v>
      </c>
      <c r="O55" s="206">
        <f ca="1">O20</f>
        <v>0</v>
      </c>
      <c r="P55" s="192"/>
      <c r="Q55" s="192"/>
      <c r="R55" s="192"/>
      <c r="S55" s="167"/>
      <c r="T55" s="124"/>
    </row>
    <row r="56" spans="1:20" ht="18.75" x14ac:dyDescent="0.3">
      <c r="A56" s="93" t="s">
        <v>361</v>
      </c>
      <c r="B56" s="87">
        <f t="shared" si="27"/>
        <v>27211</v>
      </c>
      <c r="C56" s="87">
        <f t="shared" si="27"/>
        <v>30587</v>
      </c>
      <c r="D56" s="88">
        <f t="shared" si="18"/>
        <v>12.4</v>
      </c>
      <c r="E56" s="386">
        <f t="shared" si="19"/>
        <v>3.4295534334116091E-2</v>
      </c>
      <c r="F56" s="87"/>
      <c r="G56" s="162">
        <f t="shared" si="28"/>
        <v>0</v>
      </c>
      <c r="H56" s="162">
        <f t="shared" si="28"/>
        <v>0</v>
      </c>
      <c r="I56" s="88"/>
      <c r="J56" s="386">
        <f t="shared" si="21"/>
        <v>0</v>
      </c>
      <c r="K56" s="124"/>
      <c r="L56" s="208">
        <f ca="1">L22</f>
        <v>0</v>
      </c>
      <c r="M56" s="206">
        <f ca="1">M22</f>
        <v>0</v>
      </c>
      <c r="N56" s="208" t="e">
        <f ca="1">N22</f>
        <v>#REF!</v>
      </c>
      <c r="O56" s="206">
        <f ca="1">O22</f>
        <v>0</v>
      </c>
      <c r="P56" s="192"/>
      <c r="Q56" s="192"/>
      <c r="R56" s="192"/>
      <c r="S56" s="167"/>
      <c r="T56" s="124"/>
    </row>
    <row r="57" spans="1:20" ht="18.75" x14ac:dyDescent="0.3">
      <c r="A57" s="93" t="s">
        <v>371</v>
      </c>
      <c r="B57" s="87">
        <f t="shared" si="27"/>
        <v>17589.487000000001</v>
      </c>
      <c r="C57" s="87">
        <f t="shared" si="27"/>
        <v>21876</v>
      </c>
      <c r="D57" s="88">
        <f t="shared" ref="D57" si="29">IF(B57=0, "    ---- ", IF(ABS(ROUND(100/B57*C57-100,1))&lt;999,ROUND(100/B57*C57-100,1),IF(ROUND(100/B57*C57-100,1)&gt;999,999,-999)))</f>
        <v>24.4</v>
      </c>
      <c r="E57" s="386">
        <f t="shared" si="19"/>
        <v>2.4528365288950329E-2</v>
      </c>
      <c r="F57" s="87"/>
      <c r="G57" s="162">
        <f t="shared" si="28"/>
        <v>0</v>
      </c>
      <c r="H57" s="162">
        <f t="shared" si="28"/>
        <v>0</v>
      </c>
      <c r="I57" s="88"/>
      <c r="J57" s="386">
        <f t="shared" si="21"/>
        <v>0</v>
      </c>
      <c r="K57" s="124"/>
      <c r="L57" s="208"/>
      <c r="M57" s="206"/>
      <c r="N57" s="208"/>
      <c r="O57" s="206"/>
      <c r="P57" s="192"/>
      <c r="Q57" s="192"/>
      <c r="R57" s="192"/>
      <c r="S57" s="167"/>
      <c r="T57" s="124"/>
    </row>
    <row r="58" spans="1:20" ht="18.75" x14ac:dyDescent="0.3">
      <c r="A58" s="92" t="s">
        <v>63</v>
      </c>
      <c r="B58" s="87">
        <f>B22+B38</f>
        <v>8998568.9803557843</v>
      </c>
      <c r="C58" s="87">
        <f>+C22+C38</f>
        <v>11793672.900047056</v>
      </c>
      <c r="D58" s="88">
        <f t="shared" si="18"/>
        <v>31.1</v>
      </c>
      <c r="E58" s="386">
        <f t="shared" si="19"/>
        <v>13.223601983486395</v>
      </c>
      <c r="F58" s="87"/>
      <c r="G58" s="162">
        <f>+G22+G38</f>
        <v>192024669.99999747</v>
      </c>
      <c r="H58" s="162">
        <f>+H22+H38</f>
        <v>222252389.99999902</v>
      </c>
      <c r="I58" s="88">
        <f t="shared" si="20"/>
        <v>15.7</v>
      </c>
      <c r="J58" s="386">
        <f t="shared" si="21"/>
        <v>10.626040519649088</v>
      </c>
      <c r="K58" s="124"/>
      <c r="L58" s="208">
        <f ca="1">L24+L38</f>
        <v>0</v>
      </c>
      <c r="M58" s="206" t="e">
        <f ca="1">+M24+M38</f>
        <v>#REF!</v>
      </c>
      <c r="N58" s="208" t="e">
        <f ca="1">+N24+N38</f>
        <v>#REF!</v>
      </c>
      <c r="O58" s="206" t="e">
        <f ca="1">+O24+O38</f>
        <v>#REF!</v>
      </c>
      <c r="P58" s="192"/>
      <c r="Q58" s="192"/>
      <c r="R58" s="192"/>
      <c r="S58" s="167"/>
      <c r="T58" s="124"/>
    </row>
    <row r="59" spans="1:20" ht="18.75" x14ac:dyDescent="0.3">
      <c r="A59" s="92" t="s">
        <v>409</v>
      </c>
      <c r="B59" s="90">
        <f t="shared" ref="B59:C61" si="30">B23</f>
        <v>0</v>
      </c>
      <c r="C59" s="90">
        <f t="shared" si="30"/>
        <v>16932</v>
      </c>
      <c r="D59" s="91" t="str">
        <f t="shared" ref="D59" si="31">IF(B59=0, "    ---- ", IF(ABS(ROUND(100/B59*C59-100,1))&lt;999,ROUND(100/B59*C59-100,1),IF(ROUND(100/B59*C59-100,1)&gt;999,999,-999)))</f>
        <v xml:space="preserve">    ---- </v>
      </c>
      <c r="E59" s="388">
        <f t="shared" si="19"/>
        <v>1.8984927823756947E-2</v>
      </c>
      <c r="F59" s="90"/>
      <c r="G59" s="163">
        <f t="shared" ref="G59:H61" si="32">G23</f>
        <v>0</v>
      </c>
      <c r="H59" s="163">
        <f t="shared" si="32"/>
        <v>0</v>
      </c>
      <c r="I59" s="91"/>
      <c r="J59" s="388">
        <f t="shared" si="21"/>
        <v>0</v>
      </c>
      <c r="K59" s="124"/>
      <c r="L59" s="208"/>
      <c r="M59" s="206"/>
      <c r="N59" s="208"/>
      <c r="O59" s="206"/>
      <c r="P59" s="192"/>
      <c r="Q59" s="192"/>
      <c r="R59" s="192"/>
      <c r="S59" s="167"/>
      <c r="T59" s="124"/>
    </row>
    <row r="60" spans="1:20" ht="18.75" customHeight="1" x14ac:dyDescent="0.3">
      <c r="A60" s="92" t="s">
        <v>88</v>
      </c>
      <c r="B60" s="87">
        <f t="shared" si="30"/>
        <v>1628400</v>
      </c>
      <c r="C60" s="87">
        <f t="shared" si="30"/>
        <v>1975000</v>
      </c>
      <c r="D60" s="88">
        <f t="shared" si="18"/>
        <v>21.3</v>
      </c>
      <c r="E60" s="386">
        <f t="shared" si="19"/>
        <v>2.2144597479281813</v>
      </c>
      <c r="F60" s="87"/>
      <c r="G60" s="162">
        <f t="shared" si="32"/>
        <v>89562000</v>
      </c>
      <c r="H60" s="162">
        <f t="shared" si="32"/>
        <v>92155000</v>
      </c>
      <c r="I60" s="88">
        <f t="shared" si="20"/>
        <v>2.9</v>
      </c>
      <c r="J60" s="386">
        <f t="shared" si="21"/>
        <v>4.4059943026406421</v>
      </c>
      <c r="K60" s="124"/>
      <c r="L60" s="208">
        <f ca="1">L25</f>
        <v>0</v>
      </c>
      <c r="M60" s="206">
        <f ca="1">M25</f>
        <v>0</v>
      </c>
      <c r="N60" s="208" t="e">
        <f ca="1">N25</f>
        <v>#REF!</v>
      </c>
      <c r="O60" s="206">
        <f ca="1">O25</f>
        <v>0</v>
      </c>
      <c r="P60" s="192"/>
      <c r="Q60" s="192"/>
      <c r="R60" s="192"/>
      <c r="S60" s="167"/>
      <c r="T60" s="124"/>
    </row>
    <row r="61" spans="1:20" ht="18.75" customHeight="1" x14ac:dyDescent="0.3">
      <c r="A61" s="92" t="s">
        <v>321</v>
      </c>
      <c r="B61" s="87">
        <f t="shared" si="30"/>
        <v>344520.89481466758</v>
      </c>
      <c r="C61" s="87">
        <f t="shared" si="30"/>
        <v>369670</v>
      </c>
      <c r="D61" s="88">
        <f t="shared" ref="D61" si="33">IF(B61=0, "    ---- ", IF(ABS(ROUND(100/B61*C61-100,1))&lt;999,ROUND(100/B61*C61-100,1),IF(ROUND(100/B61*C61-100,1)&gt;999,999,-999)))</f>
        <v>7.3</v>
      </c>
      <c r="E61" s="386">
        <f t="shared" si="19"/>
        <v>0.4144908025400561</v>
      </c>
      <c r="F61" s="87"/>
      <c r="G61" s="162">
        <f t="shared" si="32"/>
        <v>0</v>
      </c>
      <c r="H61" s="162">
        <f t="shared" si="32"/>
        <v>0</v>
      </c>
      <c r="I61" s="88"/>
      <c r="J61" s="386">
        <f t="shared" si="21"/>
        <v>0</v>
      </c>
      <c r="K61" s="124"/>
      <c r="L61" s="208"/>
      <c r="M61" s="206"/>
      <c r="N61" s="208"/>
      <c r="O61" s="206"/>
      <c r="P61" s="192"/>
      <c r="Q61" s="192"/>
      <c r="R61" s="192"/>
      <c r="S61" s="167"/>
      <c r="T61" s="124"/>
    </row>
    <row r="62" spans="1:20" ht="18.75" customHeight="1" x14ac:dyDescent="0.3">
      <c r="A62" s="70" t="s">
        <v>370</v>
      </c>
      <c r="B62" s="87">
        <f>B26+B39</f>
        <v>3844596.92704</v>
      </c>
      <c r="C62" s="87">
        <f>+C26+C39</f>
        <v>4231259.8671199996</v>
      </c>
      <c r="D62" s="88">
        <f t="shared" si="18"/>
        <v>10.1</v>
      </c>
      <c r="E62" s="386">
        <f t="shared" si="19"/>
        <v>4.7442808398790808</v>
      </c>
      <c r="F62" s="87"/>
      <c r="G62" s="162">
        <f>+G26+G39</f>
        <v>83218886.177429914</v>
      </c>
      <c r="H62" s="162">
        <f>+H26+H39</f>
        <v>100449926.39174989</v>
      </c>
      <c r="I62" s="88">
        <f t="shared" si="20"/>
        <v>20.7</v>
      </c>
      <c r="J62" s="386">
        <f t="shared" si="21"/>
        <v>4.8025804718433278</v>
      </c>
      <c r="K62" s="124"/>
      <c r="L62" s="208" t="e">
        <f ca="1">L27+L39</f>
        <v>#REF!</v>
      </c>
      <c r="M62" s="206" t="e">
        <f t="shared" ref="M62:O63" ca="1" si="34">+M27+M39</f>
        <v>#REF!</v>
      </c>
      <c r="N62" s="208" t="e">
        <f t="shared" ca="1" si="34"/>
        <v>#REF!</v>
      </c>
      <c r="O62" s="206" t="e">
        <f t="shared" ca="1" si="34"/>
        <v>#REF!</v>
      </c>
      <c r="P62" s="192"/>
      <c r="Q62" s="192"/>
      <c r="R62" s="192"/>
      <c r="S62" s="167"/>
      <c r="T62" s="124"/>
    </row>
    <row r="63" spans="1:20" ht="18.75" customHeight="1" x14ac:dyDescent="0.3">
      <c r="A63" s="92" t="s">
        <v>89</v>
      </c>
      <c r="B63" s="87">
        <f>B40+B27</f>
        <v>13567073.637570001</v>
      </c>
      <c r="C63" s="87">
        <f>+C27+C40</f>
        <v>13479855.32037</v>
      </c>
      <c r="D63" s="88">
        <f t="shared" si="18"/>
        <v>-0.6</v>
      </c>
      <c r="E63" s="386">
        <f t="shared" si="19"/>
        <v>15.114226336635395</v>
      </c>
      <c r="F63" s="87"/>
      <c r="G63" s="162">
        <f>+G27+G40</f>
        <v>398589296.36287004</v>
      </c>
      <c r="H63" s="162">
        <f>+H27+H40</f>
        <v>441835555.96574998</v>
      </c>
      <c r="I63" s="88">
        <f t="shared" si="20"/>
        <v>10.8</v>
      </c>
      <c r="J63" s="386">
        <f t="shared" si="21"/>
        <v>21.124463591657047</v>
      </c>
      <c r="K63" s="124"/>
      <c r="L63" s="208">
        <f ca="1">L40+L28</f>
        <v>0</v>
      </c>
      <c r="M63" s="206" t="e">
        <f t="shared" ca="1" si="34"/>
        <v>#REF!</v>
      </c>
      <c r="N63" s="208" t="e">
        <f t="shared" ca="1" si="34"/>
        <v>#REF!</v>
      </c>
      <c r="O63" s="206" t="e">
        <f t="shared" ca="1" si="34"/>
        <v>#REF!</v>
      </c>
      <c r="P63" s="192"/>
      <c r="Q63" s="192"/>
      <c r="R63" s="192"/>
      <c r="S63" s="167"/>
      <c r="T63" s="124"/>
    </row>
    <row r="64" spans="1:20" ht="18.75" customHeight="1" x14ac:dyDescent="0.3">
      <c r="A64" s="92" t="s">
        <v>90</v>
      </c>
      <c r="B64" s="87">
        <f>B28</f>
        <v>4532</v>
      </c>
      <c r="C64" s="87">
        <f>+C28</f>
        <v>4814</v>
      </c>
      <c r="D64" s="88">
        <f t="shared" si="18"/>
        <v>6.2</v>
      </c>
      <c r="E64" s="386">
        <f t="shared" si="19"/>
        <v>5.3976755577348177E-3</v>
      </c>
      <c r="F64" s="87"/>
      <c r="G64" s="162">
        <f t="shared" ref="G64:H66" si="35">+G28</f>
        <v>0</v>
      </c>
      <c r="H64" s="162">
        <f t="shared" si="35"/>
        <v>0</v>
      </c>
      <c r="I64" s="88"/>
      <c r="J64" s="386">
        <f t="shared" si="21"/>
        <v>0</v>
      </c>
      <c r="K64" s="124"/>
      <c r="L64" s="208">
        <f ca="1">L29</f>
        <v>0</v>
      </c>
      <c r="M64" s="206">
        <f t="shared" ref="M64:O65" ca="1" si="36">+M29</f>
        <v>0</v>
      </c>
      <c r="N64" s="208" t="e">
        <f t="shared" ca="1" si="36"/>
        <v>#REF!</v>
      </c>
      <c r="O64" s="206">
        <f t="shared" ca="1" si="36"/>
        <v>0</v>
      </c>
      <c r="P64" s="192"/>
      <c r="Q64" s="192"/>
      <c r="R64" s="192"/>
      <c r="S64" s="167"/>
      <c r="T64" s="124"/>
    </row>
    <row r="65" spans="1:240" ht="18.75" customHeight="1" x14ac:dyDescent="0.3">
      <c r="A65" s="92" t="s">
        <v>91</v>
      </c>
      <c r="B65" s="87">
        <f>B29</f>
        <v>730497.88699999999</v>
      </c>
      <c r="C65" s="87">
        <f>+C29</f>
        <v>805943</v>
      </c>
      <c r="D65" s="88">
        <f t="shared" si="18"/>
        <v>10.3</v>
      </c>
      <c r="E65" s="386">
        <f t="shared" si="19"/>
        <v>0.90365991525290246</v>
      </c>
      <c r="F65" s="87"/>
      <c r="G65" s="162">
        <f t="shared" si="35"/>
        <v>0</v>
      </c>
      <c r="H65" s="162">
        <f t="shared" si="35"/>
        <v>0</v>
      </c>
      <c r="I65" s="88"/>
      <c r="J65" s="386">
        <f t="shared" si="21"/>
        <v>0</v>
      </c>
      <c r="K65" s="124"/>
      <c r="L65" s="208">
        <f ca="1">L30</f>
        <v>0</v>
      </c>
      <c r="M65" s="206">
        <f t="shared" ca="1" si="36"/>
        <v>0</v>
      </c>
      <c r="N65" s="208" t="e">
        <f t="shared" ca="1" si="36"/>
        <v>#REF!</v>
      </c>
      <c r="O65" s="206">
        <f t="shared" ca="1" si="36"/>
        <v>0</v>
      </c>
      <c r="P65" s="192"/>
      <c r="Q65" s="192"/>
      <c r="R65" s="192"/>
      <c r="S65" s="167"/>
      <c r="T65" s="124"/>
    </row>
    <row r="66" spans="1:240" ht="18.75" x14ac:dyDescent="0.3">
      <c r="A66" s="178" t="s">
        <v>365</v>
      </c>
      <c r="B66" s="87">
        <f>B30</f>
        <v>1888</v>
      </c>
      <c r="C66" s="87">
        <f>C30</f>
        <v>1769.49</v>
      </c>
      <c r="D66" s="88">
        <f t="shared" si="18"/>
        <v>-6.3</v>
      </c>
      <c r="E66" s="386">
        <f t="shared" ref="E66" si="37">100/C$32*C66</f>
        <v>3.2452207725964665E-3</v>
      </c>
      <c r="F66" s="178"/>
      <c r="G66" s="162">
        <f t="shared" si="35"/>
        <v>0</v>
      </c>
      <c r="H66" s="162">
        <f t="shared" si="35"/>
        <v>0</v>
      </c>
      <c r="I66" s="178"/>
      <c r="J66" s="386">
        <f t="shared" ref="J66" si="38">100/H$32*H66</f>
        <v>0</v>
      </c>
      <c r="K66" s="192"/>
      <c r="L66" s="208">
        <f t="shared" ref="L66" ca="1" si="39">INDIRECT("'" &amp; $A65 &amp; "'!" &amp; $P$7)</f>
        <v>0</v>
      </c>
      <c r="M66" s="206">
        <f t="shared" ref="M66" ca="1" si="40">INDIRECT("'" &amp; $A65 &amp; "'!" &amp; $P$8)</f>
        <v>0</v>
      </c>
      <c r="N66" s="208" t="e">
        <f ca="1">INDIRECT("'" &amp; $A65 &amp; "'!" &amp;#REF!)</f>
        <v>#REF!</v>
      </c>
      <c r="O66" s="206">
        <f t="shared" ref="O66" ca="1" si="41">INDIRECT("'" &amp; $A65 &amp; "'!" &amp; $P$9)</f>
        <v>0</v>
      </c>
    </row>
    <row r="67" spans="1:240" ht="18.75" x14ac:dyDescent="0.3">
      <c r="A67" s="92" t="s">
        <v>372</v>
      </c>
      <c r="B67" s="87">
        <f>B31</f>
        <v>4956</v>
      </c>
      <c r="C67" s="87">
        <f>+C31</f>
        <v>42013</v>
      </c>
      <c r="D67" s="88">
        <f>IF(B67=0, "    ---- ", IF(ABS(ROUND(100/B67*C67-100,1))&lt;999,ROUND(100/B67*C67-100,1),IF(ROUND(100/B67*C67-100,1)&gt;999,999,-999)))</f>
        <v>747.7</v>
      </c>
      <c r="E67" s="386">
        <f>100/C$68*C67</f>
        <v>4.7106884754281868E-2</v>
      </c>
      <c r="F67" s="87"/>
      <c r="G67" s="162">
        <f>G31</f>
        <v>8446</v>
      </c>
      <c r="H67" s="162">
        <f>H31</f>
        <v>56571</v>
      </c>
      <c r="I67" s="88">
        <f>IF(G67=0, "    ---- ", IF(ABS(ROUND(100/G67*H67-100,1))&lt;999,ROUND(100/G67*H67-100,1),IF(ROUND(100/G67*H67-100,1)&gt;999,999,-999)))</f>
        <v>569.79999999999995</v>
      </c>
      <c r="J67" s="386">
        <f>100/H$68*H67</f>
        <v>2.7046986457021733E-3</v>
      </c>
      <c r="K67" s="124"/>
      <c r="L67" s="208" t="e">
        <f ca="1">L19+#REF!</f>
        <v>#REF!</v>
      </c>
      <c r="M67" s="206" t="e">
        <f ca="1">+M19+#REF!</f>
        <v>#REF!</v>
      </c>
      <c r="N67" s="208" t="e">
        <f ca="1">N19+#REF!</f>
        <v>#REF!</v>
      </c>
      <c r="O67" s="206" t="e">
        <f ca="1">O19+#REF!</f>
        <v>#REF!</v>
      </c>
      <c r="P67" s="192"/>
      <c r="Q67" s="192"/>
      <c r="R67" s="192"/>
      <c r="S67" s="167"/>
      <c r="T67" s="124"/>
    </row>
    <row r="68" spans="1:240" s="96" customFormat="1" ht="18.75" customHeight="1" x14ac:dyDescent="0.3">
      <c r="A68" s="98" t="s">
        <v>2</v>
      </c>
      <c r="B68" s="99">
        <f>SUM(B45:B67)</f>
        <v>97415231.187727094</v>
      </c>
      <c r="C68" s="99">
        <f>SUM(C45:C67)</f>
        <v>89186538.696302027</v>
      </c>
      <c r="D68" s="100">
        <f>IF(B68=0, "    ---- ", IF(ABS(ROUND(100/B68*C68-100,1))&lt;999,ROUND(100/B68*C68-100,1),IF(ROUND(100/B68*C68-100,1)&gt;999,999,-999)))</f>
        <v>-8.4</v>
      </c>
      <c r="E68" s="389">
        <f>SUM(E45:E67)</f>
        <v>100.00126118817543</v>
      </c>
      <c r="F68" s="94"/>
      <c r="G68" s="166">
        <f>SUM(G45:G67)</f>
        <v>1885920585.4728673</v>
      </c>
      <c r="H68" s="166">
        <f>SUM(H45:H67)</f>
        <v>2091582368.700949</v>
      </c>
      <c r="I68" s="100">
        <f>IF(G68=0, "    ---- ", IF(ABS(ROUND(100/G68*H68-100,1))&lt;999,ROUND(100/G68*H68-100,1),IF(ROUND(100/G68*H68-100,1)&gt;999,999,-999)))</f>
        <v>10.9</v>
      </c>
      <c r="J68" s="389">
        <f>SUM(J45:J67)</f>
        <v>99.999999999999986</v>
      </c>
      <c r="K68" s="165"/>
      <c r="L68" s="213" t="e">
        <f ca="1">SUM(L45:L65)</f>
        <v>#REF!</v>
      </c>
      <c r="M68" s="214" t="e">
        <f ca="1">SUM(M45:M65)</f>
        <v>#REF!</v>
      </c>
      <c r="N68" s="213" t="e">
        <f ca="1">SUM(N45:N65)</f>
        <v>#REF!</v>
      </c>
      <c r="O68" s="214" t="e">
        <f ca="1">SUM(O45:O65)</f>
        <v>#REF!</v>
      </c>
      <c r="P68" s="194"/>
      <c r="Q68" s="194"/>
      <c r="R68" s="194"/>
      <c r="S68" s="123"/>
      <c r="T68" s="165"/>
    </row>
    <row r="69" spans="1:240" ht="18.75" customHeight="1" x14ac:dyDescent="0.3">
      <c r="A69" s="97" t="s">
        <v>95</v>
      </c>
      <c r="B69" s="97"/>
      <c r="C69" s="97"/>
      <c r="D69" s="97"/>
      <c r="E69" s="97"/>
      <c r="F69" s="97"/>
      <c r="G69" s="97"/>
      <c r="H69" s="97"/>
      <c r="I69" s="97"/>
      <c r="J69" s="97"/>
      <c r="K69" s="97"/>
      <c r="L69" s="171"/>
      <c r="M69" s="171"/>
      <c r="N69" s="171"/>
      <c r="O69" s="171"/>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c r="EO69" s="97"/>
      <c r="EP69" s="97"/>
      <c r="EQ69" s="97"/>
      <c r="ER69" s="97"/>
      <c r="ES69" s="97"/>
      <c r="ET69" s="97"/>
      <c r="EU69" s="97"/>
      <c r="EV69" s="97"/>
      <c r="EW69" s="97"/>
      <c r="EX69" s="97"/>
      <c r="EY69" s="97"/>
      <c r="EZ69" s="97"/>
      <c r="FA69" s="97"/>
      <c r="FB69" s="97"/>
      <c r="FC69" s="97"/>
      <c r="FD69" s="97"/>
      <c r="FE69" s="97"/>
      <c r="FF69" s="97"/>
      <c r="FG69" s="97"/>
      <c r="FH69" s="97"/>
      <c r="FI69" s="97"/>
      <c r="FJ69" s="97"/>
      <c r="FK69" s="97"/>
      <c r="FL69" s="97"/>
      <c r="FM69" s="97"/>
      <c r="FN69" s="97"/>
      <c r="FO69" s="97"/>
      <c r="FP69" s="97"/>
      <c r="FQ69" s="97"/>
      <c r="FR69" s="97"/>
      <c r="FS69" s="97"/>
      <c r="FT69" s="97"/>
      <c r="FU69" s="97"/>
      <c r="FV69" s="97"/>
      <c r="FW69" s="97"/>
      <c r="FX69" s="97"/>
      <c r="FY69" s="97"/>
      <c r="FZ69" s="97"/>
      <c r="GA69" s="97"/>
      <c r="GB69" s="97"/>
      <c r="GC69" s="97"/>
      <c r="GD69" s="97"/>
      <c r="GE69" s="97"/>
      <c r="GF69" s="97"/>
      <c r="GG69" s="97"/>
      <c r="GH69" s="97"/>
      <c r="GI69" s="97"/>
      <c r="GJ69" s="97"/>
      <c r="GK69" s="97"/>
      <c r="GL69" s="97"/>
      <c r="GM69" s="97"/>
      <c r="GN69" s="97"/>
      <c r="GO69" s="97"/>
      <c r="GP69" s="97"/>
      <c r="GQ69" s="97"/>
      <c r="GR69" s="97"/>
      <c r="GS69" s="97"/>
      <c r="GT69" s="97"/>
      <c r="GU69" s="97"/>
      <c r="GV69" s="97"/>
      <c r="GW69" s="97"/>
      <c r="GX69" s="97"/>
      <c r="GY69" s="97"/>
      <c r="GZ69" s="97"/>
      <c r="HA69" s="97"/>
      <c r="HB69" s="97"/>
      <c r="HC69" s="97"/>
      <c r="HD69" s="97"/>
      <c r="HE69" s="97"/>
      <c r="HF69" s="97"/>
      <c r="HG69" s="97"/>
      <c r="HH69" s="97"/>
      <c r="HI69" s="97"/>
      <c r="HJ69" s="97"/>
      <c r="HK69" s="97"/>
      <c r="HL69" s="97"/>
      <c r="HM69" s="97"/>
      <c r="HN69" s="97"/>
      <c r="HO69" s="97"/>
      <c r="HP69" s="97"/>
      <c r="HQ69" s="97"/>
      <c r="HR69" s="97"/>
      <c r="HS69" s="97"/>
      <c r="HT69" s="97"/>
      <c r="HU69" s="97"/>
      <c r="HV69" s="97"/>
      <c r="HW69" s="97"/>
      <c r="HX69" s="97"/>
      <c r="HY69" s="97"/>
      <c r="HZ69" s="97"/>
      <c r="IA69" s="97"/>
      <c r="IB69" s="97"/>
      <c r="IC69" s="97"/>
      <c r="ID69" s="97"/>
      <c r="IE69" s="97"/>
      <c r="IF69" s="97"/>
    </row>
    <row r="70" spans="1:240" ht="18.75" customHeight="1" x14ac:dyDescent="0.3">
      <c r="A70" s="58"/>
      <c r="B70" s="58"/>
      <c r="C70" s="58"/>
      <c r="D70" s="58"/>
      <c r="E70" s="58"/>
      <c r="F70" s="58"/>
      <c r="G70" s="58"/>
      <c r="H70" s="58"/>
      <c r="I70" s="58"/>
      <c r="J70" s="58"/>
      <c r="K70" s="58"/>
    </row>
    <row r="71" spans="1:240" ht="18.75" customHeight="1" x14ac:dyDescent="0.3">
      <c r="A71" s="58"/>
      <c r="B71" s="58"/>
      <c r="C71" s="58"/>
      <c r="D71" s="58"/>
      <c r="E71" s="58"/>
      <c r="F71" s="58"/>
      <c r="G71" s="58"/>
      <c r="H71" s="58"/>
      <c r="I71" s="58"/>
      <c r="J71" s="58"/>
      <c r="K71" s="58"/>
    </row>
    <row r="72" spans="1:240" ht="18.75" customHeight="1" x14ac:dyDescent="0.3">
      <c r="A72" s="58"/>
      <c r="B72" s="61"/>
      <c r="C72" s="61"/>
      <c r="D72" s="58"/>
      <c r="E72" s="58"/>
      <c r="F72" s="58"/>
      <c r="G72" s="61"/>
      <c r="H72" s="61"/>
      <c r="I72" s="58"/>
      <c r="J72" s="58"/>
      <c r="K72" s="58"/>
    </row>
    <row r="73" spans="1:240" ht="18.75" customHeight="1" x14ac:dyDescent="0.3">
      <c r="A73" s="58"/>
      <c r="B73" s="58"/>
      <c r="C73" s="58"/>
      <c r="D73" s="58"/>
      <c r="E73" s="58"/>
      <c r="F73" s="58"/>
      <c r="G73" s="58"/>
      <c r="H73" s="58"/>
      <c r="I73" s="58"/>
      <c r="J73" s="58"/>
      <c r="K73" s="58"/>
    </row>
    <row r="74" spans="1:240" ht="18.75" customHeight="1" x14ac:dyDescent="0.3">
      <c r="A74" s="58"/>
      <c r="B74" s="58"/>
      <c r="C74" s="58"/>
      <c r="D74" s="58"/>
      <c r="E74" s="58"/>
      <c r="F74" s="58"/>
      <c r="G74" s="58"/>
      <c r="H74" s="58"/>
      <c r="I74" s="58"/>
      <c r="J74" s="58"/>
      <c r="K74" s="58"/>
    </row>
    <row r="75" spans="1:240" ht="18.75" customHeight="1" x14ac:dyDescent="0.3">
      <c r="A75" s="58"/>
      <c r="B75" s="58"/>
      <c r="C75" s="58"/>
      <c r="D75" s="58"/>
      <c r="E75" s="58"/>
      <c r="F75" s="58"/>
      <c r="G75" s="58"/>
      <c r="H75" s="58"/>
      <c r="I75" s="58"/>
      <c r="J75" s="58"/>
      <c r="K75" s="58"/>
    </row>
    <row r="76" spans="1:240" ht="18.75" customHeight="1" x14ac:dyDescent="0.3">
      <c r="A76" s="58"/>
      <c r="B76" s="58"/>
      <c r="C76" s="58"/>
      <c r="D76" s="58"/>
      <c r="E76" s="58"/>
      <c r="F76" s="58"/>
      <c r="G76" s="58"/>
      <c r="H76" s="58"/>
      <c r="I76" s="58"/>
      <c r="J76" s="58"/>
      <c r="K76" s="58"/>
    </row>
    <row r="77" spans="1:240" ht="18.75" x14ac:dyDescent="0.3">
      <c r="A77" s="58"/>
      <c r="B77" s="58"/>
      <c r="C77" s="58"/>
      <c r="D77" s="58"/>
      <c r="E77" s="58"/>
      <c r="F77" s="58"/>
      <c r="G77" s="58"/>
      <c r="H77" s="58"/>
      <c r="I77" s="58"/>
      <c r="J77" s="58"/>
      <c r="K77" s="58"/>
    </row>
    <row r="78" spans="1:240" ht="18.75" x14ac:dyDescent="0.3">
      <c r="A78" s="58"/>
      <c r="B78" s="58"/>
      <c r="C78" s="58"/>
      <c r="D78" s="58"/>
      <c r="E78" s="58"/>
      <c r="F78" s="58"/>
      <c r="G78" s="58"/>
      <c r="H78" s="58"/>
      <c r="I78" s="58"/>
      <c r="J78" s="58"/>
      <c r="K78" s="58"/>
    </row>
    <row r="79" spans="1:240" ht="18.75" x14ac:dyDescent="0.3">
      <c r="A79" s="58"/>
      <c r="B79" s="58"/>
      <c r="C79" s="58"/>
      <c r="D79" s="58"/>
      <c r="E79" s="58"/>
      <c r="F79" s="58"/>
      <c r="G79" s="58"/>
      <c r="H79" s="58"/>
      <c r="I79" s="58"/>
      <c r="J79" s="58"/>
      <c r="K79" s="58"/>
    </row>
    <row r="80" spans="1:240" ht="18.75" x14ac:dyDescent="0.3">
      <c r="A80" s="58"/>
      <c r="B80" s="58"/>
      <c r="C80" s="58"/>
      <c r="D80" s="58"/>
      <c r="E80" s="58"/>
      <c r="F80" s="58"/>
      <c r="G80" s="58"/>
      <c r="H80" s="58"/>
      <c r="I80" s="58"/>
      <c r="J80" s="58"/>
      <c r="K80" s="58"/>
    </row>
    <row r="81" spans="1:11" ht="18.75" x14ac:dyDescent="0.3">
      <c r="A81" s="58"/>
      <c r="B81" s="58"/>
      <c r="C81" s="58"/>
      <c r="D81" s="58"/>
      <c r="E81" s="58"/>
      <c r="F81" s="58"/>
      <c r="G81" s="58"/>
      <c r="H81" s="58"/>
      <c r="I81" s="58"/>
      <c r="J81" s="58"/>
      <c r="K81" s="58"/>
    </row>
    <row r="82" spans="1:11" ht="18.75" x14ac:dyDescent="0.3">
      <c r="A82" s="58"/>
      <c r="B82" s="58"/>
      <c r="C82" s="58"/>
      <c r="D82" s="58"/>
      <c r="E82" s="58"/>
      <c r="F82" s="58"/>
      <c r="G82" s="58"/>
      <c r="H82" s="58"/>
      <c r="I82" s="58"/>
      <c r="J82" s="58"/>
      <c r="K82" s="58"/>
    </row>
    <row r="83" spans="1:11" ht="18.75" x14ac:dyDescent="0.3">
      <c r="A83" s="58"/>
      <c r="B83" s="58"/>
      <c r="C83" s="58"/>
      <c r="D83" s="58"/>
      <c r="E83" s="58"/>
      <c r="F83" s="58"/>
      <c r="G83" s="58"/>
      <c r="H83" s="58"/>
      <c r="I83" s="58"/>
      <c r="J83" s="58"/>
      <c r="K83" s="58"/>
    </row>
    <row r="84" spans="1:11" ht="18.75" x14ac:dyDescent="0.3">
      <c r="A84" s="58"/>
      <c r="B84" s="58"/>
      <c r="C84" s="58"/>
      <c r="D84" s="58"/>
      <c r="E84" s="58"/>
      <c r="F84" s="58"/>
      <c r="G84" s="58"/>
      <c r="H84" s="58"/>
      <c r="I84" s="58"/>
      <c r="J84" s="58"/>
      <c r="K84" s="58"/>
    </row>
    <row r="85" spans="1:11" ht="18.75" x14ac:dyDescent="0.3">
      <c r="A85" s="58"/>
      <c r="B85" s="58"/>
      <c r="C85" s="58"/>
      <c r="D85" s="58"/>
      <c r="E85" s="58"/>
      <c r="F85" s="58"/>
      <c r="G85" s="58"/>
      <c r="H85" s="58"/>
      <c r="I85" s="58"/>
      <c r="J85" s="58"/>
      <c r="K85" s="58"/>
    </row>
    <row r="86" spans="1:11" ht="18.75" x14ac:dyDescent="0.3">
      <c r="A86" s="58"/>
      <c r="B86" s="58"/>
      <c r="C86" s="58"/>
      <c r="D86" s="58"/>
      <c r="E86" s="58"/>
      <c r="F86" s="58"/>
      <c r="G86" s="58"/>
      <c r="H86" s="58"/>
      <c r="I86" s="58"/>
      <c r="J86" s="58"/>
      <c r="K86" s="58"/>
    </row>
    <row r="87" spans="1:11" ht="18.75" x14ac:dyDescent="0.3">
      <c r="A87" s="58"/>
      <c r="B87" s="58"/>
      <c r="C87" s="58"/>
      <c r="D87" s="58"/>
      <c r="E87" s="58"/>
      <c r="F87" s="58"/>
      <c r="G87" s="58"/>
      <c r="H87" s="58"/>
      <c r="I87" s="58"/>
      <c r="J87" s="58"/>
      <c r="K87" s="58"/>
    </row>
    <row r="88" spans="1:11" ht="18.75" x14ac:dyDescent="0.3">
      <c r="A88" s="58"/>
      <c r="B88" s="58"/>
      <c r="C88" s="58"/>
      <c r="D88" s="58"/>
      <c r="E88" s="58"/>
      <c r="F88" s="58"/>
      <c r="G88" s="58"/>
      <c r="H88" s="58"/>
      <c r="I88" s="58"/>
      <c r="J88" s="58"/>
      <c r="K88" s="58"/>
    </row>
    <row r="89" spans="1:11" ht="18.75" x14ac:dyDescent="0.3">
      <c r="A89" s="58"/>
      <c r="B89" s="58"/>
      <c r="C89" s="58"/>
      <c r="D89" s="58"/>
      <c r="E89" s="58"/>
      <c r="F89" s="58"/>
      <c r="G89" s="58"/>
      <c r="H89" s="58"/>
      <c r="I89" s="58"/>
      <c r="J89" s="58"/>
      <c r="K89" s="58"/>
    </row>
    <row r="90" spans="1:11" ht="18.75" x14ac:dyDescent="0.3">
      <c r="A90" s="58"/>
      <c r="B90" s="58"/>
      <c r="C90" s="58"/>
      <c r="D90" s="58"/>
      <c r="E90" s="58"/>
      <c r="F90" s="58"/>
      <c r="G90" s="58"/>
      <c r="H90" s="58"/>
      <c r="I90" s="58"/>
      <c r="J90" s="58"/>
      <c r="K90" s="58"/>
    </row>
    <row r="91" spans="1:11" ht="18.75" x14ac:dyDescent="0.3">
      <c r="A91" s="58"/>
      <c r="B91" s="58"/>
      <c r="C91" s="58"/>
      <c r="D91" s="58"/>
      <c r="E91" s="58"/>
      <c r="F91" s="58"/>
      <c r="G91" s="58"/>
      <c r="H91" s="58"/>
      <c r="I91" s="58"/>
      <c r="J91" s="58"/>
      <c r="K91" s="58"/>
    </row>
    <row r="92" spans="1:11" ht="18.75" x14ac:dyDescent="0.3">
      <c r="A92" s="58"/>
      <c r="B92" s="58"/>
      <c r="C92" s="58"/>
      <c r="D92" s="58"/>
      <c r="E92" s="58"/>
      <c r="F92" s="58"/>
      <c r="G92" s="58"/>
      <c r="H92" s="58"/>
      <c r="I92" s="58"/>
      <c r="J92" s="58"/>
      <c r="K92" s="58"/>
    </row>
    <row r="93" spans="1:11" ht="18.75" x14ac:dyDescent="0.3">
      <c r="A93" s="58"/>
      <c r="B93" s="58"/>
      <c r="C93" s="58"/>
      <c r="D93" s="58"/>
      <c r="E93" s="58"/>
      <c r="F93" s="58"/>
      <c r="G93" s="58"/>
      <c r="H93" s="58"/>
      <c r="I93" s="58"/>
      <c r="J93" s="58"/>
      <c r="K93" s="58"/>
    </row>
    <row r="94" spans="1:11" ht="18.75" x14ac:dyDescent="0.3">
      <c r="A94" s="97"/>
      <c r="B94" s="97"/>
      <c r="C94" s="97"/>
      <c r="D94" s="97"/>
      <c r="E94" s="97"/>
      <c r="F94" s="97"/>
      <c r="G94" s="97"/>
      <c r="H94" s="97"/>
      <c r="I94" s="97"/>
      <c r="J94" s="97"/>
      <c r="K94" s="97"/>
    </row>
    <row r="95" spans="1:11" ht="18.75" x14ac:dyDescent="0.3">
      <c r="A95" s="101"/>
      <c r="B95" s="102"/>
      <c r="C95" s="102"/>
      <c r="D95" s="102"/>
      <c r="E95" s="58"/>
      <c r="F95" s="58"/>
      <c r="G95" s="58"/>
      <c r="H95" s="58"/>
      <c r="I95" s="58"/>
      <c r="J95" s="59"/>
      <c r="K95" s="59"/>
    </row>
    <row r="96" spans="1:11" ht="18.75" x14ac:dyDescent="0.3">
      <c r="A96" s="58"/>
      <c r="B96" s="58"/>
      <c r="C96" s="58"/>
      <c r="D96" s="58"/>
      <c r="E96" s="58"/>
      <c r="F96" s="58"/>
      <c r="G96" s="58"/>
      <c r="H96" s="58"/>
      <c r="I96" s="58"/>
      <c r="J96" s="58"/>
      <c r="K96" s="58"/>
    </row>
    <row r="97" spans="1:11" ht="18.75" x14ac:dyDescent="0.3">
      <c r="A97" s="58"/>
      <c r="B97" s="58"/>
      <c r="C97" s="58"/>
      <c r="D97" s="58"/>
      <c r="E97" s="58"/>
      <c r="F97" s="58"/>
      <c r="G97" s="58"/>
      <c r="H97" s="58"/>
      <c r="I97" s="58"/>
      <c r="J97" s="58"/>
      <c r="K97" s="58"/>
    </row>
    <row r="98" spans="1:11" ht="18.75" x14ac:dyDescent="0.3">
      <c r="A98" s="58"/>
      <c r="B98" s="58"/>
      <c r="C98" s="58"/>
      <c r="D98" s="58"/>
      <c r="E98" s="58"/>
      <c r="F98" s="58"/>
      <c r="G98" s="58"/>
      <c r="H98" s="58"/>
      <c r="I98" s="58"/>
      <c r="J98" s="58"/>
      <c r="K98" s="58"/>
    </row>
    <row r="99" spans="1:11" ht="18.75" x14ac:dyDescent="0.3">
      <c r="A99" s="58"/>
      <c r="B99" s="58"/>
      <c r="C99" s="58"/>
      <c r="D99" s="58"/>
      <c r="E99" s="58"/>
      <c r="F99" s="58"/>
      <c r="G99" s="58"/>
      <c r="H99" s="58"/>
      <c r="I99" s="58"/>
      <c r="J99" s="58"/>
      <c r="K99" s="58"/>
    </row>
    <row r="100" spans="1:11" ht="18.75" x14ac:dyDescent="0.3">
      <c r="A100" s="58"/>
      <c r="B100" s="58"/>
      <c r="C100" s="58"/>
      <c r="D100" s="58"/>
      <c r="E100" s="58"/>
      <c r="F100" s="58"/>
      <c r="G100" s="58"/>
      <c r="H100" s="58"/>
      <c r="I100" s="58"/>
      <c r="J100" s="58"/>
      <c r="K100" s="58"/>
    </row>
    <row r="101" spans="1:11" ht="18.75" x14ac:dyDescent="0.3">
      <c r="A101" s="58"/>
      <c r="B101" s="58"/>
      <c r="C101" s="58"/>
      <c r="D101" s="58"/>
      <c r="E101" s="58"/>
      <c r="F101" s="58"/>
      <c r="G101" s="58"/>
      <c r="H101" s="58"/>
      <c r="I101" s="58"/>
      <c r="J101" s="58"/>
      <c r="K101" s="58"/>
    </row>
    <row r="102" spans="1:11" ht="18.75" x14ac:dyDescent="0.3">
      <c r="A102" s="58"/>
      <c r="B102" s="58"/>
      <c r="C102" s="58"/>
      <c r="D102" s="58"/>
      <c r="E102" s="58"/>
      <c r="F102" s="58"/>
      <c r="G102" s="58"/>
      <c r="H102" s="58"/>
      <c r="I102" s="58"/>
      <c r="J102" s="58"/>
      <c r="K102" s="58"/>
    </row>
    <row r="103" spans="1:11" ht="18.75" x14ac:dyDescent="0.3">
      <c r="A103" s="58"/>
      <c r="B103" s="58"/>
      <c r="C103" s="58"/>
      <c r="D103" s="58"/>
      <c r="E103" s="58"/>
      <c r="F103" s="58"/>
      <c r="G103" s="58"/>
      <c r="H103" s="58"/>
      <c r="I103" s="58"/>
      <c r="J103" s="58"/>
      <c r="K103" s="58"/>
    </row>
    <row r="104" spans="1:11" ht="18.75" x14ac:dyDescent="0.3">
      <c r="A104" s="58"/>
      <c r="B104" s="58"/>
      <c r="C104" s="58"/>
      <c r="D104" s="58"/>
      <c r="E104" s="58"/>
      <c r="F104" s="58"/>
      <c r="G104" s="58"/>
      <c r="H104" s="58"/>
      <c r="I104" s="58"/>
      <c r="J104" s="58"/>
      <c r="K104" s="58"/>
    </row>
    <row r="105" spans="1:11" ht="18.75" x14ac:dyDescent="0.3">
      <c r="A105" s="58"/>
      <c r="B105" s="58"/>
      <c r="C105" s="58"/>
      <c r="D105" s="58"/>
      <c r="E105" s="58"/>
      <c r="F105" s="58"/>
      <c r="G105" s="58"/>
      <c r="H105" s="58"/>
      <c r="I105" s="58"/>
      <c r="J105" s="58"/>
      <c r="K105" s="58"/>
    </row>
    <row r="106" spans="1:11" ht="18.75" x14ac:dyDescent="0.3">
      <c r="A106" s="58"/>
      <c r="B106" s="58"/>
      <c r="C106" s="58"/>
      <c r="D106" s="58"/>
      <c r="E106" s="58"/>
      <c r="F106" s="58"/>
      <c r="G106" s="58"/>
      <c r="H106" s="58"/>
      <c r="I106" s="58"/>
      <c r="J106" s="58"/>
      <c r="K106" s="58"/>
    </row>
    <row r="107" spans="1:11" ht="18.75" x14ac:dyDescent="0.3">
      <c r="A107" s="58"/>
      <c r="B107" s="58"/>
      <c r="C107" s="58"/>
      <c r="D107" s="58"/>
      <c r="E107" s="58"/>
      <c r="F107" s="58"/>
      <c r="G107" s="58"/>
      <c r="H107" s="58"/>
      <c r="I107" s="58"/>
      <c r="J107" s="58"/>
      <c r="K107" s="58"/>
    </row>
  </sheetData>
  <mergeCells count="5">
    <mergeCell ref="N5:O5"/>
    <mergeCell ref="A3:B3"/>
    <mergeCell ref="B5:E5"/>
    <mergeCell ref="G5:J5"/>
    <mergeCell ref="L5:M5"/>
  </mergeCells>
  <hyperlinks>
    <hyperlink ref="B1" location="Innhold!A1" display="Tilbake" xr:uid="{00000000-0004-0000-0300-000000000000}"/>
  </hyperlinks>
  <pageMargins left="0.70866141732283472" right="0.70866141732283472" top="0.78740157480314965" bottom="0.78740157480314965" header="0.31496062992125984" footer="0.31496062992125984"/>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W115"/>
  <sheetViews>
    <sheetView showGridLines="0" showZeros="0" zoomScale="70" zoomScaleNormal="70" workbookViewId="0">
      <pane xSplit="1" ySplit="7" topLeftCell="B8" activePane="bottomRight" state="frozen"/>
      <selection activeCell="H73" sqref="H73"/>
      <selection pane="topRight" activeCell="H73" sqref="H73"/>
      <selection pane="bottomLeft" activeCell="H73" sqref="H73"/>
      <selection pane="bottomRight" activeCell="A4" sqref="A4"/>
    </sheetView>
  </sheetViews>
  <sheetFormatPr baseColWidth="10" defaultColWidth="11.42578125" defaultRowHeight="18" x14ac:dyDescent="0.25"/>
  <cols>
    <col min="1" max="1" width="51" style="65" customWidth="1"/>
    <col min="2" max="3" width="17.85546875" style="65" bestFit="1" customWidth="1"/>
    <col min="4" max="4" width="9.28515625" style="65" bestFit="1" customWidth="1"/>
    <col min="5" max="5" width="4.7109375" style="65" customWidth="1"/>
    <col min="6" max="7" width="16.7109375" style="65" customWidth="1"/>
    <col min="8" max="8" width="9.28515625" style="65" bestFit="1" customWidth="1"/>
    <col min="9" max="9" width="4.7109375" style="65" customWidth="1"/>
    <col min="10" max="10" width="18.7109375" style="65" customWidth="1"/>
    <col min="11" max="11" width="18" style="65" bestFit="1" customWidth="1"/>
    <col min="12" max="12" width="9.28515625" style="65" bestFit="1" customWidth="1"/>
    <col min="13" max="13" width="11.42578125" style="65"/>
    <col min="14" max="15" width="17.28515625" style="65" bestFit="1" customWidth="1"/>
    <col min="16" max="16384" width="11.42578125" style="65"/>
  </cols>
  <sheetData>
    <row r="1" spans="1:13" ht="20.25" x14ac:dyDescent="0.3">
      <c r="A1" s="64" t="s">
        <v>72</v>
      </c>
      <c r="B1" s="57" t="s">
        <v>52</v>
      </c>
      <c r="C1" s="58"/>
      <c r="D1" s="58"/>
      <c r="E1" s="58"/>
      <c r="F1" s="58"/>
      <c r="G1" s="58"/>
      <c r="H1" s="58"/>
      <c r="I1" s="58"/>
      <c r="J1" s="58"/>
      <c r="K1" s="58"/>
      <c r="L1" s="58"/>
      <c r="M1" s="58"/>
    </row>
    <row r="2" spans="1:13" ht="20.25" x14ac:dyDescent="0.3">
      <c r="A2" s="64" t="s">
        <v>96</v>
      </c>
      <c r="B2" s="57"/>
      <c r="C2" s="58"/>
      <c r="D2" s="58"/>
      <c r="E2" s="58"/>
      <c r="F2" s="58"/>
      <c r="G2" s="58"/>
      <c r="H2" s="58"/>
      <c r="I2" s="58"/>
      <c r="J2" s="58"/>
      <c r="K2" s="58"/>
      <c r="L2" s="58"/>
      <c r="M2" s="58"/>
    </row>
    <row r="3" spans="1:13" ht="18.75" x14ac:dyDescent="0.3">
      <c r="A3" s="59" t="s">
        <v>97</v>
      </c>
      <c r="B3" s="58"/>
      <c r="C3" s="58"/>
      <c r="D3" s="58"/>
      <c r="E3" s="58"/>
      <c r="F3" s="58"/>
      <c r="G3" s="58"/>
      <c r="H3" s="58"/>
      <c r="I3" s="58"/>
      <c r="J3" s="58"/>
      <c r="K3" s="58"/>
      <c r="L3" s="58"/>
      <c r="M3" s="58"/>
    </row>
    <row r="4" spans="1:13" ht="18.75" x14ac:dyDescent="0.3">
      <c r="A4" s="66" t="s">
        <v>364</v>
      </c>
      <c r="B4" s="86"/>
      <c r="C4" s="103"/>
      <c r="D4" s="104"/>
      <c r="E4" s="97"/>
      <c r="F4" s="67"/>
      <c r="G4" s="68"/>
      <c r="H4" s="69"/>
      <c r="I4" s="97"/>
      <c r="J4" s="67"/>
      <c r="K4" s="68"/>
      <c r="L4" s="69"/>
      <c r="M4" s="58"/>
    </row>
    <row r="5" spans="1:13" ht="18.75" x14ac:dyDescent="0.3">
      <c r="A5" s="105"/>
      <c r="B5" s="696" t="s">
        <v>0</v>
      </c>
      <c r="C5" s="697"/>
      <c r="D5" s="698"/>
      <c r="E5" s="73"/>
      <c r="F5" s="696" t="s">
        <v>1</v>
      </c>
      <c r="G5" s="697"/>
      <c r="H5" s="698"/>
      <c r="I5" s="106"/>
      <c r="J5" s="696" t="s">
        <v>98</v>
      </c>
      <c r="K5" s="697"/>
      <c r="L5" s="698"/>
      <c r="M5" s="58"/>
    </row>
    <row r="6" spans="1:13" ht="18.75" x14ac:dyDescent="0.3">
      <c r="A6" s="107"/>
      <c r="B6" s="108"/>
      <c r="C6" s="109"/>
      <c r="D6" s="78" t="s">
        <v>99</v>
      </c>
      <c r="E6" s="84"/>
      <c r="F6" s="108"/>
      <c r="G6" s="109"/>
      <c r="H6" s="78" t="s">
        <v>99</v>
      </c>
      <c r="I6" s="110"/>
      <c r="J6" s="108"/>
      <c r="K6" s="109"/>
      <c r="L6" s="78" t="s">
        <v>99</v>
      </c>
      <c r="M6" s="58"/>
    </row>
    <row r="7" spans="1:13" ht="18.75" x14ac:dyDescent="0.3">
      <c r="A7" s="111" t="s">
        <v>100</v>
      </c>
      <c r="B7" s="112">
        <v>2023</v>
      </c>
      <c r="C7" s="170">
        <v>2024</v>
      </c>
      <c r="D7" s="83" t="s">
        <v>78</v>
      </c>
      <c r="E7" s="84"/>
      <c r="F7" s="81">
        <v>2023</v>
      </c>
      <c r="G7" s="112">
        <v>2024</v>
      </c>
      <c r="H7" s="83" t="s">
        <v>78</v>
      </c>
      <c r="I7" s="113"/>
      <c r="J7" s="169">
        <v>2023</v>
      </c>
      <c r="K7" s="170">
        <v>2024</v>
      </c>
      <c r="L7" s="83" t="s">
        <v>78</v>
      </c>
      <c r="M7" s="58"/>
    </row>
    <row r="8" spans="1:13" ht="22.5" x14ac:dyDescent="0.3">
      <c r="A8" s="177" t="s">
        <v>101</v>
      </c>
      <c r="B8" s="216"/>
      <c r="C8" s="186"/>
      <c r="D8" s="186"/>
      <c r="E8" s="167"/>
      <c r="F8" s="186"/>
      <c r="G8" s="186"/>
      <c r="H8" s="186"/>
      <c r="I8" s="187"/>
      <c r="J8" s="186"/>
      <c r="K8" s="186"/>
      <c r="L8" s="186"/>
      <c r="M8" s="58"/>
    </row>
    <row r="9" spans="1:13" ht="18.75" x14ac:dyDescent="0.3">
      <c r="A9" s="178" t="s">
        <v>102</v>
      </c>
      <c r="B9" s="88">
        <f>'Skjema total MA'!B7</f>
        <v>3189470.6781720864</v>
      </c>
      <c r="C9" s="88">
        <f>'Skjema total MA'!C7</f>
        <v>3149499.8382932115</v>
      </c>
      <c r="D9" s="217">
        <f>IF(B9=0, "    ---- ", IF(ABS(ROUND(100/B9*C9-100,1))&lt;999,ROUND(100/B9*C9-100,1),IF(ROUND(100/B9*C9-100,1)&gt;999,999,-999)))</f>
        <v>-1.3</v>
      </c>
      <c r="E9" s="167"/>
      <c r="F9" s="181">
        <f>'Skjema total MA'!E7</f>
        <v>5190691.7217600001</v>
      </c>
      <c r="G9" s="181">
        <f>'Skjema total MA'!F7</f>
        <v>7780547.8374900008</v>
      </c>
      <c r="H9" s="217">
        <f>IF(F9=0, "    ---- ", IF(ABS(ROUND(100/F9*G9-100,1))&lt;999,ROUND(100/F9*G9-100,1),IF(ROUND(100/F9*G9-100,1)&gt;999,999,-999)))</f>
        <v>49.9</v>
      </c>
      <c r="I9" s="167"/>
      <c r="J9" s="181">
        <f t="shared" ref="J9:K60" si="0">SUM(B9+F9)</f>
        <v>8380162.3999320865</v>
      </c>
      <c r="K9" s="181">
        <f t="shared" si="0"/>
        <v>10930047.675783213</v>
      </c>
      <c r="L9" s="215">
        <f>IF(J9=0, "    ---- ", IF(ABS(ROUND(100/J9*K9-100,1))&lt;999,ROUND(100/J9*K9-100,1),IF(ROUND(100/J9*K9-100,1)&gt;999,999,-999)))</f>
        <v>30.4</v>
      </c>
      <c r="M9" s="58"/>
    </row>
    <row r="10" spans="1:13" ht="18.75" x14ac:dyDescent="0.3">
      <c r="A10" s="178" t="s">
        <v>103</v>
      </c>
      <c r="B10" s="88">
        <f>'Skjema total MA'!B22</f>
        <v>1293345.084815379</v>
      </c>
      <c r="C10" s="88">
        <f>'Skjema total MA'!C22</f>
        <v>1398456.327878813</v>
      </c>
      <c r="D10" s="217">
        <f t="shared" ref="D10:D17" si="1">IF(B10=0, "    ---- ", IF(ABS(ROUND(100/B10*C10-100,1))&lt;999,ROUND(100/B10*C10-100,1),IF(ROUND(100/B10*C10-100,1)&gt;999,999,-999)))</f>
        <v>8.1</v>
      </c>
      <c r="E10" s="167"/>
      <c r="F10" s="181">
        <f>'Skjema total MA'!E22</f>
        <v>443833.77101999999</v>
      </c>
      <c r="G10" s="181">
        <f>'Skjema total MA'!F22</f>
        <v>477697.59114000003</v>
      </c>
      <c r="H10" s="217">
        <f t="shared" ref="H10:H57" si="2">IF(F10=0, "    ---- ", IF(ABS(ROUND(100/F10*G10-100,1))&lt;999,ROUND(100/F10*G10-100,1),IF(ROUND(100/F10*G10-100,1)&gt;999,999,-999)))</f>
        <v>7.6</v>
      </c>
      <c r="I10" s="167"/>
      <c r="J10" s="181">
        <f t="shared" si="0"/>
        <v>1737178.8558353791</v>
      </c>
      <c r="K10" s="181">
        <f t="shared" si="0"/>
        <v>1876153.9190188129</v>
      </c>
      <c r="L10" s="215">
        <f t="shared" ref="L10:L60" si="3">IF(J10=0, "    ---- ", IF(ABS(ROUND(100/J10*K10-100,1))&lt;999,ROUND(100/J10*K10-100,1),IF(ROUND(100/J10*K10-100,1)&gt;999,999,-999)))</f>
        <v>8</v>
      </c>
      <c r="M10" s="58"/>
    </row>
    <row r="11" spans="1:13" ht="18.75" x14ac:dyDescent="0.3">
      <c r="A11" s="178" t="s">
        <v>104</v>
      </c>
      <c r="B11" s="88">
        <f>'Skjema total MA'!B47</f>
        <v>4731330.2511096206</v>
      </c>
      <c r="C11" s="88">
        <f>'Skjema total MA'!C47</f>
        <v>5212381.7525399998</v>
      </c>
      <c r="D11" s="217">
        <f t="shared" si="1"/>
        <v>10.199999999999999</v>
      </c>
      <c r="E11" s="167"/>
      <c r="F11" s="181"/>
      <c r="G11" s="181"/>
      <c r="H11" s="217"/>
      <c r="I11" s="167"/>
      <c r="J11" s="181">
        <f t="shared" si="0"/>
        <v>4731330.2511096206</v>
      </c>
      <c r="K11" s="181">
        <f t="shared" si="0"/>
        <v>5212381.7525399998</v>
      </c>
      <c r="L11" s="215">
        <f t="shared" si="3"/>
        <v>10.199999999999999</v>
      </c>
      <c r="M11" s="58"/>
    </row>
    <row r="12" spans="1:13" ht="18.75" x14ac:dyDescent="0.3">
      <c r="A12" s="178" t="s">
        <v>105</v>
      </c>
      <c r="B12" s="88">
        <f>'Skjema total MA'!B66</f>
        <v>4805493.94257</v>
      </c>
      <c r="C12" s="88">
        <f>'Skjema total MA'!C66</f>
        <v>4883862.1312699998</v>
      </c>
      <c r="D12" s="217">
        <f t="shared" si="1"/>
        <v>1.6</v>
      </c>
      <c r="E12" s="167"/>
      <c r="F12" s="181">
        <f>'Skjema total MA'!E66</f>
        <v>23965837.780439999</v>
      </c>
      <c r="G12" s="181">
        <f>'Skjema total MA'!F66</f>
        <v>26272723.103019997</v>
      </c>
      <c r="H12" s="217">
        <f t="shared" si="2"/>
        <v>9.6</v>
      </c>
      <c r="I12" s="167"/>
      <c r="J12" s="181">
        <f t="shared" si="0"/>
        <v>28771331.72301</v>
      </c>
      <c r="K12" s="181">
        <f t="shared" si="0"/>
        <v>31156585.234289996</v>
      </c>
      <c r="L12" s="215">
        <f t="shared" si="3"/>
        <v>8.3000000000000007</v>
      </c>
      <c r="M12" s="58"/>
    </row>
    <row r="13" spans="1:13" ht="18.75" x14ac:dyDescent="0.3">
      <c r="A13" s="178" t="s">
        <v>106</v>
      </c>
      <c r="B13" s="88">
        <f>'Skjema total MA'!B68</f>
        <v>19165.067630000001</v>
      </c>
      <c r="C13" s="88">
        <f>'Skjema total MA'!C68</f>
        <v>16944.74914</v>
      </c>
      <c r="D13" s="217">
        <f t="shared" si="1"/>
        <v>-11.6</v>
      </c>
      <c r="E13" s="167"/>
      <c r="F13" s="181">
        <f>'Skjema total MA'!E68</f>
        <v>22862475.587439999</v>
      </c>
      <c r="G13" s="181">
        <f>'Skjema total MA'!F68</f>
        <v>25246125.334059998</v>
      </c>
      <c r="H13" s="217">
        <f t="shared" si="2"/>
        <v>10.4</v>
      </c>
      <c r="I13" s="167"/>
      <c r="J13" s="181">
        <f t="shared" si="0"/>
        <v>22881640.655069999</v>
      </c>
      <c r="K13" s="181">
        <f t="shared" si="0"/>
        <v>25263070.0832</v>
      </c>
      <c r="L13" s="215">
        <f t="shared" si="3"/>
        <v>10.4</v>
      </c>
      <c r="M13" s="58"/>
    </row>
    <row r="14" spans="1:13" s="118" customFormat="1" ht="18.75" x14ac:dyDescent="0.3">
      <c r="A14" s="179" t="s">
        <v>107</v>
      </c>
      <c r="B14" s="116">
        <f>'Skjema total MA'!B75+'Skjema total MA'!B76</f>
        <v>1718825.8669854049</v>
      </c>
      <c r="C14" s="116">
        <f>'Skjema total MA'!C75+'Skjema total MA'!C76</f>
        <v>1967012.279951626</v>
      </c>
      <c r="D14" s="217">
        <f t="shared" si="1"/>
        <v>14.4</v>
      </c>
      <c r="E14" s="168"/>
      <c r="F14" s="182">
        <f>'Skjema total MA'!E75+'Skjema total MA'!E76</f>
        <v>1103362.193</v>
      </c>
      <c r="G14" s="182">
        <f>'Skjema total MA'!F75+'Skjema total MA'!F76</f>
        <v>1026597.76896</v>
      </c>
      <c r="H14" s="217">
        <f t="shared" si="2"/>
        <v>-7</v>
      </c>
      <c r="I14" s="168"/>
      <c r="J14" s="181">
        <f t="shared" si="0"/>
        <v>2822188.0599854048</v>
      </c>
      <c r="K14" s="181">
        <f t="shared" si="0"/>
        <v>2993610.048911626</v>
      </c>
      <c r="L14" s="215">
        <f t="shared" si="3"/>
        <v>6.1</v>
      </c>
      <c r="M14" s="117"/>
    </row>
    <row r="15" spans="1:13" ht="22.5" x14ac:dyDescent="0.3">
      <c r="A15" s="178" t="s">
        <v>312</v>
      </c>
      <c r="B15" s="88">
        <f>'Skjema total MA'!B134</f>
        <v>53604839.846839994</v>
      </c>
      <c r="C15" s="88">
        <f>'Skjema total MA'!C134</f>
        <v>39874610.619670004</v>
      </c>
      <c r="D15" s="217">
        <f t="shared" si="1"/>
        <v>-25.6</v>
      </c>
      <c r="E15" s="167"/>
      <c r="F15" s="181">
        <f>'Skjema total MA'!E134</f>
        <v>189248.239</v>
      </c>
      <c r="G15" s="181">
        <f>'Skjema total MA'!F134</f>
        <v>129541.768</v>
      </c>
      <c r="H15" s="217">
        <f t="shared" si="2"/>
        <v>-31.5</v>
      </c>
      <c r="I15" s="167"/>
      <c r="J15" s="181">
        <f t="shared" si="0"/>
        <v>53794088.085839994</v>
      </c>
      <c r="K15" s="181">
        <f t="shared" si="0"/>
        <v>40004152.387670003</v>
      </c>
      <c r="L15" s="215">
        <f t="shared" si="3"/>
        <v>-25.6</v>
      </c>
      <c r="M15" s="58"/>
    </row>
    <row r="16" spans="1:13" ht="18.75" x14ac:dyDescent="0.3">
      <c r="A16" s="178" t="s">
        <v>108</v>
      </c>
      <c r="B16" s="88">
        <f>'Skjema total MA'!B36</f>
        <v>1139.8720000000001</v>
      </c>
      <c r="C16" s="88">
        <f>'Skjema total MA'!C36</f>
        <v>7217.7269999999999</v>
      </c>
      <c r="D16" s="217">
        <f t="shared" si="1"/>
        <v>533.20000000000005</v>
      </c>
      <c r="E16" s="167"/>
      <c r="F16" s="181">
        <f>'Skjema total MA'!E36</f>
        <v>0</v>
      </c>
      <c r="G16" s="181">
        <f>'Skjema total MA'!F36</f>
        <v>0</v>
      </c>
      <c r="H16" s="217"/>
      <c r="I16" s="167"/>
      <c r="J16" s="181">
        <f t="shared" si="0"/>
        <v>1139.8720000000001</v>
      </c>
      <c r="K16" s="181">
        <f t="shared" si="0"/>
        <v>7217.7269999999999</v>
      </c>
      <c r="L16" s="215">
        <f t="shared" si="3"/>
        <v>533.20000000000005</v>
      </c>
      <c r="M16" s="58"/>
    </row>
    <row r="17" spans="1:23" s="120" customFormat="1" ht="18.75" customHeight="1" x14ac:dyDescent="0.3">
      <c r="A17" s="122" t="s">
        <v>109</v>
      </c>
      <c r="B17" s="95">
        <f>'Tabel 1.1'!B32</f>
        <v>67625619.675507084</v>
      </c>
      <c r="C17" s="183">
        <f>'Tabel 1.1'!C32</f>
        <v>54526028.396652035</v>
      </c>
      <c r="D17" s="217">
        <f t="shared" si="1"/>
        <v>-19.399999999999999</v>
      </c>
      <c r="E17" s="123"/>
      <c r="F17" s="183">
        <f>'Tabel 1.1'!B41</f>
        <v>29789611.512220003</v>
      </c>
      <c r="G17" s="183">
        <f>'Tabel 1.1'!C41</f>
        <v>34660510.299649999</v>
      </c>
      <c r="H17" s="217">
        <f t="shared" si="2"/>
        <v>16.399999999999999</v>
      </c>
      <c r="I17" s="123"/>
      <c r="J17" s="183">
        <f t="shared" si="0"/>
        <v>97415231.187727094</v>
      </c>
      <c r="K17" s="183">
        <f t="shared" si="0"/>
        <v>89186538.696302027</v>
      </c>
      <c r="L17" s="215">
        <f t="shared" si="3"/>
        <v>-8.4</v>
      </c>
      <c r="M17" s="59"/>
      <c r="N17" s="119"/>
      <c r="O17" s="119"/>
      <c r="Q17" s="121"/>
      <c r="R17" s="121"/>
      <c r="S17" s="121"/>
      <c r="T17" s="121"/>
      <c r="U17" s="121"/>
      <c r="V17" s="121"/>
      <c r="W17" s="121"/>
    </row>
    <row r="18" spans="1:23" ht="18.75" customHeight="1" x14ac:dyDescent="0.3">
      <c r="A18" s="122"/>
      <c r="B18" s="88"/>
      <c r="C18" s="181"/>
      <c r="D18" s="181"/>
      <c r="E18" s="167"/>
      <c r="F18" s="181"/>
      <c r="G18" s="181"/>
      <c r="H18" s="217"/>
      <c r="I18" s="167"/>
      <c r="J18" s="181"/>
      <c r="K18" s="181"/>
      <c r="L18" s="215"/>
      <c r="M18" s="58"/>
    </row>
    <row r="19" spans="1:23" ht="18.75" customHeight="1" x14ac:dyDescent="0.3">
      <c r="A19" s="177" t="s">
        <v>313</v>
      </c>
      <c r="B19" s="185"/>
      <c r="C19" s="188"/>
      <c r="D19" s="181"/>
      <c r="E19" s="167"/>
      <c r="F19" s="188"/>
      <c r="G19" s="188"/>
      <c r="H19" s="217"/>
      <c r="I19" s="167"/>
      <c r="J19" s="181"/>
      <c r="K19" s="181"/>
      <c r="L19" s="215"/>
      <c r="M19" s="58"/>
    </row>
    <row r="20" spans="1:23" ht="18.75" customHeight="1" x14ac:dyDescent="0.3">
      <c r="A20" s="178" t="s">
        <v>102</v>
      </c>
      <c r="B20" s="88">
        <f>'Skjema total MA'!B10</f>
        <v>14366559.070636712</v>
      </c>
      <c r="C20" s="88">
        <f>'Skjema total MA'!C10</f>
        <v>13239316.319243755</v>
      </c>
      <c r="D20" s="217">
        <f>IF(B20=0, "    ---- ", IF(ABS(ROUND(100/B20*C20-100,1))&lt;999,ROUND(100/B20*C20-100,1),IF(ROUND(100/B20*C20-100,1)&gt;999,999,-999)))</f>
        <v>-7.8</v>
      </c>
      <c r="E20" s="167"/>
      <c r="F20" s="181">
        <f>'Skjema total MA'!E10</f>
        <v>78771257.566179991</v>
      </c>
      <c r="G20" s="181">
        <f>'Skjema total MA'!F10</f>
        <v>93774474.278255001</v>
      </c>
      <c r="H20" s="217">
        <f t="shared" si="2"/>
        <v>19</v>
      </c>
      <c r="I20" s="167"/>
      <c r="J20" s="181">
        <f t="shared" si="0"/>
        <v>93137816.63681671</v>
      </c>
      <c r="K20" s="181">
        <f t="shared" si="0"/>
        <v>107013790.59749876</v>
      </c>
      <c r="L20" s="215">
        <f t="shared" si="3"/>
        <v>14.9</v>
      </c>
      <c r="M20" s="58"/>
    </row>
    <row r="21" spans="1:23" ht="18.75" customHeight="1" x14ac:dyDescent="0.3">
      <c r="A21" s="178" t="s">
        <v>103</v>
      </c>
      <c r="B21" s="88">
        <f>'Skjema total MA'!B29</f>
        <v>43667502.556476489</v>
      </c>
      <c r="C21" s="88">
        <f>'Skjema total MA'!C29</f>
        <v>43785593.137016952</v>
      </c>
      <c r="D21" s="217">
        <f t="shared" ref="D21:D27" si="4">IF(B21=0, "    ---- ", IF(ABS(ROUND(100/B21*C21-100,1))&lt;999,ROUND(100/B21*C21-100,1),IF(ROUND(100/B21*C21-100,1)&gt;999,999,-999)))</f>
        <v>0.3</v>
      </c>
      <c r="E21" s="167"/>
      <c r="F21" s="181">
        <f>'Skjema total MA'!E29</f>
        <v>25512625.745310001</v>
      </c>
      <c r="G21" s="181">
        <f>'Skjema total MA'!F29</f>
        <v>28475620.883710001</v>
      </c>
      <c r="H21" s="217">
        <f t="shared" si="2"/>
        <v>11.6</v>
      </c>
      <c r="I21" s="167"/>
      <c r="J21" s="181">
        <f t="shared" si="0"/>
        <v>69180128.301786482</v>
      </c>
      <c r="K21" s="181">
        <f t="shared" si="0"/>
        <v>72261214.020726949</v>
      </c>
      <c r="L21" s="215">
        <f t="shared" si="3"/>
        <v>4.5</v>
      </c>
      <c r="M21" s="58"/>
    </row>
    <row r="22" spans="1:23" ht="18.75" x14ac:dyDescent="0.3">
      <c r="A22" s="178" t="s">
        <v>105</v>
      </c>
      <c r="B22" s="88">
        <f>'Skjema total MA'!B87</f>
        <v>397026780.84059429</v>
      </c>
      <c r="C22" s="88">
        <f>'Skjema total MA'!C87</f>
        <v>403963693.13131827</v>
      </c>
      <c r="D22" s="217">
        <f t="shared" si="4"/>
        <v>1.7</v>
      </c>
      <c r="E22" s="167"/>
      <c r="F22" s="181">
        <f>'Skjema total MA'!E87</f>
        <v>500064979.81580997</v>
      </c>
      <c r="G22" s="181">
        <f>'Skjema total MA'!F87</f>
        <v>612676988.24200487</v>
      </c>
      <c r="H22" s="217">
        <f t="shared" si="2"/>
        <v>22.5</v>
      </c>
      <c r="I22" s="167"/>
      <c r="J22" s="181">
        <f t="shared" si="0"/>
        <v>897091760.65640426</v>
      </c>
      <c r="K22" s="181">
        <f t="shared" si="0"/>
        <v>1016640681.3733232</v>
      </c>
      <c r="L22" s="215">
        <f t="shared" si="3"/>
        <v>13.3</v>
      </c>
      <c r="M22" s="58"/>
    </row>
    <row r="23" spans="1:23" ht="22.5" x14ac:dyDescent="0.3">
      <c r="A23" s="178" t="s">
        <v>110</v>
      </c>
      <c r="B23" s="88">
        <f>'Skjema total MA'!B89</f>
        <v>2232187.1710925698</v>
      </c>
      <c r="C23" s="88">
        <f>'Skjema total MA'!C89</f>
        <v>2394733.1854943</v>
      </c>
      <c r="D23" s="217">
        <f t="shared" si="4"/>
        <v>7.3</v>
      </c>
      <c r="E23" s="167"/>
      <c r="F23" s="181">
        <f>'Skjema total MA'!E89</f>
        <v>493127385.6782999</v>
      </c>
      <c r="G23" s="181">
        <f>'Skjema total MA'!F89</f>
        <v>603422703.44499493</v>
      </c>
      <c r="H23" s="217">
        <f t="shared" si="2"/>
        <v>22.4</v>
      </c>
      <c r="I23" s="167"/>
      <c r="J23" s="181">
        <f t="shared" si="0"/>
        <v>495359572.84939247</v>
      </c>
      <c r="K23" s="181">
        <f t="shared" si="0"/>
        <v>605817436.63048923</v>
      </c>
      <c r="L23" s="215">
        <f t="shared" si="3"/>
        <v>22.3</v>
      </c>
      <c r="M23" s="58"/>
    </row>
    <row r="24" spans="1:23" ht="18.75" x14ac:dyDescent="0.3">
      <c r="A24" s="179" t="s">
        <v>107</v>
      </c>
      <c r="B24" s="88">
        <f>'Skjema total MA'!B96+'Skjema total MA'!B97</f>
        <v>13797802.818920001</v>
      </c>
      <c r="C24" s="88">
        <f>'Skjema total MA'!C96+'Skjema total MA'!C97</f>
        <v>17438473.80892</v>
      </c>
      <c r="D24" s="217">
        <f t="shared" si="4"/>
        <v>26.4</v>
      </c>
      <c r="E24" s="167"/>
      <c r="F24" s="181">
        <f>'Skjema total MA'!E96+'Skjema total MA'!E97</f>
        <v>6937594.1375099998</v>
      </c>
      <c r="G24" s="181">
        <f>'Skjema total MA'!F96+'Skjema total MA'!F97</f>
        <v>9254284.7970100008</v>
      </c>
      <c r="H24" s="217">
        <f t="shared" si="2"/>
        <v>33.4</v>
      </c>
      <c r="I24" s="167"/>
      <c r="J24" s="181">
        <f t="shared" si="0"/>
        <v>20735396.956430003</v>
      </c>
      <c r="K24" s="181">
        <f t="shared" si="0"/>
        <v>26692758.605930001</v>
      </c>
      <c r="L24" s="215">
        <f t="shared" si="3"/>
        <v>28.7</v>
      </c>
      <c r="M24" s="58"/>
    </row>
    <row r="25" spans="1:23" ht="22.5" x14ac:dyDescent="0.3">
      <c r="A25" s="178" t="s">
        <v>312</v>
      </c>
      <c r="B25" s="88">
        <f>'Skjema total MA'!B135</f>
        <v>820916631.14503992</v>
      </c>
      <c r="C25" s="88">
        <f>'Skjema total MA'!C135</f>
        <v>890183698.16070008</v>
      </c>
      <c r="D25" s="217">
        <f t="shared" si="4"/>
        <v>8.4</v>
      </c>
      <c r="E25" s="167"/>
      <c r="F25" s="181">
        <f>'Skjema total MA'!E135</f>
        <v>2792444.4909299999</v>
      </c>
      <c r="G25" s="181">
        <f>'Skjema total MA'!F135</f>
        <v>2890424.3207899998</v>
      </c>
      <c r="H25" s="217">
        <f t="shared" si="2"/>
        <v>3.5</v>
      </c>
      <c r="I25" s="167"/>
      <c r="J25" s="181">
        <f t="shared" si="0"/>
        <v>823709075.63596988</v>
      </c>
      <c r="K25" s="181">
        <f t="shared" si="0"/>
        <v>893074122.48149014</v>
      </c>
      <c r="L25" s="215">
        <f t="shared" si="3"/>
        <v>8.4</v>
      </c>
      <c r="M25" s="58"/>
    </row>
    <row r="26" spans="1:23" ht="18.75" x14ac:dyDescent="0.3">
      <c r="A26" s="178" t="s">
        <v>108</v>
      </c>
      <c r="B26" s="88">
        <f>'Skjema total MA'!B37</f>
        <v>2801804.2418900002</v>
      </c>
      <c r="C26" s="88">
        <f>'Skjema total MA'!C37</f>
        <v>2592560.2279099999</v>
      </c>
      <c r="D26" s="217">
        <f t="shared" si="4"/>
        <v>-7.5</v>
      </c>
      <c r="E26" s="167"/>
      <c r="F26" s="181">
        <f>'Skjema total MA'!E37</f>
        <v>0</v>
      </c>
      <c r="G26" s="181">
        <f>'Skjema total MA'!F37</f>
        <v>0</v>
      </c>
      <c r="H26" s="217"/>
      <c r="I26" s="167"/>
      <c r="J26" s="181">
        <f t="shared" si="0"/>
        <v>2801804.2418900002</v>
      </c>
      <c r="K26" s="181">
        <f t="shared" si="0"/>
        <v>2592560.2279099999</v>
      </c>
      <c r="L26" s="215">
        <f t="shared" si="3"/>
        <v>-7.5</v>
      </c>
      <c r="M26" s="58"/>
    </row>
    <row r="27" spans="1:23" s="120" customFormat="1" ht="18.75" x14ac:dyDescent="0.3">
      <c r="A27" s="122" t="s">
        <v>111</v>
      </c>
      <c r="B27" s="95">
        <f>'Tabel 1.1'!G32</f>
        <v>1278779277.8546374</v>
      </c>
      <c r="C27" s="183">
        <f>'Tabel 1.1'!H32</f>
        <v>1353764860.9761891</v>
      </c>
      <c r="D27" s="217">
        <f t="shared" si="4"/>
        <v>5.9</v>
      </c>
      <c r="E27" s="123"/>
      <c r="F27" s="183">
        <f>'Tabel 1.1'!G41</f>
        <v>607141307.61822987</v>
      </c>
      <c r="G27" s="183">
        <f>'Tabel 1.1'!H41</f>
        <v>737817507.72475994</v>
      </c>
      <c r="H27" s="217">
        <f t="shared" si="2"/>
        <v>21.5</v>
      </c>
      <c r="I27" s="123"/>
      <c r="J27" s="183">
        <f t="shared" si="0"/>
        <v>1885920585.4728673</v>
      </c>
      <c r="K27" s="183">
        <f t="shared" si="0"/>
        <v>2091582368.7009492</v>
      </c>
      <c r="L27" s="215">
        <f t="shared" si="3"/>
        <v>10.9</v>
      </c>
      <c r="M27" s="59"/>
      <c r="N27" s="119"/>
      <c r="O27" s="119"/>
    </row>
    <row r="28" spans="1:23" ht="18.75" x14ac:dyDescent="0.3">
      <c r="A28" s="122"/>
      <c r="B28" s="88"/>
      <c r="C28" s="181"/>
      <c r="D28" s="217"/>
      <c r="E28" s="167"/>
      <c r="F28" s="181"/>
      <c r="G28" s="181"/>
      <c r="H28" s="217"/>
      <c r="I28" s="167"/>
      <c r="J28" s="181">
        <f t="shared" si="0"/>
        <v>0</v>
      </c>
      <c r="K28" s="181">
        <f t="shared" si="0"/>
        <v>0</v>
      </c>
      <c r="L28" s="215"/>
      <c r="M28" s="58"/>
    </row>
    <row r="29" spans="1:23" ht="22.5" x14ac:dyDescent="0.3">
      <c r="A29" s="177" t="s">
        <v>314</v>
      </c>
      <c r="B29" s="185"/>
      <c r="C29" s="188"/>
      <c r="D29" s="181"/>
      <c r="E29" s="167"/>
      <c r="F29" s="181"/>
      <c r="G29" s="181"/>
      <c r="H29" s="217"/>
      <c r="I29" s="167"/>
      <c r="J29" s="181"/>
      <c r="K29" s="181"/>
      <c r="L29" s="215"/>
      <c r="M29" s="58"/>
    </row>
    <row r="30" spans="1:23" ht="18.75" x14ac:dyDescent="0.3">
      <c r="A30" s="178" t="s">
        <v>102</v>
      </c>
      <c r="B30" s="88">
        <f>'Skjema total MA'!B11</f>
        <v>24653</v>
      </c>
      <c r="C30" s="88">
        <f>'Skjema total MA'!C11</f>
        <v>0</v>
      </c>
      <c r="D30" s="217">
        <f>IF(B30=0, "    ---- ", IF(ABS(ROUND(100/B30*C30-100,1))&lt;999,ROUND(100/B30*C30-100,1),IF(ROUND(100/B30*C30-100,1)&gt;999,999,-999)))</f>
        <v>-100</v>
      </c>
      <c r="E30" s="167"/>
      <c r="F30" s="181">
        <f>'Skjema total MA'!E11</f>
        <v>120705.76566000008</v>
      </c>
      <c r="G30" s="181">
        <f>'Skjema total MA'!F11</f>
        <v>203568.15708999999</v>
      </c>
      <c r="H30" s="217">
        <f t="shared" si="2"/>
        <v>68.599999999999994</v>
      </c>
      <c r="I30" s="167"/>
      <c r="J30" s="181">
        <f t="shared" si="0"/>
        <v>145358.76566000009</v>
      </c>
      <c r="K30" s="181">
        <f t="shared" si="0"/>
        <v>203568.15708999999</v>
      </c>
      <c r="L30" s="215">
        <f t="shared" si="3"/>
        <v>40</v>
      </c>
      <c r="M30" s="58"/>
    </row>
    <row r="31" spans="1:23" ht="18.75" x14ac:dyDescent="0.3">
      <c r="A31" s="178" t="s">
        <v>103</v>
      </c>
      <c r="B31" s="88">
        <f>'Skjema total MA'!B34</f>
        <v>14451.14842</v>
      </c>
      <c r="C31" s="88">
        <f>'Skjema total MA'!C34</f>
        <v>11320.142</v>
      </c>
      <c r="D31" s="217">
        <f t="shared" ref="D31:D38" si="5">IF(B31=0, "    ---- ", IF(ABS(ROUND(100/B31*C31-100,1))&lt;999,ROUND(100/B31*C31-100,1),IF(ROUND(100/B31*C31-100,1)&gt;999,999,-999)))</f>
        <v>-21.7</v>
      </c>
      <c r="E31" s="167"/>
      <c r="F31" s="181">
        <f>'Skjema total MA'!E34</f>
        <v>7292.22552</v>
      </c>
      <c r="G31" s="181">
        <f>'Skjema total MA'!F34</f>
        <v>-102207.92419000001</v>
      </c>
      <c r="H31" s="217">
        <f t="shared" si="2"/>
        <v>-999</v>
      </c>
      <c r="I31" s="167"/>
      <c r="J31" s="181">
        <f t="shared" si="0"/>
        <v>21743.373939999998</v>
      </c>
      <c r="K31" s="181">
        <f t="shared" si="0"/>
        <v>-90887.782189999998</v>
      </c>
      <c r="L31" s="215">
        <f t="shared" si="3"/>
        <v>-518</v>
      </c>
      <c r="M31" s="58"/>
    </row>
    <row r="32" spans="1:23" ht="18.75" x14ac:dyDescent="0.3">
      <c r="A32" s="178" t="s">
        <v>105</v>
      </c>
      <c r="B32" s="88">
        <f>'Skjema total MA'!B111</f>
        <v>261243.46815</v>
      </c>
      <c r="C32" s="88">
        <f>'Skjema total MA'!C111</f>
        <v>337334.94871999999</v>
      </c>
      <c r="D32" s="217">
        <f t="shared" si="5"/>
        <v>29.1</v>
      </c>
      <c r="E32" s="167"/>
      <c r="F32" s="181">
        <f>'Skjema total MA'!E111</f>
        <v>25436204.317709997</v>
      </c>
      <c r="G32" s="181">
        <f>'Skjema total MA'!F111</f>
        <v>26359634.33255</v>
      </c>
      <c r="H32" s="217">
        <f t="shared" si="2"/>
        <v>3.6</v>
      </c>
      <c r="I32" s="167"/>
      <c r="J32" s="181">
        <f t="shared" si="0"/>
        <v>25697447.785859998</v>
      </c>
      <c r="K32" s="181">
        <f t="shared" si="0"/>
        <v>26696969.281270001</v>
      </c>
      <c r="L32" s="215">
        <f t="shared" si="3"/>
        <v>3.9</v>
      </c>
      <c r="M32" s="58"/>
    </row>
    <row r="33" spans="1:15" ht="22.5" x14ac:dyDescent="0.3">
      <c r="A33" s="178" t="s">
        <v>312</v>
      </c>
      <c r="B33" s="88">
        <f>'Skjema total MA'!B136</f>
        <v>889906.05099999998</v>
      </c>
      <c r="C33" s="88">
        <f>'Skjema total MA'!C136</f>
        <v>2285445.0349999997</v>
      </c>
      <c r="D33" s="217">
        <f t="shared" si="5"/>
        <v>156.80000000000001</v>
      </c>
      <c r="E33" s="167"/>
      <c r="F33" s="181">
        <f>'Skjema total MA'!E136</f>
        <v>0</v>
      </c>
      <c r="G33" s="181">
        <f>'Skjema total MA'!F136</f>
        <v>-182.05500000000001</v>
      </c>
      <c r="H33" s="217" t="str">
        <f t="shared" si="2"/>
        <v xml:space="preserve">    ---- </v>
      </c>
      <c r="I33" s="167"/>
      <c r="J33" s="181">
        <f t="shared" si="0"/>
        <v>889906.05099999998</v>
      </c>
      <c r="K33" s="181">
        <f t="shared" si="0"/>
        <v>2285262.9799999995</v>
      </c>
      <c r="L33" s="215">
        <f t="shared" si="3"/>
        <v>156.80000000000001</v>
      </c>
      <c r="M33" s="58"/>
    </row>
    <row r="34" spans="1:15" ht="18.75" x14ac:dyDescent="0.3">
      <c r="A34" s="178" t="s">
        <v>108</v>
      </c>
      <c r="B34" s="88">
        <f>'Skjema total MA'!B38</f>
        <v>0</v>
      </c>
      <c r="C34" s="88">
        <f>'Skjema total MA'!C38</f>
        <v>0</v>
      </c>
      <c r="D34" s="217"/>
      <c r="E34" s="167"/>
      <c r="F34" s="181">
        <f>'Skjema total MA'!E38</f>
        <v>0</v>
      </c>
      <c r="G34" s="181">
        <f>'Skjema total MA'!F38</f>
        <v>0</v>
      </c>
      <c r="H34" s="217"/>
      <c r="I34" s="167"/>
      <c r="J34" s="181">
        <f t="shared" si="0"/>
        <v>0</v>
      </c>
      <c r="K34" s="181">
        <f t="shared" si="0"/>
        <v>0</v>
      </c>
      <c r="L34" s="215"/>
      <c r="M34" s="58"/>
    </row>
    <row r="35" spans="1:15" s="120" customFormat="1" ht="18.75" x14ac:dyDescent="0.3">
      <c r="A35" s="122" t="s">
        <v>112</v>
      </c>
      <c r="B35" s="95">
        <f>SUM(B30:B34)</f>
        <v>1190253.66757</v>
      </c>
      <c r="C35" s="183">
        <f>SUM(C30:C34)</f>
        <v>2634100.1257199999</v>
      </c>
      <c r="D35" s="217">
        <f t="shared" si="5"/>
        <v>121.3</v>
      </c>
      <c r="E35" s="123"/>
      <c r="F35" s="183">
        <f>SUM(F30:F34)</f>
        <v>25564202.308889996</v>
      </c>
      <c r="G35" s="183">
        <f>SUM(G30:G34)</f>
        <v>26460812.510450002</v>
      </c>
      <c r="H35" s="217">
        <f t="shared" si="2"/>
        <v>3.5</v>
      </c>
      <c r="I35" s="123"/>
      <c r="J35" s="183">
        <f t="shared" si="0"/>
        <v>26754455.976459995</v>
      </c>
      <c r="K35" s="183">
        <f t="shared" si="0"/>
        <v>29094912.63617</v>
      </c>
      <c r="L35" s="215">
        <f t="shared" si="3"/>
        <v>8.6999999999999993</v>
      </c>
      <c r="M35" s="59"/>
    </row>
    <row r="36" spans="1:15" ht="18.75" x14ac:dyDescent="0.3">
      <c r="A36" s="122"/>
      <c r="B36" s="95"/>
      <c r="C36" s="183"/>
      <c r="D36" s="217"/>
      <c r="E36" s="123"/>
      <c r="F36" s="183"/>
      <c r="G36" s="183"/>
      <c r="H36" s="217"/>
      <c r="I36" s="123"/>
      <c r="J36" s="181"/>
      <c r="K36" s="181"/>
      <c r="L36" s="215"/>
      <c r="M36" s="58"/>
    </row>
    <row r="37" spans="1:15" ht="22.5" x14ac:dyDescent="0.3">
      <c r="A37" s="122" t="s">
        <v>315</v>
      </c>
      <c r="B37" s="95"/>
      <c r="C37" s="183"/>
      <c r="D37" s="181"/>
      <c r="E37" s="123"/>
      <c r="F37" s="183"/>
      <c r="G37" s="183"/>
      <c r="H37" s="217"/>
      <c r="I37" s="123"/>
      <c r="J37" s="181"/>
      <c r="K37" s="181"/>
      <c r="L37" s="215"/>
      <c r="M37" s="58"/>
    </row>
    <row r="38" spans="1:15" s="120" customFormat="1" ht="18.75" x14ac:dyDescent="0.3">
      <c r="A38" s="122" t="s">
        <v>104</v>
      </c>
      <c r="B38" s="95">
        <f>'Skjema total MA'!B53</f>
        <v>166867.20600000001</v>
      </c>
      <c r="C38" s="95">
        <f>'Skjema total MA'!C53</f>
        <v>160218.91967784814</v>
      </c>
      <c r="D38" s="217">
        <f t="shared" si="5"/>
        <v>-4</v>
      </c>
      <c r="E38" s="123"/>
      <c r="F38" s="183"/>
      <c r="G38" s="183"/>
      <c r="H38" s="217"/>
      <c r="I38" s="123"/>
      <c r="J38" s="183">
        <f t="shared" si="0"/>
        <v>166867.20600000001</v>
      </c>
      <c r="K38" s="183">
        <f t="shared" si="0"/>
        <v>160218.91967784814</v>
      </c>
      <c r="L38" s="215">
        <f t="shared" si="3"/>
        <v>-4</v>
      </c>
      <c r="M38" s="59"/>
    </row>
    <row r="39" spans="1:15" ht="18.75" x14ac:dyDescent="0.3">
      <c r="A39" s="122"/>
      <c r="B39" s="95"/>
      <c r="C39" s="183"/>
      <c r="D39" s="181"/>
      <c r="E39" s="123"/>
      <c r="F39" s="183"/>
      <c r="G39" s="183"/>
      <c r="H39" s="217"/>
      <c r="I39" s="123"/>
      <c r="J39" s="181"/>
      <c r="K39" s="181"/>
      <c r="L39" s="215"/>
      <c r="M39" s="58"/>
    </row>
    <row r="40" spans="1:15" ht="22.5" x14ac:dyDescent="0.3">
      <c r="A40" s="177" t="s">
        <v>316</v>
      </c>
      <c r="B40" s="185"/>
      <c r="C40" s="188"/>
      <c r="D40" s="181"/>
      <c r="E40" s="167"/>
      <c r="F40" s="181"/>
      <c r="G40" s="181"/>
      <c r="H40" s="217"/>
      <c r="I40" s="167"/>
      <c r="J40" s="181"/>
      <c r="K40" s="181"/>
      <c r="L40" s="215"/>
      <c r="M40" s="58"/>
    </row>
    <row r="41" spans="1:15" ht="18.75" x14ac:dyDescent="0.3">
      <c r="A41" s="178" t="s">
        <v>102</v>
      </c>
      <c r="B41" s="88">
        <f>'Skjema total MA'!B12</f>
        <v>1615</v>
      </c>
      <c r="C41" s="88">
        <f>'Skjema total MA'!C12</f>
        <v>0</v>
      </c>
      <c r="D41" s="217">
        <f>IF(B41=0, "    ---- ", IF(ABS(ROUND(100/B41*C41-100,1))&lt;999,ROUND(100/B41*C41-100,1),IF(ROUND(100/B41*C41-100,1)&gt;999,999,-999)))</f>
        <v>-100</v>
      </c>
      <c r="E41" s="167"/>
      <c r="F41" s="181">
        <f>'Skjema total MA'!E12</f>
        <v>101483.09708000001</v>
      </c>
      <c r="G41" s="181">
        <f>'Skjema total MA'!F12</f>
        <v>216077.60194000002</v>
      </c>
      <c r="H41" s="217">
        <f t="shared" si="2"/>
        <v>112.9</v>
      </c>
      <c r="I41" s="167"/>
      <c r="J41" s="181">
        <f t="shared" si="0"/>
        <v>103098.09708000001</v>
      </c>
      <c r="K41" s="181">
        <f t="shared" si="0"/>
        <v>216077.60194000002</v>
      </c>
      <c r="L41" s="215">
        <f t="shared" si="3"/>
        <v>109.6</v>
      </c>
      <c r="M41" s="58"/>
    </row>
    <row r="42" spans="1:15" ht="18.75" x14ac:dyDescent="0.3">
      <c r="A42" s="178" t="s">
        <v>103</v>
      </c>
      <c r="B42" s="88">
        <f>'Skjema total MA'!B35</f>
        <v>-54901.454669999999</v>
      </c>
      <c r="C42" s="88">
        <f>'Skjema total MA'!C35</f>
        <v>-192255.51553999999</v>
      </c>
      <c r="D42" s="217">
        <f t="shared" ref="D42:D46" si="6">IF(B42=0, "    ---- ", IF(ABS(ROUND(100/B42*C42-100,1))&lt;999,ROUND(100/B42*C42-100,1),IF(ROUND(100/B42*C42-100,1)&gt;999,999,-999)))</f>
        <v>250.2</v>
      </c>
      <c r="E42" s="167"/>
      <c r="F42" s="181">
        <f>'Skjema total MA'!E35</f>
        <v>72499.816059999997</v>
      </c>
      <c r="G42" s="181">
        <f>'Skjema total MA'!F35</f>
        <v>109784.40388</v>
      </c>
      <c r="H42" s="217">
        <f t="shared" si="2"/>
        <v>51.4</v>
      </c>
      <c r="I42" s="167"/>
      <c r="J42" s="181">
        <f t="shared" si="0"/>
        <v>17598.361389999998</v>
      </c>
      <c r="K42" s="181">
        <f t="shared" si="0"/>
        <v>-82471.111659999995</v>
      </c>
      <c r="L42" s="215">
        <f t="shared" si="3"/>
        <v>-568.6</v>
      </c>
      <c r="M42" s="58"/>
    </row>
    <row r="43" spans="1:15" ht="18.75" x14ac:dyDescent="0.3">
      <c r="A43" s="178" t="s">
        <v>105</v>
      </c>
      <c r="B43" s="88">
        <f>'Skjema total MA'!B119</f>
        <v>309382.18416000094</v>
      </c>
      <c r="C43" s="88">
        <f>'Skjema total MA'!C119</f>
        <v>170992.5613099995</v>
      </c>
      <c r="D43" s="217">
        <f t="shared" si="6"/>
        <v>-44.7</v>
      </c>
      <c r="E43" s="167"/>
      <c r="F43" s="181">
        <f>'Skjema total MA'!E119</f>
        <v>23305724.064889997</v>
      </c>
      <c r="G43" s="181">
        <f>'Skjema total MA'!F119</f>
        <v>29091608.48065</v>
      </c>
      <c r="H43" s="217">
        <f t="shared" si="2"/>
        <v>24.8</v>
      </c>
      <c r="I43" s="167"/>
      <c r="J43" s="181">
        <f t="shared" si="0"/>
        <v>23615106.249049999</v>
      </c>
      <c r="K43" s="181">
        <f t="shared" si="0"/>
        <v>29262601.041960001</v>
      </c>
      <c r="L43" s="215">
        <f t="shared" si="3"/>
        <v>23.9</v>
      </c>
      <c r="M43" s="58"/>
    </row>
    <row r="44" spans="1:15" ht="22.5" x14ac:dyDescent="0.3">
      <c r="A44" s="178" t="s">
        <v>312</v>
      </c>
      <c r="B44" s="88">
        <f>'Skjema total MA'!B137</f>
        <v>2121172.8709999998</v>
      </c>
      <c r="C44" s="88">
        <f>'Skjema total MA'!C137</f>
        <v>2298166.9709999999</v>
      </c>
      <c r="D44" s="217">
        <f t="shared" si="6"/>
        <v>8.3000000000000007</v>
      </c>
      <c r="E44" s="167"/>
      <c r="F44" s="181">
        <f>'Skjema total MA'!E137</f>
        <v>0</v>
      </c>
      <c r="G44" s="181">
        <f>'Skjema total MA'!F137</f>
        <v>0</v>
      </c>
      <c r="H44" s="217"/>
      <c r="I44" s="167"/>
      <c r="J44" s="181">
        <f t="shared" si="0"/>
        <v>2121172.8709999998</v>
      </c>
      <c r="K44" s="181">
        <f t="shared" si="0"/>
        <v>2298166.9709999999</v>
      </c>
      <c r="L44" s="215">
        <f t="shared" si="3"/>
        <v>8.3000000000000007</v>
      </c>
      <c r="M44" s="58"/>
    </row>
    <row r="45" spans="1:15" ht="18.75" x14ac:dyDescent="0.3">
      <c r="A45" s="178" t="s">
        <v>108</v>
      </c>
      <c r="B45" s="88">
        <f>'Skjema total MA'!B39</f>
        <v>8</v>
      </c>
      <c r="C45" s="88">
        <f>'Skjema total MA'!C39</f>
        <v>1</v>
      </c>
      <c r="D45" s="217">
        <f t="shared" si="6"/>
        <v>-87.5</v>
      </c>
      <c r="E45" s="167"/>
      <c r="F45" s="181"/>
      <c r="G45" s="181"/>
      <c r="H45" s="217"/>
      <c r="I45" s="167"/>
      <c r="J45" s="181">
        <f t="shared" si="0"/>
        <v>8</v>
      </c>
      <c r="K45" s="181">
        <f t="shared" si="0"/>
        <v>1</v>
      </c>
      <c r="L45" s="215">
        <f t="shared" si="3"/>
        <v>-87.5</v>
      </c>
      <c r="M45" s="58"/>
    </row>
    <row r="46" spans="1:15" s="120" customFormat="1" ht="18.75" x14ac:dyDescent="0.3">
      <c r="A46" s="122" t="s">
        <v>113</v>
      </c>
      <c r="B46" s="95">
        <f>SUM(B41:B45)</f>
        <v>2377276.6004900006</v>
      </c>
      <c r="C46" s="183">
        <f>SUM(C41:C45)</f>
        <v>2276905.0167699996</v>
      </c>
      <c r="D46" s="217">
        <f t="shared" si="6"/>
        <v>-4.2</v>
      </c>
      <c r="E46" s="123"/>
      <c r="F46" s="183">
        <f>SUM(F41:F45)</f>
        <v>23479706.978029996</v>
      </c>
      <c r="G46" s="257">
        <f>SUM(G41:G45)</f>
        <v>29417470.486469999</v>
      </c>
      <c r="H46" s="217">
        <f t="shared" si="2"/>
        <v>25.3</v>
      </c>
      <c r="I46" s="123"/>
      <c r="J46" s="183">
        <f t="shared" si="0"/>
        <v>25856983.578519996</v>
      </c>
      <c r="K46" s="183">
        <f t="shared" si="0"/>
        <v>31694375.503239997</v>
      </c>
      <c r="L46" s="215">
        <f t="shared" si="3"/>
        <v>22.6</v>
      </c>
      <c r="M46" s="59"/>
      <c r="N46" s="119"/>
      <c r="O46" s="119"/>
    </row>
    <row r="47" spans="1:15" ht="18.75" x14ac:dyDescent="0.3">
      <c r="A47" s="122"/>
      <c r="B47" s="95"/>
      <c r="C47" s="183"/>
      <c r="D47" s="181"/>
      <c r="E47" s="123"/>
      <c r="F47" s="183"/>
      <c r="G47" s="183"/>
      <c r="H47" s="217"/>
      <c r="I47" s="123"/>
      <c r="J47" s="181"/>
      <c r="K47" s="181"/>
      <c r="L47" s="215"/>
      <c r="M47" s="58"/>
    </row>
    <row r="48" spans="1:15" ht="22.5" x14ac:dyDescent="0.3">
      <c r="A48" s="122" t="s">
        <v>317</v>
      </c>
      <c r="B48" s="95"/>
      <c r="C48" s="183"/>
      <c r="D48" s="181"/>
      <c r="E48" s="123"/>
      <c r="F48" s="183"/>
      <c r="G48" s="183"/>
      <c r="H48" s="217"/>
      <c r="I48" s="123"/>
      <c r="J48" s="181"/>
      <c r="K48" s="181"/>
      <c r="L48" s="215"/>
      <c r="M48" s="58"/>
    </row>
    <row r="49" spans="1:15" s="120" customFormat="1" ht="18.75" x14ac:dyDescent="0.3">
      <c r="A49" s="122" t="s">
        <v>104</v>
      </c>
      <c r="B49" s="95">
        <f>'Skjema total MA'!B56</f>
        <v>98618.975999999995</v>
      </c>
      <c r="C49" s="95">
        <f>'Skjema total MA'!C56</f>
        <v>146264.49600000001</v>
      </c>
      <c r="D49" s="217">
        <f t="shared" ref="D49" si="7">IF(B49=0, "    ---- ", IF(ABS(ROUND(100/B49*C49-100,1))&lt;999,ROUND(100/B49*C49-100,1),IF(ROUND(100/B49*C49-100,1)&gt;999,999,-999)))</f>
        <v>48.3</v>
      </c>
      <c r="E49" s="123"/>
      <c r="F49" s="183"/>
      <c r="G49" s="183"/>
      <c r="H49" s="217"/>
      <c r="I49" s="123"/>
      <c r="J49" s="183">
        <f>SUM(B49+F49)</f>
        <v>98618.975999999995</v>
      </c>
      <c r="K49" s="183">
        <f>SUM(C49+G49)</f>
        <v>146264.49600000001</v>
      </c>
      <c r="L49" s="215">
        <f t="shared" si="3"/>
        <v>48.3</v>
      </c>
      <c r="M49" s="59"/>
    </row>
    <row r="50" spans="1:15" ht="18.75" x14ac:dyDescent="0.3">
      <c r="A50" s="122"/>
      <c r="B50" s="88"/>
      <c r="C50" s="181"/>
      <c r="D50" s="181"/>
      <c r="E50" s="167"/>
      <c r="F50" s="181"/>
      <c r="G50" s="181"/>
      <c r="H50" s="217"/>
      <c r="I50" s="167"/>
      <c r="J50" s="181"/>
      <c r="K50" s="181"/>
      <c r="L50" s="215"/>
      <c r="M50" s="58"/>
    </row>
    <row r="51" spans="1:15" ht="21.75" x14ac:dyDescent="0.3">
      <c r="A51" s="177" t="s">
        <v>318</v>
      </c>
      <c r="B51" s="88"/>
      <c r="C51" s="181"/>
      <c r="D51" s="181"/>
      <c r="E51" s="167"/>
      <c r="F51" s="181"/>
      <c r="G51" s="181"/>
      <c r="H51" s="217"/>
      <c r="I51" s="167"/>
      <c r="J51" s="181"/>
      <c r="K51" s="181"/>
      <c r="L51" s="215"/>
      <c r="M51" s="58"/>
    </row>
    <row r="52" spans="1:15" ht="18.75" x14ac:dyDescent="0.3">
      <c r="A52" s="178" t="s">
        <v>102</v>
      </c>
      <c r="B52" s="88">
        <f>B30-B41</f>
        <v>23038</v>
      </c>
      <c r="C52" s="181">
        <f>C30-C41</f>
        <v>0</v>
      </c>
      <c r="D52" s="217">
        <f>IF(B52=0, "    ---- ", IF(ABS(ROUND(100/B52*C52-100,1))&lt;999,ROUND(100/B52*C52-100,1),IF(ROUND(100/B52*C52-100,1)&gt;999,999,-999)))</f>
        <v>-100</v>
      </c>
      <c r="E52" s="167"/>
      <c r="F52" s="181">
        <f>F30-F41</f>
        <v>19222.668580000071</v>
      </c>
      <c r="G52" s="181">
        <f>G30-G41</f>
        <v>-12509.444850000029</v>
      </c>
      <c r="H52" s="217">
        <f t="shared" si="2"/>
        <v>-165.1</v>
      </c>
      <c r="I52" s="167"/>
      <c r="J52" s="181">
        <f t="shared" si="0"/>
        <v>42260.668580000071</v>
      </c>
      <c r="K52" s="181">
        <f t="shared" si="0"/>
        <v>-12509.444850000029</v>
      </c>
      <c r="L52" s="215">
        <f t="shared" si="3"/>
        <v>-129.6</v>
      </c>
      <c r="M52" s="58"/>
    </row>
    <row r="53" spans="1:15" ht="18.75" x14ac:dyDescent="0.3">
      <c r="A53" s="178" t="s">
        <v>103</v>
      </c>
      <c r="B53" s="88">
        <f t="shared" ref="B53:C56" si="8">B31-B42</f>
        <v>69352.603090000004</v>
      </c>
      <c r="C53" s="181">
        <f t="shared" si="8"/>
        <v>203575.65753999999</v>
      </c>
      <c r="D53" s="217">
        <f t="shared" ref="D53:D60" si="9">IF(B53=0, "    ---- ", IF(ABS(ROUND(100/B53*C53-100,1))&lt;999,ROUND(100/B53*C53-100,1),IF(ROUND(100/B53*C53-100,1)&gt;999,999,-999)))</f>
        <v>193.5</v>
      </c>
      <c r="E53" s="167"/>
      <c r="F53" s="181">
        <f t="shared" ref="F53:G56" si="10">F31-F42</f>
        <v>-65207.590539999997</v>
      </c>
      <c r="G53" s="181">
        <f t="shared" si="10"/>
        <v>-211992.32806999999</v>
      </c>
      <c r="H53" s="217">
        <f t="shared" si="2"/>
        <v>225.1</v>
      </c>
      <c r="I53" s="167"/>
      <c r="J53" s="181">
        <f t="shared" si="0"/>
        <v>4145.0125500000067</v>
      </c>
      <c r="K53" s="181">
        <f t="shared" si="0"/>
        <v>-8416.6705300000031</v>
      </c>
      <c r="L53" s="215">
        <f t="shared" si="3"/>
        <v>-303.10000000000002</v>
      </c>
      <c r="M53" s="58"/>
    </row>
    <row r="54" spans="1:15" ht="18.75" x14ac:dyDescent="0.3">
      <c r="A54" s="178" t="s">
        <v>105</v>
      </c>
      <c r="B54" s="88">
        <f t="shared" si="8"/>
        <v>-48138.716010000935</v>
      </c>
      <c r="C54" s="181">
        <f t="shared" si="8"/>
        <v>166342.38741000049</v>
      </c>
      <c r="D54" s="217">
        <f t="shared" si="9"/>
        <v>-445.5</v>
      </c>
      <c r="E54" s="167"/>
      <c r="F54" s="181">
        <f t="shared" si="10"/>
        <v>2130480.2528200001</v>
      </c>
      <c r="G54" s="181">
        <f t="shared" si="10"/>
        <v>-2731974.1480999999</v>
      </c>
      <c r="H54" s="217">
        <f t="shared" si="2"/>
        <v>-228.2</v>
      </c>
      <c r="I54" s="167"/>
      <c r="J54" s="181">
        <f t="shared" si="0"/>
        <v>2082341.536809999</v>
      </c>
      <c r="K54" s="181">
        <f t="shared" si="0"/>
        <v>-2565631.7606899994</v>
      </c>
      <c r="L54" s="215">
        <f t="shared" si="3"/>
        <v>-223.2</v>
      </c>
      <c r="M54" s="58"/>
    </row>
    <row r="55" spans="1:15" ht="22.5" x14ac:dyDescent="0.3">
      <c r="A55" s="178" t="s">
        <v>312</v>
      </c>
      <c r="B55" s="88">
        <f t="shared" si="8"/>
        <v>-1231266.8199999998</v>
      </c>
      <c r="C55" s="181">
        <f t="shared" si="8"/>
        <v>-12721.93600000022</v>
      </c>
      <c r="D55" s="217">
        <f t="shared" si="9"/>
        <v>-99</v>
      </c>
      <c r="E55" s="167"/>
      <c r="F55" s="181">
        <f t="shared" si="10"/>
        <v>0</v>
      </c>
      <c r="G55" s="181">
        <f t="shared" si="10"/>
        <v>-182.05500000000001</v>
      </c>
      <c r="H55" s="217" t="str">
        <f t="shared" si="2"/>
        <v xml:space="preserve">    ---- </v>
      </c>
      <c r="I55" s="167"/>
      <c r="J55" s="181">
        <f t="shared" si="0"/>
        <v>-1231266.8199999998</v>
      </c>
      <c r="K55" s="181">
        <f t="shared" si="0"/>
        <v>-12903.99100000022</v>
      </c>
      <c r="L55" s="215">
        <f t="shared" si="3"/>
        <v>-99</v>
      </c>
      <c r="M55" s="58"/>
    </row>
    <row r="56" spans="1:15" ht="18.75" x14ac:dyDescent="0.3">
      <c r="A56" s="178" t="s">
        <v>108</v>
      </c>
      <c r="B56" s="88">
        <f t="shared" si="8"/>
        <v>-8</v>
      </c>
      <c r="C56" s="181">
        <f t="shared" si="8"/>
        <v>-1</v>
      </c>
      <c r="D56" s="217">
        <f t="shared" si="9"/>
        <v>-87.5</v>
      </c>
      <c r="E56" s="167"/>
      <c r="F56" s="181">
        <f t="shared" si="10"/>
        <v>0</v>
      </c>
      <c r="G56" s="181">
        <f t="shared" si="10"/>
        <v>0</v>
      </c>
      <c r="H56" s="217"/>
      <c r="I56" s="167"/>
      <c r="J56" s="181">
        <f t="shared" si="0"/>
        <v>-8</v>
      </c>
      <c r="K56" s="181">
        <f t="shared" si="0"/>
        <v>-1</v>
      </c>
      <c r="L56" s="215">
        <f t="shared" si="3"/>
        <v>-87.5</v>
      </c>
      <c r="M56" s="58"/>
    </row>
    <row r="57" spans="1:15" s="120" customFormat="1" ht="18.75" x14ac:dyDescent="0.3">
      <c r="A57" s="122" t="s">
        <v>114</v>
      </c>
      <c r="B57" s="95">
        <f>SUM(B52:B56)</f>
        <v>-1187022.9329200007</v>
      </c>
      <c r="C57" s="183">
        <f>SUM(C52:C56)</f>
        <v>357195.10895000026</v>
      </c>
      <c r="D57" s="217">
        <f>IF(B57=0, "    ---- ", IF(ABS(ROUND(100/B57*C57-100,1))&lt;999,ROUND(100/B57*C57-100,1),IF(ROUND(100/B57*C57-100,1)&gt;999,999,-999)))</f>
        <v>-130.1</v>
      </c>
      <c r="E57" s="123"/>
      <c r="F57" s="183">
        <f>SUM(F52:F56)</f>
        <v>2084495.3308600001</v>
      </c>
      <c r="G57" s="257">
        <f>SUM(G52:G56)</f>
        <v>-2956657.9760199999</v>
      </c>
      <c r="H57" s="217">
        <f t="shared" si="2"/>
        <v>-241.8</v>
      </c>
      <c r="I57" s="123"/>
      <c r="J57" s="183">
        <f t="shared" si="0"/>
        <v>897472.39793999936</v>
      </c>
      <c r="K57" s="181">
        <f t="shared" si="0"/>
        <v>-2599462.8670699997</v>
      </c>
      <c r="L57" s="215">
        <f t="shared" si="3"/>
        <v>-389.6</v>
      </c>
      <c r="M57" s="59"/>
      <c r="N57" s="119"/>
      <c r="O57" s="119"/>
    </row>
    <row r="58" spans="1:15" ht="18.75" x14ac:dyDescent="0.3">
      <c r="A58" s="122"/>
      <c r="B58" s="95"/>
      <c r="C58" s="183"/>
      <c r="D58" s="217"/>
      <c r="E58" s="123"/>
      <c r="F58" s="183"/>
      <c r="G58" s="183"/>
      <c r="H58" s="217"/>
      <c r="I58" s="123"/>
      <c r="J58" s="183"/>
      <c r="K58" s="181"/>
      <c r="L58" s="215"/>
      <c r="M58" s="58"/>
    </row>
    <row r="59" spans="1:15" ht="22.5" x14ac:dyDescent="0.3">
      <c r="A59" s="122" t="s">
        <v>319</v>
      </c>
      <c r="B59" s="95"/>
      <c r="C59" s="183"/>
      <c r="D59" s="217"/>
      <c r="E59" s="123"/>
      <c r="F59" s="183"/>
      <c r="G59" s="183"/>
      <c r="H59" s="217"/>
      <c r="I59" s="123"/>
      <c r="J59" s="183"/>
      <c r="K59" s="181"/>
      <c r="L59" s="215"/>
      <c r="M59" s="58"/>
    </row>
    <row r="60" spans="1:15" s="120" customFormat="1" ht="18.75" x14ac:dyDescent="0.3">
      <c r="A60" s="122" t="s">
        <v>104</v>
      </c>
      <c r="B60" s="95">
        <f>B38-B49</f>
        <v>68248.23000000001</v>
      </c>
      <c r="C60" s="183">
        <f>C38-C49</f>
        <v>13954.423677848128</v>
      </c>
      <c r="D60" s="217">
        <f t="shared" si="9"/>
        <v>-79.599999999999994</v>
      </c>
      <c r="E60" s="123"/>
      <c r="F60" s="183">
        <f>F38-F49</f>
        <v>0</v>
      </c>
      <c r="G60" s="183">
        <f>G38-G49</f>
        <v>0</v>
      </c>
      <c r="H60" s="217"/>
      <c r="I60" s="123"/>
      <c r="J60" s="183">
        <f t="shared" si="0"/>
        <v>68248.23000000001</v>
      </c>
      <c r="K60" s="181">
        <f t="shared" si="0"/>
        <v>13954.423677848128</v>
      </c>
      <c r="L60" s="215">
        <f t="shared" si="3"/>
        <v>-79.599999999999994</v>
      </c>
      <c r="M60" s="59"/>
    </row>
    <row r="61" spans="1:15" s="120" customFormat="1" ht="18.75" x14ac:dyDescent="0.3">
      <c r="A61" s="180"/>
      <c r="B61" s="100"/>
      <c r="C61" s="184"/>
      <c r="D61" s="189"/>
      <c r="E61" s="123"/>
      <c r="F61" s="184"/>
      <c r="G61" s="184"/>
      <c r="H61" s="189"/>
      <c r="I61" s="123"/>
      <c r="J61" s="189"/>
      <c r="K61" s="189"/>
      <c r="L61" s="189"/>
      <c r="M61" s="59"/>
    </row>
    <row r="62" spans="1:15" ht="18.75" x14ac:dyDescent="0.3">
      <c r="A62" s="97" t="s">
        <v>115</v>
      </c>
      <c r="C62" s="124"/>
      <c r="D62" s="124"/>
      <c r="E62" s="124"/>
      <c r="F62" s="124"/>
      <c r="G62" s="97"/>
      <c r="H62" s="58"/>
      <c r="I62" s="97"/>
      <c r="J62" s="97"/>
      <c r="K62" s="97"/>
      <c r="L62" s="58"/>
      <c r="M62" s="58"/>
    </row>
    <row r="63" spans="1:15" ht="18.75" x14ac:dyDescent="0.3">
      <c r="A63" s="97" t="s">
        <v>95</v>
      </c>
      <c r="C63" s="124"/>
      <c r="D63" s="124"/>
      <c r="E63" s="124"/>
      <c r="F63" s="124"/>
      <c r="G63" s="58"/>
      <c r="H63" s="58"/>
      <c r="I63" s="58"/>
      <c r="J63" s="58"/>
      <c r="K63" s="58"/>
      <c r="L63" s="58"/>
      <c r="M63" s="58"/>
    </row>
    <row r="64" spans="1:15" ht="18.75" x14ac:dyDescent="0.3">
      <c r="A64" s="97"/>
      <c r="B64" s="58"/>
      <c r="C64" s="58"/>
      <c r="D64" s="58"/>
      <c r="E64" s="58"/>
      <c r="F64" s="58"/>
      <c r="G64" s="58"/>
      <c r="H64" s="58"/>
      <c r="I64" s="58"/>
      <c r="J64" s="58"/>
      <c r="K64" s="58"/>
      <c r="L64" s="58"/>
      <c r="M64" s="58"/>
    </row>
    <row r="65" spans="1:13" ht="18.75" x14ac:dyDescent="0.3">
      <c r="A65" s="58"/>
      <c r="C65" s="58"/>
      <c r="D65" s="58"/>
      <c r="E65" s="58"/>
      <c r="F65" s="58"/>
      <c r="G65" s="58"/>
      <c r="H65" s="58"/>
      <c r="I65" s="58"/>
      <c r="J65" s="58"/>
      <c r="K65" s="58"/>
      <c r="L65" s="58"/>
      <c r="M65" s="58"/>
    </row>
    <row r="66" spans="1:13" ht="18.75" x14ac:dyDescent="0.3">
      <c r="A66" s="58"/>
      <c r="B66" s="58"/>
      <c r="C66" s="58"/>
      <c r="D66" s="58"/>
      <c r="E66" s="58"/>
      <c r="F66" s="58"/>
      <c r="G66" s="58"/>
      <c r="H66" s="58"/>
      <c r="I66" s="58"/>
      <c r="J66" s="58"/>
      <c r="K66" s="58"/>
      <c r="L66" s="58"/>
      <c r="M66" s="58"/>
    </row>
    <row r="67" spans="1:13" ht="18.75" x14ac:dyDescent="0.3">
      <c r="A67" s="58"/>
      <c r="B67" s="58"/>
      <c r="C67" s="58"/>
      <c r="D67" s="58"/>
      <c r="E67" s="58"/>
      <c r="F67" s="58"/>
      <c r="G67" s="58"/>
      <c r="H67" s="58"/>
      <c r="I67" s="58"/>
      <c r="J67" s="58"/>
      <c r="K67" s="58"/>
      <c r="L67" s="58"/>
      <c r="M67" s="58"/>
    </row>
    <row r="68" spans="1:13" ht="18.75" x14ac:dyDescent="0.3">
      <c r="A68" s="58"/>
      <c r="B68" s="58"/>
      <c r="C68" s="58"/>
      <c r="D68" s="58"/>
      <c r="E68" s="58"/>
      <c r="F68" s="58"/>
      <c r="G68" s="58"/>
      <c r="H68" s="58"/>
      <c r="I68" s="58"/>
      <c r="J68" s="58"/>
      <c r="K68" s="58"/>
      <c r="L68" s="58"/>
      <c r="M68" s="58"/>
    </row>
    <row r="69" spans="1:13" ht="18.75" x14ac:dyDescent="0.3">
      <c r="A69" s="58"/>
      <c r="B69" s="58"/>
      <c r="C69" s="58"/>
      <c r="D69" s="58"/>
      <c r="E69" s="58"/>
      <c r="F69" s="58"/>
      <c r="G69" s="58"/>
      <c r="H69" s="58"/>
      <c r="I69" s="58"/>
      <c r="J69" s="58"/>
      <c r="K69" s="58"/>
      <c r="L69" s="58"/>
      <c r="M69" s="58"/>
    </row>
    <row r="70" spans="1:13" ht="18.75" x14ac:dyDescent="0.3">
      <c r="A70" s="58"/>
      <c r="B70" s="58"/>
      <c r="C70" s="58"/>
      <c r="D70" s="58"/>
      <c r="E70" s="58"/>
      <c r="F70" s="58"/>
      <c r="G70" s="58"/>
      <c r="H70" s="58"/>
      <c r="I70" s="58"/>
      <c r="J70" s="58"/>
      <c r="K70" s="58"/>
      <c r="L70" s="58"/>
      <c r="M70" s="58"/>
    </row>
    <row r="71" spans="1:13" ht="18.75" x14ac:dyDescent="0.3">
      <c r="A71" s="58"/>
      <c r="B71" s="58"/>
      <c r="C71" s="58"/>
      <c r="D71" s="58"/>
      <c r="E71" s="58"/>
      <c r="F71" s="58"/>
      <c r="G71" s="58"/>
      <c r="H71" s="58"/>
      <c r="I71" s="58"/>
      <c r="J71" s="58"/>
      <c r="K71" s="58"/>
      <c r="L71" s="58"/>
      <c r="M71" s="58"/>
    </row>
    <row r="72" spans="1:13" ht="18.75" x14ac:dyDescent="0.3">
      <c r="A72" s="58"/>
      <c r="B72" s="58"/>
      <c r="C72" s="58"/>
      <c r="D72" s="58"/>
      <c r="E72" s="58"/>
      <c r="F72" s="58"/>
      <c r="G72" s="58"/>
      <c r="H72" s="58"/>
      <c r="I72" s="58"/>
      <c r="J72" s="58"/>
      <c r="K72" s="58"/>
      <c r="L72" s="58"/>
      <c r="M72" s="58"/>
    </row>
    <row r="73" spans="1:13" ht="18.75" x14ac:dyDescent="0.3">
      <c r="A73" s="58"/>
      <c r="B73" s="58"/>
      <c r="C73" s="58"/>
      <c r="D73" s="58"/>
      <c r="E73" s="58"/>
      <c r="F73" s="58"/>
      <c r="G73" s="58"/>
      <c r="H73" s="58"/>
      <c r="I73" s="58"/>
      <c r="J73" s="58"/>
      <c r="K73" s="58"/>
      <c r="L73" s="58"/>
      <c r="M73" s="58"/>
    </row>
    <row r="74" spans="1:13" ht="18.75" x14ac:dyDescent="0.3">
      <c r="A74" s="58"/>
      <c r="B74" s="58"/>
      <c r="C74" s="58"/>
      <c r="D74" s="58"/>
      <c r="E74" s="58"/>
      <c r="F74" s="58"/>
      <c r="G74" s="58"/>
      <c r="H74" s="58"/>
      <c r="I74" s="58"/>
      <c r="J74" s="58"/>
      <c r="K74" s="58"/>
      <c r="L74" s="58"/>
      <c r="M74" s="58"/>
    </row>
    <row r="75" spans="1:13" ht="18.75" x14ac:dyDescent="0.3">
      <c r="A75" s="58"/>
      <c r="B75" s="58"/>
      <c r="C75" s="58"/>
      <c r="D75" s="58"/>
      <c r="E75" s="58"/>
      <c r="F75" s="58"/>
      <c r="G75" s="58"/>
      <c r="H75" s="58"/>
      <c r="I75" s="58"/>
      <c r="J75" s="58"/>
      <c r="K75" s="58"/>
      <c r="L75" s="58"/>
      <c r="M75" s="58"/>
    </row>
    <row r="76" spans="1:13" ht="18.75" x14ac:dyDescent="0.3">
      <c r="A76" s="58"/>
      <c r="B76" s="58"/>
      <c r="C76" s="58"/>
      <c r="D76" s="58"/>
      <c r="E76" s="58"/>
      <c r="F76" s="58"/>
      <c r="G76" s="58"/>
      <c r="H76" s="58"/>
      <c r="I76" s="58"/>
      <c r="J76" s="58"/>
      <c r="K76" s="58"/>
      <c r="L76" s="58"/>
      <c r="M76" s="58"/>
    </row>
    <row r="77" spans="1:13" ht="18.75" x14ac:dyDescent="0.3">
      <c r="A77" s="58"/>
      <c r="B77" s="58"/>
      <c r="C77" s="58"/>
      <c r="D77" s="58"/>
      <c r="E77" s="58"/>
      <c r="F77" s="58"/>
      <c r="G77" s="58"/>
      <c r="H77" s="58"/>
      <c r="I77" s="58"/>
      <c r="J77" s="58"/>
      <c r="K77" s="58"/>
      <c r="L77" s="58"/>
      <c r="M77" s="58"/>
    </row>
    <row r="78" spans="1:13" ht="18.75" x14ac:dyDescent="0.3">
      <c r="A78" s="58"/>
      <c r="B78" s="58"/>
      <c r="C78" s="58"/>
      <c r="D78" s="58"/>
      <c r="E78" s="58"/>
      <c r="F78" s="58"/>
      <c r="G78" s="58"/>
      <c r="H78" s="58"/>
      <c r="I78" s="58"/>
      <c r="J78" s="58"/>
      <c r="K78" s="58"/>
      <c r="L78" s="58"/>
      <c r="M78" s="58"/>
    </row>
    <row r="79" spans="1:13" ht="18.75" x14ac:dyDescent="0.3">
      <c r="A79" s="58"/>
      <c r="B79" s="58"/>
      <c r="C79" s="58"/>
      <c r="D79" s="58"/>
      <c r="E79" s="58"/>
      <c r="F79" s="58"/>
      <c r="G79" s="58"/>
      <c r="H79" s="58"/>
      <c r="I79" s="58"/>
      <c r="J79" s="58"/>
      <c r="K79" s="58"/>
      <c r="L79" s="58"/>
      <c r="M79" s="58"/>
    </row>
    <row r="80" spans="1:13" ht="18.75" x14ac:dyDescent="0.3">
      <c r="A80" s="58"/>
      <c r="B80" s="58"/>
      <c r="C80" s="58"/>
      <c r="D80" s="58"/>
      <c r="E80" s="58"/>
      <c r="F80" s="58"/>
      <c r="G80" s="58"/>
      <c r="H80" s="58"/>
      <c r="I80" s="58"/>
      <c r="J80" s="58"/>
      <c r="K80" s="58"/>
      <c r="L80" s="58"/>
      <c r="M80" s="58"/>
    </row>
    <row r="81" spans="1:13" ht="18.75" x14ac:dyDescent="0.3">
      <c r="A81" s="58"/>
      <c r="B81" s="58"/>
      <c r="C81" s="58"/>
      <c r="D81" s="58"/>
      <c r="E81" s="58"/>
      <c r="F81" s="58"/>
      <c r="G81" s="58"/>
      <c r="H81" s="58"/>
      <c r="I81" s="58"/>
      <c r="J81" s="58"/>
      <c r="K81" s="58"/>
      <c r="L81" s="58"/>
      <c r="M81" s="58"/>
    </row>
    <row r="82" spans="1:13" ht="18.75" x14ac:dyDescent="0.3">
      <c r="A82" s="58"/>
      <c r="B82" s="58"/>
      <c r="C82" s="58"/>
      <c r="D82" s="58"/>
      <c r="E82" s="58"/>
      <c r="F82" s="58"/>
      <c r="G82" s="58"/>
      <c r="H82" s="58"/>
      <c r="I82" s="58"/>
      <c r="J82" s="58"/>
      <c r="K82" s="58"/>
      <c r="L82" s="58"/>
      <c r="M82" s="58"/>
    </row>
    <row r="83" spans="1:13" ht="18.75" x14ac:dyDescent="0.3">
      <c r="A83" s="58"/>
      <c r="B83" s="58"/>
      <c r="C83" s="58"/>
      <c r="D83" s="58"/>
      <c r="E83" s="58"/>
      <c r="F83" s="58"/>
      <c r="G83" s="58"/>
      <c r="H83" s="58"/>
      <c r="I83" s="58"/>
      <c r="J83" s="58"/>
      <c r="K83" s="58"/>
      <c r="L83" s="58"/>
      <c r="M83" s="58"/>
    </row>
    <row r="84" spans="1:13" ht="18.75" x14ac:dyDescent="0.3">
      <c r="A84" s="58"/>
      <c r="B84" s="58"/>
      <c r="C84" s="58"/>
      <c r="D84" s="58"/>
      <c r="E84" s="58"/>
      <c r="F84" s="58"/>
      <c r="G84" s="58"/>
      <c r="H84" s="58"/>
      <c r="I84" s="58"/>
      <c r="J84" s="58"/>
      <c r="K84" s="58"/>
      <c r="L84" s="58"/>
      <c r="M84" s="58"/>
    </row>
    <row r="85" spans="1:13" ht="18.75" x14ac:dyDescent="0.3">
      <c r="A85" s="58"/>
      <c r="B85" s="58"/>
      <c r="C85" s="58"/>
      <c r="D85" s="58"/>
      <c r="E85" s="58"/>
      <c r="F85" s="58"/>
      <c r="G85" s="58"/>
      <c r="H85" s="58"/>
      <c r="I85" s="58"/>
      <c r="J85" s="58"/>
      <c r="K85" s="58"/>
      <c r="L85" s="58"/>
      <c r="M85" s="58"/>
    </row>
    <row r="86" spans="1:13" ht="18.75" x14ac:dyDescent="0.3">
      <c r="A86" s="58"/>
      <c r="B86" s="58"/>
      <c r="C86" s="58"/>
      <c r="D86" s="58"/>
      <c r="E86" s="58"/>
      <c r="F86" s="58"/>
      <c r="G86" s="58"/>
      <c r="H86" s="58"/>
      <c r="I86" s="58"/>
      <c r="J86" s="58"/>
      <c r="K86" s="58"/>
      <c r="L86" s="58"/>
      <c r="M86" s="58"/>
    </row>
    <row r="87" spans="1:13" ht="18.75" x14ac:dyDescent="0.3">
      <c r="A87" s="58"/>
      <c r="B87" s="58"/>
      <c r="C87" s="58"/>
      <c r="D87" s="58"/>
      <c r="E87" s="58"/>
      <c r="F87" s="58"/>
      <c r="G87" s="58"/>
      <c r="H87" s="58"/>
      <c r="I87" s="58"/>
      <c r="J87" s="58"/>
      <c r="K87" s="58"/>
      <c r="L87" s="58"/>
      <c r="M87" s="58"/>
    </row>
    <row r="88" spans="1:13" ht="18.75" x14ac:dyDescent="0.3">
      <c r="A88" s="58"/>
      <c r="B88" s="58"/>
      <c r="C88" s="58"/>
      <c r="D88" s="58"/>
      <c r="E88" s="58"/>
      <c r="F88" s="58"/>
      <c r="G88" s="58"/>
      <c r="H88" s="58"/>
      <c r="I88" s="58"/>
      <c r="J88" s="58"/>
      <c r="K88" s="58"/>
      <c r="L88" s="58"/>
      <c r="M88" s="58"/>
    </row>
    <row r="89" spans="1:13" ht="18.75" x14ac:dyDescent="0.3">
      <c r="A89" s="58"/>
      <c r="B89" s="58"/>
      <c r="C89" s="58"/>
      <c r="D89" s="58"/>
      <c r="E89" s="58"/>
      <c r="F89" s="58"/>
      <c r="G89" s="58"/>
      <c r="H89" s="58"/>
      <c r="I89" s="58"/>
      <c r="J89" s="58"/>
      <c r="K89" s="58"/>
      <c r="L89" s="58"/>
      <c r="M89" s="58"/>
    </row>
    <row r="90" spans="1:13" ht="18.75" x14ac:dyDescent="0.3">
      <c r="A90" s="58"/>
      <c r="B90" s="58"/>
      <c r="C90" s="58"/>
      <c r="D90" s="58"/>
      <c r="E90" s="58"/>
      <c r="F90" s="58"/>
      <c r="G90" s="58"/>
      <c r="H90" s="58"/>
      <c r="I90" s="58"/>
      <c r="J90" s="58"/>
      <c r="K90" s="58"/>
      <c r="L90" s="58"/>
      <c r="M90" s="58"/>
    </row>
    <row r="91" spans="1:13" ht="18.75" x14ac:dyDescent="0.3">
      <c r="A91" s="58"/>
      <c r="B91" s="58"/>
      <c r="C91" s="58"/>
      <c r="D91" s="58"/>
      <c r="E91" s="58"/>
      <c r="F91" s="58"/>
      <c r="G91" s="58"/>
      <c r="H91" s="58"/>
      <c r="I91" s="58"/>
      <c r="J91" s="58"/>
      <c r="K91" s="58"/>
      <c r="L91" s="58"/>
      <c r="M91" s="58"/>
    </row>
    <row r="92" spans="1:13" ht="18.75" x14ac:dyDescent="0.3">
      <c r="A92" s="58"/>
      <c r="B92" s="58"/>
      <c r="C92" s="58"/>
      <c r="D92" s="58"/>
      <c r="E92" s="58"/>
      <c r="F92" s="58"/>
      <c r="G92" s="58"/>
      <c r="H92" s="58"/>
      <c r="I92" s="58"/>
      <c r="J92" s="58"/>
      <c r="K92" s="58"/>
      <c r="L92" s="58"/>
      <c r="M92" s="58"/>
    </row>
    <row r="93" spans="1:13" ht="18.75" x14ac:dyDescent="0.3">
      <c r="A93" s="58"/>
      <c r="B93" s="58"/>
      <c r="C93" s="58"/>
      <c r="D93" s="58"/>
      <c r="E93" s="58"/>
      <c r="F93" s="58"/>
      <c r="G93" s="58"/>
      <c r="H93" s="58"/>
      <c r="I93" s="58"/>
      <c r="J93" s="58"/>
      <c r="K93" s="58"/>
      <c r="L93" s="58"/>
      <c r="M93" s="58"/>
    </row>
    <row r="94" spans="1:13" ht="18.75" x14ac:dyDescent="0.3">
      <c r="A94" s="58"/>
      <c r="B94" s="58"/>
      <c r="C94" s="58"/>
      <c r="D94" s="58"/>
      <c r="E94" s="58"/>
      <c r="F94" s="58"/>
      <c r="G94" s="58"/>
      <c r="H94" s="58"/>
      <c r="I94" s="58"/>
      <c r="J94" s="58"/>
      <c r="K94" s="58"/>
      <c r="L94" s="58"/>
      <c r="M94" s="58"/>
    </row>
    <row r="95" spans="1:13" ht="18.75" x14ac:dyDescent="0.3">
      <c r="A95" s="58"/>
      <c r="B95" s="58"/>
      <c r="C95" s="58"/>
      <c r="D95" s="58"/>
      <c r="E95" s="58"/>
      <c r="F95" s="58"/>
      <c r="G95" s="58"/>
      <c r="H95" s="58"/>
      <c r="I95" s="58"/>
      <c r="J95" s="58"/>
      <c r="K95" s="58"/>
      <c r="L95" s="58"/>
      <c r="M95" s="58"/>
    </row>
    <row r="96" spans="1:13" ht="18.75" x14ac:dyDescent="0.3">
      <c r="A96" s="58"/>
      <c r="B96" s="58"/>
      <c r="C96" s="58"/>
      <c r="D96" s="58"/>
      <c r="E96" s="58"/>
      <c r="F96" s="58"/>
      <c r="G96" s="58"/>
      <c r="H96" s="58"/>
      <c r="I96" s="58"/>
      <c r="J96" s="58"/>
      <c r="K96" s="58"/>
      <c r="L96" s="58"/>
      <c r="M96" s="58"/>
    </row>
    <row r="97" spans="1:13" ht="18.75" x14ac:dyDescent="0.3">
      <c r="A97" s="58"/>
      <c r="B97" s="58"/>
      <c r="C97" s="58"/>
      <c r="D97" s="58"/>
      <c r="E97" s="58"/>
      <c r="F97" s="58"/>
      <c r="G97" s="58"/>
      <c r="H97" s="58"/>
      <c r="I97" s="58"/>
      <c r="J97" s="58"/>
      <c r="K97" s="58"/>
      <c r="L97" s="58"/>
      <c r="M97" s="58"/>
    </row>
    <row r="98" spans="1:13" ht="18.75" x14ac:dyDescent="0.3">
      <c r="A98" s="58"/>
      <c r="B98" s="58"/>
      <c r="C98" s="58"/>
      <c r="D98" s="58"/>
      <c r="E98" s="58"/>
      <c r="F98" s="58"/>
      <c r="G98" s="58"/>
      <c r="H98" s="58"/>
      <c r="I98" s="58"/>
      <c r="J98" s="58"/>
      <c r="K98" s="58"/>
      <c r="L98" s="58"/>
      <c r="M98" s="58"/>
    </row>
    <row r="99" spans="1:13" ht="18.75" x14ac:dyDescent="0.3">
      <c r="A99" s="58"/>
      <c r="B99" s="58"/>
      <c r="C99" s="58"/>
      <c r="D99" s="58"/>
      <c r="E99" s="58"/>
      <c r="F99" s="58"/>
      <c r="G99" s="58"/>
      <c r="H99" s="58"/>
      <c r="I99" s="58"/>
      <c r="J99" s="58"/>
      <c r="K99" s="58"/>
      <c r="L99" s="58"/>
      <c r="M99" s="58"/>
    </row>
    <row r="100" spans="1:13" ht="18.75" x14ac:dyDescent="0.3">
      <c r="A100" s="58"/>
      <c r="B100" s="58"/>
      <c r="C100" s="58"/>
      <c r="D100" s="58"/>
      <c r="E100" s="58"/>
      <c r="F100" s="58"/>
      <c r="G100" s="58"/>
      <c r="H100" s="58"/>
      <c r="I100" s="58"/>
      <c r="J100" s="58"/>
      <c r="K100" s="58"/>
      <c r="L100" s="58"/>
      <c r="M100" s="58"/>
    </row>
    <row r="101" spans="1:13" ht="18.75" x14ac:dyDescent="0.3">
      <c r="A101" s="58"/>
      <c r="B101" s="58"/>
      <c r="C101" s="58"/>
      <c r="D101" s="58"/>
      <c r="E101" s="58"/>
      <c r="F101" s="58"/>
      <c r="G101" s="58"/>
      <c r="H101" s="58"/>
      <c r="I101" s="58"/>
      <c r="J101" s="58"/>
      <c r="K101" s="58"/>
      <c r="L101" s="58"/>
      <c r="M101" s="58"/>
    </row>
    <row r="102" spans="1:13" ht="18.75" x14ac:dyDescent="0.3">
      <c r="A102" s="58"/>
      <c r="B102" s="58"/>
      <c r="C102" s="58"/>
      <c r="D102" s="58"/>
      <c r="E102" s="58"/>
      <c r="F102" s="58"/>
      <c r="G102" s="58"/>
      <c r="H102" s="58"/>
      <c r="I102" s="58"/>
      <c r="J102" s="58"/>
      <c r="K102" s="58"/>
      <c r="L102" s="58"/>
      <c r="M102" s="58"/>
    </row>
    <row r="103" spans="1:13" ht="18.75" x14ac:dyDescent="0.3">
      <c r="A103" s="58"/>
      <c r="B103" s="58"/>
      <c r="C103" s="58"/>
      <c r="D103" s="58"/>
      <c r="E103" s="58"/>
      <c r="F103" s="58"/>
      <c r="G103" s="58"/>
      <c r="H103" s="58"/>
      <c r="I103" s="58"/>
      <c r="J103" s="58"/>
      <c r="K103" s="58"/>
      <c r="L103" s="58"/>
      <c r="M103" s="58"/>
    </row>
    <row r="104" spans="1:13" ht="18.75" x14ac:dyDescent="0.3">
      <c r="A104" s="58"/>
      <c r="B104" s="58"/>
      <c r="C104" s="58"/>
      <c r="D104" s="58"/>
      <c r="E104" s="58"/>
      <c r="F104" s="58"/>
      <c r="G104" s="58"/>
      <c r="H104" s="58"/>
      <c r="I104" s="58"/>
      <c r="J104" s="58"/>
      <c r="K104" s="58"/>
      <c r="L104" s="58"/>
      <c r="M104" s="58"/>
    </row>
    <row r="105" spans="1:13" ht="18.75" x14ac:dyDescent="0.3">
      <c r="A105" s="58"/>
      <c r="B105" s="58"/>
      <c r="C105" s="58"/>
      <c r="D105" s="58"/>
      <c r="E105" s="58"/>
      <c r="F105" s="58"/>
      <c r="G105" s="58"/>
      <c r="H105" s="58"/>
      <c r="I105" s="58"/>
      <c r="J105" s="58"/>
      <c r="K105" s="58"/>
      <c r="L105" s="58"/>
      <c r="M105" s="58"/>
    </row>
    <row r="106" spans="1:13" ht="18.75" x14ac:dyDescent="0.3">
      <c r="A106" s="58"/>
      <c r="B106" s="58"/>
      <c r="C106" s="58"/>
      <c r="D106" s="58"/>
      <c r="E106" s="58"/>
      <c r="F106" s="58"/>
      <c r="G106" s="58"/>
      <c r="H106" s="58"/>
      <c r="I106" s="58"/>
      <c r="J106" s="58"/>
      <c r="K106" s="58"/>
      <c r="L106" s="58"/>
      <c r="M106" s="58"/>
    </row>
    <row r="107" spans="1:13" ht="18.75" x14ac:dyDescent="0.3">
      <c r="A107" s="58"/>
      <c r="B107" s="58"/>
      <c r="C107" s="58"/>
      <c r="D107" s="58"/>
      <c r="E107" s="58"/>
      <c r="F107" s="58"/>
      <c r="G107" s="58"/>
      <c r="H107" s="58"/>
      <c r="I107" s="58"/>
      <c r="J107" s="58"/>
      <c r="K107" s="58"/>
      <c r="L107" s="58"/>
      <c r="M107" s="58"/>
    </row>
    <row r="108" spans="1:13" ht="18.75" x14ac:dyDescent="0.3">
      <c r="A108" s="58"/>
      <c r="B108" s="58"/>
      <c r="C108" s="58"/>
      <c r="D108" s="58"/>
      <c r="E108" s="58"/>
      <c r="F108" s="58"/>
      <c r="G108" s="58"/>
      <c r="H108" s="58"/>
      <c r="I108" s="58"/>
      <c r="J108" s="58"/>
      <c r="K108" s="58"/>
      <c r="L108" s="58"/>
      <c r="M108" s="58"/>
    </row>
    <row r="109" spans="1:13" ht="18.75" x14ac:dyDescent="0.3">
      <c r="A109" s="58"/>
      <c r="B109" s="58"/>
      <c r="C109" s="58"/>
      <c r="D109" s="58"/>
      <c r="E109" s="58"/>
      <c r="F109" s="58"/>
      <c r="G109" s="58"/>
      <c r="H109" s="58"/>
      <c r="I109" s="58"/>
      <c r="J109" s="58"/>
      <c r="K109" s="58"/>
      <c r="L109" s="58"/>
      <c r="M109" s="58"/>
    </row>
    <row r="110" spans="1:13" ht="18.75" x14ac:dyDescent="0.3">
      <c r="A110" s="58"/>
      <c r="B110" s="58"/>
      <c r="C110" s="58"/>
      <c r="D110" s="58"/>
      <c r="E110" s="58"/>
      <c r="F110" s="58"/>
      <c r="G110" s="58"/>
      <c r="H110" s="58"/>
      <c r="I110" s="58"/>
      <c r="J110" s="58"/>
      <c r="K110" s="58"/>
      <c r="L110" s="58"/>
      <c r="M110" s="58"/>
    </row>
    <row r="111" spans="1:13" ht="18.75" x14ac:dyDescent="0.3">
      <c r="A111" s="58"/>
      <c r="B111" s="58"/>
      <c r="C111" s="58"/>
      <c r="D111" s="58"/>
      <c r="E111" s="58"/>
      <c r="F111" s="58"/>
      <c r="G111" s="58"/>
      <c r="H111" s="58"/>
      <c r="I111" s="58"/>
      <c r="J111" s="58"/>
      <c r="K111" s="58"/>
      <c r="L111" s="58"/>
      <c r="M111" s="58"/>
    </row>
    <row r="112" spans="1:13" ht="18.75" x14ac:dyDescent="0.3">
      <c r="A112" s="58"/>
      <c r="B112" s="58"/>
      <c r="C112" s="58"/>
      <c r="D112" s="58"/>
      <c r="E112" s="58"/>
      <c r="F112" s="58"/>
      <c r="G112" s="58"/>
      <c r="H112" s="58"/>
      <c r="I112" s="58"/>
      <c r="J112" s="58"/>
      <c r="K112" s="58"/>
      <c r="L112" s="58"/>
      <c r="M112" s="58"/>
    </row>
    <row r="113" spans="1:13" ht="18.75" x14ac:dyDescent="0.3">
      <c r="A113" s="58"/>
      <c r="B113" s="58"/>
      <c r="C113" s="58"/>
      <c r="D113" s="58"/>
      <c r="E113" s="58"/>
      <c r="F113" s="58"/>
      <c r="G113" s="58"/>
      <c r="H113" s="58"/>
      <c r="I113" s="58"/>
      <c r="J113" s="58"/>
      <c r="K113" s="58"/>
      <c r="L113" s="58"/>
      <c r="M113" s="58"/>
    </row>
    <row r="114" spans="1:13" ht="18.75" x14ac:dyDescent="0.3">
      <c r="A114" s="58"/>
      <c r="B114" s="58"/>
      <c r="C114" s="58"/>
      <c r="D114" s="58"/>
      <c r="E114" s="58"/>
      <c r="F114" s="58"/>
      <c r="G114" s="58"/>
      <c r="H114" s="58"/>
      <c r="I114" s="58"/>
      <c r="J114" s="58"/>
      <c r="K114" s="58"/>
      <c r="L114" s="58"/>
      <c r="M114" s="58"/>
    </row>
    <row r="115" spans="1:13" ht="18.75" x14ac:dyDescent="0.3">
      <c r="A115" s="58"/>
      <c r="B115" s="58"/>
      <c r="C115" s="58"/>
      <c r="D115" s="58"/>
      <c r="E115" s="58"/>
      <c r="F115" s="58"/>
      <c r="G115" s="58"/>
      <c r="H115" s="58"/>
      <c r="I115" s="58"/>
      <c r="J115" s="58"/>
      <c r="K115" s="58"/>
      <c r="L115" s="58"/>
      <c r="M115" s="58"/>
    </row>
  </sheetData>
  <mergeCells count="3">
    <mergeCell ref="B5:D5"/>
    <mergeCell ref="F5:H5"/>
    <mergeCell ref="J5:L5"/>
  </mergeCells>
  <hyperlinks>
    <hyperlink ref="B1" location="Innhold!A1" display="Tilbake" xr:uid="{00000000-0004-0000-0400-000000000000}"/>
  </hyperlinks>
  <pageMargins left="0.7" right="0.7" top="0.78740157499999996" bottom="0.78740157499999996"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10"/>
  <dimension ref="A1:K92"/>
  <sheetViews>
    <sheetView showGridLines="0" zoomScale="70" zoomScaleNormal="70" workbookViewId="0">
      <pane xSplit="1" ySplit="7" topLeftCell="B8" activePane="bottomRight" state="frozen"/>
      <selection activeCell="H73" sqref="H73"/>
      <selection pane="topRight" activeCell="H73" sqref="H73"/>
      <selection pane="bottomLeft" activeCell="H73" sqref="H73"/>
      <selection pane="bottomRight" activeCell="A3" sqref="A3"/>
    </sheetView>
  </sheetViews>
  <sheetFormatPr baseColWidth="10" defaultColWidth="11.42578125" defaultRowHeight="18" x14ac:dyDescent="0.25"/>
  <cols>
    <col min="1" max="1" width="35.7109375" style="65" customWidth="1"/>
    <col min="2" max="2" width="18.28515625" style="65" customWidth="1"/>
    <col min="3" max="3" width="17.7109375" style="65" customWidth="1"/>
    <col min="4" max="4" width="11.7109375" style="65" customWidth="1"/>
    <col min="5" max="5" width="4.7109375" style="65" customWidth="1"/>
    <col min="6" max="7" width="13" style="65" customWidth="1"/>
    <col min="8" max="8" width="11.7109375" style="65" customWidth="1"/>
    <col min="9" max="9" width="12.42578125" style="65" customWidth="1"/>
    <col min="10" max="10" width="11.42578125" style="65"/>
    <col min="11" max="12" width="17.28515625" style="65" bestFit="1" customWidth="1"/>
    <col min="13" max="16384" width="11.42578125" style="65"/>
  </cols>
  <sheetData>
    <row r="1" spans="1:11" ht="18.75" customHeight="1" x14ac:dyDescent="0.3">
      <c r="A1" s="64" t="s">
        <v>72</v>
      </c>
      <c r="B1" s="57" t="s">
        <v>52</v>
      </c>
      <c r="C1" s="64"/>
      <c r="D1" s="64"/>
      <c r="E1" s="64"/>
      <c r="F1" s="58"/>
      <c r="G1" s="58"/>
      <c r="H1" s="58"/>
      <c r="I1" s="58"/>
      <c r="J1" s="58"/>
    </row>
    <row r="2" spans="1:11" ht="20.100000000000001" customHeight="1" x14ac:dyDescent="0.3">
      <c r="A2" s="64" t="s">
        <v>139</v>
      </c>
      <c r="B2" s="64"/>
      <c r="C2" s="616"/>
      <c r="D2" s="64"/>
      <c r="E2" s="64"/>
      <c r="F2" s="58"/>
      <c r="G2" s="58"/>
      <c r="H2" s="58"/>
      <c r="I2" s="58"/>
      <c r="J2" s="58"/>
    </row>
    <row r="3" spans="1:11" ht="20.100000000000001" customHeight="1" x14ac:dyDescent="0.3">
      <c r="A3" s="59"/>
      <c r="B3" s="59"/>
      <c r="C3" s="59"/>
      <c r="D3" s="59"/>
      <c r="E3" s="59"/>
      <c r="F3" s="58"/>
      <c r="G3" s="58"/>
      <c r="H3" s="58"/>
      <c r="I3" s="58"/>
      <c r="J3" s="58"/>
    </row>
    <row r="4" spans="1:11" ht="20.100000000000001" customHeight="1" x14ac:dyDescent="0.3">
      <c r="A4" s="244"/>
      <c r="B4" s="700" t="s">
        <v>140</v>
      </c>
      <c r="C4" s="700"/>
      <c r="D4" s="701"/>
      <c r="E4" s="617"/>
      <c r="F4" s="702" t="s">
        <v>140</v>
      </c>
      <c r="G4" s="700"/>
      <c r="H4" s="701"/>
      <c r="I4" s="58"/>
      <c r="J4" s="58"/>
    </row>
    <row r="5" spans="1:11" ht="18.75" customHeight="1" x14ac:dyDescent="0.3">
      <c r="A5" s="618" t="s">
        <v>364</v>
      </c>
      <c r="B5" s="703" t="s">
        <v>141</v>
      </c>
      <c r="C5" s="704"/>
      <c r="D5" s="705"/>
      <c r="E5" s="619"/>
      <c r="F5" s="706" t="s">
        <v>142</v>
      </c>
      <c r="G5" s="707"/>
      <c r="H5" s="708"/>
      <c r="I5" s="58"/>
      <c r="J5" s="58"/>
    </row>
    <row r="6" spans="1:11" ht="18.75" customHeight="1" x14ac:dyDescent="0.3">
      <c r="A6" s="107"/>
      <c r="B6" s="105"/>
      <c r="C6" s="177"/>
      <c r="D6" s="245" t="s">
        <v>76</v>
      </c>
      <c r="E6" s="245"/>
      <c r="F6" s="108"/>
      <c r="G6" s="586"/>
      <c r="H6" s="78" t="s">
        <v>76</v>
      </c>
      <c r="I6" s="620"/>
      <c r="J6" s="58"/>
    </row>
    <row r="7" spans="1:11" ht="18.75" customHeight="1" x14ac:dyDescent="0.3">
      <c r="A7" s="111"/>
      <c r="B7" s="81">
        <v>2023</v>
      </c>
      <c r="C7" s="81">
        <v>2024</v>
      </c>
      <c r="D7" s="246" t="s">
        <v>78</v>
      </c>
      <c r="E7" s="245"/>
      <c r="F7" s="81">
        <v>2023</v>
      </c>
      <c r="G7" s="112">
        <v>2024</v>
      </c>
      <c r="H7" s="247" t="s">
        <v>78</v>
      </c>
      <c r="I7" s="620"/>
      <c r="J7" s="58"/>
    </row>
    <row r="8" spans="1:11" ht="18.75" customHeight="1" x14ac:dyDescent="0.3">
      <c r="A8" s="85" t="s">
        <v>143</v>
      </c>
      <c r="B8" s="623">
        <f>SUM(B9:B14)</f>
        <v>237397.62595053582</v>
      </c>
      <c r="C8" s="623">
        <f>SUM(C9:C14)</f>
        <v>216742.6247773215</v>
      </c>
      <c r="D8" s="624">
        <f t="shared" ref="D8:D38" si="0">IF(B8=0, "    ---- ", IF(ABS(ROUND(100/B8*C8-100,1))&lt;999,ROUND(100/B8*C8-100,1),IF(ROUND(100/B8*C8-100,1)&gt;999,999,-999)))</f>
        <v>-8.6999999999999993</v>
      </c>
      <c r="E8" s="625"/>
      <c r="F8" s="624">
        <f>SUM(F9:F14)</f>
        <v>100</v>
      </c>
      <c r="G8" s="624">
        <f>SUM(G9:G14)</f>
        <v>99.659656766898905</v>
      </c>
      <c r="H8" s="625">
        <f t="shared" ref="H8:H38" si="1">IF(F8=0, "    ---- ", IF(ABS(ROUND(100/F8*G8-100,1))&lt;999,ROUND(100/F8*G8-100,1),IF(ROUND(100/F8*G8-100,1)&gt;999,999,-999)))</f>
        <v>-0.3</v>
      </c>
      <c r="I8" s="88"/>
      <c r="J8" s="58"/>
    </row>
    <row r="9" spans="1:11" ht="18.75" customHeight="1" x14ac:dyDescent="0.3">
      <c r="A9" s="70" t="s">
        <v>144</v>
      </c>
      <c r="B9" s="88">
        <f>'Tabell 6'!AI21</f>
        <v>5151.1884401980651</v>
      </c>
      <c r="C9" s="88">
        <f>'Tabell 6'!AJ21</f>
        <v>3847.0256967700006</v>
      </c>
      <c r="D9" s="252">
        <f t="shared" si="0"/>
        <v>-25.3</v>
      </c>
      <c r="E9" s="252"/>
      <c r="F9" s="250">
        <f>'Tabell 6'!AI21/'Tabell 6'!AI29*100</f>
        <v>2.1698567622876594</v>
      </c>
      <c r="G9" s="250">
        <f>'Tabell 6'!AJ21/'Tabell 6'!AJ29*100</f>
        <v>1.7688872269929903</v>
      </c>
      <c r="H9" s="622">
        <f t="shared" si="1"/>
        <v>-18.5</v>
      </c>
      <c r="I9" s="88"/>
      <c r="J9" s="676"/>
    </row>
    <row r="10" spans="1:11" ht="18.75" customHeight="1" x14ac:dyDescent="0.3">
      <c r="A10" s="93" t="s">
        <v>408</v>
      </c>
      <c r="B10" s="87">
        <f>'Tabell 6'!AI17+'Tabell 6'!AI22</f>
        <v>69881.672621177757</v>
      </c>
      <c r="C10" s="87">
        <f>'Tabell 6'!AJ17+'Tabell 6'!AJ22</f>
        <v>76841.247541290009</v>
      </c>
      <c r="D10" s="252">
        <f t="shared" si="0"/>
        <v>10</v>
      </c>
      <c r="E10" s="252"/>
      <c r="F10" s="250">
        <f>('Tabell 6'!AI17+'Tabell 6'!AI22)/'Tabell 6'!AI29*100</f>
        <v>29.436550741134333</v>
      </c>
      <c r="G10" s="250">
        <f>('Tabell 6'!AJ17+'Tabell 6'!AJ22)/'Tabell 6'!AJ29*100</f>
        <v>35.332101211623588</v>
      </c>
      <c r="H10" s="622">
        <f t="shared" si="1"/>
        <v>20</v>
      </c>
      <c r="I10" s="88"/>
      <c r="J10" s="676"/>
    </row>
    <row r="11" spans="1:11" ht="18.75" customHeight="1" x14ac:dyDescent="0.3">
      <c r="A11" s="70" t="s">
        <v>145</v>
      </c>
      <c r="B11" s="87">
        <f>'Tabell 6'!AI14</f>
        <v>1389.34675075</v>
      </c>
      <c r="C11" s="87">
        <f>'Tabell 6'!AJ14</f>
        <v>1348.99222975</v>
      </c>
      <c r="D11" s="252">
        <f t="shared" si="0"/>
        <v>-2.9</v>
      </c>
      <c r="E11" s="252"/>
      <c r="F11" s="250">
        <f>'Tabell 6'!AI14/'Tabell 6'!AI29*100</f>
        <v>0.58524037263939799</v>
      </c>
      <c r="G11" s="250">
        <f>'Tabell 6'!AJ14/'Tabell 6'!AJ29*100</f>
        <v>0.62027532764365401</v>
      </c>
      <c r="H11" s="622">
        <f t="shared" si="1"/>
        <v>6</v>
      </c>
      <c r="I11" s="88"/>
      <c r="J11" s="676"/>
    </row>
    <row r="12" spans="1:11" ht="18.75" customHeight="1" x14ac:dyDescent="0.3">
      <c r="A12" s="178" t="s">
        <v>146</v>
      </c>
      <c r="B12" s="87">
        <f>'Tabell 6'!AI15</f>
        <v>26210.260457439999</v>
      </c>
      <c r="C12" s="87">
        <f>'Tabell 6'!AJ15</f>
        <v>26383.299345700001</v>
      </c>
      <c r="D12" s="252">
        <f t="shared" si="0"/>
        <v>0.7</v>
      </c>
      <c r="E12" s="252"/>
      <c r="F12" s="250">
        <f>'Tabell 6'!AI15/'Tabell 6'!AI29*100</f>
        <v>11.04065820055891</v>
      </c>
      <c r="G12" s="250">
        <f>'Tabell 6'!AJ15/'Tabell 6'!AJ29*100</f>
        <v>12.131211199791322</v>
      </c>
      <c r="H12" s="622">
        <f t="shared" si="1"/>
        <v>9.9</v>
      </c>
      <c r="I12" s="88"/>
      <c r="J12" s="676"/>
      <c r="K12" s="120"/>
    </row>
    <row r="13" spans="1:11" ht="18.75" customHeight="1" x14ac:dyDescent="0.3">
      <c r="A13" s="70" t="s">
        <v>147</v>
      </c>
      <c r="B13" s="87">
        <f>'Tabell 6'!AI19+'Tabell 6'!AI23</f>
        <v>39043.547360550001</v>
      </c>
      <c r="C13" s="87">
        <f>'Tabell 6'!AJ19+'Tabell 6'!AJ23</f>
        <v>32966.327994719999</v>
      </c>
      <c r="D13" s="252">
        <f t="shared" si="0"/>
        <v>-15.6</v>
      </c>
      <c r="E13" s="252"/>
      <c r="F13" s="250">
        <f>('Tabell 6'!AI19+'Tabell 6'!AI23)/'Tabell 6'!AI29*100</f>
        <v>16.44647759396091</v>
      </c>
      <c r="G13" s="250">
        <f>('Tabell 6'!AJ19+'Tabell 6'!AJ23)/'Tabell 6'!AJ29*100</f>
        <v>15.158130230240571</v>
      </c>
      <c r="H13" s="622">
        <f t="shared" si="1"/>
        <v>-7.8</v>
      </c>
      <c r="I13" s="88"/>
      <c r="J13" s="676"/>
    </row>
    <row r="14" spans="1:11" ht="18.75" customHeight="1" x14ac:dyDescent="0.3">
      <c r="A14" s="70" t="s">
        <v>148</v>
      </c>
      <c r="B14" s="162">
        <f>'Tabell 6'!AI24+'Tabell 6'!AI25+'Tabell 6'!AI26+'Tabell 6'!AI28</f>
        <v>95721.61032041999</v>
      </c>
      <c r="C14" s="162">
        <f>'Tabell 6'!AJ24+'Tabell 6'!AJ25+'Tabell 6'!AJ26+'Tabell 6'!AJ28</f>
        <v>75355.731969091488</v>
      </c>
      <c r="D14" s="252">
        <f t="shared" si="0"/>
        <v>-21.3</v>
      </c>
      <c r="E14" s="252"/>
      <c r="F14" s="250">
        <f>('Tabell 6'!AI24+'Tabell 6'!AI25+'Tabell 6'!AI26+'Tabell 6'!AI28)/'Tabell 6'!AI29*100</f>
        <v>40.321216329418789</v>
      </c>
      <c r="G14" s="250">
        <f>('Tabell 6'!AJ24+'Tabell 6'!AJ25+'Tabell 6'!AJ26+'Tabell 6'!AJ28)/'Tabell 6'!AJ29*100</f>
        <v>34.649051570606787</v>
      </c>
      <c r="H14" s="622">
        <f t="shared" si="1"/>
        <v>-14.1</v>
      </c>
      <c r="I14" s="88"/>
      <c r="J14" s="676"/>
    </row>
    <row r="15" spans="1:11" ht="18.75" customHeight="1" x14ac:dyDescent="0.3">
      <c r="A15" s="178"/>
      <c r="B15" s="90"/>
      <c r="C15" s="163"/>
      <c r="D15" s="622"/>
      <c r="E15" s="622"/>
      <c r="F15" s="622"/>
      <c r="G15" s="252"/>
      <c r="H15" s="622"/>
      <c r="I15" s="88"/>
      <c r="J15" s="58"/>
    </row>
    <row r="16" spans="1:11" s="120" customFormat="1" ht="18.75" customHeight="1" x14ac:dyDescent="0.3">
      <c r="A16" s="85" t="s">
        <v>149</v>
      </c>
      <c r="B16" s="623">
        <f>SUM(B17:B22)</f>
        <v>1324564.8403665998</v>
      </c>
      <c r="C16" s="623">
        <f>SUM(C17:C22)</f>
        <v>1398539.35339633</v>
      </c>
      <c r="D16" s="624">
        <f t="shared" si="0"/>
        <v>5.6</v>
      </c>
      <c r="E16" s="624"/>
      <c r="F16" s="624">
        <f>SUM(F17:F22)</f>
        <v>100.00000000000001</v>
      </c>
      <c r="G16" s="624">
        <f>SUM(G17:G22)</f>
        <v>99.999999999999986</v>
      </c>
      <c r="H16" s="249">
        <f t="shared" si="1"/>
        <v>0</v>
      </c>
      <c r="I16" s="95"/>
      <c r="J16" s="59"/>
    </row>
    <row r="17" spans="1:10" ht="18.75" customHeight="1" x14ac:dyDescent="0.3">
      <c r="A17" s="70" t="s">
        <v>144</v>
      </c>
      <c r="B17" s="87">
        <f>'Tabell 6'!AI40</f>
        <v>298393.62376669998</v>
      </c>
      <c r="C17" s="87">
        <f>'Tabell 6'!AJ40</f>
        <v>343591.01133408002</v>
      </c>
      <c r="D17" s="252">
        <f t="shared" si="0"/>
        <v>15.1</v>
      </c>
      <c r="E17" s="252"/>
      <c r="F17" s="250">
        <f>'Tabell 6'!AI40/('Tabell 6'!AI45+'Tabell 6'!AI46)*100</f>
        <v>22.527672083166088</v>
      </c>
      <c r="G17" s="250">
        <f>'Tabell 6'!AJ40/('Tabell 6'!AJ45+'Tabell 6'!AJ46)*100</f>
        <v>24.56784719712569</v>
      </c>
      <c r="H17" s="251">
        <f t="shared" si="1"/>
        <v>9.1</v>
      </c>
      <c r="I17" s="88"/>
      <c r="J17" s="58"/>
    </row>
    <row r="18" spans="1:10" ht="18.75" customHeight="1" x14ac:dyDescent="0.3">
      <c r="A18" s="93" t="s">
        <v>408</v>
      </c>
      <c r="B18" s="87">
        <f>'Tabell 6'!AI36+'Tabell 6'!AI41</f>
        <v>322039.22008758993</v>
      </c>
      <c r="C18" s="87">
        <f>'Tabell 6'!AJ36+'Tabell 6'!AJ41</f>
        <v>380619.52835550986</v>
      </c>
      <c r="D18" s="252">
        <f t="shared" si="0"/>
        <v>18.2</v>
      </c>
      <c r="E18" s="252"/>
      <c r="F18" s="250">
        <f>('Tabell 6'!AI36+'Tabell 6'!AI41)/('Tabell 6'!AI45+'Tabell 6'!AI46)*100</f>
        <v>24.312831676738387</v>
      </c>
      <c r="G18" s="250">
        <f>('Tabell 6'!AJ36+'Tabell 6'!AJ41)/('Tabell 6'!AJ45+'Tabell 6'!AJ46)*100</f>
        <v>27.215503620343721</v>
      </c>
      <c r="H18" s="251">
        <f t="shared" si="1"/>
        <v>11.9</v>
      </c>
      <c r="I18" s="88"/>
      <c r="J18" s="58"/>
    </row>
    <row r="19" spans="1:10" ht="18.75" customHeight="1" x14ac:dyDescent="0.3">
      <c r="A19" s="70" t="s">
        <v>145</v>
      </c>
      <c r="B19" s="87">
        <f>'Tabell 6'!AI33</f>
        <v>14.22554581</v>
      </c>
      <c r="C19" s="87">
        <f>'Tabell 6'!AJ33</f>
        <v>14.22554581</v>
      </c>
      <c r="D19" s="252">
        <f t="shared" si="0"/>
        <v>0</v>
      </c>
      <c r="E19" s="252"/>
      <c r="F19" s="250">
        <f>'Tabell 6'!AI33/('Tabell 6'!AI45+'Tabell 6'!AI46)*100</f>
        <v>1.0739788175309559E-3</v>
      </c>
      <c r="G19" s="250">
        <f>'Tabell 6'!AJ33/('Tabell 6'!AJ45+'Tabell 6'!AJ46)*100</f>
        <v>1.0171716495108625E-3</v>
      </c>
      <c r="H19" s="251">
        <f t="shared" si="1"/>
        <v>-5.3</v>
      </c>
      <c r="I19" s="88"/>
      <c r="J19" s="58"/>
    </row>
    <row r="20" spans="1:10" ht="18.75" customHeight="1" x14ac:dyDescent="0.3">
      <c r="A20" s="178" t="s">
        <v>146</v>
      </c>
      <c r="B20" s="87">
        <f>'Tabell 6'!AI34</f>
        <v>175971.58561323001</v>
      </c>
      <c r="C20" s="87">
        <f>'Tabell 6'!AJ34</f>
        <v>164415.54804575007</v>
      </c>
      <c r="D20" s="252">
        <f t="shared" si="0"/>
        <v>-6.6</v>
      </c>
      <c r="E20" s="252"/>
      <c r="F20" s="250">
        <f>'Tabell 6'!AI34/('Tabell 6'!AI45+'Tabell 6'!AI46)*100</f>
        <v>13.285237555039311</v>
      </c>
      <c r="G20" s="250">
        <f>'Tabell 6'!AJ34/('Tabell 6'!AJ45+'Tabell 6'!AJ46)*100</f>
        <v>11.75623321907028</v>
      </c>
      <c r="H20" s="251">
        <f t="shared" si="1"/>
        <v>-11.5</v>
      </c>
      <c r="I20" s="88"/>
      <c r="J20" s="58"/>
    </row>
    <row r="21" spans="1:10" ht="18.75" customHeight="1" x14ac:dyDescent="0.3">
      <c r="A21" s="70" t="s">
        <v>147</v>
      </c>
      <c r="B21" s="87">
        <f>'Tabell 6'!AI38+'Tabell 6'!AI42</f>
        <v>501414.57020562998</v>
      </c>
      <c r="C21" s="87">
        <f>'Tabell 6'!AJ38+'Tabell 6'!AJ42</f>
        <v>497636.53779410006</v>
      </c>
      <c r="D21" s="252">
        <f t="shared" si="0"/>
        <v>-0.8</v>
      </c>
      <c r="E21" s="252"/>
      <c r="F21" s="250">
        <f>('Tabell 6'!AI38+'Tabell 6'!AI42)/('Tabell 6'!AI45+'Tabell 6'!AI46)*100</f>
        <v>37.855041514377916</v>
      </c>
      <c r="G21" s="250">
        <f>('Tabell 6'!AJ38+'Tabell 6'!AJ42)/('Tabell 6'!AJ45+'Tabell 6'!AJ46)*100</f>
        <v>35.582590978623365</v>
      </c>
      <c r="H21" s="251">
        <f t="shared" si="1"/>
        <v>-6</v>
      </c>
      <c r="I21" s="88"/>
      <c r="J21" s="58"/>
    </row>
    <row r="22" spans="1:10" ht="18.75" customHeight="1" x14ac:dyDescent="0.3">
      <c r="A22" s="178" t="s">
        <v>148</v>
      </c>
      <c r="B22" s="162">
        <f>'Tabell 6'!AI43+'Tabell 6'!AI44+'Tabell 6'!AI46</f>
        <v>26731.615147640001</v>
      </c>
      <c r="C22" s="162">
        <f>'Tabell 6'!AJ43+'Tabell 6'!AJ44+'Tabell 6'!AJ46</f>
        <v>12262.502321080001</v>
      </c>
      <c r="D22" s="252">
        <f t="shared" si="0"/>
        <v>-54.1</v>
      </c>
      <c r="E22" s="252"/>
      <c r="F22" s="251">
        <f>('Tabell 6'!AI43+'Tabell 6'!AI44+'Tabell 6'!AI46)/('Tabell 6'!AI45+'Tabell 6'!AI46)*100</f>
        <v>2.0181431918607693</v>
      </c>
      <c r="G22" s="251">
        <f>('Tabell 6'!AJ43+'Tabell 6'!AJ44+'Tabell 6'!AJ46)/('Tabell 6'!AJ45+'Tabell 6'!AJ46)*100</f>
        <v>0.87680781318743117</v>
      </c>
      <c r="H22" s="251">
        <f t="shared" si="1"/>
        <v>-56.6</v>
      </c>
      <c r="I22" s="88"/>
      <c r="J22" s="58"/>
    </row>
    <row r="23" spans="1:10" ht="18.75" customHeight="1" x14ac:dyDescent="0.3">
      <c r="A23" s="70"/>
      <c r="B23" s="163"/>
      <c r="C23" s="163"/>
      <c r="D23" s="622"/>
      <c r="E23" s="252"/>
      <c r="F23" s="252"/>
      <c r="G23" s="622"/>
      <c r="H23" s="251"/>
      <c r="I23" s="621"/>
      <c r="J23" s="58"/>
    </row>
    <row r="24" spans="1:10" ht="18.75" customHeight="1" x14ac:dyDescent="0.3">
      <c r="A24" s="122" t="s">
        <v>150</v>
      </c>
      <c r="B24" s="623">
        <f>SUM(B25:B30)</f>
        <v>606395.44247217418</v>
      </c>
      <c r="C24" s="623">
        <f>SUM(C25:C30)</f>
        <v>736344.70169609995</v>
      </c>
      <c r="D24" s="624">
        <f t="shared" si="0"/>
        <v>21.4</v>
      </c>
      <c r="E24" s="624"/>
      <c r="F24" s="625">
        <f>SUM(F25:F30)</f>
        <v>99.999999999999972</v>
      </c>
      <c r="G24" s="625">
        <f>SUM(G25:G30)</f>
        <v>99.999999999999986</v>
      </c>
      <c r="H24" s="251">
        <f t="shared" si="1"/>
        <v>0</v>
      </c>
      <c r="I24" s="621"/>
      <c r="J24" s="58"/>
    </row>
    <row r="25" spans="1:10" ht="18.75" customHeight="1" x14ac:dyDescent="0.3">
      <c r="A25" s="178" t="s">
        <v>144</v>
      </c>
      <c r="B25" s="87">
        <f>'Tabell 6'!AI55</f>
        <v>402189.50826637796</v>
      </c>
      <c r="C25" s="87">
        <f>'Tabell 6'!AJ55</f>
        <v>500615.67117853696</v>
      </c>
      <c r="D25" s="252">
        <f t="shared" si="0"/>
        <v>24.5</v>
      </c>
      <c r="E25" s="252"/>
      <c r="F25" s="250">
        <f>'Tabell 6'!AI55/('Tabell 6'!AI60+'Tabell 6'!AI61)*100</f>
        <v>66.324625829428669</v>
      </c>
      <c r="G25" s="250">
        <f>'Tabell 6'!AJ55/('Tabell 6'!AJ60+'Tabell 6'!AJ61)*100</f>
        <v>67.986592424093814</v>
      </c>
      <c r="H25" s="251">
        <f t="shared" si="1"/>
        <v>2.5</v>
      </c>
      <c r="I25" s="621"/>
      <c r="J25" s="58"/>
    </row>
    <row r="26" spans="1:10" ht="18.75" customHeight="1" x14ac:dyDescent="0.3">
      <c r="A26" s="93" t="s">
        <v>408</v>
      </c>
      <c r="B26" s="87">
        <f>'Tabell 6'!AI51+'Tabell 6'!AI56</f>
        <v>182226.99298025624</v>
      </c>
      <c r="C26" s="87">
        <f>'Tabell 6'!AJ51+'Tabell 6'!AJ56</f>
        <v>210175.49362552006</v>
      </c>
      <c r="D26" s="252">
        <f t="shared" si="0"/>
        <v>15.3</v>
      </c>
      <c r="E26" s="252"/>
      <c r="F26" s="250">
        <f>('Tabell 6'!AI51+'Tabell 6'!AI56)/('Tabell 6'!AI60+'Tabell 6'!AI61)*100</f>
        <v>30.050851345014539</v>
      </c>
      <c r="G26" s="250">
        <f>('Tabell 6'!AJ51+'Tabell 6'!AJ56)/('Tabell 6'!AJ60+'Tabell 6'!AJ61)*100</f>
        <v>28.543084935818886</v>
      </c>
      <c r="H26" s="251">
        <f t="shared" si="1"/>
        <v>-5</v>
      </c>
      <c r="I26" s="621"/>
      <c r="J26" s="58"/>
    </row>
    <row r="27" spans="1:10" ht="18.75" customHeight="1" x14ac:dyDescent="0.3">
      <c r="A27" s="178" t="s">
        <v>145</v>
      </c>
      <c r="B27" s="87">
        <f>'Tabell 6'!AI48</f>
        <v>0</v>
      </c>
      <c r="C27" s="87">
        <f>'Tabell 6'!AJ48</f>
        <v>0</v>
      </c>
      <c r="D27" s="252" t="str">
        <f t="shared" si="0"/>
        <v xml:space="preserve">    ---- </v>
      </c>
      <c r="E27" s="252"/>
      <c r="F27" s="250">
        <f>'Tabell 6'!AI48/('Tabell 6'!AI60+'Tabell 6'!AI61)*100</f>
        <v>0</v>
      </c>
      <c r="G27" s="250">
        <f>'Tabell 6'!AJ48/('Tabell 6'!AJ60+'Tabell 6'!AJ61)*100</f>
        <v>0</v>
      </c>
      <c r="H27" s="251" t="str">
        <f t="shared" si="1"/>
        <v xml:space="preserve">    ---- </v>
      </c>
      <c r="I27" s="621"/>
      <c r="J27" s="58"/>
    </row>
    <row r="28" spans="1:10" ht="18.75" customHeight="1" x14ac:dyDescent="0.3">
      <c r="A28" s="178" t="s">
        <v>146</v>
      </c>
      <c r="B28" s="87">
        <f>'Tabell 6'!AI49</f>
        <v>17607.722944369998</v>
      </c>
      <c r="C28" s="87">
        <f>'Tabell 6'!AJ49</f>
        <v>19656.728154803001</v>
      </c>
      <c r="D28" s="252">
        <f t="shared" si="0"/>
        <v>11.6</v>
      </c>
      <c r="E28" s="252"/>
      <c r="F28" s="250">
        <f>'Tabell 6'!AI49/('Tabell 6'!AI60+'Tabell 6'!AI61)*100</f>
        <v>2.9036700659533681</v>
      </c>
      <c r="G28" s="250">
        <f>'Tabell 6'!AJ49/('Tabell 6'!AJ60+'Tabell 6'!AJ61)*100</f>
        <v>2.6695008614206901</v>
      </c>
      <c r="H28" s="251">
        <f t="shared" si="1"/>
        <v>-8.1</v>
      </c>
      <c r="I28" s="621"/>
      <c r="J28" s="58"/>
    </row>
    <row r="29" spans="1:10" ht="18.75" customHeight="1" x14ac:dyDescent="0.3">
      <c r="A29" s="178" t="s">
        <v>147</v>
      </c>
      <c r="B29" s="87">
        <f>'Tabell 6'!AI53+'Tabell 6'!AI57</f>
        <v>3231.5264565500001</v>
      </c>
      <c r="C29" s="87">
        <f>'Tabell 6'!AJ53+'Tabell 6'!AJ57</f>
        <v>3558.9087996799999</v>
      </c>
      <c r="D29" s="252">
        <f t="shared" si="0"/>
        <v>10.1</v>
      </c>
      <c r="E29" s="252"/>
      <c r="F29" s="250">
        <f>('Tabell 6'!AI53+'Tabell 6'!AI57)/('Tabell 6'!AI60+'Tabell 6'!AI61)*100</f>
        <v>0.53290744458362016</v>
      </c>
      <c r="G29" s="250">
        <f>('Tabell 6'!AJ53+'Tabell 6'!AJ57)/('Tabell 6'!AJ60+'Tabell 6'!AJ61)*100</f>
        <v>0.48332103041990959</v>
      </c>
      <c r="H29" s="251">
        <f t="shared" si="1"/>
        <v>-9.3000000000000007</v>
      </c>
      <c r="I29" s="621"/>
      <c r="J29" s="58"/>
    </row>
    <row r="30" spans="1:10" ht="18.75" customHeight="1" x14ac:dyDescent="0.3">
      <c r="A30" s="70" t="s">
        <v>148</v>
      </c>
      <c r="B30" s="162">
        <f>'Tabell 6'!AI58+'Tabell 6'!AI59+'Tabell 6'!AI61</f>
        <v>1139.69182462</v>
      </c>
      <c r="C30" s="162">
        <f>'Tabell 6'!AJ58+'Tabell 6'!AJ59+'Tabell 6'!AJ61</f>
        <v>2337.8999375600006</v>
      </c>
      <c r="D30" s="622">
        <f t="shared" si="0"/>
        <v>105.1</v>
      </c>
      <c r="E30" s="622"/>
      <c r="F30" s="251">
        <f>('Tabell 6'!AI58+'Tabell 6'!AI59+'Tabell 6'!AI61)/('Tabell 6'!AI60+'Tabell 6'!AI61)*100</f>
        <v>0.18794531501979375</v>
      </c>
      <c r="G30" s="251">
        <f>('Tabell 6'!AJ58+'Tabell 6'!AJ59+'Tabell 6'!AJ61)/('Tabell 6'!AJ60+'Tabell 6'!AJ61)*100</f>
        <v>0.31750074824669344</v>
      </c>
      <c r="H30" s="251">
        <f t="shared" si="1"/>
        <v>68.900000000000006</v>
      </c>
      <c r="I30" s="621"/>
      <c r="J30" s="58"/>
    </row>
    <row r="31" spans="1:10" ht="18.75" customHeight="1" x14ac:dyDescent="0.3">
      <c r="A31" s="178"/>
      <c r="B31" s="162"/>
      <c r="C31" s="162"/>
      <c r="D31" s="250"/>
      <c r="E31" s="250"/>
      <c r="F31" s="250"/>
      <c r="G31" s="251"/>
      <c r="H31" s="251"/>
      <c r="I31" s="621"/>
      <c r="J31" s="58"/>
    </row>
    <row r="32" spans="1:10" ht="18.75" customHeight="1" x14ac:dyDescent="0.3">
      <c r="A32" s="122" t="s">
        <v>2</v>
      </c>
      <c r="B32" s="94">
        <f>SUM(B33:B38)</f>
        <v>2168357.9087893101</v>
      </c>
      <c r="C32" s="94">
        <f>SUM(C33:C38)</f>
        <v>2351626.6798697514</v>
      </c>
      <c r="D32" s="248">
        <f t="shared" si="0"/>
        <v>8.5</v>
      </c>
      <c r="E32" s="248"/>
      <c r="F32" s="248">
        <f>SUM(F33:F38)</f>
        <v>100</v>
      </c>
      <c r="G32" s="248">
        <f>SUM(G33:G38)</f>
        <v>100</v>
      </c>
      <c r="H32" s="249">
        <f t="shared" si="1"/>
        <v>0</v>
      </c>
      <c r="I32" s="621"/>
      <c r="J32" s="58"/>
    </row>
    <row r="33" spans="1:10" ht="18.75" customHeight="1" x14ac:dyDescent="0.3">
      <c r="A33" s="178" t="s">
        <v>144</v>
      </c>
      <c r="B33" s="87">
        <f t="shared" ref="B33:C38" si="2">B9+B17+B25</f>
        <v>705734.32047327608</v>
      </c>
      <c r="C33" s="87">
        <f t="shared" si="2"/>
        <v>848053.70820938703</v>
      </c>
      <c r="D33" s="250">
        <f t="shared" si="0"/>
        <v>20.2</v>
      </c>
      <c r="E33" s="250"/>
      <c r="F33" s="250">
        <f>B33/B32*100</f>
        <v>32.546947974438346</v>
      </c>
      <c r="G33" s="250">
        <f>C33/C32*100</f>
        <v>36.062429273695678</v>
      </c>
      <c r="H33" s="251">
        <f t="shared" si="1"/>
        <v>10.8</v>
      </c>
      <c r="I33" s="621"/>
      <c r="J33" s="58"/>
    </row>
    <row r="34" spans="1:10" ht="18.75" customHeight="1" x14ac:dyDescent="0.3">
      <c r="A34" s="93" t="s">
        <v>408</v>
      </c>
      <c r="B34" s="87">
        <f t="shared" si="2"/>
        <v>574147.88568902388</v>
      </c>
      <c r="C34" s="87">
        <f t="shared" si="2"/>
        <v>667636.2695223199</v>
      </c>
      <c r="D34" s="250">
        <f t="shared" si="0"/>
        <v>16.3</v>
      </c>
      <c r="E34" s="250"/>
      <c r="F34" s="250">
        <f>B34/B32*100</f>
        <v>26.478464803331104</v>
      </c>
      <c r="G34" s="250">
        <f>C34/C32*100</f>
        <v>28.390402066679137</v>
      </c>
      <c r="H34" s="251">
        <f t="shared" si="1"/>
        <v>7.2</v>
      </c>
      <c r="I34" s="621"/>
      <c r="J34" s="58"/>
    </row>
    <row r="35" spans="1:10" ht="18.75" customHeight="1" x14ac:dyDescent="0.3">
      <c r="A35" s="178" t="s">
        <v>145</v>
      </c>
      <c r="B35" s="87">
        <f t="shared" si="2"/>
        <v>1403.57229656</v>
      </c>
      <c r="C35" s="87">
        <f t="shared" si="2"/>
        <v>1363.2177755600001</v>
      </c>
      <c r="D35" s="250">
        <f t="shared" si="0"/>
        <v>-2.9</v>
      </c>
      <c r="E35" s="250"/>
      <c r="F35" s="250">
        <f>B35/B32*100</f>
        <v>6.4729733540330361E-2</v>
      </c>
      <c r="G35" s="250">
        <f>C35/C32*100</f>
        <v>5.7969140562544728E-2</v>
      </c>
      <c r="H35" s="251">
        <f t="shared" si="1"/>
        <v>-10.4</v>
      </c>
      <c r="I35" s="621"/>
      <c r="J35" s="58"/>
    </row>
    <row r="36" spans="1:10" ht="18.75" customHeight="1" x14ac:dyDescent="0.3">
      <c r="A36" s="178" t="s">
        <v>146</v>
      </c>
      <c r="B36" s="87">
        <f t="shared" si="2"/>
        <v>219789.56901504</v>
      </c>
      <c r="C36" s="87">
        <f t="shared" si="2"/>
        <v>210455.57554625307</v>
      </c>
      <c r="D36" s="250">
        <f t="shared" si="0"/>
        <v>-4.2</v>
      </c>
      <c r="E36" s="250"/>
      <c r="F36" s="250">
        <f>B36/B32*100</f>
        <v>10.136221890497691</v>
      </c>
      <c r="G36" s="250">
        <f>C36/C32*100</f>
        <v>8.949361620523435</v>
      </c>
      <c r="H36" s="251">
        <f t="shared" si="1"/>
        <v>-11.7</v>
      </c>
      <c r="I36" s="621"/>
      <c r="J36" s="58"/>
    </row>
    <row r="37" spans="1:10" ht="18.75" customHeight="1" x14ac:dyDescent="0.3">
      <c r="A37" s="178" t="s">
        <v>147</v>
      </c>
      <c r="B37" s="87">
        <f t="shared" si="2"/>
        <v>543689.64402272995</v>
      </c>
      <c r="C37" s="87">
        <f t="shared" si="2"/>
        <v>534161.77458850003</v>
      </c>
      <c r="D37" s="250">
        <f t="shared" si="0"/>
        <v>-1.8</v>
      </c>
      <c r="E37" s="250"/>
      <c r="F37" s="250">
        <f>B37/B32*100</f>
        <v>25.073796250098574</v>
      </c>
      <c r="G37" s="250">
        <f>C37/C32*100</f>
        <v>22.714565162957136</v>
      </c>
      <c r="H37" s="251">
        <f t="shared" si="1"/>
        <v>-9.4</v>
      </c>
      <c r="I37" s="621"/>
      <c r="J37" s="58"/>
    </row>
    <row r="38" spans="1:10" ht="18.75" customHeight="1" x14ac:dyDescent="0.3">
      <c r="A38" s="253" t="s">
        <v>148</v>
      </c>
      <c r="B38" s="254">
        <f t="shared" si="2"/>
        <v>123592.91729267998</v>
      </c>
      <c r="C38" s="254">
        <f t="shared" si="2"/>
        <v>89956.134227731483</v>
      </c>
      <c r="D38" s="255">
        <f t="shared" si="0"/>
        <v>-27.2</v>
      </c>
      <c r="E38" s="250"/>
      <c r="F38" s="255">
        <f>B38/B32*100</f>
        <v>5.6998393480939384</v>
      </c>
      <c r="G38" s="255">
        <f>C38/C32*100</f>
        <v>3.8252727355820713</v>
      </c>
      <c r="H38" s="256">
        <f t="shared" si="1"/>
        <v>-32.9</v>
      </c>
      <c r="I38" s="621"/>
      <c r="J38" s="58"/>
    </row>
    <row r="39" spans="1:10" ht="18.75" customHeight="1" x14ac:dyDescent="0.3">
      <c r="A39" s="58"/>
      <c r="B39" s="58"/>
      <c r="C39" s="58"/>
      <c r="D39" s="58"/>
      <c r="E39" s="58"/>
      <c r="F39" s="621"/>
      <c r="G39" s="621"/>
      <c r="H39" s="621"/>
      <c r="I39" s="621"/>
      <c r="J39" s="58"/>
    </row>
    <row r="40" spans="1:10" ht="18.75" customHeight="1" x14ac:dyDescent="0.3">
      <c r="A40" s="58" t="s">
        <v>151</v>
      </c>
      <c r="B40" s="58"/>
      <c r="C40" s="58"/>
      <c r="D40" s="58"/>
      <c r="E40" s="58"/>
      <c r="F40" s="621"/>
      <c r="G40" s="621"/>
      <c r="H40" s="621"/>
      <c r="I40" s="621"/>
      <c r="J40" s="58"/>
    </row>
    <row r="41" spans="1:10" ht="18.75" x14ac:dyDescent="0.3">
      <c r="A41" s="58" t="s">
        <v>95</v>
      </c>
      <c r="B41" s="58"/>
      <c r="C41" s="58"/>
      <c r="D41" s="58"/>
      <c r="E41" s="58"/>
      <c r="F41" s="58"/>
      <c r="G41" s="58"/>
      <c r="H41" s="58"/>
      <c r="I41" s="58"/>
      <c r="J41" s="58"/>
    </row>
    <row r="42" spans="1:10" ht="18.75" x14ac:dyDescent="0.3">
      <c r="A42" s="58"/>
      <c r="B42" s="58"/>
      <c r="C42" s="58"/>
      <c r="D42" s="58"/>
      <c r="E42" s="58"/>
      <c r="G42" s="58"/>
      <c r="H42" s="58"/>
      <c r="I42" s="58"/>
      <c r="J42" s="58"/>
    </row>
    <row r="43" spans="1:10" ht="18.75" x14ac:dyDescent="0.3">
      <c r="A43" s="58"/>
      <c r="B43" s="58"/>
      <c r="C43" s="58"/>
      <c r="D43" s="58"/>
      <c r="E43" s="58"/>
      <c r="F43" s="58"/>
      <c r="G43" s="58"/>
      <c r="H43" s="58"/>
      <c r="I43" s="58"/>
      <c r="J43" s="58"/>
    </row>
    <row r="44" spans="1:10" ht="18.75" x14ac:dyDescent="0.3">
      <c r="A44" s="58"/>
      <c r="B44" s="58"/>
      <c r="C44" s="58"/>
      <c r="D44" s="58"/>
      <c r="E44" s="58"/>
      <c r="F44" s="58"/>
      <c r="G44" s="58"/>
      <c r="H44" s="58"/>
      <c r="I44" s="58"/>
      <c r="J44" s="58"/>
    </row>
    <row r="45" spans="1:10" ht="18.75" x14ac:dyDescent="0.3">
      <c r="A45" s="58"/>
      <c r="B45" s="58"/>
      <c r="C45" s="58"/>
      <c r="D45" s="58"/>
      <c r="E45" s="58"/>
      <c r="F45" s="58"/>
      <c r="G45" s="58"/>
      <c r="H45" s="58"/>
      <c r="I45" s="58"/>
      <c r="J45" s="58"/>
    </row>
    <row r="46" spans="1:10" ht="18.75" x14ac:dyDescent="0.3">
      <c r="A46" s="58"/>
      <c r="B46" s="58"/>
      <c r="C46" s="58"/>
      <c r="D46" s="58"/>
      <c r="E46" s="58"/>
      <c r="F46" s="58"/>
      <c r="G46" s="58"/>
      <c r="H46" s="58"/>
      <c r="I46" s="58"/>
      <c r="J46" s="58"/>
    </row>
    <row r="47" spans="1:10" ht="18.75" x14ac:dyDescent="0.3">
      <c r="A47" s="58"/>
      <c r="B47" s="58"/>
      <c r="C47" s="58"/>
      <c r="D47" s="58"/>
      <c r="E47" s="58"/>
      <c r="F47" s="58"/>
      <c r="G47" s="58"/>
      <c r="H47" s="58"/>
      <c r="I47" s="58"/>
      <c r="J47" s="58"/>
    </row>
    <row r="48" spans="1:10" ht="18.75" x14ac:dyDescent="0.3">
      <c r="A48" s="58"/>
      <c r="B48" s="58"/>
      <c r="C48" s="58"/>
      <c r="D48" s="58"/>
      <c r="E48" s="58"/>
      <c r="F48" s="58"/>
      <c r="G48" s="58"/>
      <c r="H48" s="58"/>
      <c r="I48" s="58"/>
      <c r="J48" s="58"/>
    </row>
    <row r="49" spans="1:10" ht="18.75" x14ac:dyDescent="0.3">
      <c r="A49" s="58"/>
      <c r="B49" s="58"/>
      <c r="C49" s="58"/>
      <c r="D49" s="58"/>
      <c r="E49" s="58"/>
      <c r="F49" s="58"/>
      <c r="G49" s="58"/>
      <c r="H49" s="58"/>
      <c r="I49" s="58"/>
      <c r="J49" s="58"/>
    </row>
    <row r="50" spans="1:10" ht="18.75" x14ac:dyDescent="0.3">
      <c r="A50" s="58"/>
      <c r="B50" s="58"/>
      <c r="C50" s="58"/>
      <c r="D50" s="58"/>
      <c r="E50" s="58"/>
      <c r="F50" s="58"/>
      <c r="G50" s="58"/>
      <c r="H50" s="58"/>
      <c r="I50" s="58"/>
      <c r="J50" s="58"/>
    </row>
    <row r="51" spans="1:10" ht="18.75" x14ac:dyDescent="0.3">
      <c r="A51" s="58"/>
      <c r="B51" s="58"/>
      <c r="C51" s="58"/>
      <c r="D51" s="58"/>
      <c r="E51" s="58"/>
      <c r="F51" s="58"/>
      <c r="G51" s="58"/>
      <c r="H51" s="58"/>
      <c r="I51" s="58"/>
      <c r="J51" s="58"/>
    </row>
    <row r="52" spans="1:10" ht="18.75" x14ac:dyDescent="0.3">
      <c r="A52" s="58"/>
      <c r="B52" s="58"/>
      <c r="C52" s="58"/>
      <c r="D52" s="58"/>
      <c r="E52" s="58"/>
      <c r="F52" s="58"/>
      <c r="G52" s="58"/>
      <c r="H52" s="58"/>
      <c r="I52" s="58"/>
      <c r="J52" s="58"/>
    </row>
    <row r="53" spans="1:10" ht="18.75" x14ac:dyDescent="0.3">
      <c r="A53" s="58"/>
      <c r="B53" s="58"/>
      <c r="C53" s="58"/>
      <c r="D53" s="58"/>
      <c r="E53" s="58"/>
      <c r="F53" s="58"/>
      <c r="G53" s="58"/>
      <c r="H53" s="58"/>
      <c r="I53" s="58"/>
      <c r="J53" s="58"/>
    </row>
    <row r="54" spans="1:10" ht="18.75" x14ac:dyDescent="0.3">
      <c r="A54" s="58"/>
      <c r="B54" s="58"/>
      <c r="C54" s="58"/>
      <c r="D54" s="58"/>
      <c r="E54" s="58"/>
      <c r="F54" s="58"/>
      <c r="G54" s="58"/>
      <c r="H54" s="58"/>
      <c r="I54" s="58"/>
      <c r="J54" s="58"/>
    </row>
    <row r="55" spans="1:10" ht="18.75" x14ac:dyDescent="0.3">
      <c r="A55" s="58"/>
      <c r="B55" s="58"/>
      <c r="C55" s="58"/>
      <c r="D55" s="58"/>
      <c r="E55" s="58"/>
      <c r="F55" s="58"/>
      <c r="G55" s="58"/>
      <c r="H55" s="58"/>
      <c r="I55" s="58"/>
      <c r="J55" s="58"/>
    </row>
    <row r="56" spans="1:10" ht="18.75" x14ac:dyDescent="0.3">
      <c r="A56" s="58"/>
      <c r="B56" s="58"/>
      <c r="C56" s="58"/>
      <c r="D56" s="58"/>
      <c r="E56" s="58"/>
      <c r="F56" s="58"/>
      <c r="G56" s="58"/>
      <c r="H56" s="58"/>
      <c r="I56" s="58"/>
      <c r="J56" s="58"/>
    </row>
    <row r="57" spans="1:10" ht="18.75" x14ac:dyDescent="0.3">
      <c r="A57" s="58"/>
      <c r="B57" s="58"/>
      <c r="C57" s="58"/>
      <c r="D57" s="58"/>
      <c r="E57" s="58"/>
      <c r="F57" s="58"/>
      <c r="G57" s="58"/>
      <c r="H57" s="58"/>
      <c r="I57" s="58"/>
      <c r="J57" s="58"/>
    </row>
    <row r="58" spans="1:10" ht="18.75" x14ac:dyDescent="0.3">
      <c r="A58" s="58"/>
      <c r="B58" s="58"/>
      <c r="C58" s="58"/>
      <c r="D58" s="58"/>
      <c r="E58" s="58"/>
      <c r="F58" s="58"/>
      <c r="G58" s="58"/>
      <c r="H58" s="58"/>
      <c r="I58" s="58"/>
      <c r="J58" s="58"/>
    </row>
    <row r="59" spans="1:10" ht="18.75" x14ac:dyDescent="0.3">
      <c r="A59" s="58"/>
      <c r="B59" s="58"/>
      <c r="C59" s="58"/>
      <c r="D59" s="58"/>
      <c r="E59" s="58"/>
      <c r="F59" s="58"/>
      <c r="G59" s="58"/>
      <c r="H59" s="58"/>
      <c r="I59" s="58"/>
      <c r="J59" s="58"/>
    </row>
    <row r="60" spans="1:10" ht="18.75" x14ac:dyDescent="0.3">
      <c r="A60" s="58"/>
      <c r="B60" s="58"/>
      <c r="C60" s="58"/>
      <c r="D60" s="58"/>
      <c r="E60" s="58"/>
      <c r="F60" s="58"/>
      <c r="G60" s="58"/>
      <c r="H60" s="58"/>
      <c r="I60" s="58"/>
      <c r="J60" s="58"/>
    </row>
    <row r="61" spans="1:10" ht="18.75" x14ac:dyDescent="0.3">
      <c r="A61" s="58"/>
      <c r="B61" s="58"/>
      <c r="C61" s="58"/>
      <c r="D61" s="58"/>
      <c r="E61" s="58"/>
      <c r="F61" s="58"/>
      <c r="G61" s="58"/>
      <c r="H61" s="58"/>
      <c r="I61" s="58"/>
      <c r="J61" s="58"/>
    </row>
    <row r="62" spans="1:10" ht="18.75" x14ac:dyDescent="0.3">
      <c r="A62" s="58"/>
      <c r="B62" s="58"/>
      <c r="C62" s="58"/>
      <c r="D62" s="58"/>
      <c r="E62" s="58"/>
      <c r="F62" s="58"/>
      <c r="G62" s="58"/>
      <c r="H62" s="58"/>
      <c r="I62" s="58"/>
      <c r="J62" s="58"/>
    </row>
    <row r="63" spans="1:10" ht="18.75" x14ac:dyDescent="0.3">
      <c r="A63" s="58"/>
      <c r="B63" s="58"/>
      <c r="C63" s="58"/>
      <c r="D63" s="58"/>
      <c r="E63" s="58"/>
      <c r="F63" s="58"/>
      <c r="G63" s="58"/>
      <c r="H63" s="58"/>
      <c r="I63" s="58"/>
      <c r="J63" s="58"/>
    </row>
    <row r="64" spans="1:10" ht="18.75" x14ac:dyDescent="0.3">
      <c r="A64" s="58"/>
      <c r="B64" s="58"/>
      <c r="C64" s="58"/>
      <c r="D64" s="58"/>
      <c r="E64" s="58"/>
      <c r="F64" s="58"/>
      <c r="G64" s="58"/>
      <c r="H64" s="58"/>
      <c r="I64" s="58"/>
      <c r="J64" s="58"/>
    </row>
    <row r="65" spans="1:10" ht="18.75" x14ac:dyDescent="0.3">
      <c r="A65" s="58"/>
      <c r="B65" s="58"/>
      <c r="C65" s="58"/>
      <c r="D65" s="58"/>
      <c r="E65" s="58"/>
      <c r="F65" s="58"/>
      <c r="G65" s="58"/>
      <c r="H65" s="58"/>
      <c r="I65" s="58"/>
      <c r="J65" s="58"/>
    </row>
    <row r="66" spans="1:10" ht="18.75" x14ac:dyDescent="0.3">
      <c r="A66" s="58"/>
      <c r="B66" s="58"/>
      <c r="C66" s="58"/>
      <c r="D66" s="58"/>
      <c r="E66" s="58"/>
      <c r="F66" s="58"/>
      <c r="G66" s="58"/>
      <c r="H66" s="58"/>
      <c r="I66" s="58"/>
      <c r="J66" s="58"/>
    </row>
    <row r="67" spans="1:10" ht="18.75" x14ac:dyDescent="0.3">
      <c r="A67" s="58"/>
      <c r="B67" s="58"/>
      <c r="C67" s="58"/>
      <c r="D67" s="58"/>
      <c r="E67" s="58"/>
      <c r="F67" s="58"/>
      <c r="G67" s="58"/>
      <c r="H67" s="58"/>
      <c r="I67" s="58"/>
      <c r="J67" s="58"/>
    </row>
    <row r="68" spans="1:10" ht="18.75" x14ac:dyDescent="0.3">
      <c r="A68" s="58"/>
      <c r="B68" s="58"/>
      <c r="C68" s="58"/>
      <c r="D68" s="58"/>
      <c r="E68" s="58"/>
      <c r="F68" s="58"/>
      <c r="G68" s="58"/>
      <c r="H68" s="58"/>
      <c r="I68" s="58"/>
      <c r="J68" s="58"/>
    </row>
    <row r="69" spans="1:10" ht="18.75" x14ac:dyDescent="0.3">
      <c r="A69" s="58"/>
      <c r="B69" s="58"/>
      <c r="C69" s="58"/>
      <c r="D69" s="58"/>
      <c r="E69" s="58"/>
      <c r="F69" s="58"/>
      <c r="G69" s="58"/>
      <c r="H69" s="58"/>
      <c r="I69" s="58"/>
      <c r="J69" s="58"/>
    </row>
    <row r="70" spans="1:10" ht="18.75" x14ac:dyDescent="0.3">
      <c r="A70" s="58"/>
      <c r="B70" s="58"/>
      <c r="C70" s="58"/>
      <c r="D70" s="58"/>
      <c r="E70" s="58"/>
      <c r="F70" s="58"/>
      <c r="G70" s="58"/>
      <c r="H70" s="58"/>
      <c r="I70" s="58"/>
      <c r="J70" s="58"/>
    </row>
    <row r="71" spans="1:10" ht="18.75" x14ac:dyDescent="0.3">
      <c r="A71" s="58"/>
      <c r="B71" s="58"/>
      <c r="C71" s="58"/>
      <c r="D71" s="58"/>
      <c r="E71" s="58"/>
      <c r="F71" s="58"/>
      <c r="G71" s="58"/>
      <c r="H71" s="58"/>
      <c r="I71" s="58"/>
      <c r="J71" s="58"/>
    </row>
    <row r="72" spans="1:10" ht="18.75" x14ac:dyDescent="0.3">
      <c r="A72" s="58"/>
      <c r="B72" s="58"/>
      <c r="C72" s="58"/>
      <c r="D72" s="58"/>
      <c r="E72" s="58"/>
      <c r="F72" s="58"/>
      <c r="G72" s="58"/>
      <c r="H72" s="58"/>
      <c r="I72" s="58"/>
      <c r="J72" s="58"/>
    </row>
    <row r="73" spans="1:10" ht="18.75" x14ac:dyDescent="0.3">
      <c r="A73" s="58"/>
      <c r="B73" s="58"/>
      <c r="C73" s="58"/>
      <c r="D73" s="58"/>
      <c r="E73" s="58"/>
      <c r="F73" s="58"/>
      <c r="G73" s="58"/>
      <c r="H73" s="58"/>
      <c r="I73" s="58"/>
      <c r="J73" s="58"/>
    </row>
    <row r="74" spans="1:10" ht="18.75" x14ac:dyDescent="0.3">
      <c r="A74" s="58"/>
      <c r="B74" s="58"/>
      <c r="C74" s="58"/>
      <c r="D74" s="58"/>
      <c r="E74" s="58"/>
      <c r="F74" s="58"/>
      <c r="G74" s="58"/>
      <c r="H74" s="58"/>
      <c r="I74" s="58"/>
      <c r="J74" s="58"/>
    </row>
    <row r="75" spans="1:10" ht="18.75" x14ac:dyDescent="0.3">
      <c r="A75" s="58"/>
      <c r="B75" s="58"/>
      <c r="C75" s="58"/>
      <c r="D75" s="58"/>
      <c r="E75" s="58"/>
      <c r="F75" s="58"/>
      <c r="G75" s="58"/>
      <c r="H75" s="58"/>
      <c r="I75" s="58"/>
      <c r="J75" s="58"/>
    </row>
    <row r="76" spans="1:10" ht="18.75" x14ac:dyDescent="0.3">
      <c r="A76" s="58"/>
      <c r="B76" s="58"/>
      <c r="C76" s="58"/>
      <c r="D76" s="58"/>
      <c r="E76" s="58"/>
      <c r="F76" s="58"/>
      <c r="G76" s="58"/>
      <c r="H76" s="58"/>
      <c r="I76" s="58"/>
      <c r="J76" s="58"/>
    </row>
    <row r="77" spans="1:10" ht="18.75" x14ac:dyDescent="0.3">
      <c r="A77" s="58"/>
      <c r="B77" s="58"/>
      <c r="C77" s="58"/>
      <c r="D77" s="58"/>
      <c r="E77" s="58"/>
      <c r="F77" s="58"/>
      <c r="G77" s="58"/>
      <c r="H77" s="58"/>
      <c r="I77" s="58"/>
      <c r="J77" s="58"/>
    </row>
    <row r="78" spans="1:10" ht="18.75" x14ac:dyDescent="0.3">
      <c r="A78" s="58"/>
      <c r="B78" s="58"/>
      <c r="C78" s="58"/>
      <c r="D78" s="58"/>
      <c r="E78" s="58"/>
      <c r="F78" s="58"/>
      <c r="G78" s="58"/>
      <c r="H78" s="58"/>
      <c r="I78" s="58"/>
      <c r="J78" s="58"/>
    </row>
    <row r="79" spans="1:10" ht="18.75" x14ac:dyDescent="0.3">
      <c r="A79" s="58"/>
      <c r="B79" s="58"/>
      <c r="C79" s="58"/>
      <c r="D79" s="58"/>
      <c r="E79" s="58"/>
      <c r="F79" s="58"/>
      <c r="G79" s="58"/>
      <c r="H79" s="58"/>
      <c r="I79" s="58"/>
      <c r="J79" s="58"/>
    </row>
    <row r="80" spans="1:10" ht="18.75" x14ac:dyDescent="0.3">
      <c r="A80" s="58"/>
      <c r="B80" s="58"/>
      <c r="C80" s="58"/>
      <c r="D80" s="58"/>
      <c r="E80" s="58"/>
      <c r="F80" s="58"/>
      <c r="G80" s="58"/>
      <c r="H80" s="58"/>
      <c r="I80" s="58"/>
      <c r="J80" s="58"/>
    </row>
    <row r="81" spans="1:10" ht="18.75" x14ac:dyDescent="0.3">
      <c r="A81" s="58"/>
      <c r="B81" s="58"/>
      <c r="C81" s="58"/>
      <c r="D81" s="58"/>
      <c r="E81" s="58"/>
      <c r="F81" s="58"/>
      <c r="G81" s="58"/>
      <c r="H81" s="58"/>
      <c r="I81" s="58"/>
      <c r="J81" s="58"/>
    </row>
    <row r="82" spans="1:10" ht="18.75" x14ac:dyDescent="0.3">
      <c r="A82" s="58"/>
      <c r="B82" s="58"/>
      <c r="C82" s="58"/>
      <c r="D82" s="58"/>
      <c r="E82" s="58"/>
      <c r="F82" s="58"/>
      <c r="G82" s="58"/>
      <c r="H82" s="58"/>
      <c r="I82" s="58"/>
      <c r="J82" s="58"/>
    </row>
    <row r="83" spans="1:10" ht="18.75" x14ac:dyDescent="0.3">
      <c r="A83" s="58"/>
      <c r="B83" s="58"/>
      <c r="C83" s="58"/>
      <c r="D83" s="58"/>
      <c r="E83" s="58"/>
      <c r="F83" s="58"/>
      <c r="G83" s="58"/>
      <c r="H83" s="58"/>
      <c r="I83" s="58"/>
      <c r="J83" s="58"/>
    </row>
    <row r="84" spans="1:10" ht="18.75" x14ac:dyDescent="0.3">
      <c r="A84" s="58"/>
      <c r="B84" s="58"/>
      <c r="C84" s="58"/>
      <c r="D84" s="58"/>
      <c r="E84" s="58"/>
      <c r="F84" s="58"/>
      <c r="G84" s="58"/>
      <c r="H84" s="58"/>
      <c r="I84" s="58"/>
      <c r="J84" s="58"/>
    </row>
    <row r="85" spans="1:10" ht="18.75" x14ac:dyDescent="0.3">
      <c r="A85" s="58"/>
      <c r="B85" s="58"/>
      <c r="C85" s="58"/>
      <c r="D85" s="58"/>
      <c r="E85" s="58"/>
      <c r="F85" s="58"/>
      <c r="G85" s="58"/>
      <c r="H85" s="58"/>
      <c r="I85" s="58"/>
      <c r="J85" s="58"/>
    </row>
    <row r="86" spans="1:10" ht="18.75" x14ac:dyDescent="0.3">
      <c r="A86" s="58"/>
      <c r="B86" s="58"/>
      <c r="C86" s="58"/>
      <c r="D86" s="58"/>
      <c r="E86" s="58"/>
      <c r="F86" s="58"/>
      <c r="G86" s="58"/>
      <c r="H86" s="58"/>
      <c r="I86" s="58"/>
      <c r="J86" s="58"/>
    </row>
    <row r="87" spans="1:10" ht="18.75" x14ac:dyDescent="0.3">
      <c r="A87" s="58"/>
      <c r="B87" s="58"/>
      <c r="C87" s="58"/>
      <c r="D87" s="58"/>
      <c r="E87" s="58"/>
      <c r="F87" s="58"/>
      <c r="G87" s="58"/>
      <c r="H87" s="58"/>
      <c r="I87" s="58"/>
      <c r="J87" s="58"/>
    </row>
    <row r="88" spans="1:10" ht="18.75" x14ac:dyDescent="0.3">
      <c r="A88" s="58"/>
      <c r="B88" s="58"/>
      <c r="C88" s="58"/>
      <c r="D88" s="58"/>
      <c r="E88" s="58"/>
      <c r="F88" s="58"/>
      <c r="G88" s="58"/>
      <c r="H88" s="58"/>
      <c r="I88" s="58"/>
      <c r="J88" s="58"/>
    </row>
    <row r="89" spans="1:10" ht="18.75" x14ac:dyDescent="0.3">
      <c r="A89" s="58"/>
      <c r="B89" s="58"/>
      <c r="C89" s="58"/>
      <c r="D89" s="58"/>
      <c r="E89" s="58"/>
      <c r="F89" s="58"/>
      <c r="G89" s="58"/>
      <c r="H89" s="58"/>
      <c r="I89" s="58"/>
      <c r="J89" s="58"/>
    </row>
    <row r="90" spans="1:10" ht="18.75" x14ac:dyDescent="0.3">
      <c r="A90" s="58"/>
      <c r="B90" s="58"/>
      <c r="C90" s="58"/>
      <c r="D90" s="58"/>
      <c r="E90" s="58"/>
      <c r="F90" s="58"/>
      <c r="G90" s="58"/>
      <c r="H90" s="58"/>
      <c r="I90" s="58"/>
      <c r="J90" s="58"/>
    </row>
    <row r="91" spans="1:10" ht="18.75" x14ac:dyDescent="0.3">
      <c r="A91" s="58"/>
      <c r="B91" s="58"/>
      <c r="C91" s="58"/>
      <c r="D91" s="58"/>
      <c r="E91" s="58"/>
      <c r="F91" s="58"/>
      <c r="G91" s="58"/>
      <c r="H91" s="58"/>
      <c r="I91" s="58"/>
      <c r="J91" s="58"/>
    </row>
    <row r="92" spans="1:10" ht="18.75" x14ac:dyDescent="0.3">
      <c r="A92" s="58"/>
      <c r="B92" s="58"/>
      <c r="C92" s="58"/>
      <c r="D92" s="58"/>
      <c r="E92" s="58"/>
      <c r="F92" s="58"/>
      <c r="G92" s="58"/>
      <c r="H92" s="58"/>
      <c r="I92" s="58"/>
      <c r="J92" s="58"/>
    </row>
  </sheetData>
  <mergeCells count="4">
    <mergeCell ref="B4:D4"/>
    <mergeCell ref="F4:H4"/>
    <mergeCell ref="B5:D5"/>
    <mergeCell ref="F5:H5"/>
  </mergeCells>
  <hyperlinks>
    <hyperlink ref="B1" location="Innhold!A1" display="Tilbake" xr:uid="{F3E75261-2AE4-411B-B0FA-C74A0CB898BF}"/>
  </hyperlinks>
  <pageMargins left="0.70866141732283472" right="0.70866141732283472" top="0.74803149606299213" bottom="0.74803149606299213" header="0.31496062992125984" footer="0.31496062992125984"/>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6"/>
  <dimension ref="A1:N303"/>
  <sheetViews>
    <sheetView showGridLines="0" showZeros="0" zoomScaleNormal="100" zoomScaleSheetLayoutView="80" workbookViewId="0">
      <pane xSplit="1" ySplit="1" topLeftCell="B2" activePane="bottomRight" state="frozen"/>
      <selection activeCell="J44" sqref="J44"/>
      <selection pane="topRight" activeCell="J44" sqref="J44"/>
      <selection pane="bottomLeft" activeCell="J44" sqref="J44"/>
      <selection pane="bottomRight"/>
    </sheetView>
  </sheetViews>
  <sheetFormatPr baseColWidth="10" defaultColWidth="11.42578125" defaultRowHeight="12.75" x14ac:dyDescent="0.2"/>
  <cols>
    <col min="1" max="1" width="57.28515625" style="1" customWidth="1"/>
    <col min="2" max="3" width="10.7109375" style="1" customWidth="1"/>
    <col min="4" max="4" width="8.7109375" style="1" customWidth="1"/>
    <col min="5" max="6" width="10.7109375" style="1" customWidth="1"/>
    <col min="7" max="7" width="8.7109375" style="1" customWidth="1"/>
    <col min="8" max="8" width="10.85546875" style="1" bestFit="1" customWidth="1"/>
    <col min="9" max="9" width="12.28515625" style="1" bestFit="1" customWidth="1"/>
    <col min="10" max="10" width="8.7109375" style="1" customWidth="1"/>
    <col min="11" max="16384" width="11.42578125" style="1"/>
  </cols>
  <sheetData>
    <row r="1" spans="1:14" ht="15.75" customHeight="1" x14ac:dyDescent="0.2">
      <c r="A1" s="335">
        <v>4</v>
      </c>
      <c r="B1" s="4"/>
      <c r="C1" s="4"/>
      <c r="D1" s="4"/>
      <c r="E1" s="4"/>
      <c r="F1" s="4"/>
      <c r="G1" s="4"/>
      <c r="H1" s="4"/>
      <c r="I1" s="4"/>
      <c r="J1" s="4"/>
    </row>
    <row r="2" spans="1:14" ht="15.75" customHeight="1" x14ac:dyDescent="0.25">
      <c r="A2" s="150" t="s">
        <v>28</v>
      </c>
      <c r="B2" s="709"/>
      <c r="C2" s="709"/>
      <c r="D2" s="709"/>
      <c r="E2" s="709"/>
      <c r="F2" s="709"/>
      <c r="G2" s="709"/>
      <c r="H2" s="709"/>
      <c r="I2" s="709"/>
      <c r="J2" s="709"/>
    </row>
    <row r="3" spans="1:14" ht="15.75" customHeight="1" x14ac:dyDescent="0.25">
      <c r="A3" s="148"/>
      <c r="B3" s="282"/>
      <c r="C3" s="282"/>
      <c r="D3" s="282"/>
      <c r="E3" s="282"/>
      <c r="F3" s="282"/>
      <c r="G3" s="282"/>
      <c r="H3" s="282"/>
      <c r="I3" s="282"/>
      <c r="J3" s="282"/>
    </row>
    <row r="4" spans="1:14" ht="15.75" customHeight="1" x14ac:dyDescent="0.2">
      <c r="A4" s="129"/>
      <c r="B4" s="710" t="s">
        <v>0</v>
      </c>
      <c r="C4" s="711"/>
      <c r="D4" s="711"/>
      <c r="E4" s="710" t="s">
        <v>1</v>
      </c>
      <c r="F4" s="711"/>
      <c r="G4" s="711"/>
      <c r="H4" s="710" t="s">
        <v>2</v>
      </c>
      <c r="I4" s="711"/>
      <c r="J4" s="712"/>
    </row>
    <row r="5" spans="1:14" ht="15.75" customHeight="1" x14ac:dyDescent="0.2">
      <c r="A5" s="143"/>
      <c r="B5" s="20" t="s">
        <v>414</v>
      </c>
      <c r="C5" s="20" t="s">
        <v>415</v>
      </c>
      <c r="D5" s="234" t="s">
        <v>3</v>
      </c>
      <c r="E5" s="20" t="s">
        <v>414</v>
      </c>
      <c r="F5" s="20" t="s">
        <v>415</v>
      </c>
      <c r="G5" s="234" t="s">
        <v>3</v>
      </c>
      <c r="H5" s="20" t="s">
        <v>414</v>
      </c>
      <c r="I5" s="20" t="s">
        <v>415</v>
      </c>
      <c r="J5" s="234" t="s">
        <v>3</v>
      </c>
      <c r="M5" s="3"/>
      <c r="N5" s="3"/>
    </row>
    <row r="6" spans="1:14" ht="15.75" customHeight="1" x14ac:dyDescent="0.2">
      <c r="A6" s="682"/>
      <c r="B6" s="15"/>
      <c r="C6" s="15"/>
      <c r="D6" s="17" t="s">
        <v>4</v>
      </c>
      <c r="E6" s="16"/>
      <c r="F6" s="16"/>
      <c r="G6" s="15" t="s">
        <v>4</v>
      </c>
      <c r="H6" s="16"/>
      <c r="I6" s="16"/>
      <c r="J6" s="15" t="s">
        <v>4</v>
      </c>
      <c r="M6" s="314"/>
      <c r="N6" s="3"/>
    </row>
    <row r="7" spans="1:14" s="43" customFormat="1" ht="15.75" customHeight="1" x14ac:dyDescent="0.2">
      <c r="A7" s="14" t="s">
        <v>23</v>
      </c>
      <c r="B7" s="220">
        <f>'Fremtind Livsforsikring'!B7+'DNB Livsforsikring'!B7+'Eika Forsikring AS'!B7+'Frende Livsforsikring'!B7+'Frende Skadeforsikring'!B7+'Gjensidige Forsikring'!B7+'Gjensidige Pensjon'!B7+'If Skadeforsikring NUF'!B7+KLP!B7+'KLP Skadeforsikring AS'!B7+'Landkreditt Forsikring'!B7+'Nordea Liv '!B7+'Oslo Pensjonsforsikring'!B7+'Protector Forsikring'!B7+'Sparebank 1 Fors.'!B7+'Storebrand Livsforsikring'!B7+'Telenor Forsikring'!B7+'Tryg Forsikring'!B7+'WaterCircles F'!B7+'Euro Accident'!B7+'Ly Forsikring'!B7+'Youplus Livsforsikring'!B7</f>
        <v>3189470.6781720864</v>
      </c>
      <c r="C7" s="220">
        <f>'Fremtind Livsforsikring'!C7+'DNB Livsforsikring'!C7+'Eika Forsikring AS'!C7+'Frende Livsforsikring'!C7+'Frende Skadeforsikring'!C7+'Gjensidige Forsikring'!C7+'Gjensidige Pensjon'!C7+'If Skadeforsikring NUF'!C7+KLP!C7+'KLP Skadeforsikring AS'!C7+'Landkreditt Forsikring'!C7+'Nordea Liv '!C7+'Oslo Pensjonsforsikring'!C7+'Protector Forsikring'!C7+'Sparebank 1 Fors.'!C7+'Storebrand Livsforsikring'!C7+'Telenor Forsikring'!C7+'Tryg Forsikring'!C7+'WaterCircles F'!C7+'Euro Accident'!C7+'Ly Forsikring'!C7+'Youplus Livsforsikring'!C7</f>
        <v>3149499.8382932115</v>
      </c>
      <c r="D7" s="145">
        <f t="shared" ref="D7:D12" si="0">IF(B7=0, "    ---- ", IF(ABS(ROUND(100/B7*C7-100,1))&lt;999,ROUND(100/B7*C7-100,1),IF(ROUND(100/B7*C7-100,1)&gt;999,999,-999)))</f>
        <v>-1.3</v>
      </c>
      <c r="E7" s="220">
        <f>'Fremtind Livsforsikring'!F7+'DNB Livsforsikring'!F7+'Eika Forsikring AS'!F7+'Frende Livsforsikring'!F7+'Frende Skadeforsikring'!F7+'Gjensidige Forsikring'!F7+'Gjensidige Pensjon'!F7+'If Skadeforsikring NUF'!F7+KLP!F7+'KLP Skadeforsikring AS'!F7+'Landkreditt Forsikring'!F7+'Nordea Liv '!F7+'Oslo Pensjonsforsikring'!F7+'Protector Forsikring'!F7+'Sparebank 1 Fors.'!F7+'Storebrand Livsforsikring'!F7+'Telenor Forsikring'!F7+'Tryg Forsikring'!F7+'WaterCircles F'!F7+'Euro Accident'!F7+'Ly Forsikring'!F7+'Youplus Livsforsikring'!F7</f>
        <v>5190691.7217600001</v>
      </c>
      <c r="F7" s="220">
        <f>'Fremtind Livsforsikring'!G7+'DNB Livsforsikring'!G7+'Eika Forsikring AS'!G7+'Frende Livsforsikring'!G7+'Frende Skadeforsikring'!G7+'Gjensidige Forsikring'!G7+'Gjensidige Pensjon'!G7+'If Skadeforsikring NUF'!G7+KLP!G7+'KLP Skadeforsikring AS'!G7+'Landkreditt Forsikring'!G7+'Nordea Liv '!G7+'Oslo Pensjonsforsikring'!G7+'Protector Forsikring'!G7+'Sparebank 1 Fors.'!G7+'Storebrand Livsforsikring'!G7+'Telenor Forsikring'!G7+'Tryg Forsikring'!G7+'WaterCircles F'!G7+'Euro Accident'!G7+'Ly Forsikring'!G7+'Youplus Livsforsikring'!G7</f>
        <v>7780547.8374900008</v>
      </c>
      <c r="G7" s="145">
        <f t="shared" ref="G7:G12" si="1">IF(E7=0, "    ---- ", IF(ABS(ROUND(100/E7*F7-100,1))&lt;999,ROUND(100/E7*F7-100,1),IF(ROUND(100/E7*F7-100,1)&gt;999,999,-999)))</f>
        <v>49.9</v>
      </c>
      <c r="H7" s="262">
        <f t="shared" ref="H7:H12" si="2">B7+E7</f>
        <v>8380162.3999320865</v>
      </c>
      <c r="I7" s="263">
        <f t="shared" ref="I7:I12" si="3">C7+F7</f>
        <v>10930047.675783213</v>
      </c>
      <c r="J7" s="156">
        <f t="shared" ref="J7:J12" si="4">IF(H7=0, "    ---- ", IF(ABS(ROUND(100/H7*I7-100,1))&lt;999,ROUND(100/H7*I7-100,1),IF(ROUND(100/H7*I7-100,1)&gt;999,999,-999)))</f>
        <v>30.4</v>
      </c>
      <c r="M7" s="397"/>
      <c r="N7" s="397"/>
    </row>
    <row r="8" spans="1:14" ht="15.75" customHeight="1" x14ac:dyDescent="0.2">
      <c r="A8" s="21" t="s">
        <v>25</v>
      </c>
      <c r="B8" s="44">
        <f>'Fremtind Livsforsikring'!B8+'DNB Livsforsikring'!B8+'Eika Forsikring AS'!B8+'Frende Livsforsikring'!B8+'Frende Skadeforsikring'!B8+'Gjensidige Forsikring'!B8+'Gjensidige Pensjon'!B8+'If Skadeforsikring NUF'!B8+KLP!B8+'KLP Skadeforsikring AS'!B8+'Landkreditt Forsikring'!B8+'Nordea Liv '!B8+'Oslo Pensjonsforsikring'!B8+'Protector Forsikring'!B8+'Sparebank 1 Fors.'!B8+'Storebrand Livsforsikring'!B8+'Telenor Forsikring'!B8+'Tryg Forsikring'!B8+'WaterCircles F'!B8+'Euro Accident'!B8+'Ly Forsikring'!B8+'Youplus Livsforsikring'!B8</f>
        <v>2006008.4338581171</v>
      </c>
      <c r="C8" s="44">
        <f>'Fremtind Livsforsikring'!C8+'DNB Livsforsikring'!C8+'Eika Forsikring AS'!C8+'Frende Livsforsikring'!C8+'Frende Skadeforsikring'!C8+'Gjensidige Forsikring'!C8+'Gjensidige Pensjon'!C8+'If Skadeforsikring NUF'!C8+KLP!C8+'KLP Skadeforsikring AS'!C8+'Landkreditt Forsikring'!C8+'Nordea Liv '!C8+'Oslo Pensjonsforsikring'!C8+'Protector Forsikring'!C8+'Sparebank 1 Fors.'!C8+'Storebrand Livsforsikring'!C8+'Telenor Forsikring'!C8+'Tryg Forsikring'!C8+'WaterCircles F'!C8+'Euro Accident'!C8+'Ly Forsikring'!C8+'Youplus Livsforsikring'!C8</f>
        <v>2105809.9824464023</v>
      </c>
      <c r="D8" s="151">
        <f t="shared" si="0"/>
        <v>5</v>
      </c>
      <c r="E8" s="172"/>
      <c r="F8" s="172"/>
      <c r="G8" s="161"/>
      <c r="H8" s="174">
        <f t="shared" si="2"/>
        <v>2006008.4338581171</v>
      </c>
      <c r="I8" s="175">
        <f t="shared" si="3"/>
        <v>2105809.9824464023</v>
      </c>
      <c r="J8" s="156">
        <f t="shared" si="4"/>
        <v>5</v>
      </c>
    </row>
    <row r="9" spans="1:14" ht="15.75" customHeight="1" x14ac:dyDescent="0.2">
      <c r="A9" s="21" t="s">
        <v>24</v>
      </c>
      <c r="B9" s="44">
        <f>'Fremtind Livsforsikring'!B9+'DNB Livsforsikring'!B9+'Eika Forsikring AS'!B9+'Frende Livsforsikring'!B9+'Frende Skadeforsikring'!B9+'Gjensidige Forsikring'!B9+'Gjensidige Pensjon'!B9+'If Skadeforsikring NUF'!B9+KLP!B9+'KLP Skadeforsikring AS'!B9+'Landkreditt Forsikring'!B9+'Nordea Liv '!B9+'Oslo Pensjonsforsikring'!B9+'Protector Forsikring'!B9+'Sparebank 1 Fors.'!B9+'Storebrand Livsforsikring'!B9+'Telenor Forsikring'!B9+'Tryg Forsikring'!B9+'WaterCircles F'!B9+'Euro Accident'!B9+'Ly Forsikring'!B9+'Youplus Livsforsikring'!B9</f>
        <v>689845.44338999013</v>
      </c>
      <c r="C9" s="44">
        <f>'Fremtind Livsforsikring'!C9+'DNB Livsforsikring'!C9+'Eika Forsikring AS'!C9+'Frende Livsforsikring'!C9+'Frende Skadeforsikring'!C9+'Gjensidige Forsikring'!C9+'Gjensidige Pensjon'!C9+'If Skadeforsikring NUF'!C9+KLP!C9+'KLP Skadeforsikring AS'!C9+'Landkreditt Forsikring'!C9+'Nordea Liv '!C9+'Oslo Pensjonsforsikring'!C9+'Protector Forsikring'!C9+'Sparebank 1 Fors.'!C9+'Storebrand Livsforsikring'!C9+'Telenor Forsikring'!C9+'Tryg Forsikring'!C9+'WaterCircles F'!C9+'Euro Accident'!C9+'Ly Forsikring'!C9+'Youplus Livsforsikring'!C9</f>
        <v>669298.43312226341</v>
      </c>
      <c r="D9" s="161">
        <f t="shared" si="0"/>
        <v>-3</v>
      </c>
      <c r="E9" s="172"/>
      <c r="F9" s="172"/>
      <c r="G9" s="161"/>
      <c r="H9" s="174">
        <f t="shared" si="2"/>
        <v>689845.44338999013</v>
      </c>
      <c r="I9" s="175">
        <f t="shared" si="3"/>
        <v>669298.43312226341</v>
      </c>
      <c r="J9" s="156">
        <f t="shared" si="4"/>
        <v>-3</v>
      </c>
    </row>
    <row r="10" spans="1:14" s="43" customFormat="1" ht="15.75" customHeight="1" x14ac:dyDescent="0.2">
      <c r="A10" s="39" t="s">
        <v>322</v>
      </c>
      <c r="B10" s="220">
        <f>'Fremtind Livsforsikring'!B10+'DNB Livsforsikring'!B10+'Eika Forsikring AS'!B10+'Frende Livsforsikring'!B10+'Frende Skadeforsikring'!B10+'Gjensidige Forsikring'!B10+'Gjensidige Pensjon'!B10+'If Skadeforsikring NUF'!B10+KLP!B10+'KLP Skadeforsikring AS'!B10+'Landkreditt Forsikring'!B10+'Nordea Liv '!B10+'Oslo Pensjonsforsikring'!B10+'Protector Forsikring'!B10+'Sparebank 1 Fors.'!B10+'Storebrand Livsforsikring'!B10+'Telenor Forsikring'!B10+'Tryg Forsikring'!B10+'WaterCircles F'!B10+'Euro Accident'!B10+'Ly Forsikring'!B10+'Youplus Livsforsikring'!B10</f>
        <v>14366559.070636712</v>
      </c>
      <c r="C10" s="220">
        <f>'Fremtind Livsforsikring'!C10+'DNB Livsforsikring'!C10+'Eika Forsikring AS'!C10+'Frende Livsforsikring'!C10+'Frende Skadeforsikring'!C10+'Gjensidige Forsikring'!C10+'Gjensidige Pensjon'!C10+'If Skadeforsikring NUF'!C10+KLP!C10+'KLP Skadeforsikring AS'!C10+'Landkreditt Forsikring'!C10+'Nordea Liv '!C10+'Oslo Pensjonsforsikring'!C10+'Protector Forsikring'!C10+'Sparebank 1 Fors.'!C10+'Storebrand Livsforsikring'!C10+'Telenor Forsikring'!C10+'Tryg Forsikring'!C10+'WaterCircles F'!C10+'Euro Accident'!C10+'Ly Forsikring'!C10+'Youplus Livsforsikring'!C10</f>
        <v>13239316.319243755</v>
      </c>
      <c r="D10" s="145">
        <f t="shared" si="0"/>
        <v>-7.8</v>
      </c>
      <c r="E10" s="220">
        <f>'Fremtind Livsforsikring'!F10+'DNB Livsforsikring'!F10+'Eika Forsikring AS'!F10+'Frende Livsforsikring'!F10+'Frende Skadeforsikring'!F10+'Gjensidige Forsikring'!F10+'Gjensidige Pensjon'!F10+'If Skadeforsikring NUF'!F10+KLP!F10+'KLP Skadeforsikring AS'!F10+'Landkreditt Forsikring'!F10+'Nordea Liv '!F10+'Oslo Pensjonsforsikring'!F10+'Protector Forsikring'!F10+'Sparebank 1 Fors.'!F10+'Storebrand Livsforsikring'!F10+'Telenor Forsikring'!F10+'Tryg Forsikring'!F10+'WaterCircles F'!F10+'Euro Accident'!F10+'Ly Forsikring'!F10+'Youplus Livsforsikring'!F10</f>
        <v>78771257.566179991</v>
      </c>
      <c r="F10" s="220">
        <f>'Fremtind Livsforsikring'!G10+'DNB Livsforsikring'!G10+'Eika Forsikring AS'!G10+'Frende Livsforsikring'!G10+'Frende Skadeforsikring'!G10+'Gjensidige Forsikring'!G10+'Gjensidige Pensjon'!G10+'If Skadeforsikring NUF'!G10+KLP!G10+'KLP Skadeforsikring AS'!G10+'Landkreditt Forsikring'!G10+'Nordea Liv '!G10+'Oslo Pensjonsforsikring'!G10+'Protector Forsikring'!G10+'Sparebank 1 Fors.'!G10+'Storebrand Livsforsikring'!G10+'Telenor Forsikring'!G10+'Tryg Forsikring'!G10+'WaterCircles F'!G10+'Euro Accident'!G10+'Ly Forsikring'!G10+'Youplus Livsforsikring'!G10</f>
        <v>93774474.278255001</v>
      </c>
      <c r="G10" s="145">
        <f t="shared" si="1"/>
        <v>19</v>
      </c>
      <c r="H10" s="262">
        <f t="shared" si="2"/>
        <v>93137816.63681671</v>
      </c>
      <c r="I10" s="263">
        <f t="shared" si="3"/>
        <v>107013790.59749876</v>
      </c>
      <c r="J10" s="156">
        <f t="shared" si="4"/>
        <v>14.9</v>
      </c>
    </row>
    <row r="11" spans="1:14" s="43" customFormat="1" ht="15.75" customHeight="1" x14ac:dyDescent="0.2">
      <c r="A11" s="39" t="s">
        <v>323</v>
      </c>
      <c r="B11" s="220">
        <f>'Fremtind Livsforsikring'!B11+'DNB Livsforsikring'!B11+'Eika Forsikring AS'!B11+'Frende Livsforsikring'!B11+'Frende Skadeforsikring'!B11+'Gjensidige Forsikring'!B11+'Gjensidige Pensjon'!B11+'If Skadeforsikring NUF'!B11+KLP!B11+'KLP Skadeforsikring AS'!B11+'Landkreditt Forsikring'!B11+'Nordea Liv '!B11+'Oslo Pensjonsforsikring'!B11+'Protector Forsikring'!B11+'Sparebank 1 Fors.'!B11+'Storebrand Livsforsikring'!B11+'Telenor Forsikring'!B11+'Tryg Forsikring'!B11+'WaterCircles F'!B11+'Euro Accident'!B11+'Ly Forsikring'!B11+'Youplus Livsforsikring'!B11</f>
        <v>24653</v>
      </c>
      <c r="C11" s="220">
        <f>'Fremtind Livsforsikring'!C11+'DNB Livsforsikring'!C11+'Eika Forsikring AS'!C11+'Frende Livsforsikring'!C11+'Frende Skadeforsikring'!C11+'Gjensidige Forsikring'!C11+'Gjensidige Pensjon'!C11+'If Skadeforsikring NUF'!C11+KLP!C11+'KLP Skadeforsikring AS'!C11+'Landkreditt Forsikring'!C11+'Nordea Liv '!C11+'Oslo Pensjonsforsikring'!C11+'Protector Forsikring'!C11+'Sparebank 1 Fors.'!C11+'Storebrand Livsforsikring'!C11+'Telenor Forsikring'!C11+'Tryg Forsikring'!C11+'WaterCircles F'!C11+'Euro Accident'!C11+'Ly Forsikring'!C11+'Youplus Livsforsikring'!C11</f>
        <v>0</v>
      </c>
      <c r="D11" s="156">
        <f t="shared" si="0"/>
        <v>-100</v>
      </c>
      <c r="E11" s="220">
        <f>'Fremtind Livsforsikring'!F11+'DNB Livsforsikring'!F11+'Eika Forsikring AS'!F11+'Frende Livsforsikring'!F11+'Frende Skadeforsikring'!F11+'Gjensidige Forsikring'!F11+'Gjensidige Pensjon'!F11+'If Skadeforsikring NUF'!F11+KLP!F11+'KLP Skadeforsikring AS'!F11+'Landkreditt Forsikring'!F11+'Nordea Liv '!F11+'Oslo Pensjonsforsikring'!F11+'Protector Forsikring'!F11+'Sparebank 1 Fors.'!F11+'Storebrand Livsforsikring'!F11+'Telenor Forsikring'!F11+'Tryg Forsikring'!F11+'WaterCircles F'!F11+'Euro Accident'!F11+'Ly Forsikring'!F11+'Youplus Livsforsikring'!F11</f>
        <v>120705.76566000008</v>
      </c>
      <c r="F11" s="220">
        <f>'Fremtind Livsforsikring'!G11+'DNB Livsforsikring'!G11+'Eika Forsikring AS'!G11+'Frende Livsforsikring'!G11+'Frende Skadeforsikring'!G11+'Gjensidige Forsikring'!G11+'Gjensidige Pensjon'!G11+'If Skadeforsikring NUF'!G11+KLP!G11+'KLP Skadeforsikring AS'!G11+'Landkreditt Forsikring'!G11+'Nordea Liv '!G11+'Oslo Pensjonsforsikring'!G11+'Protector Forsikring'!G11+'Sparebank 1 Fors.'!G11+'Storebrand Livsforsikring'!G11+'Telenor Forsikring'!G11+'Tryg Forsikring'!G11+'WaterCircles F'!G11+'Euro Accident'!G11+'Ly Forsikring'!G11+'Youplus Livsforsikring'!G11</f>
        <v>203568.15708999999</v>
      </c>
      <c r="G11" s="156">
        <f t="shared" si="1"/>
        <v>68.599999999999994</v>
      </c>
      <c r="H11" s="262">
        <f t="shared" si="2"/>
        <v>145358.76566000009</v>
      </c>
      <c r="I11" s="263">
        <f t="shared" si="3"/>
        <v>203568.15708999999</v>
      </c>
      <c r="J11" s="156">
        <f t="shared" si="4"/>
        <v>40</v>
      </c>
    </row>
    <row r="12" spans="1:14" s="43" customFormat="1" ht="15.75" customHeight="1" x14ac:dyDescent="0.2">
      <c r="A12" s="454" t="s">
        <v>324</v>
      </c>
      <c r="B12" s="261">
        <f>'Fremtind Livsforsikring'!B12+'DNB Livsforsikring'!B12+'Eika Forsikring AS'!B12+'Frende Livsforsikring'!B12+'Frende Skadeforsikring'!B12+'Gjensidige Forsikring'!B12+'Gjensidige Pensjon'!B12+'If Skadeforsikring NUF'!B12+KLP!B12+'KLP Skadeforsikring AS'!B12+'Landkreditt Forsikring'!B12+'Nordea Liv '!B12+'Oslo Pensjonsforsikring'!B12+'Protector Forsikring'!B12+'Sparebank 1 Fors.'!B12+'Storebrand Livsforsikring'!B12+'Telenor Forsikring'!B12+'Tryg Forsikring'!B12+'WaterCircles F'!B12+'Euro Accident'!B12+'Ly Forsikring'!B12+'Youplus Livsforsikring'!B12</f>
        <v>1615</v>
      </c>
      <c r="C12" s="261">
        <f>'Fremtind Livsforsikring'!C12+'DNB Livsforsikring'!C12+'Eika Forsikring AS'!C12+'Frende Livsforsikring'!C12+'Frende Skadeforsikring'!C12+'Gjensidige Forsikring'!C12+'Gjensidige Pensjon'!C12+'If Skadeforsikring NUF'!C12+KLP!C12+'KLP Skadeforsikring AS'!C12+'Landkreditt Forsikring'!C12+'Nordea Liv '!C12+'Oslo Pensjonsforsikring'!C12+'Protector Forsikring'!C12+'Sparebank 1 Fors.'!C12+'Storebrand Livsforsikring'!C12+'Telenor Forsikring'!C12+'Tryg Forsikring'!C12+'WaterCircles F'!C12+'Euro Accident'!C12+'Ly Forsikring'!C12+'Youplus Livsforsikring'!C12</f>
        <v>0</v>
      </c>
      <c r="D12" s="155">
        <f t="shared" si="0"/>
        <v>-100</v>
      </c>
      <c r="E12" s="261">
        <f>'Fremtind Livsforsikring'!F12+'DNB Livsforsikring'!F12+'Eika Forsikring AS'!F12+'Frende Livsforsikring'!F12+'Frende Skadeforsikring'!F12+'Gjensidige Forsikring'!F12+'Gjensidige Pensjon'!F12+'If Skadeforsikring NUF'!F12+KLP!F12+'KLP Skadeforsikring AS'!F12+'Landkreditt Forsikring'!F12+'Nordea Liv '!F12+'Oslo Pensjonsforsikring'!F12+'Protector Forsikring'!F12+'Sparebank 1 Fors.'!F12+'Storebrand Livsforsikring'!F12+'Telenor Forsikring'!F12+'Tryg Forsikring'!F12+'WaterCircles F'!F12+'Euro Accident'!F12+'Ly Forsikring'!F12+'Youplus Livsforsikring'!F12</f>
        <v>101483.09708000001</v>
      </c>
      <c r="F12" s="261">
        <f>'Fremtind Livsforsikring'!G12+'DNB Livsforsikring'!G12+'Eika Forsikring AS'!G12+'Frende Livsforsikring'!G12+'Frende Skadeforsikring'!G12+'Gjensidige Forsikring'!G12+'Gjensidige Pensjon'!G12+'If Skadeforsikring NUF'!G12+KLP!G12+'KLP Skadeforsikring AS'!G12+'Landkreditt Forsikring'!G12+'Nordea Liv '!G12+'Oslo Pensjonsforsikring'!G12+'Protector Forsikring'!G12+'Sparebank 1 Fors.'!G12+'Storebrand Livsforsikring'!G12+'Telenor Forsikring'!G12+'Tryg Forsikring'!G12+'WaterCircles F'!G12+'Euro Accident'!G12+'Ly Forsikring'!G12+'Youplus Livsforsikring'!G12</f>
        <v>216077.60194000002</v>
      </c>
      <c r="G12" s="154">
        <f t="shared" si="1"/>
        <v>112.9</v>
      </c>
      <c r="H12" s="264">
        <f t="shared" si="2"/>
        <v>103098.09708000001</v>
      </c>
      <c r="I12" s="265">
        <f t="shared" si="3"/>
        <v>216077.60194000002</v>
      </c>
      <c r="J12" s="154">
        <f t="shared" si="4"/>
        <v>109.6</v>
      </c>
    </row>
    <row r="13" spans="1:14" s="43" customFormat="1" ht="15.75" customHeight="1" x14ac:dyDescent="0.2">
      <c r="A13" s="153"/>
      <c r="B13" s="35"/>
      <c r="C13" s="5"/>
      <c r="D13" s="32"/>
      <c r="E13" s="35"/>
      <c r="F13" s="5"/>
      <c r="G13" s="32"/>
      <c r="H13" s="48"/>
      <c r="I13" s="48"/>
      <c r="J13" s="32"/>
    </row>
    <row r="14" spans="1:14" ht="15.75" customHeight="1" x14ac:dyDescent="0.2">
      <c r="A14" s="138" t="s">
        <v>245</v>
      </c>
    </row>
    <row r="15" spans="1:14" ht="15.75" customHeight="1" x14ac:dyDescent="0.2">
      <c r="A15" s="134"/>
      <c r="E15" s="7"/>
      <c r="F15" s="7"/>
      <c r="G15" s="7"/>
      <c r="H15" s="7"/>
      <c r="I15" s="7"/>
      <c r="J15" s="7"/>
    </row>
    <row r="16" spans="1:14" s="3" customFormat="1" ht="15.75" customHeight="1" x14ac:dyDescent="0.25">
      <c r="A16" s="149"/>
      <c r="C16" s="30"/>
      <c r="D16" s="30"/>
      <c r="E16" s="30"/>
      <c r="F16" s="30"/>
      <c r="G16" s="30"/>
      <c r="H16" s="30"/>
      <c r="I16" s="30"/>
      <c r="J16" s="30"/>
    </row>
    <row r="17" spans="1:11" ht="15.75" customHeight="1" x14ac:dyDescent="0.25">
      <c r="A17" s="132" t="s">
        <v>242</v>
      </c>
      <c r="B17" s="28"/>
      <c r="C17" s="28"/>
      <c r="D17" s="29"/>
      <c r="E17" s="28"/>
      <c r="F17" s="28"/>
      <c r="G17" s="28"/>
      <c r="H17" s="28"/>
      <c r="I17" s="28"/>
      <c r="J17" s="28"/>
    </row>
    <row r="18" spans="1:11" ht="15.75" customHeight="1" x14ac:dyDescent="0.25">
      <c r="A18" s="134"/>
      <c r="B18" s="709"/>
      <c r="C18" s="709"/>
      <c r="D18" s="709"/>
      <c r="E18" s="709"/>
      <c r="F18" s="709"/>
      <c r="G18" s="709"/>
      <c r="H18" s="709"/>
      <c r="I18" s="709"/>
      <c r="J18" s="709"/>
    </row>
    <row r="19" spans="1:11" ht="15.75" customHeight="1" x14ac:dyDescent="0.2">
      <c r="A19" s="129"/>
      <c r="B19" s="710" t="s">
        <v>0</v>
      </c>
      <c r="C19" s="711"/>
      <c r="D19" s="711"/>
      <c r="E19" s="710" t="s">
        <v>1</v>
      </c>
      <c r="F19" s="711"/>
      <c r="G19" s="712"/>
      <c r="H19" s="711" t="s">
        <v>2</v>
      </c>
      <c r="I19" s="711"/>
      <c r="J19" s="712"/>
    </row>
    <row r="20" spans="1:11" ht="15.75" customHeight="1" x14ac:dyDescent="0.2">
      <c r="A20" s="125" t="s">
        <v>5</v>
      </c>
      <c r="B20" s="20" t="s">
        <v>414</v>
      </c>
      <c r="C20" s="20" t="s">
        <v>415</v>
      </c>
      <c r="D20" s="234" t="s">
        <v>3</v>
      </c>
      <c r="E20" s="20" t="s">
        <v>414</v>
      </c>
      <c r="F20" s="20" t="s">
        <v>415</v>
      </c>
      <c r="G20" s="234" t="s">
        <v>3</v>
      </c>
      <c r="H20" s="20" t="s">
        <v>414</v>
      </c>
      <c r="I20" s="20" t="s">
        <v>415</v>
      </c>
      <c r="J20" s="234" t="s">
        <v>3</v>
      </c>
    </row>
    <row r="21" spans="1:11" ht="15.75" customHeight="1" x14ac:dyDescent="0.2">
      <c r="A21" s="683"/>
      <c r="B21" s="15"/>
      <c r="C21" s="15"/>
      <c r="D21" s="17" t="s">
        <v>4</v>
      </c>
      <c r="E21" s="16"/>
      <c r="F21" s="16"/>
      <c r="G21" s="15" t="s">
        <v>4</v>
      </c>
      <c r="H21" s="16"/>
      <c r="I21" s="16"/>
      <c r="J21" s="15" t="s">
        <v>4</v>
      </c>
    </row>
    <row r="22" spans="1:11" s="43" customFormat="1" ht="15.75" customHeight="1" x14ac:dyDescent="0.2">
      <c r="A22" s="14" t="s">
        <v>23</v>
      </c>
      <c r="B22" s="220">
        <f>'Fremtind Livsforsikring'!B22+'DNB Livsforsikring'!B22+'Eika Forsikring AS'!B22+'Frende Livsforsikring'!B22+'Frende Skadeforsikring'!B22+'Gjensidige Forsikring'!B22+'Gjensidige Pensjon'!B22+'If Skadeforsikring NUF'!B22+KLP!B22+'KLP Skadeforsikring AS'!B22+'Landkreditt Forsikring'!B22+'Nordea Liv '!B22+'Oslo Pensjonsforsikring'!B22+'Protector Forsikring'!B22+'Sparebank 1 Fors.'!B22+'Storebrand Livsforsikring'!B22+'Telenor Forsikring'!B22+'Tryg Forsikring'!B22+'WaterCircles F'!B22+'Euro Accident'!B22+'Ly Forsikring'!B22+'Youplus Livsforsikring'!B22</f>
        <v>1293345.084815379</v>
      </c>
      <c r="C22" s="220">
        <f>'Fremtind Livsforsikring'!C22+'DNB Livsforsikring'!C22+'Eika Forsikring AS'!C22+'Frende Livsforsikring'!C22+'Frende Skadeforsikring'!C22+'Gjensidige Forsikring'!C22+'Gjensidige Pensjon'!C22+'If Skadeforsikring NUF'!C22+KLP!C22+'KLP Skadeforsikring AS'!C22+'Landkreditt Forsikring'!C22+'Nordea Liv '!C22+'Oslo Pensjonsforsikring'!C22+'Protector Forsikring'!C22+'Sparebank 1 Fors.'!C22+'Storebrand Livsforsikring'!C22+'Telenor Forsikring'!C22+'Tryg Forsikring'!C22+'WaterCircles F'!C22+'Euro Accident'!C22+'Ly Forsikring'!C22+'Youplus Livsforsikring'!C22</f>
        <v>1398456.327878813</v>
      </c>
      <c r="D22" s="11">
        <f t="shared" ref="D22:D39" si="5">IF(B22=0, "    ---- ", IF(ABS(ROUND(100/B22*C22-100,1))&lt;999,ROUND(100/B22*C22-100,1),IF(ROUND(100/B22*C22-100,1)&gt;999,999,-999)))</f>
        <v>8.1</v>
      </c>
      <c r="E22" s="220">
        <f>'Fremtind Livsforsikring'!F22+'DNB Livsforsikring'!F22+'Eika Forsikring AS'!F22+'Frende Livsforsikring'!F22+'Frende Skadeforsikring'!F22+'Gjensidige Forsikring'!F22+'Gjensidige Pensjon'!F22+'If Skadeforsikring NUF'!F22+KLP!F22+'KLP Skadeforsikring AS'!F22+'Landkreditt Forsikring'!F22+'Nordea Liv '!F22+'Oslo Pensjonsforsikring'!F22+'Protector Forsikring'!F22+'Sparebank 1 Fors.'!F22+'Storebrand Livsforsikring'!F22+'Telenor Forsikring'!F22+'Tryg Forsikring'!F22+'WaterCircles F'!F22+'Euro Accident'!F22+'Ly Forsikring'!F22+'Youplus Livsforsikring'!F22</f>
        <v>443833.77101999999</v>
      </c>
      <c r="F22" s="220">
        <f>'Fremtind Livsforsikring'!G22+'DNB Livsforsikring'!G22+'Eika Forsikring AS'!G22+'Frende Livsforsikring'!G22+'Frende Skadeforsikring'!G22+'Gjensidige Forsikring'!G22+'Gjensidige Pensjon'!G22+'If Skadeforsikring NUF'!G22+KLP!G22+'KLP Skadeforsikring AS'!G22+'Landkreditt Forsikring'!G22+'Nordea Liv '!G22+'Oslo Pensjonsforsikring'!G22+'Protector Forsikring'!G22+'Sparebank 1 Fors.'!G22+'Storebrand Livsforsikring'!G22+'Telenor Forsikring'!G22+'Tryg Forsikring'!G22+'WaterCircles F'!G22+'Euro Accident'!G22+'Ly Forsikring'!G22+'Youplus Livsforsikring'!G22</f>
        <v>477697.59114000003</v>
      </c>
      <c r="G22" s="334">
        <f t="shared" ref="G22:G35" si="6">IF(E22=0, "    ---- ", IF(ABS(ROUND(100/E22*F22-100,1))&lt;999,ROUND(100/E22*F22-100,1),IF(ROUND(100/E22*F22-100,1)&gt;999,999,-999)))</f>
        <v>7.6</v>
      </c>
      <c r="H22" s="293">
        <f>SUM(B22,E22)</f>
        <v>1737178.8558353791</v>
      </c>
      <c r="I22" s="220">
        <f t="shared" ref="I22:I39" si="7">SUM(C22,F22)</f>
        <v>1876153.9190188129</v>
      </c>
      <c r="J22" s="24">
        <f t="shared" ref="J22:J39" si="8">IF(H22=0, "    ---- ", IF(ABS(ROUND(100/H22*I22-100,1))&lt;999,ROUND(100/H22*I22-100,1),IF(ROUND(100/H22*I22-100,1)&gt;999,999,-999)))</f>
        <v>8</v>
      </c>
    </row>
    <row r="23" spans="1:11" ht="15.75" customHeight="1" x14ac:dyDescent="0.2">
      <c r="A23" s="455" t="s">
        <v>325</v>
      </c>
      <c r="B23" s="44">
        <f>'Fremtind Livsforsikring'!B23+'DNB Livsforsikring'!B23+'Eika Forsikring AS'!B23+'Frende Livsforsikring'!B23+'Frende Skadeforsikring'!B23+'Gjensidige Forsikring'!B23+'Gjensidige Pensjon'!B23+'If Skadeforsikring NUF'!B23+KLP!B23+'KLP Skadeforsikring AS'!B23+'Landkreditt Forsikring'!B23+'Nordea Liv '!B23+'Oslo Pensjonsforsikring'!B23+'Protector Forsikring'!B23+'Sparebank 1 Fors.'!B23+'Storebrand Livsforsikring'!B23+'Telenor Forsikring'!B23+'Tryg Forsikring'!B23+'WaterCircles F'!B23+'Euro Accident'!B23+'Ly Forsikring'!B23+'Youplus Livsforsikring'!B23</f>
        <v>815286.227195782</v>
      </c>
      <c r="C23" s="44">
        <f>'Fremtind Livsforsikring'!C23+'DNB Livsforsikring'!C23+'Eika Forsikring AS'!C23+'Frende Livsforsikring'!C23+'Frende Skadeforsikring'!C23+'Gjensidige Forsikring'!C23+'Gjensidige Pensjon'!C23+'If Skadeforsikring NUF'!C23+KLP!C23+'KLP Skadeforsikring AS'!C23+'Landkreditt Forsikring'!C23+'Nordea Liv '!C23+'Oslo Pensjonsforsikring'!C23+'Protector Forsikring'!C23+'Sparebank 1 Fors.'!C23+'Storebrand Livsforsikring'!C23+'Telenor Forsikring'!C23+'Tryg Forsikring'!C23+'WaterCircles F'!C23+'Euro Accident'!C23+'Ly Forsikring'!C23+'Youplus Livsforsikring'!C23</f>
        <v>897738.90692307078</v>
      </c>
      <c r="D23" s="27">
        <f>IF($A$1=4,IF(B23=0, "    ---- ", IF(ABS(ROUND(100/B23*C23-100,1))&lt;999,ROUND(100/B23*C23-100,1),IF(ROUND(100/B23*C23-100,1)&gt;999,999,-999))),"")</f>
        <v>10.1</v>
      </c>
      <c r="E23" s="44">
        <f>'Fremtind Livsforsikring'!F23+'DNB Livsforsikring'!F23+'Eika Forsikring AS'!F23+'Frende Livsforsikring'!F23+'Frende Skadeforsikring'!F23+'Gjensidige Forsikring'!F23+'Gjensidige Pensjon'!F23+'If Skadeforsikring NUF'!F23+KLP!F23+'KLP Skadeforsikring AS'!F23+'Landkreditt Forsikring'!F23+'Nordea Liv '!F23+'Oslo Pensjonsforsikring'!F23+'Protector Forsikring'!F23+'Sparebank 1 Fors.'!F23+'Storebrand Livsforsikring'!F23+'Telenor Forsikring'!F23+'Tryg Forsikring'!F23+'WaterCircles F'!F23+'Euro Accident'!F23+'Ly Forsikring'!F23+'Youplus Livsforsikring'!F23</f>
        <v>25613.615579999998</v>
      </c>
      <c r="F23" s="44">
        <f>'Fremtind Livsforsikring'!G23+'DNB Livsforsikring'!G23+'Eika Forsikring AS'!G23+'Frende Livsforsikring'!G23+'Frende Skadeforsikring'!G23+'Gjensidige Forsikring'!G23+'Gjensidige Pensjon'!G23+'If Skadeforsikring NUF'!G23+KLP!G23+'KLP Skadeforsikring AS'!G23+'Landkreditt Forsikring'!G23+'Nordea Liv '!G23+'Oslo Pensjonsforsikring'!G23+'Protector Forsikring'!G23+'Sparebank 1 Fors.'!G23+'Storebrand Livsforsikring'!G23+'Telenor Forsikring'!G23+'Tryg Forsikring'!G23+'WaterCircles F'!G23+'Euro Accident'!G23+'Ly Forsikring'!G23+'Youplus Livsforsikring'!G23</f>
        <v>24022.42815</v>
      </c>
      <c r="G23" s="151">
        <f>IF($A$1=4,IF(E23=0, "    ---- ", IF(ABS(ROUND(100/E23*F23-100,1))&lt;999,ROUND(100/E23*F23-100,1),IF(ROUND(100/E23*F23-100,1)&gt;999,999,-999))),"")</f>
        <v>-6.2</v>
      </c>
      <c r="H23" s="218">
        <f t="shared" ref="H23:H39" si="9">SUM(B23,E23)</f>
        <v>840899.84277578199</v>
      </c>
      <c r="I23" s="44">
        <f t="shared" si="7"/>
        <v>921761.33507307083</v>
      </c>
      <c r="J23" s="23">
        <f t="shared" si="8"/>
        <v>9.6</v>
      </c>
    </row>
    <row r="24" spans="1:11" ht="15.75" customHeight="1" x14ac:dyDescent="0.2">
      <c r="A24" s="455" t="s">
        <v>326</v>
      </c>
      <c r="B24" s="44">
        <f>'Fremtind Livsforsikring'!B24+'DNB Livsforsikring'!B24+'Eika Forsikring AS'!B24+'Frende Livsforsikring'!B24+'Frende Skadeforsikring'!B24+'Gjensidige Forsikring'!B24+'Gjensidige Pensjon'!B24+'If Skadeforsikring NUF'!B24+KLP!B24+'KLP Skadeforsikring AS'!B24+'Landkreditt Forsikring'!B24+'Nordea Liv '!B24+'Oslo Pensjonsforsikring'!B24+'Protector Forsikring'!B24+'Sparebank 1 Fors.'!B24+'Storebrand Livsforsikring'!B24+'Telenor Forsikring'!B24+'Tryg Forsikring'!B24+'WaterCircles F'!B24+'Euro Accident'!B24+'Ly Forsikring'!B24+'Youplus Livsforsikring'!B24</f>
        <v>8370.9631895968996</v>
      </c>
      <c r="C24" s="44">
        <f>'Fremtind Livsforsikring'!C24+'DNB Livsforsikring'!C24+'Eika Forsikring AS'!C24+'Frende Livsforsikring'!C24+'Frende Skadeforsikring'!C24+'Gjensidige Forsikring'!C24+'Gjensidige Pensjon'!C24+'If Skadeforsikring NUF'!C24+KLP!C24+'KLP Skadeforsikring AS'!C24+'Landkreditt Forsikring'!C24+'Nordea Liv '!C24+'Oslo Pensjonsforsikring'!C24+'Protector Forsikring'!C24+'Sparebank 1 Fors.'!C24+'Storebrand Livsforsikring'!C24+'Telenor Forsikring'!C24+'Tryg Forsikring'!C24+'WaterCircles F'!C24+'Euro Accident'!C24+'Ly Forsikring'!C24+'Youplus Livsforsikring'!C24</f>
        <v>6977.8018640864102</v>
      </c>
      <c r="D24" s="27">
        <f t="shared" ref="D24:D25" si="10">IF($A$1=4,IF(B24=0, "    ---- ", IF(ABS(ROUND(100/B24*C24-100,1))&lt;999,ROUND(100/B24*C24-100,1),IF(ROUND(100/B24*C24-100,1)&gt;999,999,-999))),"")</f>
        <v>-16.600000000000001</v>
      </c>
      <c r="E24" s="44">
        <f>'Fremtind Livsforsikring'!F24+'DNB Livsforsikring'!F24+'Eika Forsikring AS'!F24+'Frende Livsforsikring'!F24+'Frende Skadeforsikring'!F24+'Gjensidige Forsikring'!F24+'Gjensidige Pensjon'!F24+'If Skadeforsikring NUF'!F24+KLP!F24+'KLP Skadeforsikring AS'!F24+'Landkreditt Forsikring'!F24+'Nordea Liv '!F24+'Oslo Pensjonsforsikring'!F24+'Protector Forsikring'!F24+'Sparebank 1 Fors.'!F24+'Storebrand Livsforsikring'!F24+'Telenor Forsikring'!F24+'Tryg Forsikring'!F24+'WaterCircles F'!F24+'Euro Accident'!F24+'Ly Forsikring'!F24+'Youplus Livsforsikring'!F24</f>
        <v>315.08374999999808</v>
      </c>
      <c r="F24" s="44">
        <f>'Fremtind Livsforsikring'!G24+'DNB Livsforsikring'!G24+'Eika Forsikring AS'!G24+'Frende Livsforsikring'!G24+'Frende Skadeforsikring'!G24+'Gjensidige Forsikring'!G24+'Gjensidige Pensjon'!G24+'If Skadeforsikring NUF'!G24+KLP!G24+'KLP Skadeforsikring AS'!G24+'Landkreditt Forsikring'!G24+'Nordea Liv '!G24+'Oslo Pensjonsforsikring'!G24+'Protector Forsikring'!G24+'Sparebank 1 Fors.'!G24+'Storebrand Livsforsikring'!G24+'Telenor Forsikring'!G24+'Tryg Forsikring'!G24+'WaterCircles F'!G24+'Euro Accident'!G24+'Ly Forsikring'!G24+'Youplus Livsforsikring'!G24</f>
        <v>848.78484000000003</v>
      </c>
      <c r="G24" s="151">
        <f t="shared" ref="G24:G25" si="11">IF($A$1=4,IF(E24=0, "    ---- ", IF(ABS(ROUND(100/E24*F24-100,1))&lt;999,ROUND(100/E24*F24-100,1),IF(ROUND(100/E24*F24-100,1)&gt;999,999,-999))),"")</f>
        <v>169.4</v>
      </c>
      <c r="H24" s="218">
        <f t="shared" si="9"/>
        <v>8686.0469395968976</v>
      </c>
      <c r="I24" s="44">
        <f t="shared" si="7"/>
        <v>7826.5867040864105</v>
      </c>
      <c r="J24" s="11">
        <f t="shared" si="8"/>
        <v>-9.9</v>
      </c>
    </row>
    <row r="25" spans="1:11" ht="15.75" customHeight="1" x14ac:dyDescent="0.2">
      <c r="A25" s="455" t="s">
        <v>327</v>
      </c>
      <c r="B25" s="44">
        <f>'Fremtind Livsforsikring'!B25+'DNB Livsforsikring'!B25+'Eika Forsikring AS'!B25+'Frende Livsforsikring'!B25+'Frende Skadeforsikring'!B25+'Gjensidige Forsikring'!B25+'Gjensidige Pensjon'!B25+'If Skadeforsikring NUF'!B25+KLP!B25+'KLP Skadeforsikring AS'!B25+'Landkreditt Forsikring'!B25+'Nordea Liv '!B25+'Oslo Pensjonsforsikring'!B25+'Protector Forsikring'!B25+'Sparebank 1 Fors.'!B25+'Storebrand Livsforsikring'!B25+'Telenor Forsikring'!B25+'Tryg Forsikring'!B25+'WaterCircles F'!B25+'Euro Accident'!B25+'Ly Forsikring'!B25+'Youplus Livsforsikring'!B25</f>
        <v>10851</v>
      </c>
      <c r="C25" s="44">
        <f>'Fremtind Livsforsikring'!C25+'DNB Livsforsikring'!C25+'Eika Forsikring AS'!C25+'Frende Livsforsikring'!C25+'Frende Skadeforsikring'!C25+'Gjensidige Forsikring'!C25+'Gjensidige Pensjon'!C25+'If Skadeforsikring NUF'!C25+KLP!C25+'KLP Skadeforsikring AS'!C25+'Landkreditt Forsikring'!C25+'Nordea Liv '!C25+'Oslo Pensjonsforsikring'!C25+'Protector Forsikring'!C25+'Sparebank 1 Fors.'!C25+'Storebrand Livsforsikring'!C25+'Telenor Forsikring'!C25+'Tryg Forsikring'!C25+'WaterCircles F'!C25+'Euro Accident'!C25+'Ly Forsikring'!C25+'Youplus Livsforsikring'!C25</f>
        <v>10289.802151656</v>
      </c>
      <c r="D25" s="27">
        <f t="shared" si="10"/>
        <v>-5.2</v>
      </c>
      <c r="E25" s="44">
        <f>'Fremtind Livsforsikring'!F25+'DNB Livsforsikring'!F25+'Eika Forsikring AS'!F25+'Frende Livsforsikring'!F25+'Frende Skadeforsikring'!F25+'Gjensidige Forsikring'!F25+'Gjensidige Pensjon'!F25+'If Skadeforsikring NUF'!F25+KLP!F25+'KLP Skadeforsikring AS'!F25+'Landkreditt Forsikring'!F25+'Nordea Liv '!F25+'Oslo Pensjonsforsikring'!F25+'Protector Forsikring'!F25+'Sparebank 1 Fors.'!F25+'Storebrand Livsforsikring'!F25+'Telenor Forsikring'!F25+'Tryg Forsikring'!F25+'WaterCircles F'!F25+'Euro Accident'!F25+'Ly Forsikring'!F25+'Youplus Livsforsikring'!F25</f>
        <v>8514.7797900000005</v>
      </c>
      <c r="F25" s="44">
        <f>'Fremtind Livsforsikring'!G25+'DNB Livsforsikring'!G25+'Eika Forsikring AS'!G25+'Frende Livsforsikring'!G25+'Frende Skadeforsikring'!G25+'Gjensidige Forsikring'!G25+'Gjensidige Pensjon'!G25+'If Skadeforsikring NUF'!G25+KLP!G25+'KLP Skadeforsikring AS'!G25+'Landkreditt Forsikring'!G25+'Nordea Liv '!G25+'Oslo Pensjonsforsikring'!G25+'Protector Forsikring'!G25+'Sparebank 1 Fors.'!G25+'Storebrand Livsforsikring'!G25+'Telenor Forsikring'!G25+'Tryg Forsikring'!G25+'WaterCircles F'!G25+'Euro Accident'!G25+'Ly Forsikring'!G25+'Youplus Livsforsikring'!G25</f>
        <v>7067.3754900000004</v>
      </c>
      <c r="G25" s="151">
        <f t="shared" si="11"/>
        <v>-17</v>
      </c>
      <c r="H25" s="218">
        <f t="shared" si="9"/>
        <v>19365.779790000001</v>
      </c>
      <c r="I25" s="44">
        <f t="shared" si="7"/>
        <v>17357.177641656002</v>
      </c>
      <c r="J25" s="27">
        <f t="shared" si="8"/>
        <v>-10.4</v>
      </c>
    </row>
    <row r="26" spans="1:11" ht="15.75" customHeight="1" x14ac:dyDescent="0.2">
      <c r="A26" s="455" t="s">
        <v>328</v>
      </c>
      <c r="B26" s="44"/>
      <c r="C26" s="44"/>
      <c r="D26" s="27"/>
      <c r="E26" s="44">
        <f>'Fremtind Livsforsikring'!F26+'DNB Livsforsikring'!F26+'Eika Forsikring AS'!F26+'Frende Livsforsikring'!F26+'Frende Skadeforsikring'!F26+'Gjensidige Forsikring'!F26+'Gjensidige Pensjon'!F26+'If Skadeforsikring NUF'!F26+KLP!F26+'KLP Skadeforsikring AS'!F26+'Landkreditt Forsikring'!F26+'Nordea Liv '!F26+'Oslo Pensjonsforsikring'!F26+'Protector Forsikring'!F26+'Sparebank 1 Fors.'!F26+'Storebrand Livsforsikring'!F26+'Telenor Forsikring'!F26+'Tryg Forsikring'!F26+'WaterCircles F'!F26+'Euro Accident'!F26+'Ly Forsikring'!F26+'Youplus Livsforsikring'!F26</f>
        <v>409390.29190000001</v>
      </c>
      <c r="F26" s="44">
        <f>'Fremtind Livsforsikring'!G26+'DNB Livsforsikring'!G26+'Eika Forsikring AS'!G26+'Frende Livsforsikring'!G26+'Frende Skadeforsikring'!G26+'Gjensidige Forsikring'!G26+'Gjensidige Pensjon'!G26+'If Skadeforsikring NUF'!G26+KLP!G26+'KLP Skadeforsikring AS'!G26+'Landkreditt Forsikring'!G26+'Nordea Liv '!G26+'Oslo Pensjonsforsikring'!G26+'Protector Forsikring'!G26+'Sparebank 1 Fors.'!G26+'Storebrand Livsforsikring'!G26+'Telenor Forsikring'!G26+'Tryg Forsikring'!G26+'WaterCircles F'!G26+'Euro Accident'!G26+'Ly Forsikring'!G26+'Youplus Livsforsikring'!G26</f>
        <v>445759.00266</v>
      </c>
      <c r="G26" s="151">
        <f t="shared" ref="G26" si="12">IF($A$1=4,IF(E26=0, "    ---- ", IF(ABS(ROUND(100/E26*F26-100,1))&lt;999,ROUND(100/E26*F26-100,1),IF(ROUND(100/E26*F26-100,1)&gt;999,999,-999))),"")</f>
        <v>8.9</v>
      </c>
      <c r="H26" s="218">
        <f t="shared" ref="H26" si="13">SUM(B26,E26)</f>
        <v>409390.29190000001</v>
      </c>
      <c r="I26" s="44">
        <f t="shared" ref="I26" si="14">SUM(C26,F26)</f>
        <v>445759.00266</v>
      </c>
      <c r="J26" s="27">
        <f t="shared" ref="J26" si="15">IF(H26=0, "    ---- ", IF(ABS(ROUND(100/H26*I26-100,1))&lt;999,ROUND(100/H26*I26-100,1),IF(ROUND(100/H26*I26-100,1)&gt;999,999,-999)))</f>
        <v>8.9</v>
      </c>
    </row>
    <row r="27" spans="1:11" ht="15.75" customHeight="1" x14ac:dyDescent="0.2">
      <c r="A27" s="453" t="s">
        <v>11</v>
      </c>
      <c r="B27" s="44"/>
      <c r="C27" s="44"/>
      <c r="D27" s="27"/>
      <c r="E27" s="44"/>
      <c r="F27" s="44"/>
      <c r="G27" s="151"/>
      <c r="H27" s="218"/>
      <c r="I27" s="44"/>
      <c r="J27" s="27"/>
    </row>
    <row r="28" spans="1:11" ht="15.75" customHeight="1" x14ac:dyDescent="0.2">
      <c r="A28" s="49" t="s">
        <v>246</v>
      </c>
      <c r="B28" s="44">
        <f>'Fremtind Livsforsikring'!B28+'DNB Livsforsikring'!B28+'Eika Forsikring AS'!B28+'Frende Livsforsikring'!B28+'Frende Skadeforsikring'!B28+'Gjensidige Forsikring'!B28+'Gjensidige Pensjon'!B28+'If Skadeforsikring NUF'!B28+KLP!B28+'KLP Skadeforsikring AS'!B28+'Landkreditt Forsikring'!B28+'Nordea Liv '!B28+'Oslo Pensjonsforsikring'!B28+'Protector Forsikring'!B28+'Sparebank 1 Fors.'!B28+'Storebrand Livsforsikring'!B28+'Telenor Forsikring'!B28+'Tryg Forsikring'!B28+'WaterCircles F'!B28+'Euro Accident'!B28+'Ly Forsikring'!B28+'Youplus Livsforsikring'!B28</f>
        <v>1532611.7731083268</v>
      </c>
      <c r="C28" s="44">
        <f>'Fremtind Livsforsikring'!C28+'DNB Livsforsikring'!C28+'Eika Forsikring AS'!C28+'Frende Livsforsikring'!C28+'Frende Skadeforsikring'!C28+'Gjensidige Forsikring'!C28+'Gjensidige Pensjon'!C28+'If Skadeforsikring NUF'!C28+KLP!C28+'KLP Skadeforsikring AS'!C28+'Landkreditt Forsikring'!C28+'Nordea Liv '!C28+'Oslo Pensjonsforsikring'!C28+'Protector Forsikring'!C28+'Sparebank 1 Fors.'!C28+'Storebrand Livsforsikring'!C28+'Telenor Forsikring'!C28+'Tryg Forsikring'!C28+'WaterCircles F'!C28+'Euro Accident'!C28+'Ly Forsikring'!C28+'Youplus Livsforsikring'!C28</f>
        <v>1688849.4142326231</v>
      </c>
      <c r="D28" s="23">
        <f t="shared" si="5"/>
        <v>10.199999999999999</v>
      </c>
      <c r="E28" s="172"/>
      <c r="F28" s="172"/>
      <c r="G28" s="151"/>
      <c r="H28" s="218">
        <f t="shared" si="9"/>
        <v>1532611.7731083268</v>
      </c>
      <c r="I28" s="44">
        <f t="shared" si="7"/>
        <v>1688849.4142326231</v>
      </c>
      <c r="J28" s="23">
        <f t="shared" si="8"/>
        <v>10.199999999999999</v>
      </c>
      <c r="K28" s="3"/>
    </row>
    <row r="29" spans="1:11" s="397" customFormat="1" ht="15.75" customHeight="1" x14ac:dyDescent="0.2">
      <c r="A29" s="39" t="s">
        <v>329</v>
      </c>
      <c r="B29" s="220">
        <f>'Fremtind Livsforsikring'!B29+'DNB Livsforsikring'!B29+'Eika Forsikring AS'!B29+'Frende Livsforsikring'!B29+'Frende Skadeforsikring'!B29+'Gjensidige Forsikring'!B29+'Gjensidige Pensjon'!B29+'If Skadeforsikring NUF'!B29+KLP!B29+'KLP Skadeforsikring AS'!B29+'Landkreditt Forsikring'!B29+'Nordea Liv '!B29+'Oslo Pensjonsforsikring'!B29+'Protector Forsikring'!B29+'Sparebank 1 Fors.'!B29+'Storebrand Livsforsikring'!B29+'Telenor Forsikring'!B29+'Tryg Forsikring'!B29+'WaterCircles F'!B29+'Euro Accident'!B29+'Ly Forsikring'!B29+'Youplus Livsforsikring'!B29</f>
        <v>43667502.556476489</v>
      </c>
      <c r="C29" s="220">
        <f>'Fremtind Livsforsikring'!C29+'DNB Livsforsikring'!C29+'Eika Forsikring AS'!C29+'Frende Livsforsikring'!C29+'Frende Skadeforsikring'!C29+'Gjensidige Forsikring'!C29+'Gjensidige Pensjon'!C29+'If Skadeforsikring NUF'!C29+KLP!C29+'KLP Skadeforsikring AS'!C29+'Landkreditt Forsikring'!C29+'Nordea Liv '!C29+'Oslo Pensjonsforsikring'!C29+'Protector Forsikring'!C29+'Sparebank 1 Fors.'!C29+'Storebrand Livsforsikring'!C29+'Telenor Forsikring'!C29+'Tryg Forsikring'!C29+'WaterCircles F'!C29+'Euro Accident'!C29+'Ly Forsikring'!C29+'Youplus Livsforsikring'!C29</f>
        <v>43785593.137016952</v>
      </c>
      <c r="D29" s="24">
        <f t="shared" si="5"/>
        <v>0.3</v>
      </c>
      <c r="E29" s="293">
        <f>'Fremtind Livsforsikring'!F29+'DNB Livsforsikring'!F29+'Eika Forsikring AS'!F29+'Frende Livsforsikring'!F29+'Frende Skadeforsikring'!F29+'Gjensidige Forsikring'!F29+'Gjensidige Pensjon'!F29+'If Skadeforsikring NUF'!F29+KLP!F29+'KLP Skadeforsikring AS'!F29+'Landkreditt Forsikring'!F29+'Nordea Liv '!F29+'Oslo Pensjonsforsikring'!F29+'Protector Forsikring'!F29+'Sparebank 1 Fors.'!F29+'Storebrand Livsforsikring'!F29+'Telenor Forsikring'!F29+'Tryg Forsikring'!F29+'WaterCircles F'!F29+'Euro Accident'!F29+'Ly Forsikring'!F29+'Youplus Livsforsikring'!F29</f>
        <v>25512625.745310001</v>
      </c>
      <c r="F29" s="293">
        <f>'Fremtind Livsforsikring'!G29+'DNB Livsforsikring'!G29+'Eika Forsikring AS'!G29+'Frende Livsforsikring'!G29+'Frende Skadeforsikring'!G29+'Gjensidige Forsikring'!G29+'Gjensidige Pensjon'!G29+'If Skadeforsikring NUF'!G29+KLP!G29+'KLP Skadeforsikring AS'!G29+'Landkreditt Forsikring'!G29+'Nordea Liv '!G29+'Oslo Pensjonsforsikring'!G29+'Protector Forsikring'!G29+'Sparebank 1 Fors.'!G29+'Storebrand Livsforsikring'!G29+'Telenor Forsikring'!G29+'Tryg Forsikring'!G29+'WaterCircles F'!G29+'Euro Accident'!G29+'Ly Forsikring'!G29+'Youplus Livsforsikring'!G29</f>
        <v>28475620.883710001</v>
      </c>
      <c r="G29" s="156">
        <f t="shared" si="6"/>
        <v>11.6</v>
      </c>
      <c r="H29" s="293">
        <f t="shared" si="9"/>
        <v>69180128.301786482</v>
      </c>
      <c r="I29" s="220">
        <f t="shared" si="7"/>
        <v>72261214.020726949</v>
      </c>
      <c r="J29" s="24">
        <f t="shared" si="8"/>
        <v>4.5</v>
      </c>
    </row>
    <row r="30" spans="1:11" s="3" customFormat="1" ht="15.75" customHeight="1" x14ac:dyDescent="0.2">
      <c r="A30" s="455" t="s">
        <v>325</v>
      </c>
      <c r="B30" s="44">
        <f>'Fremtind Livsforsikring'!B30+'DNB Livsforsikring'!B30+'Eika Forsikring AS'!B30+'Frende Livsforsikring'!B30+'Frende Skadeforsikring'!B30+'Gjensidige Forsikring'!B30+'Gjensidige Pensjon'!B30+'If Skadeforsikring NUF'!B30+KLP!B30+'KLP Skadeforsikring AS'!B30+'Landkreditt Forsikring'!B30+'Nordea Liv '!B30+'Oslo Pensjonsforsikring'!B30+'Protector Forsikring'!B30+'Sparebank 1 Fors.'!B30+'Storebrand Livsforsikring'!B30+'Telenor Forsikring'!B30+'Tryg Forsikring'!B30+'WaterCircles F'!B30+'Euro Accident'!B30+'Ly Forsikring'!B30+'Youplus Livsforsikring'!B30</f>
        <v>16475087.899627475</v>
      </c>
      <c r="C30" s="44">
        <f>'Fremtind Livsforsikring'!C30+'DNB Livsforsikring'!C30+'Eika Forsikring AS'!C30+'Frende Livsforsikring'!C30+'Frende Skadeforsikring'!C30+'Gjensidige Forsikring'!C30+'Gjensidige Pensjon'!C30+'If Skadeforsikring NUF'!C30+KLP!C30+'KLP Skadeforsikring AS'!C30+'Landkreditt Forsikring'!C30+'Nordea Liv '!C30+'Oslo Pensjonsforsikring'!C30+'Protector Forsikring'!C30+'Sparebank 1 Fors.'!C30+'Storebrand Livsforsikring'!C30+'Telenor Forsikring'!C30+'Tryg Forsikring'!C30+'WaterCircles F'!C30+'Euro Accident'!C30+'Ly Forsikring'!C30+'Youplus Livsforsikring'!C30</f>
        <v>18012271.618536789</v>
      </c>
      <c r="D30" s="27">
        <f t="shared" ref="D30:D32" si="16">IF($A$1=4,IF(B30=0, "    ---- ", IF(ABS(ROUND(100/B30*C30-100,1))&lt;999,ROUND(100/B30*C30-100,1),IF(ROUND(100/B30*C30-100,1)&gt;999,999,-999))),"")</f>
        <v>9.3000000000000007</v>
      </c>
      <c r="E30" s="44">
        <f>'Fremtind Livsforsikring'!F30+'DNB Livsforsikring'!F30+'Eika Forsikring AS'!F30+'Frende Livsforsikring'!F30+'Frende Skadeforsikring'!F30+'Gjensidige Forsikring'!F30+'Gjensidige Pensjon'!F30+'If Skadeforsikring NUF'!F30+KLP!F30+'KLP Skadeforsikring AS'!F30+'Landkreditt Forsikring'!F30+'Nordea Liv '!F30+'Oslo Pensjonsforsikring'!F30+'Protector Forsikring'!F30+'Sparebank 1 Fors.'!F30+'Storebrand Livsforsikring'!F30+'Telenor Forsikring'!F30+'Tryg Forsikring'!F30+'WaterCircles F'!F30+'Euro Accident'!F30+'Ly Forsikring'!F30+'Youplus Livsforsikring'!F30</f>
        <v>3578881.1555341571</v>
      </c>
      <c r="F30" s="44">
        <f>'Fremtind Livsforsikring'!G30+'DNB Livsforsikring'!G30+'Eika Forsikring AS'!G30+'Frende Livsforsikring'!G30+'Frende Skadeforsikring'!G30+'Gjensidige Forsikring'!G30+'Gjensidige Pensjon'!G30+'If Skadeforsikring NUF'!G30+KLP!G30+'KLP Skadeforsikring AS'!G30+'Landkreditt Forsikring'!G30+'Nordea Liv '!G30+'Oslo Pensjonsforsikring'!G30+'Protector Forsikring'!G30+'Sparebank 1 Fors.'!G30+'Storebrand Livsforsikring'!G30+'Telenor Forsikring'!G30+'Tryg Forsikring'!G30+'WaterCircles F'!G30+'Euro Accident'!G30+'Ly Forsikring'!G30+'Youplus Livsforsikring'!G30</f>
        <v>3767361.6317794211</v>
      </c>
      <c r="G30" s="151">
        <f t="shared" ref="G30:G32" si="17">IF($A$1=4,IF(E30=0, "    ---- ", IF(ABS(ROUND(100/E30*F30-100,1))&lt;999,ROUND(100/E30*F30-100,1),IF(ROUND(100/E30*F30-100,1)&gt;999,999,-999))),"")</f>
        <v>5.3</v>
      </c>
      <c r="H30" s="218">
        <f t="shared" si="9"/>
        <v>20053969.055161633</v>
      </c>
      <c r="I30" s="44">
        <f t="shared" si="7"/>
        <v>21779633.25031621</v>
      </c>
      <c r="J30" s="23">
        <f t="shared" si="8"/>
        <v>8.6</v>
      </c>
    </row>
    <row r="31" spans="1:11" s="3" customFormat="1" ht="15.75" customHeight="1" x14ac:dyDescent="0.2">
      <c r="A31" s="455" t="s">
        <v>326</v>
      </c>
      <c r="B31" s="44">
        <f>'Fremtind Livsforsikring'!B31+'DNB Livsforsikring'!B31+'Eika Forsikring AS'!B31+'Frende Livsforsikring'!B31+'Frende Skadeforsikring'!B31+'Gjensidige Forsikring'!B31+'Gjensidige Pensjon'!B31+'If Skadeforsikring NUF'!B31+KLP!B31+'KLP Skadeforsikring AS'!B31+'Landkreditt Forsikring'!B31+'Nordea Liv '!B31+'Oslo Pensjonsforsikring'!B31+'Protector Forsikring'!B31+'Sparebank 1 Fors.'!B31+'Storebrand Livsforsikring'!B31+'Telenor Forsikring'!B31+'Tryg Forsikring'!B31+'WaterCircles F'!B31+'Euro Accident'!B31+'Ly Forsikring'!B31+'Youplus Livsforsikring'!B31</f>
        <v>24912057.660107989</v>
      </c>
      <c r="C31" s="44">
        <f>'Fremtind Livsforsikring'!C31+'DNB Livsforsikring'!C31+'Eika Forsikring AS'!C31+'Frende Livsforsikring'!C31+'Frende Skadeforsikring'!C31+'Gjensidige Forsikring'!C31+'Gjensidige Pensjon'!C31+'If Skadeforsikring NUF'!C31+KLP!C31+'KLP Skadeforsikring AS'!C31+'Landkreditt Forsikring'!C31+'Nordea Liv '!C31+'Oslo Pensjonsforsikring'!C31+'Protector Forsikring'!C31+'Sparebank 1 Fors.'!C31+'Storebrand Livsforsikring'!C31+'Telenor Forsikring'!C31+'Tryg Forsikring'!C31+'WaterCircles F'!C31+'Euro Accident'!C31+'Ly Forsikring'!C31+'Youplus Livsforsikring'!C31</f>
        <v>23341919.469412468</v>
      </c>
      <c r="D31" s="27">
        <f t="shared" si="16"/>
        <v>-6.3</v>
      </c>
      <c r="E31" s="44">
        <f>'Fremtind Livsforsikring'!F31+'DNB Livsforsikring'!F31+'Eika Forsikring AS'!F31+'Frende Livsforsikring'!F31+'Frende Skadeforsikring'!F31+'Gjensidige Forsikring'!F31+'Gjensidige Pensjon'!F31+'If Skadeforsikring NUF'!F31+KLP!F31+'KLP Skadeforsikring AS'!F31+'Landkreditt Forsikring'!F31+'Nordea Liv '!F31+'Oslo Pensjonsforsikring'!F31+'Protector Forsikring'!F31+'Sparebank 1 Fors.'!F31+'Storebrand Livsforsikring'!F31+'Telenor Forsikring'!F31+'Tryg Forsikring'!F31+'WaterCircles F'!F31+'Euro Accident'!F31+'Ly Forsikring'!F31+'Youplus Livsforsikring'!F31</f>
        <v>7550259.235284443</v>
      </c>
      <c r="F31" s="44">
        <f>'Fremtind Livsforsikring'!G31+'DNB Livsforsikring'!G31+'Eika Forsikring AS'!G31+'Frende Livsforsikring'!G31+'Frende Skadeforsikring'!G31+'Gjensidige Forsikring'!G31+'Gjensidige Pensjon'!G31+'If Skadeforsikring NUF'!G31+KLP!G31+'KLP Skadeforsikring AS'!G31+'Landkreditt Forsikring'!G31+'Nordea Liv '!G31+'Oslo Pensjonsforsikring'!G31+'Protector Forsikring'!G31+'Sparebank 1 Fors.'!G31+'Storebrand Livsforsikring'!G31+'Telenor Forsikring'!G31+'Tryg Forsikring'!G31+'WaterCircles F'!G31+'Euro Accident'!G31+'Ly Forsikring'!G31+'Youplus Livsforsikring'!G31</f>
        <v>7754760.9606644064</v>
      </c>
      <c r="G31" s="151">
        <f t="shared" si="17"/>
        <v>2.7</v>
      </c>
      <c r="H31" s="218">
        <f t="shared" si="9"/>
        <v>32462316.895392433</v>
      </c>
      <c r="I31" s="44">
        <f t="shared" si="7"/>
        <v>31096680.430076875</v>
      </c>
      <c r="J31" s="23">
        <f t="shared" si="8"/>
        <v>-4.2</v>
      </c>
    </row>
    <row r="32" spans="1:11" ht="15.75" customHeight="1" x14ac:dyDescent="0.2">
      <c r="A32" s="455" t="s">
        <v>327</v>
      </c>
      <c r="B32" s="44">
        <f>'Fremtind Livsforsikring'!B32+'DNB Livsforsikring'!B32+'Eika Forsikring AS'!B32+'Frende Livsforsikring'!B32+'Frende Skadeforsikring'!B32+'Gjensidige Forsikring'!B32+'Gjensidige Pensjon'!B32+'If Skadeforsikring NUF'!B32+KLP!B32+'KLP Skadeforsikring AS'!B32+'Landkreditt Forsikring'!B32+'Nordea Liv '!B32+'Oslo Pensjonsforsikring'!B32+'Protector Forsikring'!B32+'Sparebank 1 Fors.'!B32+'Storebrand Livsforsikring'!B32+'Telenor Forsikring'!B32+'Tryg Forsikring'!B32+'WaterCircles F'!B32+'Euro Accident'!B32+'Ly Forsikring'!B32+'Youplus Livsforsikring'!B32</f>
        <v>2181246.4319710452</v>
      </c>
      <c r="C32" s="44">
        <f>'Fremtind Livsforsikring'!C32+'DNB Livsforsikring'!C32+'Eika Forsikring AS'!C32+'Frende Livsforsikring'!C32+'Frende Skadeforsikring'!C32+'Gjensidige Forsikring'!C32+'Gjensidige Pensjon'!C32+'If Skadeforsikring NUF'!C32+KLP!C32+'KLP Skadeforsikring AS'!C32+'Landkreditt Forsikring'!C32+'Nordea Liv '!C32+'Oslo Pensjonsforsikring'!C32+'Protector Forsikring'!C32+'Sparebank 1 Fors.'!C32+'Storebrand Livsforsikring'!C32+'Telenor Forsikring'!C32+'Tryg Forsikring'!C32+'WaterCircles F'!C32+'Euro Accident'!C32+'Ly Forsikring'!C32+'Youplus Livsforsikring'!C32</f>
        <v>2318556.1300676912</v>
      </c>
      <c r="D32" s="27">
        <f t="shared" si="16"/>
        <v>6.3</v>
      </c>
      <c r="E32" s="44">
        <f>'Fremtind Livsforsikring'!F32+'DNB Livsforsikring'!F32+'Eika Forsikring AS'!F32+'Frende Livsforsikring'!F32+'Frende Skadeforsikring'!F32+'Gjensidige Forsikring'!F32+'Gjensidige Pensjon'!F32+'If Skadeforsikring NUF'!F32+KLP!F32+'KLP Skadeforsikring AS'!F32+'Landkreditt Forsikring'!F32+'Nordea Liv '!F32+'Oslo Pensjonsforsikring'!F32+'Protector Forsikring'!F32+'Sparebank 1 Fors.'!F32+'Storebrand Livsforsikring'!F32+'Telenor Forsikring'!F32+'Tryg Forsikring'!F32+'WaterCircles F'!F32+'Euro Accident'!F32+'Ly Forsikring'!F32+'Youplus Livsforsikring'!F32</f>
        <v>5862919.1306674294</v>
      </c>
      <c r="F32" s="44">
        <f>'Fremtind Livsforsikring'!G32+'DNB Livsforsikring'!G32+'Eika Forsikring AS'!G32+'Frende Livsforsikring'!G32+'Frende Skadeforsikring'!G32+'Gjensidige Forsikring'!G32+'Gjensidige Pensjon'!G32+'If Skadeforsikring NUF'!G32+KLP!G32+'KLP Skadeforsikring AS'!G32+'Landkreditt Forsikring'!G32+'Nordea Liv '!G32+'Oslo Pensjonsforsikring'!G32+'Protector Forsikring'!G32+'Sparebank 1 Fors.'!G32+'Storebrand Livsforsikring'!G32+'Telenor Forsikring'!G32+'Tryg Forsikring'!G32+'WaterCircles F'!G32+'Euro Accident'!G32+'Ly Forsikring'!G32+'Youplus Livsforsikring'!G32</f>
        <v>6545629.5208157897</v>
      </c>
      <c r="G32" s="151">
        <f t="shared" si="17"/>
        <v>11.6</v>
      </c>
      <c r="H32" s="218">
        <f t="shared" si="9"/>
        <v>8044165.5626384746</v>
      </c>
      <c r="I32" s="44">
        <f t="shared" si="7"/>
        <v>8864185.6508834809</v>
      </c>
      <c r="J32" s="24">
        <f t="shared" si="8"/>
        <v>10.199999999999999</v>
      </c>
    </row>
    <row r="33" spans="1:10" ht="15.75" customHeight="1" x14ac:dyDescent="0.2">
      <c r="A33" s="455" t="s">
        <v>328</v>
      </c>
      <c r="B33" s="44">
        <f>'Fremtind Livsforsikring'!B33+'DNB Livsforsikring'!B33+'Eika Forsikring AS'!B33+'Frende Livsforsikring'!B33+'Frende Skadeforsikring'!B33+'Gjensidige Forsikring'!B33+'Gjensidige Pensjon'!B33+'If Skadeforsikring NUF'!B33+KLP!B33+'KLP Skadeforsikring AS'!B33+'Landkreditt Forsikring'!B33+'Nordea Liv '!B33+'Oslo Pensjonsforsikring'!B33+'Protector Forsikring'!B33+'Sparebank 1 Fors.'!B33+'Storebrand Livsforsikring'!B33+'Telenor Forsikring'!B33+'Tryg Forsikring'!B33+'WaterCircles F'!B33+'Euro Accident'!B33+'Ly Forsikring'!B33+'Youplus Livsforsikring'!B33</f>
        <v>0</v>
      </c>
      <c r="C33" s="44">
        <f>'Fremtind Livsforsikring'!C33+'DNB Livsforsikring'!C33+'Eika Forsikring AS'!C33+'Frende Livsforsikring'!C33+'Frende Skadeforsikring'!C33+'Gjensidige Forsikring'!C33+'Gjensidige Pensjon'!C33+'If Skadeforsikring NUF'!C33+KLP!C33+'KLP Skadeforsikring AS'!C33+'Landkreditt Forsikring'!C33+'Nordea Liv '!C33+'Oslo Pensjonsforsikring'!C33+'Protector Forsikring'!C33+'Sparebank 1 Fors.'!C33+'Storebrand Livsforsikring'!C33+'Telenor Forsikring'!C33+'Tryg Forsikring'!C33+'WaterCircles F'!C33+'Euro Accident'!C33+'Ly Forsikring'!C33+'Youplus Livsforsikring'!C33</f>
        <v>0</v>
      </c>
      <c r="D33" s="27"/>
      <c r="E33" s="44">
        <f>'Fremtind Livsforsikring'!F33+'DNB Livsforsikring'!F33+'Eika Forsikring AS'!F33+'Frende Livsforsikring'!F33+'Frende Skadeforsikring'!F33+'Gjensidige Forsikring'!F33+'Gjensidige Pensjon'!F33+'If Skadeforsikring NUF'!F33+KLP!F33+'KLP Skadeforsikring AS'!F33+'Landkreditt Forsikring'!F33+'Nordea Liv '!F33+'Oslo Pensjonsforsikring'!F33+'Protector Forsikring'!F33+'Sparebank 1 Fors.'!F33+'Storebrand Livsforsikring'!F33+'Telenor Forsikring'!F33+'Tryg Forsikring'!F33+'WaterCircles F'!F33+'Euro Accident'!F33+'Ly Forsikring'!F33+'Youplus Livsforsikring'!F33</f>
        <v>8520566.2238239702</v>
      </c>
      <c r="F33" s="44">
        <f>'Fremtind Livsforsikring'!G33+'DNB Livsforsikring'!G33+'Eika Forsikring AS'!G33+'Frende Livsforsikring'!G33+'Frende Skadeforsikring'!G33+'Gjensidige Forsikring'!G33+'Gjensidige Pensjon'!G33+'If Skadeforsikring NUF'!G33+KLP!G33+'KLP Skadeforsikring AS'!G33+'Landkreditt Forsikring'!G33+'Nordea Liv '!G33+'Oslo Pensjonsforsikring'!G33+'Protector Forsikring'!G33+'Sparebank 1 Fors.'!G33+'Storebrand Livsforsikring'!G33+'Telenor Forsikring'!G33+'Tryg Forsikring'!G33+'WaterCircles F'!G33+'Euro Accident'!G33+'Ly Forsikring'!G33+'Youplus Livsforsikring'!G33</f>
        <v>10407868.77045038</v>
      </c>
      <c r="G33" s="151">
        <f t="shared" ref="G33" si="18">IF($A$1=4,IF(E33=0, "    ---- ", IF(ABS(ROUND(100/E33*F33-100,1))&lt;999,ROUND(100/E33*F33-100,1),IF(ROUND(100/E33*F33-100,1)&gt;999,999,-999))),"")</f>
        <v>22.1</v>
      </c>
      <c r="H33" s="218">
        <f t="shared" ref="H33" si="19">SUM(B33,E33)</f>
        <v>8520566.2238239702</v>
      </c>
      <c r="I33" s="44">
        <f t="shared" ref="I33" si="20">SUM(C33,F33)</f>
        <v>10407868.77045038</v>
      </c>
      <c r="J33" s="24">
        <f t="shared" ref="J33" si="21">IF(H33=0, "    ---- ", IF(ABS(ROUND(100/H33*I33-100,1))&lt;999,ROUND(100/H33*I33-100,1),IF(ROUND(100/H33*I33-100,1)&gt;999,999,-999)))</f>
        <v>22.1</v>
      </c>
    </row>
    <row r="34" spans="1:10" s="43" customFormat="1" ht="15.75" customHeight="1" x14ac:dyDescent="0.2">
      <c r="A34" s="39" t="s">
        <v>323</v>
      </c>
      <c r="B34" s="220">
        <f>'Fremtind Livsforsikring'!B34+'DNB Livsforsikring'!B34+'Eika Forsikring AS'!B34+'Frende Livsforsikring'!B34+'Frende Skadeforsikring'!B34+'Gjensidige Forsikring'!B34+'Gjensidige Pensjon'!B34+'If Skadeforsikring NUF'!B34+KLP!B34+'KLP Skadeforsikring AS'!B34+'Landkreditt Forsikring'!B34+'Nordea Liv '!B34+'Oslo Pensjonsforsikring'!B34+'Protector Forsikring'!B34+'Sparebank 1 Fors.'!B34+'Storebrand Livsforsikring'!B34+'Telenor Forsikring'!B34+'Tryg Forsikring'!B34+'WaterCircles F'!B34+'Euro Accident'!B34+'Ly Forsikring'!B34+'Youplus Livsforsikring'!B34</f>
        <v>14451.14842</v>
      </c>
      <c r="C34" s="220">
        <f>'Fremtind Livsforsikring'!C34+'DNB Livsforsikring'!C34+'Eika Forsikring AS'!C34+'Frende Livsforsikring'!C34+'Frende Skadeforsikring'!C34+'Gjensidige Forsikring'!C34+'Gjensidige Pensjon'!C34+'If Skadeforsikring NUF'!C34+KLP!C34+'KLP Skadeforsikring AS'!C34+'Landkreditt Forsikring'!C34+'Nordea Liv '!C34+'Oslo Pensjonsforsikring'!C34+'Protector Forsikring'!C34+'Sparebank 1 Fors.'!C34+'Storebrand Livsforsikring'!C34+'Telenor Forsikring'!C34+'Tryg Forsikring'!C34+'WaterCircles F'!C34+'Euro Accident'!C34+'Ly Forsikring'!C34+'Youplus Livsforsikring'!C34</f>
        <v>11320.142</v>
      </c>
      <c r="D34" s="24">
        <f t="shared" si="5"/>
        <v>-21.7</v>
      </c>
      <c r="E34" s="293">
        <f>'Fremtind Livsforsikring'!F34+'DNB Livsforsikring'!F34+'Eika Forsikring AS'!F34+'Frende Livsforsikring'!F34+'Frende Skadeforsikring'!F34+'Gjensidige Forsikring'!F34+'Gjensidige Pensjon'!F34+'If Skadeforsikring NUF'!F34+KLP!F34+'KLP Skadeforsikring AS'!F34+'Landkreditt Forsikring'!F34+'Nordea Liv '!F34+'Oslo Pensjonsforsikring'!F34+'Protector Forsikring'!F34+'Sparebank 1 Fors.'!F34+'Storebrand Livsforsikring'!F34+'Telenor Forsikring'!F34+'Tryg Forsikring'!F34+'WaterCircles F'!F34+'Euro Accident'!F34+'Ly Forsikring'!F34+'Youplus Livsforsikring'!F34</f>
        <v>7292.22552</v>
      </c>
      <c r="F34" s="293">
        <f>'Fremtind Livsforsikring'!G34+'DNB Livsforsikring'!G34+'Eika Forsikring AS'!G34+'Frende Livsforsikring'!G34+'Frende Skadeforsikring'!G34+'Gjensidige Forsikring'!G34+'Gjensidige Pensjon'!G34+'If Skadeforsikring NUF'!G34+KLP!G34+'KLP Skadeforsikring AS'!G34+'Landkreditt Forsikring'!G34+'Nordea Liv '!G34+'Oslo Pensjonsforsikring'!G34+'Protector Forsikring'!G34+'Sparebank 1 Fors.'!G34+'Storebrand Livsforsikring'!G34+'Telenor Forsikring'!G34+'Tryg Forsikring'!G34+'WaterCircles F'!G34+'Euro Accident'!G34+'Ly Forsikring'!G34+'Youplus Livsforsikring'!G34</f>
        <v>-102207.92419000001</v>
      </c>
      <c r="G34" s="156">
        <f t="shared" si="6"/>
        <v>-999</v>
      </c>
      <c r="H34" s="293">
        <f t="shared" si="9"/>
        <v>21743.373939999998</v>
      </c>
      <c r="I34" s="220">
        <f t="shared" si="7"/>
        <v>-90887.782189999998</v>
      </c>
      <c r="J34" s="24">
        <f t="shared" si="8"/>
        <v>-518</v>
      </c>
    </row>
    <row r="35" spans="1:10" s="43" customFormat="1" ht="15.75" customHeight="1" x14ac:dyDescent="0.2">
      <c r="A35" s="39" t="s">
        <v>324</v>
      </c>
      <c r="B35" s="220">
        <f>'Fremtind Livsforsikring'!B35+'DNB Livsforsikring'!B35+'Eika Forsikring AS'!B35+'Frende Livsforsikring'!B35+'Frende Skadeforsikring'!B35+'Gjensidige Forsikring'!B35+'Gjensidige Pensjon'!B35+'If Skadeforsikring NUF'!B35+KLP!B35+'KLP Skadeforsikring AS'!B35+'Landkreditt Forsikring'!B35+'Nordea Liv '!B35+'Oslo Pensjonsforsikring'!B35+'Protector Forsikring'!B35+'Sparebank 1 Fors.'!B35+'Storebrand Livsforsikring'!B35+'Telenor Forsikring'!B35+'Tryg Forsikring'!B35+'WaterCircles F'!B35+'Euro Accident'!B35+'Ly Forsikring'!B35+'Youplus Livsforsikring'!B35</f>
        <v>-54901.454669999999</v>
      </c>
      <c r="C35" s="220">
        <f>'Fremtind Livsforsikring'!C35+'DNB Livsforsikring'!C35+'Eika Forsikring AS'!C35+'Frende Livsforsikring'!C35+'Frende Skadeforsikring'!C35+'Gjensidige Forsikring'!C35+'Gjensidige Pensjon'!C35+'If Skadeforsikring NUF'!C35+KLP!C35+'KLP Skadeforsikring AS'!C35+'Landkreditt Forsikring'!C35+'Nordea Liv '!C35+'Oslo Pensjonsforsikring'!C35+'Protector Forsikring'!C35+'Sparebank 1 Fors.'!C35+'Storebrand Livsforsikring'!C35+'Telenor Forsikring'!C35+'Tryg Forsikring'!C35+'WaterCircles F'!C35+'Euro Accident'!C35+'Ly Forsikring'!C35+'Youplus Livsforsikring'!C35</f>
        <v>-192255.51553999999</v>
      </c>
      <c r="D35" s="24">
        <f t="shared" si="5"/>
        <v>250.2</v>
      </c>
      <c r="E35" s="293">
        <f>'Fremtind Livsforsikring'!F35+'DNB Livsforsikring'!F35+'Eika Forsikring AS'!F35+'Frende Livsforsikring'!F35+'Frende Skadeforsikring'!F35+'Gjensidige Forsikring'!F35+'Gjensidige Pensjon'!F35+'If Skadeforsikring NUF'!F35+KLP!F35+'KLP Skadeforsikring AS'!F35+'Landkreditt Forsikring'!F35+'Nordea Liv '!F35+'Oslo Pensjonsforsikring'!F35+'Protector Forsikring'!F35+'Sparebank 1 Fors.'!F35+'Storebrand Livsforsikring'!F35+'Telenor Forsikring'!F35+'Tryg Forsikring'!F35+'WaterCircles F'!F35+'Euro Accident'!F35+'Ly Forsikring'!F35+'Youplus Livsforsikring'!F35</f>
        <v>72499.816059999997</v>
      </c>
      <c r="F35" s="293">
        <f>'Fremtind Livsforsikring'!G35+'DNB Livsforsikring'!G35+'Eika Forsikring AS'!G35+'Frende Livsforsikring'!G35+'Frende Skadeforsikring'!G35+'Gjensidige Forsikring'!G35+'Gjensidige Pensjon'!G35+'If Skadeforsikring NUF'!G35+KLP!G35+'KLP Skadeforsikring AS'!G35+'Landkreditt Forsikring'!G35+'Nordea Liv '!G35+'Oslo Pensjonsforsikring'!G35+'Protector Forsikring'!G35+'Sparebank 1 Fors.'!G35+'Storebrand Livsforsikring'!G35+'Telenor Forsikring'!G35+'Tryg Forsikring'!G35+'WaterCircles F'!G35+'Euro Accident'!G35+'Ly Forsikring'!G35+'Youplus Livsforsikring'!G35</f>
        <v>109784.40388</v>
      </c>
      <c r="G35" s="156">
        <f t="shared" si="6"/>
        <v>51.4</v>
      </c>
      <c r="H35" s="293">
        <f t="shared" si="9"/>
        <v>17598.361389999998</v>
      </c>
      <c r="I35" s="220">
        <f t="shared" si="7"/>
        <v>-82471.111659999995</v>
      </c>
      <c r="J35" s="24">
        <f t="shared" si="8"/>
        <v>-568.6</v>
      </c>
    </row>
    <row r="36" spans="1:10" s="43" customFormat="1" ht="15.75" customHeight="1" x14ac:dyDescent="0.2">
      <c r="A36" s="12" t="s">
        <v>254</v>
      </c>
      <c r="B36" s="220">
        <f>'Fremtind Livsforsikring'!B36+'DNB Livsforsikring'!B36+'Eika Forsikring AS'!B36+'Frende Livsforsikring'!B36+'Frende Skadeforsikring'!B36+'Gjensidige Forsikring'!B36+'Gjensidige Pensjon'!B36+'If Skadeforsikring NUF'!B36+KLP!B36+'KLP Skadeforsikring AS'!B36+'Landkreditt Forsikring'!B36+'Nordea Liv '!B36+'Oslo Pensjonsforsikring'!B36+'Protector Forsikring'!B36+'Sparebank 1 Fors.'!B36+'Storebrand Livsforsikring'!B36+'Telenor Forsikring'!B36+'Tryg Forsikring'!B36+'WaterCircles F'!B36+'Euro Accident'!B36+'Ly Forsikring'!B36+'Youplus Livsforsikring'!B36</f>
        <v>1139.8720000000001</v>
      </c>
      <c r="C36" s="220">
        <f>'Fremtind Livsforsikring'!C36+'DNB Livsforsikring'!C36+'Eika Forsikring AS'!C36+'Frende Livsforsikring'!C36+'Frende Skadeforsikring'!C36+'Gjensidige Forsikring'!C36+'Gjensidige Pensjon'!C36+'If Skadeforsikring NUF'!C36+KLP!C36+'KLP Skadeforsikring AS'!C36+'Landkreditt Forsikring'!C36+'Nordea Liv '!C36+'Oslo Pensjonsforsikring'!C36+'Protector Forsikring'!C36+'Sparebank 1 Fors.'!C36+'Storebrand Livsforsikring'!C36+'Telenor Forsikring'!C36+'Tryg Forsikring'!C36+'WaterCircles F'!C36+'Euro Accident'!C36+'Ly Forsikring'!C36+'Youplus Livsforsikring'!C36</f>
        <v>7217.7269999999999</v>
      </c>
      <c r="D36" s="11">
        <f t="shared" si="5"/>
        <v>533.20000000000005</v>
      </c>
      <c r="E36" s="304"/>
      <c r="F36" s="304"/>
      <c r="G36" s="156"/>
      <c r="H36" s="293">
        <f t="shared" si="9"/>
        <v>1139.8720000000001</v>
      </c>
      <c r="I36" s="220">
        <f t="shared" si="7"/>
        <v>7217.7269999999999</v>
      </c>
      <c r="J36" s="11">
        <f t="shared" si="8"/>
        <v>533.20000000000005</v>
      </c>
    </row>
    <row r="37" spans="1:10" s="43" customFormat="1" ht="15.75" customHeight="1" x14ac:dyDescent="0.2">
      <c r="A37" s="456" t="s">
        <v>330</v>
      </c>
      <c r="B37" s="220">
        <f>'Fremtind Livsforsikring'!B37+'DNB Livsforsikring'!B37+'Eika Forsikring AS'!B37+'Frende Livsforsikring'!B37+'Frende Skadeforsikring'!B37+'Gjensidige Forsikring'!B37+'Gjensidige Pensjon'!B37+'If Skadeforsikring NUF'!B37+KLP!B37+'KLP Skadeforsikring AS'!B37+'Landkreditt Forsikring'!B37+'Nordea Liv '!B37+'Oslo Pensjonsforsikring'!B37+'Protector Forsikring'!B37+'Sparebank 1 Fors.'!B37+'Storebrand Livsforsikring'!B37+'Telenor Forsikring'!B37+'Tryg Forsikring'!B37+'WaterCircles F'!B37+'Euro Accident'!B37+'Ly Forsikring'!B37+'Youplus Livsforsikring'!B37</f>
        <v>2801804.2418900002</v>
      </c>
      <c r="C37" s="220">
        <f>'Fremtind Livsforsikring'!C37+'DNB Livsforsikring'!C37+'Eika Forsikring AS'!C37+'Frende Livsforsikring'!C37+'Frende Skadeforsikring'!C37+'Gjensidige Forsikring'!C37+'Gjensidige Pensjon'!C37+'If Skadeforsikring NUF'!C37+KLP!C37+'KLP Skadeforsikring AS'!C37+'Landkreditt Forsikring'!C37+'Nordea Liv '!C37+'Oslo Pensjonsforsikring'!C37+'Protector Forsikring'!C37+'Sparebank 1 Fors.'!C37+'Storebrand Livsforsikring'!C37+'Telenor Forsikring'!C37+'Tryg Forsikring'!C37+'WaterCircles F'!C37+'Euro Accident'!C37+'Ly Forsikring'!C37+'Youplus Livsforsikring'!C37</f>
        <v>2592560.2279099999</v>
      </c>
      <c r="D37" s="24">
        <f t="shared" si="5"/>
        <v>-7.5</v>
      </c>
      <c r="E37" s="309"/>
      <c r="F37" s="309"/>
      <c r="G37" s="156"/>
      <c r="H37" s="293">
        <f t="shared" si="9"/>
        <v>2801804.2418900002</v>
      </c>
      <c r="I37" s="220">
        <f t="shared" si="7"/>
        <v>2592560.2279099999</v>
      </c>
      <c r="J37" s="24">
        <f t="shared" si="8"/>
        <v>-7.5</v>
      </c>
    </row>
    <row r="38" spans="1:10" s="43" customFormat="1" ht="15.75" customHeight="1" x14ac:dyDescent="0.2">
      <c r="A38" s="456" t="s">
        <v>331</v>
      </c>
      <c r="B38" s="220"/>
      <c r="C38" s="220"/>
      <c r="D38" s="24"/>
      <c r="E38" s="304"/>
      <c r="F38" s="304"/>
      <c r="G38" s="156"/>
      <c r="H38" s="293"/>
      <c r="I38" s="220"/>
      <c r="J38" s="24"/>
    </row>
    <row r="39" spans="1:10" s="43" customFormat="1" ht="15.75" customHeight="1" x14ac:dyDescent="0.2">
      <c r="A39" s="457" t="s">
        <v>332</v>
      </c>
      <c r="B39" s="261">
        <f>'Fremtind Livsforsikring'!B39+'DNB Livsforsikring'!B39+'Eika Forsikring AS'!B39+'Frende Livsforsikring'!B39+'Frende Skadeforsikring'!B39+'Gjensidige Forsikring'!B39+'Gjensidige Pensjon'!B39+'If Skadeforsikring NUF'!B39+KLP!B39+'KLP Skadeforsikring AS'!B39+'Landkreditt Forsikring'!B39+'Nordea Liv '!B39+'Oslo Pensjonsforsikring'!B39+'Protector Forsikring'!B39+'Sparebank 1 Fors.'!B39+'Storebrand Livsforsikring'!B39+'Telenor Forsikring'!B39+'Tryg Forsikring'!B39+'WaterCircles F'!B39+'Euro Accident'!B39+'Ly Forsikring'!B39+'Youplus Livsforsikring'!B39</f>
        <v>8</v>
      </c>
      <c r="C39" s="261">
        <f>'Fremtind Livsforsikring'!C39+'DNB Livsforsikring'!C39+'Eika Forsikring AS'!C39+'Frende Livsforsikring'!C39+'Frende Skadeforsikring'!C39+'Gjensidige Forsikring'!C39+'Gjensidige Pensjon'!C39+'If Skadeforsikring NUF'!C39+KLP!C39+'KLP Skadeforsikring AS'!C39+'Landkreditt Forsikring'!C39+'Nordea Liv '!C39+'Oslo Pensjonsforsikring'!C39+'Protector Forsikring'!C39+'Sparebank 1 Fors.'!C39+'Storebrand Livsforsikring'!C39+'Telenor Forsikring'!C39+'Tryg Forsikring'!C39+'WaterCircles F'!C39+'Euro Accident'!C39+'Ly Forsikring'!C39+'Youplus Livsforsikring'!C39</f>
        <v>1</v>
      </c>
      <c r="D39" s="36">
        <f t="shared" si="5"/>
        <v>-87.5</v>
      </c>
      <c r="E39" s="310"/>
      <c r="F39" s="310"/>
      <c r="G39" s="154"/>
      <c r="H39" s="299">
        <f t="shared" si="9"/>
        <v>8</v>
      </c>
      <c r="I39" s="261">
        <f t="shared" si="7"/>
        <v>1</v>
      </c>
      <c r="J39" s="36">
        <f t="shared" si="8"/>
        <v>-87.5</v>
      </c>
    </row>
    <row r="40" spans="1:10" ht="15.75" customHeight="1" x14ac:dyDescent="0.2">
      <c r="A40" s="47"/>
    </row>
    <row r="41" spans="1:10" ht="15.75" customHeight="1" x14ac:dyDescent="0.2">
      <c r="A41" s="140"/>
    </row>
    <row r="42" spans="1:10" ht="15.75" customHeight="1" x14ac:dyDescent="0.25">
      <c r="A42" s="132" t="s">
        <v>243</v>
      </c>
      <c r="B42" s="709"/>
      <c r="C42" s="709"/>
      <c r="D42" s="709"/>
      <c r="E42" s="713"/>
      <c r="F42" s="713"/>
      <c r="G42" s="713"/>
      <c r="H42" s="713"/>
      <c r="I42" s="713"/>
      <c r="J42" s="713"/>
    </row>
    <row r="43" spans="1:10" ht="15.75" customHeight="1" x14ac:dyDescent="0.25">
      <c r="A43" s="148"/>
      <c r="B43" s="412"/>
      <c r="C43" s="412"/>
      <c r="D43" s="412"/>
      <c r="E43" s="283"/>
      <c r="F43" s="283"/>
      <c r="G43" s="283"/>
      <c r="H43" s="283"/>
      <c r="I43" s="283"/>
      <c r="J43" s="283"/>
    </row>
    <row r="44" spans="1:10" s="3" customFormat="1" ht="15.75" customHeight="1" x14ac:dyDescent="0.25">
      <c r="A44" s="232"/>
      <c r="B44" s="311" t="s">
        <v>0</v>
      </c>
      <c r="C44" s="312"/>
      <c r="D44" s="240"/>
      <c r="E44" s="42"/>
      <c r="F44" s="42"/>
      <c r="G44" s="40"/>
      <c r="H44" s="42"/>
      <c r="I44" s="42"/>
      <c r="J44" s="40"/>
    </row>
    <row r="45" spans="1:10" s="3" customFormat="1" ht="15.75" customHeight="1" x14ac:dyDescent="0.2">
      <c r="A45" s="125"/>
      <c r="B45" s="237" t="s">
        <v>414</v>
      </c>
      <c r="C45" s="238" t="s">
        <v>415</v>
      </c>
      <c r="D45" s="235" t="s">
        <v>3</v>
      </c>
      <c r="E45" s="42"/>
      <c r="F45" s="42"/>
      <c r="G45" s="40"/>
      <c r="H45" s="42"/>
      <c r="I45" s="42"/>
      <c r="J45" s="40"/>
    </row>
    <row r="46" spans="1:10" s="3" customFormat="1" ht="15.75" customHeight="1" x14ac:dyDescent="0.2">
      <c r="A46" s="683"/>
      <c r="B46" s="46"/>
      <c r="C46" s="239"/>
      <c r="D46" s="17" t="s">
        <v>4</v>
      </c>
      <c r="E46" s="40"/>
      <c r="F46" s="40"/>
      <c r="G46" s="40"/>
      <c r="H46" s="40"/>
      <c r="I46" s="40"/>
      <c r="J46" s="40"/>
    </row>
    <row r="47" spans="1:10" s="397" customFormat="1" ht="15.75" customHeight="1" x14ac:dyDescent="0.2">
      <c r="A47" s="14" t="s">
        <v>23</v>
      </c>
      <c r="B47" s="220">
        <f>'Fremtind Livsforsikring'!B47+'DNB Livsforsikring'!B47+'Eika Forsikring AS'!B47+'Frende Livsforsikring'!B47+'Frende Skadeforsikring'!B47+'Gjensidige Forsikring'!B47+'Gjensidige Pensjon'!B47+'If Skadeforsikring NUF'!B47+KLP!B47+'KLP Skadeforsikring AS'!B47+'Landkreditt Forsikring'!B47+'Nordea Liv '!B47+'Oslo Pensjonsforsikring'!B47+'Protector Forsikring'!B47+'Sparebank 1 Fors.'!B47+'Storebrand Livsforsikring'!B47+'Telenor Forsikring'!B47+'Tryg Forsikring'!B47+'WaterCircles F'!B47+'Euro Accident'!B47+'Ly Forsikring'!B47+'Youplus Livsforsikring'!B47+'Oslo Forsikring'!B47</f>
        <v>4731330.2511096206</v>
      </c>
      <c r="C47" s="220">
        <f>'Fremtind Livsforsikring'!C47+'DNB Livsforsikring'!C47+'Eika Forsikring AS'!C47+'Frende Livsforsikring'!C47+'Frende Skadeforsikring'!C47+'Gjensidige Forsikring'!C47+'Gjensidige Pensjon'!C47+'If Skadeforsikring NUF'!C47+KLP!C47+'KLP Skadeforsikring AS'!C47+'Landkreditt Forsikring'!C47+'Nordea Liv '!C47+'Oslo Pensjonsforsikring'!C47+'Protector Forsikring'!C47+'Sparebank 1 Fors.'!C47+'Storebrand Livsforsikring'!C47+'Telenor Forsikring'!C47+'Tryg Forsikring'!C47+'WaterCircles F'!C47+'Euro Accident'!C47+'Ly Forsikring'!C47+'Youplus Livsforsikring'!C47+'Oslo Forsikring'!C47</f>
        <v>5212381.7525399998</v>
      </c>
      <c r="D47" s="24">
        <f t="shared" ref="D47:D57" si="22">IF(B47=0, "    ---- ", IF(ABS(ROUND(100/B47*C47-100,1))&lt;999,ROUND(100/B47*C47-100,1),IF(ROUND(100/B47*C47-100,1)&gt;999,999,-999)))</f>
        <v>10.199999999999999</v>
      </c>
      <c r="E47" s="398"/>
      <c r="F47" s="399"/>
      <c r="G47" s="32"/>
      <c r="H47" s="400"/>
      <c r="I47" s="400"/>
      <c r="J47" s="32"/>
    </row>
    <row r="48" spans="1:10" s="3" customFormat="1" ht="15.75" customHeight="1" x14ac:dyDescent="0.2">
      <c r="A48" s="38" t="s">
        <v>333</v>
      </c>
      <c r="B48" s="44">
        <f>'Fremtind Livsforsikring'!B48+'DNB Livsforsikring'!B48+'Eika Forsikring AS'!B48+'Frende Livsforsikring'!B48+'Frende Skadeforsikring'!B48+'Gjensidige Forsikring'!B48+'Gjensidige Pensjon'!B48+'If Skadeforsikring NUF'!B48+KLP!B48+'KLP Skadeforsikring AS'!B48+'Landkreditt Forsikring'!B48+'Nordea Liv '!B48+'Oslo Pensjonsforsikring'!B48+'Protector Forsikring'!B48+'Sparebank 1 Fors.'!B48+'Storebrand Livsforsikring'!B48+'Telenor Forsikring'!B48+'Tryg Forsikring'!B48+'WaterCircles F'!B48+'Euro Accident'!B48+'Ly Forsikring'!B48+'Youplus Livsforsikring'!B48+'Oslo Forsikring'!B48</f>
        <v>2712111.9245896214</v>
      </c>
      <c r="C48" s="44">
        <f>'Fremtind Livsforsikring'!C48+'DNB Livsforsikring'!C48+'Eika Forsikring AS'!C48+'Frende Livsforsikring'!C48+'Frende Skadeforsikring'!C48+'Gjensidige Forsikring'!C48+'Gjensidige Pensjon'!C48+'If Skadeforsikring NUF'!C48+KLP!C48+'KLP Skadeforsikring AS'!C48+'Landkreditt Forsikring'!C48+'Nordea Liv '!C48+'Oslo Pensjonsforsikring'!C48+'Protector Forsikring'!C48+'Sparebank 1 Fors.'!C48+'Storebrand Livsforsikring'!C48+'Telenor Forsikring'!C48+'Tryg Forsikring'!C48+'WaterCircles F'!C48+'Euro Accident'!C48+'Ly Forsikring'!C48+'Youplus Livsforsikring'!C48+'Oslo Forsikring'!C48</f>
        <v>2967784.3658300005</v>
      </c>
      <c r="D48" s="24">
        <f t="shared" si="22"/>
        <v>9.4</v>
      </c>
      <c r="E48" s="35"/>
      <c r="F48" s="5"/>
      <c r="G48" s="34"/>
      <c r="H48" s="33"/>
      <c r="I48" s="33"/>
      <c r="J48" s="32"/>
    </row>
    <row r="49" spans="1:10" s="3" customFormat="1" ht="15.75" customHeight="1" x14ac:dyDescent="0.2">
      <c r="A49" s="38" t="s">
        <v>334</v>
      </c>
      <c r="B49" s="176">
        <f>'Fremtind Livsforsikring'!B49+'DNB Livsforsikring'!B49+'Eika Forsikring AS'!B49+'Frende Livsforsikring'!B49+'Frende Skadeforsikring'!B49+'Gjensidige Forsikring'!B49+'Gjensidige Pensjon'!B49+'If Skadeforsikring NUF'!B49+KLP!B49+'KLP Skadeforsikring AS'!B49+'Landkreditt Forsikring'!B49+'Nordea Liv '!B49+'Oslo Pensjonsforsikring'!B49+'Protector Forsikring'!B49+'Sparebank 1 Fors.'!B49+'Storebrand Livsforsikring'!B49+'Telenor Forsikring'!B49+'Tryg Forsikring'!B49+'WaterCircles F'!B49+'Euro Accident'!B49+'Ly Forsikring'!B49+'Youplus Livsforsikring'!B49+'Oslo Forsikring'!B49</f>
        <v>2019218.3265200001</v>
      </c>
      <c r="C49" s="176">
        <f>'Fremtind Livsforsikring'!C49+'DNB Livsforsikring'!C49+'Eika Forsikring AS'!C49+'Frende Livsforsikring'!C49+'Frende Skadeforsikring'!C49+'Gjensidige Forsikring'!C49+'Gjensidige Pensjon'!C49+'If Skadeforsikring NUF'!C49+KLP!C49+'KLP Skadeforsikring AS'!C49+'Landkreditt Forsikring'!C49+'Nordea Liv '!C49+'Oslo Pensjonsforsikring'!C49+'Protector Forsikring'!C49+'Sparebank 1 Fors.'!C49+'Storebrand Livsforsikring'!C49+'Telenor Forsikring'!C49+'Tryg Forsikring'!C49+'WaterCircles F'!C49+'Euro Accident'!C49+'Ly Forsikring'!C49+'Youplus Livsforsikring'!C49+'Oslo Forsikring'!C49</f>
        <v>2244161.3867099998</v>
      </c>
      <c r="D49" s="24">
        <f t="shared" si="22"/>
        <v>11.1</v>
      </c>
      <c r="E49" s="35"/>
      <c r="F49" s="5"/>
      <c r="G49" s="34"/>
      <c r="H49" s="37"/>
      <c r="I49" s="37"/>
      <c r="J49" s="32"/>
    </row>
    <row r="50" spans="1:10" s="3" customFormat="1" ht="15.75" customHeight="1" x14ac:dyDescent="0.2">
      <c r="A50" s="281" t="s">
        <v>6</v>
      </c>
      <c r="B50" s="44"/>
      <c r="C50" s="44"/>
      <c r="D50" s="27"/>
      <c r="E50" s="35"/>
      <c r="F50" s="5"/>
      <c r="G50" s="34"/>
      <c r="H50" s="33"/>
      <c r="I50" s="33"/>
      <c r="J50" s="32"/>
    </row>
    <row r="51" spans="1:10" s="3" customFormat="1" ht="15.75" customHeight="1" x14ac:dyDescent="0.2">
      <c r="A51" s="281" t="s">
        <v>7</v>
      </c>
      <c r="B51" s="44"/>
      <c r="C51" s="44"/>
      <c r="D51" s="27"/>
      <c r="E51" s="35"/>
      <c r="F51" s="5"/>
      <c r="G51" s="34"/>
      <c r="H51" s="33"/>
      <c r="I51" s="33"/>
      <c r="J51" s="32"/>
    </row>
    <row r="52" spans="1:10" s="3" customFormat="1" ht="15.75" customHeight="1" x14ac:dyDescent="0.2">
      <c r="A52" s="281" t="s">
        <v>8</v>
      </c>
      <c r="B52" s="44"/>
      <c r="C52" s="44"/>
      <c r="D52" s="27"/>
      <c r="E52" s="35"/>
      <c r="F52" s="5"/>
      <c r="G52" s="34"/>
      <c r="H52" s="33"/>
      <c r="I52" s="33"/>
      <c r="J52" s="32"/>
    </row>
    <row r="53" spans="1:10" s="397" customFormat="1" ht="15.75" customHeight="1" x14ac:dyDescent="0.2">
      <c r="A53" s="39" t="s">
        <v>335</v>
      </c>
      <c r="B53" s="220">
        <f>'Fremtind Livsforsikring'!B53+'DNB Livsforsikring'!B53+'Eika Forsikring AS'!B53+'Frende Livsforsikring'!B53+'Frende Skadeforsikring'!B53+'Gjensidige Forsikring'!B53+'Gjensidige Pensjon'!B53+'If Skadeforsikring NUF'!B53+KLP!B53+'KLP Skadeforsikring AS'!B53+'Landkreditt Forsikring'!B53+'Nordea Liv '!B53+'Oslo Pensjonsforsikring'!B53+'Protector Forsikring'!B53+'Sparebank 1 Fors.'!B53+'Storebrand Livsforsikring'!B53+'Telenor Forsikring'!B53+'Tryg Forsikring'!B53+'WaterCircles F'!B53+'Euro Accident'!B53+'Ly Forsikring'!B53+'Youplus Livsforsikring'!B53</f>
        <v>166867.20600000001</v>
      </c>
      <c r="C53" s="220">
        <f>'Fremtind Livsforsikring'!C53+'DNB Livsforsikring'!C53+'Eika Forsikring AS'!C53+'Frende Livsforsikring'!C53+'Frende Skadeforsikring'!C53+'Gjensidige Forsikring'!C53+'Gjensidige Pensjon'!C53+'If Skadeforsikring NUF'!C53+KLP!C53+'KLP Skadeforsikring AS'!C53+'Landkreditt Forsikring'!C53+'Nordea Liv '!C53+'Oslo Pensjonsforsikring'!C53+'Protector Forsikring'!C53+'Sparebank 1 Fors.'!C53+'Storebrand Livsforsikring'!C53+'Telenor Forsikring'!C53+'Tryg Forsikring'!C53+'WaterCircles F'!C53+'Euro Accident'!C53+'Ly Forsikring'!C53+'Youplus Livsforsikring'!C53</f>
        <v>160218.91967784814</v>
      </c>
      <c r="D53" s="24">
        <f t="shared" si="22"/>
        <v>-4</v>
      </c>
      <c r="E53" s="398"/>
      <c r="F53" s="399"/>
      <c r="G53" s="32"/>
      <c r="H53" s="159"/>
      <c r="I53" s="159"/>
      <c r="J53" s="32"/>
    </row>
    <row r="54" spans="1:10" s="3" customFormat="1" ht="15.75" customHeight="1" x14ac:dyDescent="0.2">
      <c r="A54" s="38" t="s">
        <v>333</v>
      </c>
      <c r="B54" s="44">
        <f>'Fremtind Livsforsikring'!B54+'DNB Livsforsikring'!B54+'Eika Forsikring AS'!B54+'Frende Livsforsikring'!B54+'Frende Skadeforsikring'!B54+'Gjensidige Forsikring'!B54+'Gjensidige Pensjon'!B54+'If Skadeforsikring NUF'!B54+KLP!B54+'KLP Skadeforsikring AS'!B54+'Landkreditt Forsikring'!B54+'Nordea Liv '!B54+'Oslo Pensjonsforsikring'!B54+'Protector Forsikring'!B54+'Sparebank 1 Fors.'!B54+'Storebrand Livsforsikring'!B54+'Telenor Forsikring'!B54+'Tryg Forsikring'!B54+'WaterCircles F'!B54+'Euro Accident'!B54+'Ly Forsikring'!B54+'Youplus Livsforsikring'!B54</f>
        <v>165921.20600000001</v>
      </c>
      <c r="C54" s="44">
        <f>'Fremtind Livsforsikring'!C54+'DNB Livsforsikring'!C54+'Eika Forsikring AS'!C54+'Frende Livsforsikring'!C54+'Frende Skadeforsikring'!C54+'Gjensidige Forsikring'!C54+'Gjensidige Pensjon'!C54+'If Skadeforsikring NUF'!C54+KLP!C54+'KLP Skadeforsikring AS'!C54+'Landkreditt Forsikring'!C54+'Nordea Liv '!C54+'Oslo Pensjonsforsikring'!C54+'Protector Forsikring'!C54+'Sparebank 1 Fors.'!C54+'Storebrand Livsforsikring'!C54+'Telenor Forsikring'!C54+'Tryg Forsikring'!C54+'WaterCircles F'!C54+'Euro Accident'!C54+'Ly Forsikring'!C54+'Youplus Livsforsikring'!C54</f>
        <v>159229.91967784814</v>
      </c>
      <c r="D54" s="24">
        <f t="shared" si="22"/>
        <v>-4</v>
      </c>
      <c r="E54" s="35"/>
      <c r="F54" s="5"/>
      <c r="G54" s="34"/>
      <c r="H54" s="33"/>
      <c r="I54" s="33"/>
      <c r="J54" s="32"/>
    </row>
    <row r="55" spans="1:10" s="3" customFormat="1" ht="15.75" customHeight="1" x14ac:dyDescent="0.2">
      <c r="A55" s="38" t="s">
        <v>334</v>
      </c>
      <c r="B55" s="44">
        <f>'Fremtind Livsforsikring'!B55+'DNB Livsforsikring'!B55+'Eika Forsikring AS'!B55+'Frende Livsforsikring'!B55+'Frende Skadeforsikring'!B55+'Gjensidige Forsikring'!B55+'Gjensidige Pensjon'!B55+'If Skadeforsikring NUF'!B55+KLP!B55+'KLP Skadeforsikring AS'!B55+'Landkreditt Forsikring'!B55+'Nordea Liv '!B55+'Oslo Pensjonsforsikring'!B55+'Protector Forsikring'!B55+'Sparebank 1 Fors.'!B55+'Storebrand Livsforsikring'!B55+'Telenor Forsikring'!B55+'Tryg Forsikring'!B55+'WaterCircles F'!B55+'Euro Accident'!B55+'Ly Forsikring'!B55+'Youplus Livsforsikring'!B55</f>
        <v>946</v>
      </c>
      <c r="C55" s="44">
        <f>'Fremtind Livsforsikring'!C55+'DNB Livsforsikring'!C55+'Eika Forsikring AS'!C55+'Frende Livsforsikring'!C55+'Frende Skadeforsikring'!C55+'Gjensidige Forsikring'!C55+'Gjensidige Pensjon'!C55+'If Skadeforsikring NUF'!C55+KLP!C55+'KLP Skadeforsikring AS'!C55+'Landkreditt Forsikring'!C55+'Nordea Liv '!C55+'Oslo Pensjonsforsikring'!C55+'Protector Forsikring'!C55+'Sparebank 1 Fors.'!C55+'Storebrand Livsforsikring'!C55+'Telenor Forsikring'!C55+'Tryg Forsikring'!C55+'WaterCircles F'!C55+'Euro Accident'!C55+'Ly Forsikring'!C55+'Youplus Livsforsikring'!C55</f>
        <v>989</v>
      </c>
      <c r="D55" s="24">
        <f t="shared" si="22"/>
        <v>4.5</v>
      </c>
      <c r="E55" s="35"/>
      <c r="F55" s="5"/>
      <c r="G55" s="34"/>
      <c r="H55" s="33"/>
      <c r="I55" s="33"/>
      <c r="J55" s="32"/>
    </row>
    <row r="56" spans="1:10" s="397" customFormat="1" ht="15.75" customHeight="1" x14ac:dyDescent="0.2">
      <c r="A56" s="39" t="s">
        <v>336</v>
      </c>
      <c r="B56" s="220">
        <f>'Fremtind Livsforsikring'!B56+'DNB Livsforsikring'!B56+'Eika Forsikring AS'!B56+'Frende Livsforsikring'!B56+'Frende Skadeforsikring'!B56+'Gjensidige Forsikring'!B56+'Gjensidige Pensjon'!B56+'If Skadeforsikring NUF'!B56+KLP!B56+'KLP Skadeforsikring AS'!B56+'Landkreditt Forsikring'!B56+'Nordea Liv '!B56+'Oslo Pensjonsforsikring'!B56+'Protector Forsikring'!B56+'Sparebank 1 Fors.'!B56+'Storebrand Livsforsikring'!B56+'Telenor Forsikring'!B56+'Tryg Forsikring'!B56+'WaterCircles F'!B56+'Euro Accident'!B56+'Ly Forsikring'!B56+'Youplus Livsforsikring'!B56</f>
        <v>98618.975999999995</v>
      </c>
      <c r="C56" s="220">
        <f>'Fremtind Livsforsikring'!C56+'DNB Livsforsikring'!C56+'Eika Forsikring AS'!C56+'Frende Livsforsikring'!C56+'Frende Skadeforsikring'!C56+'Gjensidige Forsikring'!C56+'Gjensidige Pensjon'!C56+'If Skadeforsikring NUF'!C56+KLP!C56+'KLP Skadeforsikring AS'!C56+'Landkreditt Forsikring'!C56+'Nordea Liv '!C56+'Oslo Pensjonsforsikring'!C56+'Protector Forsikring'!C56+'Sparebank 1 Fors.'!C56+'Storebrand Livsforsikring'!C56+'Telenor Forsikring'!C56+'Tryg Forsikring'!C56+'WaterCircles F'!C56+'Euro Accident'!C56+'Ly Forsikring'!C56+'Youplus Livsforsikring'!C56</f>
        <v>146264.49600000001</v>
      </c>
      <c r="D56" s="24">
        <f t="shared" si="22"/>
        <v>48.3</v>
      </c>
      <c r="E56" s="398"/>
      <c r="F56" s="399"/>
      <c r="G56" s="32"/>
      <c r="H56" s="159"/>
      <c r="I56" s="159"/>
      <c r="J56" s="32"/>
    </row>
    <row r="57" spans="1:10" s="3" customFormat="1" ht="15.75" customHeight="1" x14ac:dyDescent="0.2">
      <c r="A57" s="38" t="s">
        <v>333</v>
      </c>
      <c r="B57" s="44">
        <f>'Fremtind Livsforsikring'!B57+'DNB Livsforsikring'!B57+'Eika Forsikring AS'!B57+'Frende Livsforsikring'!B57+'Frende Skadeforsikring'!B57+'Gjensidige Forsikring'!B57+'Gjensidige Pensjon'!B57+'If Skadeforsikring NUF'!B57+KLP!B57+'KLP Skadeforsikring AS'!B57+'Landkreditt Forsikring'!B57+'Nordea Liv '!B57+'Oslo Pensjonsforsikring'!B57+'Protector Forsikring'!B57+'Sparebank 1 Fors.'!B57+'Storebrand Livsforsikring'!B57+'Telenor Forsikring'!B57+'Tryg Forsikring'!B57+'WaterCircles F'!B57+'Euro Accident'!B57+'Ly Forsikring'!B57+'Youplus Livsforsikring'!B57</f>
        <v>98618.975999999995</v>
      </c>
      <c r="C57" s="44">
        <f>'Fremtind Livsforsikring'!C57+'DNB Livsforsikring'!C57+'Eika Forsikring AS'!C57+'Frende Livsforsikring'!C57+'Frende Skadeforsikring'!C57+'Gjensidige Forsikring'!C57+'Gjensidige Pensjon'!C57+'If Skadeforsikring NUF'!C57+KLP!C57+'KLP Skadeforsikring AS'!C57+'Landkreditt Forsikring'!C57+'Nordea Liv '!C57+'Oslo Pensjonsforsikring'!C57+'Protector Forsikring'!C57+'Sparebank 1 Fors.'!C57+'Storebrand Livsforsikring'!C57+'Telenor Forsikring'!C57+'Tryg Forsikring'!C57+'WaterCircles F'!C57+'Euro Accident'!C57+'Ly Forsikring'!C57+'Youplus Livsforsikring'!C57</f>
        <v>146264.49600000001</v>
      </c>
      <c r="D57" s="24">
        <f t="shared" si="22"/>
        <v>48.3</v>
      </c>
      <c r="E57" s="35"/>
      <c r="F57" s="5"/>
      <c r="G57" s="34"/>
      <c r="H57" s="33"/>
      <c r="I57" s="33"/>
      <c r="J57" s="32"/>
    </row>
    <row r="58" spans="1:10" s="3" customFormat="1" ht="15.75" customHeight="1" x14ac:dyDescent="0.2">
      <c r="A58" s="38" t="s">
        <v>334</v>
      </c>
      <c r="B58" s="45"/>
      <c r="C58" s="45"/>
      <c r="D58" s="36"/>
      <c r="E58" s="35"/>
      <c r="F58" s="5"/>
      <c r="G58" s="34"/>
      <c r="H58" s="33"/>
      <c r="I58" s="33"/>
      <c r="J58" s="32"/>
    </row>
    <row r="59" spans="1:10" s="3" customFormat="1" ht="15.75" customHeight="1" x14ac:dyDescent="0.25">
      <c r="A59" s="149"/>
      <c r="B59" s="30"/>
      <c r="C59" s="30"/>
      <c r="D59" s="30"/>
      <c r="E59" s="31"/>
      <c r="F59" s="31"/>
      <c r="G59" s="31"/>
      <c r="H59" s="31"/>
      <c r="I59" s="31"/>
      <c r="J59" s="31"/>
    </row>
    <row r="60" spans="1:10" ht="15.75" customHeight="1" x14ac:dyDescent="0.2">
      <c r="A60" s="140"/>
    </row>
    <row r="61" spans="1:10" ht="15.75" customHeight="1" x14ac:dyDescent="0.25">
      <c r="A61" s="132" t="s">
        <v>244</v>
      </c>
      <c r="C61" s="26"/>
      <c r="D61" s="25"/>
      <c r="E61" s="26"/>
      <c r="F61" s="26"/>
      <c r="G61" s="25"/>
      <c r="H61" s="26"/>
      <c r="I61" s="26"/>
      <c r="J61" s="25"/>
    </row>
    <row r="62" spans="1:10" ht="20.100000000000001" customHeight="1" x14ac:dyDescent="0.25">
      <c r="A62" s="134"/>
      <c r="B62" s="709"/>
      <c r="C62" s="709"/>
      <c r="D62" s="709"/>
      <c r="E62" s="709"/>
      <c r="F62" s="709"/>
      <c r="G62" s="709"/>
      <c r="H62" s="709"/>
      <c r="I62" s="709"/>
      <c r="J62" s="709"/>
    </row>
    <row r="63" spans="1:10" ht="15.75" customHeight="1" x14ac:dyDescent="0.2">
      <c r="A63" s="129"/>
      <c r="B63" s="710" t="s">
        <v>0</v>
      </c>
      <c r="C63" s="711"/>
      <c r="D63" s="711"/>
      <c r="E63" s="710" t="s">
        <v>1</v>
      </c>
      <c r="F63" s="711"/>
      <c r="G63" s="712"/>
      <c r="H63" s="711" t="s">
        <v>2</v>
      </c>
      <c r="I63" s="711"/>
      <c r="J63" s="712"/>
    </row>
    <row r="64" spans="1:10" ht="15.75" customHeight="1" x14ac:dyDescent="0.2">
      <c r="A64" s="125"/>
      <c r="B64" s="236" t="s">
        <v>414</v>
      </c>
      <c r="C64" s="236" t="s">
        <v>415</v>
      </c>
      <c r="D64" s="19" t="s">
        <v>3</v>
      </c>
      <c r="E64" s="236" t="s">
        <v>414</v>
      </c>
      <c r="F64" s="236" t="s">
        <v>415</v>
      </c>
      <c r="G64" s="19" t="s">
        <v>3</v>
      </c>
      <c r="H64" s="236" t="s">
        <v>414</v>
      </c>
      <c r="I64" s="236" t="s">
        <v>415</v>
      </c>
      <c r="J64" s="19" t="s">
        <v>3</v>
      </c>
    </row>
    <row r="65" spans="1:10" ht="15.75" customHeight="1" x14ac:dyDescent="0.2">
      <c r="A65" s="683"/>
      <c r="B65" s="15"/>
      <c r="C65" s="15"/>
      <c r="D65" s="17" t="s">
        <v>4</v>
      </c>
      <c r="E65" s="16"/>
      <c r="F65" s="16"/>
      <c r="G65" s="15" t="s">
        <v>4</v>
      </c>
      <c r="H65" s="16"/>
      <c r="I65" s="16"/>
      <c r="J65" s="15" t="s">
        <v>4</v>
      </c>
    </row>
    <row r="66" spans="1:10" s="43" customFormat="1" ht="15.75" customHeight="1" x14ac:dyDescent="0.2">
      <c r="A66" s="14" t="s">
        <v>23</v>
      </c>
      <c r="B66" s="313">
        <f>'Fremtind Livsforsikring'!B66+'DNB Livsforsikring'!B66+'Eika Forsikring AS'!B66+'Frende Livsforsikring'!B66+'Frende Skadeforsikring'!B66+'Gjensidige Forsikring'!B66+'Gjensidige Pensjon'!B66+'If Skadeforsikring NUF'!B66+KLP!B66+'KLP Skadeforsikring AS'!B66+'Landkreditt Forsikring'!B66+'Nordea Liv '!B66+'Oslo Pensjonsforsikring'!B66+'Protector Forsikring'!B66+'Sparebank 1 Fors.'!B66+'Storebrand Livsforsikring'!B66+'Telenor Forsikring'!B66+'Tryg Forsikring'!B66+'WaterCircles F'!B66+'Euro Accident'!B66+'Ly Forsikring'!B66+'Youplus Livsforsikring'!B66</f>
        <v>4805493.94257</v>
      </c>
      <c r="C66" s="313">
        <f>'Fremtind Livsforsikring'!C66+'DNB Livsforsikring'!C66+'Eika Forsikring AS'!C66+'Frende Livsforsikring'!C66+'Frende Skadeforsikring'!C66+'Gjensidige Forsikring'!C66+'Gjensidige Pensjon'!C66+'If Skadeforsikring NUF'!C66+KLP!C66+'KLP Skadeforsikring AS'!C66+'Landkreditt Forsikring'!C66+'Nordea Liv '!C66+'Oslo Pensjonsforsikring'!C66+'Protector Forsikring'!C66+'Sparebank 1 Fors.'!C66+'Storebrand Livsforsikring'!C66+'Telenor Forsikring'!C66+'Tryg Forsikring'!C66+'WaterCircles F'!C66+'Euro Accident'!C66+'Ly Forsikring'!C66+'Youplus Livsforsikring'!C66</f>
        <v>4883862.1312699998</v>
      </c>
      <c r="D66" s="24">
        <f t="shared" ref="D66:D111" si="23">IF(B66=0, "    ---- ", IF(ABS(ROUND(100/B66*C66-100,1))&lt;999,ROUND(100/B66*C66-100,1),IF(ROUND(100/B66*C66-100,1)&gt;999,999,-999)))</f>
        <v>1.6</v>
      </c>
      <c r="E66" s="220">
        <f>'Fremtind Livsforsikring'!F66+'DNB Livsforsikring'!F66+'Eika Forsikring AS'!F66+'Frende Livsforsikring'!F66+'Frende Skadeforsikring'!F66+'Gjensidige Forsikring'!F66+'Gjensidige Pensjon'!F66+'If Skadeforsikring NUF'!F66+KLP!F66+'KLP Skadeforsikring AS'!F66+'Landkreditt Forsikring'!F66+'Nordea Liv '!F66+'Oslo Pensjonsforsikring'!F66+'Protector Forsikring'!F66+'Sparebank 1 Fors.'!F66+'Storebrand Livsforsikring'!F66+'Telenor Forsikring'!F66+'Tryg Forsikring'!F66+'WaterCircles F'!F66+'Euro Accident'!F66+'Ly Forsikring'!F66+'Youplus Livsforsikring'!F66</f>
        <v>23965837.780439999</v>
      </c>
      <c r="F66" s="220">
        <f>'Fremtind Livsforsikring'!G66+'DNB Livsforsikring'!G66+'Eika Forsikring AS'!G66+'Frende Livsforsikring'!G66+'Frende Skadeforsikring'!G66+'Gjensidige Forsikring'!G66+'Gjensidige Pensjon'!G66+'If Skadeforsikring NUF'!G66+KLP!G66+'KLP Skadeforsikring AS'!G66+'Landkreditt Forsikring'!G66+'Nordea Liv '!G66+'Oslo Pensjonsforsikring'!G66+'Protector Forsikring'!G66+'Sparebank 1 Fors.'!G66+'Storebrand Livsforsikring'!G66+'Telenor Forsikring'!G66+'Tryg Forsikring'!G66+'WaterCircles F'!G66+'Euro Accident'!G66+'Ly Forsikring'!G66+'Youplus Livsforsikring'!G66</f>
        <v>26272723.103019997</v>
      </c>
      <c r="G66" s="156">
        <f t="shared" ref="G66:G125" si="24">IF(E66=0, "    ---- ", IF(ABS(ROUND(100/E66*F66-100,1))&lt;999,ROUND(100/E66*F66-100,1),IF(ROUND(100/E66*F66-100,1)&gt;999,999,-999)))</f>
        <v>9.6</v>
      </c>
      <c r="H66" s="313">
        <f t="shared" ref="H66:H86" si="25">SUM(B66,E66)</f>
        <v>28771331.72301</v>
      </c>
      <c r="I66" s="313">
        <f t="shared" ref="I66:I86" si="26">SUM(C66,F66)</f>
        <v>31156585.234289996</v>
      </c>
      <c r="J66" s="24">
        <f t="shared" ref="J66:J111" si="27">IF(H66=0, "    ---- ", IF(ABS(ROUND(100/H66*I66-100,1))&lt;999,ROUND(100/H66*I66-100,1),IF(ROUND(100/H66*I66-100,1)&gt;999,999,-999)))</f>
        <v>8.3000000000000007</v>
      </c>
    </row>
    <row r="67" spans="1:10" ht="15.75" customHeight="1" x14ac:dyDescent="0.25">
      <c r="A67" s="21" t="s">
        <v>9</v>
      </c>
      <c r="B67" s="218">
        <f>'Fremtind Livsforsikring'!B67+'DNB Livsforsikring'!B67+'Eika Forsikring AS'!B67+'Frende Livsforsikring'!B67+'Frende Skadeforsikring'!B67+'Gjensidige Forsikring'!B67+'Gjensidige Pensjon'!B67+'If Skadeforsikring NUF'!B67+KLP!B67+'KLP Skadeforsikring AS'!B67+'Landkreditt Forsikring'!B67+'Nordea Liv '!B67+'Oslo Pensjonsforsikring'!B67+'Protector Forsikring'!B67+'Sparebank 1 Fors.'!B67+'Storebrand Livsforsikring'!B67+'Telenor Forsikring'!B67+'Tryg Forsikring'!B67+'WaterCircles F'!B67+'Euro Accident'!B67+'Ly Forsikring'!B67+'Youplus Livsforsikring'!B67</f>
        <v>3067503.0079545951</v>
      </c>
      <c r="C67" s="218">
        <f>'Fremtind Livsforsikring'!C67+'DNB Livsforsikring'!C67+'Eika Forsikring AS'!C67+'Frende Livsforsikring'!C67+'Frende Skadeforsikring'!C67+'Gjensidige Forsikring'!C67+'Gjensidige Pensjon'!C67+'If Skadeforsikring NUF'!C67+KLP!C67+'KLP Skadeforsikring AS'!C67+'Landkreditt Forsikring'!C67+'Nordea Liv '!C67+'Oslo Pensjonsforsikring'!C67+'Protector Forsikring'!C67+'Sparebank 1 Fors.'!C67+'Storebrand Livsforsikring'!C67+'Telenor Forsikring'!C67+'Tryg Forsikring'!C67+'WaterCircles F'!C67+'Euro Accident'!C67+'Ly Forsikring'!C67+'Youplus Livsforsikring'!C67</f>
        <v>2899905.1021783743</v>
      </c>
      <c r="D67" s="225">
        <f t="shared" si="23"/>
        <v>-5.5</v>
      </c>
      <c r="E67" s="44"/>
      <c r="F67" s="44"/>
      <c r="G67" s="151"/>
      <c r="H67" s="221">
        <f t="shared" si="25"/>
        <v>3067503.0079545951</v>
      </c>
      <c r="I67" s="221">
        <f t="shared" si="26"/>
        <v>2899905.1021783743</v>
      </c>
      <c r="J67" s="23">
        <f t="shared" si="27"/>
        <v>-5.5</v>
      </c>
    </row>
    <row r="68" spans="1:10" ht="15.75" customHeight="1" x14ac:dyDescent="0.25">
      <c r="A68" s="21" t="s">
        <v>10</v>
      </c>
      <c r="B68" s="218">
        <f>'Fremtind Livsforsikring'!B68+'DNB Livsforsikring'!B68+'Eika Forsikring AS'!B68+'Frende Livsforsikring'!B68+'Frende Skadeforsikring'!B68+'Gjensidige Forsikring'!B68+'Gjensidige Pensjon'!B68+'If Skadeforsikring NUF'!B68+KLP!B68+'KLP Skadeforsikring AS'!B68+'Landkreditt Forsikring'!B68+'Nordea Liv '!B68+'Oslo Pensjonsforsikring'!B68+'Protector Forsikring'!B68+'Sparebank 1 Fors.'!B68+'Storebrand Livsforsikring'!B68+'Telenor Forsikring'!B68+'Tryg Forsikring'!B68+'WaterCircles F'!B68+'Euro Accident'!B68+'Ly Forsikring'!B68+'Youplus Livsforsikring'!B68</f>
        <v>19165.067630000001</v>
      </c>
      <c r="C68" s="218">
        <f>'Fremtind Livsforsikring'!C68+'DNB Livsforsikring'!C68+'Eika Forsikring AS'!C68+'Frende Livsforsikring'!C68+'Frende Skadeforsikring'!C68+'Gjensidige Forsikring'!C68+'Gjensidige Pensjon'!C68+'If Skadeforsikring NUF'!C68+KLP!C68+'KLP Skadeforsikring AS'!C68+'Landkreditt Forsikring'!C68+'Nordea Liv '!C68+'Oslo Pensjonsforsikring'!C68+'Protector Forsikring'!C68+'Sparebank 1 Fors.'!C68+'Storebrand Livsforsikring'!C68+'Telenor Forsikring'!C68+'Tryg Forsikring'!C68+'WaterCircles F'!C68+'Euro Accident'!C68+'Ly Forsikring'!C68+'Youplus Livsforsikring'!C68</f>
        <v>16944.74914</v>
      </c>
      <c r="D68" s="225">
        <f t="shared" si="23"/>
        <v>-11.6</v>
      </c>
      <c r="E68" s="44">
        <f>'Fremtind Livsforsikring'!F68+'DNB Livsforsikring'!F68+'Eika Forsikring AS'!F68+'Frende Livsforsikring'!F68+'Frende Skadeforsikring'!F68+'Gjensidige Forsikring'!F68+'Gjensidige Pensjon'!F68+'If Skadeforsikring NUF'!F68+KLP!F68+'KLP Skadeforsikring AS'!F68+'Landkreditt Forsikring'!F68+'Nordea Liv '!F68+'Oslo Pensjonsforsikring'!F68+'Protector Forsikring'!F68+'Sparebank 1 Fors.'!F68+'Storebrand Livsforsikring'!F68+'Telenor Forsikring'!F68+'Tryg Forsikring'!F68+'WaterCircles F'!F68+'Euro Accident'!F68+'Ly Forsikring'!F68+'Youplus Livsforsikring'!F68</f>
        <v>22862475.587439999</v>
      </c>
      <c r="F68" s="44">
        <f>'Fremtind Livsforsikring'!G68+'DNB Livsforsikring'!G68+'Eika Forsikring AS'!G68+'Frende Livsforsikring'!G68+'Frende Skadeforsikring'!G68+'Gjensidige Forsikring'!G68+'Gjensidige Pensjon'!G68+'If Skadeforsikring NUF'!G68+KLP!G68+'KLP Skadeforsikring AS'!G68+'Landkreditt Forsikring'!G68+'Nordea Liv '!G68+'Oslo Pensjonsforsikring'!G68+'Protector Forsikring'!G68+'Sparebank 1 Fors.'!G68+'Storebrand Livsforsikring'!G68+'Telenor Forsikring'!G68+'Tryg Forsikring'!G68+'WaterCircles F'!G68+'Euro Accident'!G68+'Ly Forsikring'!G68+'Youplus Livsforsikring'!G68</f>
        <v>25246125.334059998</v>
      </c>
      <c r="G68" s="151">
        <f t="shared" si="24"/>
        <v>10.4</v>
      </c>
      <c r="H68" s="221">
        <f t="shared" si="25"/>
        <v>22881640.655069999</v>
      </c>
      <c r="I68" s="221">
        <f t="shared" si="26"/>
        <v>25263070.0832</v>
      </c>
      <c r="J68" s="23">
        <f t="shared" si="27"/>
        <v>10.4</v>
      </c>
    </row>
    <row r="69" spans="1:10" ht="15.75" customHeight="1" x14ac:dyDescent="0.2">
      <c r="A69" s="281" t="s">
        <v>337</v>
      </c>
      <c r="B69" s="219"/>
      <c r="C69" s="219"/>
      <c r="D69" s="27"/>
      <c r="E69" s="219"/>
      <c r="F69" s="219"/>
      <c r="G69" s="151"/>
      <c r="H69" s="219"/>
      <c r="I69" s="219"/>
      <c r="J69" s="23"/>
    </row>
    <row r="70" spans="1:10" ht="15.75" customHeight="1" x14ac:dyDescent="0.2">
      <c r="A70" s="281" t="s">
        <v>12</v>
      </c>
      <c r="B70" s="219"/>
      <c r="C70" s="219"/>
      <c r="D70" s="27"/>
      <c r="E70" s="219"/>
      <c r="F70" s="219"/>
      <c r="G70" s="151"/>
      <c r="H70" s="219"/>
      <c r="I70" s="219"/>
      <c r="J70" s="23"/>
    </row>
    <row r="71" spans="1:10" ht="15.75" customHeight="1" x14ac:dyDescent="0.2">
      <c r="A71" s="281" t="s">
        <v>13</v>
      </c>
      <c r="B71" s="219"/>
      <c r="C71" s="219"/>
      <c r="D71" s="27"/>
      <c r="E71" s="219"/>
      <c r="F71" s="219"/>
      <c r="G71" s="151"/>
      <c r="H71" s="219"/>
      <c r="I71" s="219"/>
      <c r="J71" s="23"/>
    </row>
    <row r="72" spans="1:10" ht="15.75" customHeight="1" x14ac:dyDescent="0.2">
      <c r="A72" s="281" t="s">
        <v>338</v>
      </c>
      <c r="B72" s="219"/>
      <c r="C72" s="219"/>
      <c r="D72" s="27"/>
      <c r="E72" s="219"/>
      <c r="F72" s="219"/>
      <c r="G72" s="151"/>
      <c r="H72" s="219"/>
      <c r="I72" s="219"/>
      <c r="J72" s="24"/>
    </row>
    <row r="73" spans="1:10" ht="15.75" customHeight="1" x14ac:dyDescent="0.2">
      <c r="A73" s="281" t="s">
        <v>12</v>
      </c>
      <c r="B73" s="219"/>
      <c r="C73" s="219"/>
      <c r="D73" s="27"/>
      <c r="E73" s="219"/>
      <c r="F73" s="219"/>
      <c r="G73" s="151"/>
      <c r="H73" s="219"/>
      <c r="I73" s="219"/>
      <c r="J73" s="23"/>
    </row>
    <row r="74" spans="1:10" s="3" customFormat="1" ht="15.75" customHeight="1" x14ac:dyDescent="0.2">
      <c r="A74" s="281" t="s">
        <v>13</v>
      </c>
      <c r="B74" s="219"/>
      <c r="C74" s="219"/>
      <c r="D74" s="27"/>
      <c r="E74" s="219"/>
      <c r="F74" s="219"/>
      <c r="G74" s="151"/>
      <c r="H74" s="219"/>
      <c r="I74" s="219"/>
      <c r="J74" s="23"/>
    </row>
    <row r="75" spans="1:10" s="3" customFormat="1" ht="15.75" customHeight="1" x14ac:dyDescent="0.2">
      <c r="A75" s="21" t="s">
        <v>309</v>
      </c>
      <c r="B75" s="44">
        <f>'Fremtind Livsforsikring'!B75+'DNB Livsforsikring'!B75+'Eika Forsikring AS'!B75+'Frende Livsforsikring'!B75+'Frende Skadeforsikring'!B75+'Gjensidige Forsikring'!B75+'Gjensidige Pensjon'!B75+'If Skadeforsikring NUF'!B75+KLP!B75+'KLP Skadeforsikring AS'!B75+'Landkreditt Forsikring'!B75+'Nordea Liv '!B75+'Oslo Pensjonsforsikring'!B75+'Protector Forsikring'!B75+'Sparebank 1 Fors.'!B75+'Storebrand Livsforsikring'!B75+'Telenor Forsikring'!B75+'Tryg Forsikring'!B75+'WaterCircles F'!B75+'Euro Accident'!B75+'Ly Forsikring'!B75+'Youplus Livsforsikring'!B75</f>
        <v>389576.9792</v>
      </c>
      <c r="C75" s="44">
        <f>'Fremtind Livsforsikring'!C75+'DNB Livsforsikring'!C75+'Eika Forsikring AS'!C75+'Frende Livsforsikring'!C75+'Frende Skadeforsikring'!C75+'Gjensidige Forsikring'!C75+'Gjensidige Pensjon'!C75+'If Skadeforsikring NUF'!C75+KLP!C75+'KLP Skadeforsikring AS'!C75+'Landkreditt Forsikring'!C75+'Nordea Liv '!C75+'Oslo Pensjonsforsikring'!C75+'Protector Forsikring'!C75+'Sparebank 1 Fors.'!C75+'Storebrand Livsforsikring'!C75+'Telenor Forsikring'!C75+'Tryg Forsikring'!C75+'WaterCircles F'!C75+'Euro Accident'!C75+'Ly Forsikring'!C75+'Youplus Livsforsikring'!C75</f>
        <v>393829.47787</v>
      </c>
      <c r="D75" s="23">
        <f t="shared" si="23"/>
        <v>1.1000000000000001</v>
      </c>
      <c r="E75" s="44">
        <f>'Fremtind Livsforsikring'!F75+'DNB Livsforsikring'!F75+'Eika Forsikring AS'!F75+'Frende Livsforsikring'!F75+'Frende Skadeforsikring'!F75+'Gjensidige Forsikring'!F75+'Gjensidige Pensjon'!F75+'If Skadeforsikring NUF'!F75+KLP!F75+'KLP Skadeforsikring AS'!F75+'Landkreditt Forsikring'!F75+'Nordea Liv '!F75+'Oslo Pensjonsforsikring'!F75+'Protector Forsikring'!F75+'Sparebank 1 Fors.'!F75+'Storebrand Livsforsikring'!F75+'Telenor Forsikring'!F75+'Tryg Forsikring'!F75+'WaterCircles F'!F75+'Euro Accident'!F75+'Ly Forsikring'!F75+'Youplus Livsforsikring'!F75</f>
        <v>1103362.193</v>
      </c>
      <c r="F75" s="44">
        <f>'Fremtind Livsforsikring'!G75+'DNB Livsforsikring'!G75+'Eika Forsikring AS'!G75+'Frende Livsforsikring'!G75+'Frende Skadeforsikring'!G75+'Gjensidige Forsikring'!G75+'Gjensidige Pensjon'!G75+'If Skadeforsikring NUF'!G75+KLP!G75+'KLP Skadeforsikring AS'!G75+'Landkreditt Forsikring'!G75+'Nordea Liv '!G75+'Oslo Pensjonsforsikring'!G75+'Protector Forsikring'!G75+'Sparebank 1 Fors.'!G75+'Storebrand Livsforsikring'!G75+'Telenor Forsikring'!G75+'Tryg Forsikring'!G75+'WaterCircles F'!G75+'Euro Accident'!G75+'Ly Forsikring'!G75+'Youplus Livsforsikring'!G75</f>
        <v>1026597.76896</v>
      </c>
      <c r="G75" s="151">
        <f t="shared" si="24"/>
        <v>-7</v>
      </c>
      <c r="H75" s="221">
        <f t="shared" si="25"/>
        <v>1492939.1721999999</v>
      </c>
      <c r="I75" s="221">
        <f t="shared" si="26"/>
        <v>1420427.2468300001</v>
      </c>
      <c r="J75" s="23">
        <f t="shared" si="27"/>
        <v>-4.9000000000000004</v>
      </c>
    </row>
    <row r="76" spans="1:10" s="3" customFormat="1" ht="15.75" customHeight="1" x14ac:dyDescent="0.2">
      <c r="A76" s="21" t="s">
        <v>308</v>
      </c>
      <c r="B76" s="44">
        <f>'Fremtind Livsforsikring'!B76+'DNB Livsforsikring'!B76+'Eika Forsikring AS'!B76+'Frende Livsforsikring'!B76+'Frende Skadeforsikring'!B76+'Gjensidige Forsikring'!B76+'Gjensidige Pensjon'!B76+'If Skadeforsikring NUF'!B76+KLP!B76+'KLP Skadeforsikring AS'!B76+'Landkreditt Forsikring'!B76+'Nordea Liv '!B76+'Oslo Pensjonsforsikring'!B76+'Protector Forsikring'!B76+'Sparebank 1 Fors.'!B76+'Storebrand Livsforsikring'!B76+'Telenor Forsikring'!B76+'Tryg Forsikring'!B76+'WaterCircles F'!B76+'Euro Accident'!B76+'Ly Forsikring'!B76+'Youplus Livsforsikring'!B76</f>
        <v>1329248.8877854049</v>
      </c>
      <c r="C76" s="44">
        <f>'Fremtind Livsforsikring'!C76+'DNB Livsforsikring'!C76+'Eika Forsikring AS'!C76+'Frende Livsforsikring'!C76+'Frende Skadeforsikring'!C76+'Gjensidige Forsikring'!C76+'Gjensidige Pensjon'!C76+'If Skadeforsikring NUF'!C76+KLP!C76+'KLP Skadeforsikring AS'!C76+'Landkreditt Forsikring'!C76+'Nordea Liv '!C76+'Oslo Pensjonsforsikring'!C76+'Protector Forsikring'!C76+'Sparebank 1 Fors.'!C76+'Storebrand Livsforsikring'!C76+'Telenor Forsikring'!C76+'Tryg Forsikring'!C76+'WaterCircles F'!C76+'Euro Accident'!C76+'Ly Forsikring'!C76+'Youplus Livsforsikring'!C76</f>
        <v>1573182.8020816259</v>
      </c>
      <c r="D76" s="23">
        <f t="shared" ref="D76" si="28">IF(B76=0, "    ---- ", IF(ABS(ROUND(100/B76*C76-100,1))&lt;999,ROUND(100/B76*C76-100,1),IF(ROUND(100/B76*C76-100,1)&gt;999,999,-999)))</f>
        <v>18.399999999999999</v>
      </c>
      <c r="E76" s="44"/>
      <c r="F76" s="44"/>
      <c r="G76" s="151"/>
      <c r="H76" s="221">
        <f t="shared" ref="H76" si="29">SUM(B76,E76)</f>
        <v>1329248.8877854049</v>
      </c>
      <c r="I76" s="221">
        <f t="shared" ref="I76" si="30">SUM(C76,F76)</f>
        <v>1573182.8020816259</v>
      </c>
      <c r="J76" s="23">
        <f t="shared" ref="J76" si="31">IF(H76=0, "    ---- ", IF(ABS(ROUND(100/H76*I76-100,1))&lt;999,ROUND(100/H76*I76-100,1),IF(ROUND(100/H76*I76-100,1)&gt;999,999,-999)))</f>
        <v>18.399999999999999</v>
      </c>
    </row>
    <row r="77" spans="1:10" ht="15.75" customHeight="1" x14ac:dyDescent="0.2">
      <c r="A77" s="21" t="s">
        <v>339</v>
      </c>
      <c r="B77" s="44">
        <f>'Fremtind Livsforsikring'!B77+'DNB Livsforsikring'!B77+'Eika Forsikring AS'!B77+'Frende Livsforsikring'!B77+'Frende Skadeforsikring'!B77+'Gjensidige Forsikring'!B77+'Gjensidige Pensjon'!B77+'If Skadeforsikring NUF'!B77+KLP!B77+'KLP Skadeforsikring AS'!B77+'Landkreditt Forsikring'!B77+'Nordea Liv '!B77+'Oslo Pensjonsforsikring'!B77+'Protector Forsikring'!B77+'Sparebank 1 Fors.'!B77+'Storebrand Livsforsikring'!B77+'Telenor Forsikring'!B77+'Tryg Forsikring'!B77+'WaterCircles F'!B77+'Euro Accident'!B77+'Ly Forsikring'!B77+'Youplus Livsforsikring'!B77</f>
        <v>3013822.6505845953</v>
      </c>
      <c r="C77" s="44">
        <f>'Fremtind Livsforsikring'!C77+'DNB Livsforsikring'!C77+'Eika Forsikring AS'!C77+'Frende Livsforsikring'!C77+'Frende Skadeforsikring'!C77+'Gjensidige Forsikring'!C77+'Gjensidige Pensjon'!C77+'If Skadeforsikring NUF'!C77+KLP!C77+'KLP Skadeforsikring AS'!C77+'Landkreditt Forsikring'!C77+'Nordea Liv '!C77+'Oslo Pensjonsforsikring'!C77+'Protector Forsikring'!C77+'Sparebank 1 Fors.'!C77+'Storebrand Livsforsikring'!C77+'Telenor Forsikring'!C77+'Tryg Forsikring'!C77+'WaterCircles F'!C77+'Euro Accident'!C77+'Ly Forsikring'!C77+'Youplus Livsforsikring'!C77</f>
        <v>2846774.2263183743</v>
      </c>
      <c r="D77" s="23">
        <f t="shared" si="23"/>
        <v>-5.5</v>
      </c>
      <c r="E77" s="44">
        <f>'Fremtind Livsforsikring'!F77+'DNB Livsforsikring'!F77+'Eika Forsikring AS'!F77+'Frende Livsforsikring'!F77+'Frende Skadeforsikring'!F77+'Gjensidige Forsikring'!F77+'Gjensidige Pensjon'!F77+'If Skadeforsikring NUF'!F77+KLP!F77+'KLP Skadeforsikring AS'!F77+'Landkreditt Forsikring'!F77+'Nordea Liv '!F77+'Oslo Pensjonsforsikring'!F77+'Protector Forsikring'!F77+'Sparebank 1 Fors.'!F77+'Storebrand Livsforsikring'!F77+'Telenor Forsikring'!F77+'Tryg Forsikring'!F77+'WaterCircles F'!F77+'Euro Accident'!F77+'Ly Forsikring'!F77+'Youplus Livsforsikring'!F77</f>
        <v>22855685.991250001</v>
      </c>
      <c r="F77" s="44">
        <f>'Fremtind Livsforsikring'!G77+'DNB Livsforsikring'!G77+'Eika Forsikring AS'!G77+'Frende Livsforsikring'!G77+'Frende Skadeforsikring'!G77+'Gjensidige Forsikring'!G77+'Gjensidige Pensjon'!G77+'If Skadeforsikring NUF'!G77+KLP!G77+'KLP Skadeforsikring AS'!G77+'Landkreditt Forsikring'!G77+'Nordea Liv '!G77+'Oslo Pensjonsforsikring'!G77+'Protector Forsikring'!G77+'Sparebank 1 Fors.'!G77+'Storebrand Livsforsikring'!G77+'Telenor Forsikring'!G77+'Tryg Forsikring'!G77+'WaterCircles F'!G77+'Euro Accident'!G77+'Ly Forsikring'!G77+'Youplus Livsforsikring'!G77</f>
        <v>25239546.54806</v>
      </c>
      <c r="G77" s="151">
        <f t="shared" si="24"/>
        <v>10.4</v>
      </c>
      <c r="H77" s="221">
        <f t="shared" si="25"/>
        <v>25869508.641834594</v>
      </c>
      <c r="I77" s="221">
        <f t="shared" si="26"/>
        <v>28086320.774378374</v>
      </c>
      <c r="J77" s="23">
        <f t="shared" si="27"/>
        <v>8.6</v>
      </c>
    </row>
    <row r="78" spans="1:10" ht="15.75" customHeight="1" x14ac:dyDescent="0.2">
      <c r="A78" s="21" t="s">
        <v>9</v>
      </c>
      <c r="B78" s="44">
        <f>'Fremtind Livsforsikring'!B78+'DNB Livsforsikring'!B78+'Eika Forsikring AS'!B78+'Frende Livsforsikring'!B78+'Frende Skadeforsikring'!B78+'Gjensidige Forsikring'!B78+'Gjensidige Pensjon'!B78+'If Skadeforsikring NUF'!B78+KLP!B78+'KLP Skadeforsikring AS'!B78+'Landkreditt Forsikring'!B78+'Nordea Liv '!B78+'Oslo Pensjonsforsikring'!B78+'Protector Forsikring'!B78+'Sparebank 1 Fors.'!B78+'Storebrand Livsforsikring'!B78+'Telenor Forsikring'!B78+'Tryg Forsikring'!B78+'WaterCircles F'!B78+'Euro Accident'!B78+'Ly Forsikring'!B78+'Youplus Livsforsikring'!B78</f>
        <v>2994657.5829545949</v>
      </c>
      <c r="C78" s="44">
        <f>'Fremtind Livsforsikring'!C78+'DNB Livsforsikring'!C78+'Eika Forsikring AS'!C78+'Frende Livsforsikring'!C78+'Frende Skadeforsikring'!C78+'Gjensidige Forsikring'!C78+'Gjensidige Pensjon'!C78+'If Skadeforsikring NUF'!C78+KLP!C78+'KLP Skadeforsikring AS'!C78+'Landkreditt Forsikring'!C78+'Nordea Liv '!C78+'Oslo Pensjonsforsikring'!C78+'Protector Forsikring'!C78+'Sparebank 1 Fors.'!C78+'Storebrand Livsforsikring'!C78+'Telenor Forsikring'!C78+'Tryg Forsikring'!C78+'WaterCircles F'!C78+'Euro Accident'!C78+'Ly Forsikring'!C78+'Youplus Livsforsikring'!C78</f>
        <v>2829829.4771783743</v>
      </c>
      <c r="D78" s="23">
        <f t="shared" si="23"/>
        <v>-5.5</v>
      </c>
      <c r="E78" s="44"/>
      <c r="F78" s="44"/>
      <c r="G78" s="151"/>
      <c r="H78" s="221">
        <f t="shared" si="25"/>
        <v>2994657.5829545949</v>
      </c>
      <c r="I78" s="221">
        <f t="shared" si="26"/>
        <v>2829829.4771783743</v>
      </c>
      <c r="J78" s="23">
        <f t="shared" si="27"/>
        <v>-5.5</v>
      </c>
    </row>
    <row r="79" spans="1:10" ht="15.75" customHeight="1" x14ac:dyDescent="0.2">
      <c r="A79" s="38" t="s">
        <v>368</v>
      </c>
      <c r="B79" s="44">
        <f>'Fremtind Livsforsikring'!B79+'DNB Livsforsikring'!B79+'Eika Forsikring AS'!B79+'Frende Livsforsikring'!B79+'Frende Skadeforsikring'!B79+'Gjensidige Forsikring'!B79+'Gjensidige Pensjon'!B79+'If Skadeforsikring NUF'!B79+KLP!B79+'KLP Skadeforsikring AS'!B79+'Landkreditt Forsikring'!B79+'Nordea Liv '!B79+'Oslo Pensjonsforsikring'!B79+'Protector Forsikring'!B79+'Sparebank 1 Fors.'!B79+'Storebrand Livsforsikring'!B79+'Telenor Forsikring'!B79+'Tryg Forsikring'!B79+'WaterCircles F'!B79+'Euro Accident'!B79+'Ly Forsikring'!B79+'Youplus Livsforsikring'!B79</f>
        <v>19165.067630000001</v>
      </c>
      <c r="C79" s="44">
        <f>'Fremtind Livsforsikring'!C79+'DNB Livsforsikring'!C79+'Eika Forsikring AS'!C79+'Frende Livsforsikring'!C79+'Frende Skadeforsikring'!C79+'Gjensidige Forsikring'!C79+'Gjensidige Pensjon'!C79+'If Skadeforsikring NUF'!C79+KLP!C79+'KLP Skadeforsikring AS'!C79+'Landkreditt Forsikring'!C79+'Nordea Liv '!C79+'Oslo Pensjonsforsikring'!C79+'Protector Forsikring'!C79+'Sparebank 1 Fors.'!C79+'Storebrand Livsforsikring'!C79+'Telenor Forsikring'!C79+'Tryg Forsikring'!C79+'WaterCircles F'!C79+'Euro Accident'!C79+'Ly Forsikring'!C79+'Youplus Livsforsikring'!C79</f>
        <v>16944.74914</v>
      </c>
      <c r="D79" s="23">
        <f t="shared" si="23"/>
        <v>-11.6</v>
      </c>
      <c r="E79" s="44">
        <f>'Fremtind Livsforsikring'!F79+'DNB Livsforsikring'!F79+'Eika Forsikring AS'!F79+'Frende Livsforsikring'!F79+'Frende Skadeforsikring'!F79+'Gjensidige Forsikring'!F79+'Gjensidige Pensjon'!F79+'If Skadeforsikring NUF'!F79+KLP!F79+'KLP Skadeforsikring AS'!F79+'Landkreditt Forsikring'!F79+'Nordea Liv '!F79+'Oslo Pensjonsforsikring'!F79+'Protector Forsikring'!F79+'Sparebank 1 Fors.'!F79+'Storebrand Livsforsikring'!F79+'Telenor Forsikring'!F79+'Tryg Forsikring'!F79+'WaterCircles F'!F79+'Euro Accident'!F79+'Ly Forsikring'!F79+'Youplus Livsforsikring'!F79</f>
        <v>22855685.991250001</v>
      </c>
      <c r="F79" s="44">
        <f>'Fremtind Livsforsikring'!G79+'DNB Livsforsikring'!G79+'Eika Forsikring AS'!G79+'Frende Livsforsikring'!G79+'Frende Skadeforsikring'!G79+'Gjensidige Forsikring'!G79+'Gjensidige Pensjon'!G79+'If Skadeforsikring NUF'!G79+KLP!G79+'KLP Skadeforsikring AS'!G79+'Landkreditt Forsikring'!G79+'Nordea Liv '!G79+'Oslo Pensjonsforsikring'!G79+'Protector Forsikring'!G79+'Sparebank 1 Fors.'!G79+'Storebrand Livsforsikring'!G79+'Telenor Forsikring'!G79+'Tryg Forsikring'!G79+'WaterCircles F'!G79+'Euro Accident'!G79+'Ly Forsikring'!G79+'Youplus Livsforsikring'!G79</f>
        <v>25239546.54806</v>
      </c>
      <c r="G79" s="151">
        <f t="shared" si="24"/>
        <v>10.4</v>
      </c>
      <c r="H79" s="221">
        <f t="shared" si="25"/>
        <v>22874851.058880001</v>
      </c>
      <c r="I79" s="221">
        <f t="shared" si="26"/>
        <v>25256491.297200002</v>
      </c>
      <c r="J79" s="23">
        <f t="shared" si="27"/>
        <v>10.4</v>
      </c>
    </row>
    <row r="80" spans="1:10" ht="15.75" customHeight="1" x14ac:dyDescent="0.2">
      <c r="A80" s="281" t="s">
        <v>337</v>
      </c>
      <c r="B80" s="219"/>
      <c r="C80" s="219"/>
      <c r="D80" s="27"/>
      <c r="E80" s="219"/>
      <c r="F80" s="219"/>
      <c r="G80" s="151"/>
      <c r="H80" s="219"/>
      <c r="I80" s="219"/>
      <c r="J80" s="23"/>
    </row>
    <row r="81" spans="1:12" ht="15.75" customHeight="1" x14ac:dyDescent="0.2">
      <c r="A81" s="281" t="s">
        <v>12</v>
      </c>
      <c r="B81" s="219"/>
      <c r="C81" s="219"/>
      <c r="D81" s="27"/>
      <c r="E81" s="219"/>
      <c r="F81" s="219"/>
      <c r="G81" s="151"/>
      <c r="H81" s="219"/>
      <c r="I81" s="219"/>
      <c r="J81" s="23"/>
    </row>
    <row r="82" spans="1:12" ht="15.75" customHeight="1" x14ac:dyDescent="0.2">
      <c r="A82" s="281" t="s">
        <v>13</v>
      </c>
      <c r="B82" s="219"/>
      <c r="C82" s="219"/>
      <c r="D82" s="27"/>
      <c r="E82" s="219"/>
      <c r="F82" s="219"/>
      <c r="G82" s="151"/>
      <c r="H82" s="219"/>
      <c r="I82" s="219"/>
      <c r="J82" s="23"/>
    </row>
    <row r="83" spans="1:12" ht="15.75" customHeight="1" x14ac:dyDescent="0.2">
      <c r="A83" s="281" t="s">
        <v>338</v>
      </c>
      <c r="B83" s="219"/>
      <c r="C83" s="219"/>
      <c r="D83" s="27"/>
      <c r="E83" s="219"/>
      <c r="F83" s="219"/>
      <c r="G83" s="151"/>
      <c r="H83" s="219"/>
      <c r="I83" s="219"/>
      <c r="J83" s="24"/>
    </row>
    <row r="84" spans="1:12" ht="15.75" customHeight="1" x14ac:dyDescent="0.2">
      <c r="A84" s="281" t="s">
        <v>12</v>
      </c>
      <c r="B84" s="219"/>
      <c r="C84" s="219"/>
      <c r="D84" s="27"/>
      <c r="E84" s="219"/>
      <c r="F84" s="219"/>
      <c r="G84" s="151"/>
      <c r="H84" s="219"/>
      <c r="I84" s="219"/>
      <c r="J84" s="23"/>
    </row>
    <row r="85" spans="1:12" ht="15.75" customHeight="1" x14ac:dyDescent="0.2">
      <c r="A85" s="281" t="s">
        <v>13</v>
      </c>
      <c r="B85" s="219"/>
      <c r="C85" s="219"/>
      <c r="D85" s="27"/>
      <c r="E85" s="219"/>
      <c r="F85" s="219"/>
      <c r="G85" s="151"/>
      <c r="H85" s="219"/>
      <c r="I85" s="219"/>
      <c r="J85" s="23"/>
    </row>
    <row r="86" spans="1:12" ht="15.75" customHeight="1" x14ac:dyDescent="0.2">
      <c r="A86" s="21" t="s">
        <v>340</v>
      </c>
      <c r="B86" s="218">
        <f>'Fremtind Livsforsikring'!B86+'DNB Livsforsikring'!B86+'Eika Forsikring AS'!B86+'Frende Livsforsikring'!B86+'Frende Skadeforsikring'!B86+'Gjensidige Forsikring'!B86+'Gjensidige Pensjon'!B86+'If Skadeforsikring NUF'!B86+KLP!B86+'KLP Skadeforsikring AS'!B86+'Landkreditt Forsikring'!B86+'Nordea Liv '!B86+'Oslo Pensjonsforsikring'!B86+'Protector Forsikring'!B86+'Sparebank 1 Fors.'!B86+'Storebrand Livsforsikring'!B86+'Telenor Forsikring'!B86+'Tryg Forsikring'!B86+'WaterCircles F'!B86+'Euro Accident'!B86+'Ly Forsikring'!B86+'Youplus Livsforsikring'!B86</f>
        <v>72845.527000000002</v>
      </c>
      <c r="C86" s="218">
        <f>'Fremtind Livsforsikring'!C86+'DNB Livsforsikring'!C86+'Eika Forsikring AS'!C86+'Frende Livsforsikring'!C86+'Frende Skadeforsikring'!C86+'Gjensidige Forsikring'!C86+'Gjensidige Pensjon'!C86+'If Skadeforsikring NUF'!C86+KLP!C86+'KLP Skadeforsikring AS'!C86+'Landkreditt Forsikring'!C86+'Nordea Liv '!C86+'Oslo Pensjonsforsikring'!C86+'Protector Forsikring'!C86+'Sparebank 1 Fors.'!C86+'Storebrand Livsforsikring'!C86+'Telenor Forsikring'!C86+'Tryg Forsikring'!C86+'WaterCircles F'!C86+'Euro Accident'!C86+'Ly Forsikring'!C86+'Youplus Livsforsikring'!C86</f>
        <v>70075.729000000007</v>
      </c>
      <c r="D86" s="23">
        <f t="shared" si="23"/>
        <v>-3.8</v>
      </c>
      <c r="E86" s="44">
        <f>'Fremtind Livsforsikring'!F86+'DNB Livsforsikring'!F86+'Eika Forsikring AS'!F86+'Frende Livsforsikring'!F86+'Frende Skadeforsikring'!F86+'Gjensidige Forsikring'!F86+'Gjensidige Pensjon'!F86+'If Skadeforsikring NUF'!F86+KLP!F86+'KLP Skadeforsikring AS'!F86+'Landkreditt Forsikring'!F86+'Nordea Liv '!F86+'Oslo Pensjonsforsikring'!F86+'Protector Forsikring'!F86+'Sparebank 1 Fors.'!F86+'Storebrand Livsforsikring'!F86+'Telenor Forsikring'!F86+'Tryg Forsikring'!F86+'WaterCircles F'!F86+'Euro Accident'!F86+'Ly Forsikring'!F86+'Youplus Livsforsikring'!F86</f>
        <v>6789.5961900000002</v>
      </c>
      <c r="F86" s="44">
        <f>'Fremtind Livsforsikring'!G86+'DNB Livsforsikring'!G86+'Eika Forsikring AS'!G86+'Frende Livsforsikring'!G86+'Frende Skadeforsikring'!G86+'Gjensidige Forsikring'!G86+'Gjensidige Pensjon'!G86+'If Skadeforsikring NUF'!G86+KLP!G86+'KLP Skadeforsikring AS'!G86+'Landkreditt Forsikring'!G86+'Nordea Liv '!G86+'Oslo Pensjonsforsikring'!G86+'Protector Forsikring'!G86+'Sparebank 1 Fors.'!G86+'Storebrand Livsforsikring'!G86+'Telenor Forsikring'!G86+'Tryg Forsikring'!G86+'WaterCircles F'!G86+'Euro Accident'!G86+'Ly Forsikring'!G86+'Youplus Livsforsikring'!G86</f>
        <v>6578.7860000000001</v>
      </c>
      <c r="G86" s="151">
        <f t="shared" si="24"/>
        <v>-3.1</v>
      </c>
      <c r="H86" s="221">
        <f t="shared" si="25"/>
        <v>79635.123189999998</v>
      </c>
      <c r="I86" s="221">
        <f t="shared" si="26"/>
        <v>76654.515000000014</v>
      </c>
      <c r="J86" s="23">
        <f t="shared" si="27"/>
        <v>-3.7</v>
      </c>
    </row>
    <row r="87" spans="1:12" s="43" customFormat="1" ht="15.75" customHeight="1" x14ac:dyDescent="0.2">
      <c r="A87" s="13" t="s">
        <v>322</v>
      </c>
      <c r="B87" s="293">
        <f>'Fremtind Livsforsikring'!B87+'DNB Livsforsikring'!B87+'Eika Forsikring AS'!B87+'Frende Livsforsikring'!B87+'Frende Skadeforsikring'!B87+'Gjensidige Forsikring'!B87+'Gjensidige Pensjon'!B87+'If Skadeforsikring NUF'!B87+KLP!B87+'KLP Skadeforsikring AS'!B87+'Landkreditt Forsikring'!B87+'Nordea Liv '!B87+'Oslo Pensjonsforsikring'!B87+'Protector Forsikring'!B87+'Sparebank 1 Fors.'!B87+'Storebrand Livsforsikring'!B87+'Telenor Forsikring'!B87+'Tryg Forsikring'!B87+'WaterCircles F'!B87+'Euro Accident'!B87+'Ly Forsikring'!B87+'Youplus Livsforsikring'!B87</f>
        <v>397026780.84059429</v>
      </c>
      <c r="C87" s="293">
        <f>'Fremtind Livsforsikring'!C87+'DNB Livsforsikring'!C87+'Eika Forsikring AS'!C87+'Frende Livsforsikring'!C87+'Frende Skadeforsikring'!C87+'Gjensidige Forsikring'!C87+'Gjensidige Pensjon'!C87+'If Skadeforsikring NUF'!C87+KLP!C87+'KLP Skadeforsikring AS'!C87+'Landkreditt Forsikring'!C87+'Nordea Liv '!C87+'Oslo Pensjonsforsikring'!C87+'Protector Forsikring'!C87+'Sparebank 1 Fors.'!C87+'Storebrand Livsforsikring'!C87+'Telenor Forsikring'!C87+'Tryg Forsikring'!C87+'WaterCircles F'!C87+'Euro Accident'!C87+'Ly Forsikring'!C87+'Youplus Livsforsikring'!C87</f>
        <v>403963693.13131827</v>
      </c>
      <c r="D87" s="24">
        <f t="shared" si="23"/>
        <v>1.7</v>
      </c>
      <c r="E87" s="220">
        <f>'Fremtind Livsforsikring'!F87+'DNB Livsforsikring'!F87+'Eika Forsikring AS'!F87+'Frende Livsforsikring'!F87+'Frende Skadeforsikring'!F87+'Gjensidige Forsikring'!F87+'Gjensidige Pensjon'!F87+'If Skadeforsikring NUF'!F87+KLP!F87+'KLP Skadeforsikring AS'!F87+'Landkreditt Forsikring'!F87+'Nordea Liv '!F87+'Oslo Pensjonsforsikring'!F87+'Protector Forsikring'!F87+'Sparebank 1 Fors.'!F87+'Storebrand Livsforsikring'!F87+'Telenor Forsikring'!F87+'Tryg Forsikring'!F87+'WaterCircles F'!F87+'Euro Accident'!F87+'Ly Forsikring'!F87+'Youplus Livsforsikring'!F87</f>
        <v>500064979.81580997</v>
      </c>
      <c r="F87" s="220">
        <f>'Fremtind Livsforsikring'!G87+'DNB Livsforsikring'!G87+'Eika Forsikring AS'!G87+'Frende Livsforsikring'!G87+'Frende Skadeforsikring'!G87+'Gjensidige Forsikring'!G87+'Gjensidige Pensjon'!G87+'If Skadeforsikring NUF'!G87+KLP!G87+'KLP Skadeforsikring AS'!G87+'Landkreditt Forsikring'!G87+'Nordea Liv '!G87+'Oslo Pensjonsforsikring'!G87+'Protector Forsikring'!G87+'Sparebank 1 Fors.'!G87+'Storebrand Livsforsikring'!G87+'Telenor Forsikring'!G87+'Tryg Forsikring'!G87+'WaterCircles F'!G87+'Euro Accident'!G87+'Ly Forsikring'!G87+'Youplus Livsforsikring'!G87</f>
        <v>612676988.24200487</v>
      </c>
      <c r="G87" s="156">
        <f t="shared" si="24"/>
        <v>22.5</v>
      </c>
      <c r="H87" s="313">
        <f t="shared" ref="H87:H111" si="32">SUM(B87,E87)</f>
        <v>897091760.65640426</v>
      </c>
      <c r="I87" s="313">
        <f t="shared" ref="I87:I111" si="33">SUM(C87,F87)</f>
        <v>1016640681.3733232</v>
      </c>
      <c r="J87" s="24">
        <f t="shared" si="27"/>
        <v>13.3</v>
      </c>
    </row>
    <row r="88" spans="1:12" ht="15.75" customHeight="1" x14ac:dyDescent="0.2">
      <c r="A88" s="21" t="s">
        <v>9</v>
      </c>
      <c r="B88" s="218">
        <f>'Fremtind Livsforsikring'!B88+'DNB Livsforsikring'!B88+'Eika Forsikring AS'!B88+'Frende Livsforsikring'!B88+'Frende Skadeforsikring'!B88+'Gjensidige Forsikring'!B88+'Gjensidige Pensjon'!B88+'If Skadeforsikring NUF'!B88+KLP!B88+'KLP Skadeforsikring AS'!B88+'Landkreditt Forsikring'!B88+'Nordea Liv '!B88+'Oslo Pensjonsforsikring'!B88+'Protector Forsikring'!B88+'Sparebank 1 Fors.'!B88+'Storebrand Livsforsikring'!B88+'Telenor Forsikring'!B88+'Tryg Forsikring'!B88+'WaterCircles F'!B88+'Euro Accident'!B88+'Ly Forsikring'!B88+'Youplus Livsforsikring'!B88</f>
        <v>380996790.85058165</v>
      </c>
      <c r="C88" s="218">
        <f>'Fremtind Livsforsikring'!C88+'DNB Livsforsikring'!C88+'Eika Forsikring AS'!C88+'Frende Livsforsikring'!C88+'Frende Skadeforsikring'!C88+'Gjensidige Forsikring'!C88+'Gjensidige Pensjon'!C88+'If Skadeforsikring NUF'!C88+KLP!C88+'KLP Skadeforsikring AS'!C88+'Landkreditt Forsikring'!C88+'Nordea Liv '!C88+'Oslo Pensjonsforsikring'!C88+'Protector Forsikring'!C88+'Sparebank 1 Fors.'!C88+'Storebrand Livsforsikring'!C88+'Telenor Forsikring'!C88+'Tryg Forsikring'!C88+'WaterCircles F'!C88+'Euro Accident'!C88+'Ly Forsikring'!C88+'Youplus Livsforsikring'!C88</f>
        <v>384130486.136904</v>
      </c>
      <c r="D88" s="23">
        <f t="shared" si="23"/>
        <v>0.8</v>
      </c>
      <c r="E88" s="44"/>
      <c r="F88" s="44"/>
      <c r="G88" s="151"/>
      <c r="H88" s="221">
        <f t="shared" si="32"/>
        <v>380996790.85058165</v>
      </c>
      <c r="I88" s="221">
        <f t="shared" si="33"/>
        <v>384130486.136904</v>
      </c>
      <c r="J88" s="23">
        <f t="shared" si="27"/>
        <v>0.8</v>
      </c>
    </row>
    <row r="89" spans="1:12" ht="15.75" customHeight="1" x14ac:dyDescent="0.2">
      <c r="A89" s="21" t="s">
        <v>10</v>
      </c>
      <c r="B89" s="218">
        <f>'Fremtind Livsforsikring'!B89+'DNB Livsforsikring'!B89+'Eika Forsikring AS'!B89+'Frende Livsforsikring'!B89+'Frende Skadeforsikring'!B89+'Gjensidige Forsikring'!B89+'Gjensidige Pensjon'!B89+'If Skadeforsikring NUF'!B89+KLP!B89+'KLP Skadeforsikring AS'!B89+'Landkreditt Forsikring'!B89+'Nordea Liv '!B89+'Oslo Pensjonsforsikring'!B89+'Protector Forsikring'!B89+'Sparebank 1 Fors.'!B89+'Storebrand Livsforsikring'!B89+'Telenor Forsikring'!B89+'Tryg Forsikring'!B89+'WaterCircles F'!B89+'Euro Accident'!B89+'Ly Forsikring'!B89+'Youplus Livsforsikring'!B89</f>
        <v>2232187.1710925698</v>
      </c>
      <c r="C89" s="218">
        <f>'Fremtind Livsforsikring'!C89+'DNB Livsforsikring'!C89+'Eika Forsikring AS'!C89+'Frende Livsforsikring'!C89+'Frende Skadeforsikring'!C89+'Gjensidige Forsikring'!C89+'Gjensidige Pensjon'!C89+'If Skadeforsikring NUF'!C89+KLP!C89+'KLP Skadeforsikring AS'!C89+'Landkreditt Forsikring'!C89+'Nordea Liv '!C89+'Oslo Pensjonsforsikring'!C89+'Protector Forsikring'!C89+'Sparebank 1 Fors.'!C89+'Storebrand Livsforsikring'!C89+'Telenor Forsikring'!C89+'Tryg Forsikring'!C89+'WaterCircles F'!C89+'Euro Accident'!C89+'Ly Forsikring'!C89+'Youplus Livsforsikring'!C89</f>
        <v>2394733.1854943</v>
      </c>
      <c r="D89" s="23">
        <f t="shared" si="23"/>
        <v>7.3</v>
      </c>
      <c r="E89" s="44">
        <f>'Fremtind Livsforsikring'!F89+'DNB Livsforsikring'!F89+'Eika Forsikring AS'!F89+'Frende Livsforsikring'!F89+'Frende Skadeforsikring'!F89+'Gjensidige Forsikring'!F89+'Gjensidige Pensjon'!F89+'If Skadeforsikring NUF'!F89+KLP!F89+'KLP Skadeforsikring AS'!F89+'Landkreditt Forsikring'!F89+'Nordea Liv '!F89+'Oslo Pensjonsforsikring'!F89+'Protector Forsikring'!F89+'Sparebank 1 Fors.'!F89+'Storebrand Livsforsikring'!F89+'Telenor Forsikring'!F89+'Tryg Forsikring'!F89+'WaterCircles F'!F89+'Euro Accident'!F89+'Ly Forsikring'!F89+'Youplus Livsforsikring'!F89</f>
        <v>493127385.6782999</v>
      </c>
      <c r="F89" s="44">
        <f>'Fremtind Livsforsikring'!G89+'DNB Livsforsikring'!G89+'Eika Forsikring AS'!G89+'Frende Livsforsikring'!G89+'Frende Skadeforsikring'!G89+'Gjensidige Forsikring'!G89+'Gjensidige Pensjon'!G89+'If Skadeforsikring NUF'!G89+KLP!G89+'KLP Skadeforsikring AS'!G89+'Landkreditt Forsikring'!G89+'Nordea Liv '!G89+'Oslo Pensjonsforsikring'!G89+'Protector Forsikring'!G89+'Sparebank 1 Fors.'!G89+'Storebrand Livsforsikring'!G89+'Telenor Forsikring'!G89+'Tryg Forsikring'!G89+'WaterCircles F'!G89+'Euro Accident'!G89+'Ly Forsikring'!G89+'Youplus Livsforsikring'!G89</f>
        <v>603422703.44499493</v>
      </c>
      <c r="G89" s="151">
        <f t="shared" si="24"/>
        <v>22.4</v>
      </c>
      <c r="H89" s="221">
        <f t="shared" si="32"/>
        <v>495359572.84939247</v>
      </c>
      <c r="I89" s="221">
        <f t="shared" si="33"/>
        <v>605817436.63048923</v>
      </c>
      <c r="J89" s="23">
        <f t="shared" si="27"/>
        <v>22.3</v>
      </c>
      <c r="L89" s="134"/>
    </row>
    <row r="90" spans="1:12" ht="15.75" customHeight="1" x14ac:dyDescent="0.2">
      <c r="A90" s="281" t="s">
        <v>337</v>
      </c>
      <c r="B90" s="219"/>
      <c r="C90" s="219"/>
      <c r="D90" s="27"/>
      <c r="E90" s="219"/>
      <c r="F90" s="219"/>
      <c r="G90" s="151"/>
      <c r="H90" s="219"/>
      <c r="I90" s="219"/>
      <c r="J90" s="23"/>
    </row>
    <row r="91" spans="1:12" ht="15.75" customHeight="1" x14ac:dyDescent="0.2">
      <c r="A91" s="281" t="s">
        <v>12</v>
      </c>
      <c r="B91" s="219"/>
      <c r="C91" s="219"/>
      <c r="D91" s="27"/>
      <c r="E91" s="219"/>
      <c r="F91" s="219"/>
      <c r="G91" s="151"/>
      <c r="H91" s="219"/>
      <c r="I91" s="219"/>
      <c r="J91" s="23"/>
    </row>
    <row r="92" spans="1:12" ht="15.75" customHeight="1" x14ac:dyDescent="0.2">
      <c r="A92" s="281" t="s">
        <v>13</v>
      </c>
      <c r="B92" s="219"/>
      <c r="C92" s="219"/>
      <c r="D92" s="27"/>
      <c r="E92" s="219"/>
      <c r="F92" s="219"/>
      <c r="G92" s="151"/>
      <c r="H92" s="219"/>
      <c r="I92" s="219"/>
      <c r="J92" s="23"/>
    </row>
    <row r="93" spans="1:12" ht="15.75" customHeight="1" x14ac:dyDescent="0.2">
      <c r="A93" s="281" t="s">
        <v>338</v>
      </c>
      <c r="B93" s="219"/>
      <c r="C93" s="219"/>
      <c r="D93" s="27"/>
      <c r="E93" s="219"/>
      <c r="F93" s="219"/>
      <c r="G93" s="151"/>
      <c r="H93" s="219"/>
      <c r="I93" s="219"/>
      <c r="J93" s="23"/>
    </row>
    <row r="94" spans="1:12" ht="15.75" customHeight="1" x14ac:dyDescent="0.2">
      <c r="A94" s="281" t="s">
        <v>12</v>
      </c>
      <c r="B94" s="219"/>
      <c r="C94" s="219"/>
      <c r="D94" s="27"/>
      <c r="E94" s="219"/>
      <c r="F94" s="219"/>
      <c r="G94" s="151"/>
      <c r="H94" s="219"/>
      <c r="I94" s="219"/>
      <c r="J94" s="23"/>
    </row>
    <row r="95" spans="1:12" ht="15.75" customHeight="1" x14ac:dyDescent="0.2">
      <c r="A95" s="281" t="s">
        <v>13</v>
      </c>
      <c r="B95" s="219"/>
      <c r="C95" s="219"/>
      <c r="D95" s="27"/>
      <c r="E95" s="219"/>
      <c r="F95" s="219"/>
      <c r="G95" s="151"/>
      <c r="H95" s="219"/>
      <c r="I95" s="219"/>
      <c r="J95" s="23"/>
    </row>
    <row r="96" spans="1:12" ht="15.75" customHeight="1" x14ac:dyDescent="0.2">
      <c r="A96" s="21" t="s">
        <v>309</v>
      </c>
      <c r="B96" s="218">
        <f>'Fremtind Livsforsikring'!B96+'DNB Livsforsikring'!B96+'Eika Forsikring AS'!B96+'Frende Livsforsikring'!B96+'Frende Skadeforsikring'!B96+'Gjensidige Forsikring'!B96+'Gjensidige Pensjon'!B96+'If Skadeforsikring NUF'!B96+KLP!B96+'KLP Skadeforsikring AS'!B96+'Landkreditt Forsikring'!B96+'Nordea Liv '!B96+'Oslo Pensjonsforsikring'!B96+'Protector Forsikring'!B96+'Sparebank 1 Fors.'!B96+'Storebrand Livsforsikring'!B96+'Telenor Forsikring'!B96+'Tryg Forsikring'!B96+'WaterCircles F'!B96+'Euro Accident'!B96+'Ly Forsikring'!B96+'Youplus Livsforsikring'!B96</f>
        <v>4261345.2002400002</v>
      </c>
      <c r="C96" s="218">
        <f>'Fremtind Livsforsikring'!C96+'DNB Livsforsikring'!C96+'Eika Forsikring AS'!C96+'Frende Livsforsikring'!C96+'Frende Skadeforsikring'!C96+'Gjensidige Forsikring'!C96+'Gjensidige Pensjon'!C96+'If Skadeforsikring NUF'!C96+KLP!C96+'KLP Skadeforsikring AS'!C96+'Landkreditt Forsikring'!C96+'Nordea Liv '!C96+'Oslo Pensjonsforsikring'!C96+'Protector Forsikring'!C96+'Sparebank 1 Fors.'!C96+'Storebrand Livsforsikring'!C96+'Telenor Forsikring'!C96+'Tryg Forsikring'!C96+'WaterCircles F'!C96+'Euro Accident'!C96+'Ly Forsikring'!C96+'Youplus Livsforsikring'!C96</f>
        <v>5970807.5686600003</v>
      </c>
      <c r="D96" s="23">
        <f t="shared" si="23"/>
        <v>40.1</v>
      </c>
      <c r="E96" s="44">
        <f>'Fremtind Livsforsikring'!F96+'DNB Livsforsikring'!F96+'Eika Forsikring AS'!F96+'Frende Livsforsikring'!F96+'Frende Skadeforsikring'!F96+'Gjensidige Forsikring'!F96+'Gjensidige Pensjon'!F96+'If Skadeforsikring NUF'!F96+KLP!F96+'KLP Skadeforsikring AS'!F96+'Landkreditt Forsikring'!F96+'Nordea Liv '!F96+'Oslo Pensjonsforsikring'!F96+'Protector Forsikring'!F96+'Sparebank 1 Fors.'!F96+'Storebrand Livsforsikring'!F96+'Telenor Forsikring'!F96+'Tryg Forsikring'!F96+'WaterCircles F'!F96+'Euro Accident'!F96+'Ly Forsikring'!F96+'Youplus Livsforsikring'!F96</f>
        <v>6937594.1375099998</v>
      </c>
      <c r="F96" s="44">
        <f>'Fremtind Livsforsikring'!G96+'DNB Livsforsikring'!G96+'Eika Forsikring AS'!G96+'Frende Livsforsikring'!G96+'Frende Skadeforsikring'!G96+'Gjensidige Forsikring'!G96+'Gjensidige Pensjon'!G96+'If Skadeforsikring NUF'!G96+KLP!G96+'KLP Skadeforsikring AS'!G96+'Landkreditt Forsikring'!G96+'Nordea Liv '!G96+'Oslo Pensjonsforsikring'!G96+'Protector Forsikring'!G96+'Sparebank 1 Fors.'!G96+'Storebrand Livsforsikring'!G96+'Telenor Forsikring'!G96+'Tryg Forsikring'!G96+'WaterCircles F'!G96+'Euro Accident'!G96+'Ly Forsikring'!G96+'Youplus Livsforsikring'!G96</f>
        <v>9254284.7970100008</v>
      </c>
      <c r="G96" s="151">
        <f t="shared" si="24"/>
        <v>33.4</v>
      </c>
      <c r="H96" s="221">
        <f t="shared" si="32"/>
        <v>11198939.337749999</v>
      </c>
      <c r="I96" s="221">
        <f t="shared" si="33"/>
        <v>15225092.365670001</v>
      </c>
      <c r="J96" s="23">
        <f t="shared" si="27"/>
        <v>36</v>
      </c>
    </row>
    <row r="97" spans="1:12" ht="15.75" customHeight="1" x14ac:dyDescent="0.2">
      <c r="A97" s="21" t="s">
        <v>308</v>
      </c>
      <c r="B97" s="218">
        <f>'Fremtind Livsforsikring'!B97+'DNB Livsforsikring'!B97+'Eika Forsikring AS'!B97+'Frende Livsforsikring'!B97+'Frende Skadeforsikring'!B97+'Gjensidige Forsikring'!B97+'Gjensidige Pensjon'!B97+'If Skadeforsikring NUF'!B97+KLP!B97+'KLP Skadeforsikring AS'!B97+'Landkreditt Forsikring'!B97+'Nordea Liv '!B97+'Oslo Pensjonsforsikring'!B97+'Protector Forsikring'!B97+'Sparebank 1 Fors.'!B97+'Storebrand Livsforsikring'!B97+'Telenor Forsikring'!B97+'Tryg Forsikring'!B97+'WaterCircles F'!B97+'Euro Accident'!B97+'Ly Forsikring'!B97+'Youplus Livsforsikring'!B97</f>
        <v>9536457.6186800003</v>
      </c>
      <c r="C97" s="218">
        <f>'Fremtind Livsforsikring'!C97+'DNB Livsforsikring'!C97+'Eika Forsikring AS'!C97+'Frende Livsforsikring'!C97+'Frende Skadeforsikring'!C97+'Gjensidige Forsikring'!C97+'Gjensidige Pensjon'!C97+'If Skadeforsikring NUF'!C97+KLP!C97+'KLP Skadeforsikring AS'!C97+'Landkreditt Forsikring'!C97+'Nordea Liv '!C97+'Oslo Pensjonsforsikring'!C97+'Protector Forsikring'!C97+'Sparebank 1 Fors.'!C97+'Storebrand Livsforsikring'!C97+'Telenor Forsikring'!C97+'Tryg Forsikring'!C97+'WaterCircles F'!C97+'Euro Accident'!C97+'Ly Forsikring'!C97+'Youplus Livsforsikring'!C97</f>
        <v>11467666.240259999</v>
      </c>
      <c r="D97" s="23">
        <f t="shared" ref="D97" si="34">IF(B97=0, "    ---- ", IF(ABS(ROUND(100/B97*C97-100,1))&lt;999,ROUND(100/B97*C97-100,1),IF(ROUND(100/B97*C97-100,1)&gt;999,999,-999)))</f>
        <v>20.3</v>
      </c>
      <c r="E97" s="44"/>
      <c r="F97" s="44"/>
      <c r="G97" s="151"/>
      <c r="H97" s="221">
        <f t="shared" ref="H97" si="35">SUM(B97,E97)</f>
        <v>9536457.6186800003</v>
      </c>
      <c r="I97" s="221">
        <f t="shared" ref="I97" si="36">SUM(C97,F97)</f>
        <v>11467666.240259999</v>
      </c>
      <c r="J97" s="23">
        <f t="shared" ref="J97" si="37">IF(H97=0, "    ---- ", IF(ABS(ROUND(100/H97*I97-100,1))&lt;999,ROUND(100/H97*I97-100,1),IF(ROUND(100/H97*I97-100,1)&gt;999,999,-999)))</f>
        <v>20.3</v>
      </c>
    </row>
    <row r="98" spans="1:12" ht="15.75" customHeight="1" x14ac:dyDescent="0.2">
      <c r="A98" s="21" t="s">
        <v>339</v>
      </c>
      <c r="B98" s="218">
        <f>'Fremtind Livsforsikring'!B98+'DNB Livsforsikring'!B98+'Eika Forsikring AS'!B98+'Frende Livsforsikring'!B98+'Frende Skadeforsikring'!B98+'Gjensidige Forsikring'!B98+'Gjensidige Pensjon'!B98+'If Skadeforsikring NUF'!B98+KLP!B98+'KLP Skadeforsikring AS'!B98+'Landkreditt Forsikring'!B98+'Nordea Liv '!B98+'Oslo Pensjonsforsikring'!B98+'Protector Forsikring'!B98+'Sparebank 1 Fors.'!B98+'Storebrand Livsforsikring'!B98+'Telenor Forsikring'!B98+'Tryg Forsikring'!B98+'WaterCircles F'!B98+'Euro Accident'!B98+'Ly Forsikring'!B98+'Youplus Livsforsikring'!B98</f>
        <v>378889636.09067428</v>
      </c>
      <c r="C98" s="218">
        <f>'Fremtind Livsforsikring'!C98+'DNB Livsforsikring'!C98+'Eika Forsikring AS'!C98+'Frende Livsforsikring'!C98+'Frende Skadeforsikring'!C98+'Gjensidige Forsikring'!C98+'Gjensidige Pensjon'!C98+'If Skadeforsikring NUF'!C98+KLP!C98+'KLP Skadeforsikring AS'!C98+'Landkreditt Forsikring'!C98+'Nordea Liv '!C98+'Oslo Pensjonsforsikring'!C98+'Protector Forsikring'!C98+'Sparebank 1 Fors.'!C98+'Storebrand Livsforsikring'!C98+'Telenor Forsikring'!C98+'Tryg Forsikring'!C98+'WaterCircles F'!C98+'Euro Accident'!C98+'Ly Forsikring'!C98+'Youplus Livsforsikring'!C98</f>
        <v>382233924.78239828</v>
      </c>
      <c r="D98" s="23">
        <f t="shared" si="23"/>
        <v>0.9</v>
      </c>
      <c r="E98" s="44">
        <f>'Fremtind Livsforsikring'!F98+'DNB Livsforsikring'!F98+'Eika Forsikring AS'!F98+'Frende Livsforsikring'!F98+'Frende Skadeforsikring'!F98+'Gjensidige Forsikring'!F98+'Gjensidige Pensjon'!F98+'If Skadeforsikring NUF'!F98+KLP!F98+'KLP Skadeforsikring AS'!F98+'Landkreditt Forsikring'!F98+'Nordea Liv '!F98+'Oslo Pensjonsforsikring'!F98+'Protector Forsikring'!F98+'Sparebank 1 Fors.'!F98+'Storebrand Livsforsikring'!F98+'Telenor Forsikring'!F98+'Tryg Forsikring'!F98+'WaterCircles F'!F98+'Euro Accident'!F98+'Ly Forsikring'!F98+'Youplus Livsforsikring'!F98</f>
        <v>492930785.58728993</v>
      </c>
      <c r="F98" s="44">
        <f>'Fremtind Livsforsikring'!G98+'DNB Livsforsikring'!G98+'Eika Forsikring AS'!G98+'Frende Livsforsikring'!G98+'Frende Skadeforsikring'!G98+'Gjensidige Forsikring'!G98+'Gjensidige Pensjon'!G98+'If Skadeforsikring NUF'!G98+KLP!G98+'KLP Skadeforsikring AS'!G98+'Landkreditt Forsikring'!G98+'Nordea Liv '!G98+'Oslo Pensjonsforsikring'!G98+'Protector Forsikring'!G98+'Sparebank 1 Fors.'!G98+'Storebrand Livsforsikring'!G98+'Telenor Forsikring'!G98+'Tryg Forsikring'!G98+'WaterCircles F'!G98+'Euro Accident'!G98+'Ly Forsikring'!G98+'Youplus Livsforsikring'!G98</f>
        <v>603018161.03018498</v>
      </c>
      <c r="G98" s="151">
        <f t="shared" si="24"/>
        <v>22.3</v>
      </c>
      <c r="H98" s="221">
        <f t="shared" si="32"/>
        <v>871820421.67796421</v>
      </c>
      <c r="I98" s="221">
        <f t="shared" si="33"/>
        <v>985252085.81258321</v>
      </c>
      <c r="J98" s="23">
        <f t="shared" si="27"/>
        <v>13</v>
      </c>
    </row>
    <row r="99" spans="1:12" ht="15.75" customHeight="1" x14ac:dyDescent="0.2">
      <c r="A99" s="21" t="s">
        <v>9</v>
      </c>
      <c r="B99" s="218">
        <f>'Fremtind Livsforsikring'!B99+'DNB Livsforsikring'!B99+'Eika Forsikring AS'!B99+'Frende Livsforsikring'!B99+'Frende Skadeforsikring'!B99+'Gjensidige Forsikring'!B99+'Gjensidige Pensjon'!B99+'If Skadeforsikring NUF'!B99+KLP!B99+'KLP Skadeforsikring AS'!B99+'Landkreditt Forsikring'!B99+'Nordea Liv '!B99+'Oslo Pensjonsforsikring'!B99+'Protector Forsikring'!B99+'Sparebank 1 Fors.'!B99+'Storebrand Livsforsikring'!B99+'Telenor Forsikring'!B99+'Tryg Forsikring'!B99+'WaterCircles F'!B99+'Euro Accident'!B99+'Ly Forsikring'!B99+'Youplus Livsforsikring'!B99</f>
        <v>376657448.91958171</v>
      </c>
      <c r="C99" s="218">
        <f>'Fremtind Livsforsikring'!C99+'DNB Livsforsikring'!C99+'Eika Forsikring AS'!C99+'Frende Livsforsikring'!C99+'Frende Skadeforsikring'!C99+'Gjensidige Forsikring'!C99+'Gjensidige Pensjon'!C99+'If Skadeforsikring NUF'!C99+KLP!C99+'KLP Skadeforsikring AS'!C99+'Landkreditt Forsikring'!C99+'Nordea Liv '!C99+'Oslo Pensjonsforsikring'!C99+'Protector Forsikring'!C99+'Sparebank 1 Fors.'!C99+'Storebrand Livsforsikring'!C99+'Telenor Forsikring'!C99+'Tryg Forsikring'!C99+'WaterCircles F'!C99+'Euro Accident'!C99+'Ly Forsikring'!C99+'Youplus Livsforsikring'!C99</f>
        <v>379839191.59690404</v>
      </c>
      <c r="D99" s="23">
        <f t="shared" si="23"/>
        <v>0.8</v>
      </c>
      <c r="E99" s="44"/>
      <c r="F99" s="44"/>
      <c r="G99" s="151"/>
      <c r="H99" s="221">
        <f t="shared" si="32"/>
        <v>376657448.91958171</v>
      </c>
      <c r="I99" s="221">
        <f t="shared" si="33"/>
        <v>379839191.59690404</v>
      </c>
      <c r="J99" s="23">
        <f t="shared" si="27"/>
        <v>0.8</v>
      </c>
    </row>
    <row r="100" spans="1:12" ht="15.75" customHeight="1" x14ac:dyDescent="0.2">
      <c r="A100" s="38" t="s">
        <v>368</v>
      </c>
      <c r="B100" s="218">
        <f>'Fremtind Livsforsikring'!B100+'DNB Livsforsikring'!B100+'Eika Forsikring AS'!B100+'Frende Livsforsikring'!B100+'Frende Skadeforsikring'!B100+'Gjensidige Forsikring'!B100+'Gjensidige Pensjon'!B100+'If Skadeforsikring NUF'!B100+KLP!B100+'KLP Skadeforsikring AS'!B100+'Landkreditt Forsikring'!B100+'Nordea Liv '!B100+'Oslo Pensjonsforsikring'!B100+'Protector Forsikring'!B100+'Sparebank 1 Fors.'!B100+'Storebrand Livsforsikring'!B100+'Telenor Forsikring'!B100+'Tryg Forsikring'!B100+'WaterCircles F'!B100+'Euro Accident'!B100+'Ly Forsikring'!B100+'Youplus Livsforsikring'!B100</f>
        <v>2232187.1710925698</v>
      </c>
      <c r="C100" s="218">
        <f>'Fremtind Livsforsikring'!C100+'DNB Livsforsikring'!C100+'Eika Forsikring AS'!C100+'Frende Livsforsikring'!C100+'Frende Skadeforsikring'!C100+'Gjensidige Forsikring'!C100+'Gjensidige Pensjon'!C100+'If Skadeforsikring NUF'!C100+KLP!C100+'KLP Skadeforsikring AS'!C100+'Landkreditt Forsikring'!C100+'Nordea Liv '!C100+'Oslo Pensjonsforsikring'!C100+'Protector Forsikring'!C100+'Sparebank 1 Fors.'!C100+'Storebrand Livsforsikring'!C100+'Telenor Forsikring'!C100+'Tryg Forsikring'!C100+'WaterCircles F'!C100+'Euro Accident'!C100+'Ly Forsikring'!C100+'Youplus Livsforsikring'!C100</f>
        <v>2394733.1854943</v>
      </c>
      <c r="D100" s="23">
        <f t="shared" si="23"/>
        <v>7.3</v>
      </c>
      <c r="E100" s="44">
        <f>'Fremtind Livsforsikring'!F100+'DNB Livsforsikring'!F100+'Eika Forsikring AS'!F100+'Frende Livsforsikring'!F100+'Frende Skadeforsikring'!F100+'Gjensidige Forsikring'!F100+'Gjensidige Pensjon'!F100+'If Skadeforsikring NUF'!F100+KLP!F100+'KLP Skadeforsikring AS'!F100+'Landkreditt Forsikring'!F100+'Nordea Liv '!F100+'Oslo Pensjonsforsikring'!F100+'Protector Forsikring'!F100+'Sparebank 1 Fors.'!F100+'Storebrand Livsforsikring'!F100+'Telenor Forsikring'!F100+'Tryg Forsikring'!F100+'WaterCircles F'!F100+'Euro Accident'!F100+'Ly Forsikring'!F100+'Youplus Livsforsikring'!F100</f>
        <v>492930785.58728993</v>
      </c>
      <c r="F100" s="44">
        <f>'Fremtind Livsforsikring'!G100+'DNB Livsforsikring'!G100+'Eika Forsikring AS'!G100+'Frende Livsforsikring'!G100+'Frende Skadeforsikring'!G100+'Gjensidige Forsikring'!G100+'Gjensidige Pensjon'!G100+'If Skadeforsikring NUF'!G100+KLP!G100+'KLP Skadeforsikring AS'!G100+'Landkreditt Forsikring'!G100+'Nordea Liv '!G100+'Oslo Pensjonsforsikring'!G100+'Protector Forsikring'!G100+'Sparebank 1 Fors.'!G100+'Storebrand Livsforsikring'!G100+'Telenor Forsikring'!G100+'Tryg Forsikring'!G100+'WaterCircles F'!G100+'Euro Accident'!G100+'Ly Forsikring'!G100+'Youplus Livsforsikring'!G100</f>
        <v>603018161.03018498</v>
      </c>
      <c r="G100" s="151">
        <f t="shared" si="24"/>
        <v>22.3</v>
      </c>
      <c r="H100" s="221">
        <f t="shared" si="32"/>
        <v>495162972.7583825</v>
      </c>
      <c r="I100" s="221">
        <f t="shared" si="33"/>
        <v>605412894.21567929</v>
      </c>
      <c r="J100" s="23">
        <f t="shared" si="27"/>
        <v>22.3</v>
      </c>
    </row>
    <row r="101" spans="1:12" ht="15.75" customHeight="1" x14ac:dyDescent="0.2">
      <c r="A101" s="281" t="s">
        <v>337</v>
      </c>
      <c r="B101" s="219"/>
      <c r="C101" s="219"/>
      <c r="D101" s="27"/>
      <c r="E101" s="219"/>
      <c r="F101" s="219"/>
      <c r="G101" s="151"/>
      <c r="H101" s="219"/>
      <c r="I101" s="219"/>
      <c r="J101" s="23"/>
    </row>
    <row r="102" spans="1:12" ht="15.75" customHeight="1" x14ac:dyDescent="0.2">
      <c r="A102" s="281" t="s">
        <v>12</v>
      </c>
      <c r="B102" s="219"/>
      <c r="C102" s="219"/>
      <c r="D102" s="27"/>
      <c r="E102" s="219"/>
      <c r="F102" s="219"/>
      <c r="G102" s="151"/>
      <c r="H102" s="219"/>
      <c r="I102" s="219"/>
      <c r="J102" s="23"/>
    </row>
    <row r="103" spans="1:12" ht="15.75" customHeight="1" x14ac:dyDescent="0.2">
      <c r="A103" s="281" t="s">
        <v>13</v>
      </c>
      <c r="B103" s="219"/>
      <c r="C103" s="219"/>
      <c r="D103" s="27"/>
      <c r="E103" s="219"/>
      <c r="F103" s="219"/>
      <c r="G103" s="151"/>
      <c r="H103" s="219"/>
      <c r="I103" s="219"/>
      <c r="J103" s="23"/>
    </row>
    <row r="104" spans="1:12" ht="15.75" customHeight="1" x14ac:dyDescent="0.2">
      <c r="A104" s="281" t="s">
        <v>338</v>
      </c>
      <c r="B104" s="219"/>
      <c r="C104" s="219"/>
      <c r="D104" s="27"/>
      <c r="E104" s="219"/>
      <c r="F104" s="219"/>
      <c r="G104" s="151"/>
      <c r="H104" s="219"/>
      <c r="I104" s="219"/>
      <c r="J104" s="23"/>
    </row>
    <row r="105" spans="1:12" ht="15.75" customHeight="1" x14ac:dyDescent="0.2">
      <c r="A105" s="281" t="s">
        <v>12</v>
      </c>
      <c r="B105" s="219"/>
      <c r="C105" s="219"/>
      <c r="D105" s="27"/>
      <c r="E105" s="219"/>
      <c r="F105" s="219"/>
      <c r="G105" s="151"/>
      <c r="H105" s="219"/>
      <c r="I105" s="219"/>
      <c r="J105" s="23"/>
    </row>
    <row r="106" spans="1:12" ht="15.75" customHeight="1" x14ac:dyDescent="0.2">
      <c r="A106" s="281" t="s">
        <v>13</v>
      </c>
      <c r="B106" s="219"/>
      <c r="C106" s="219"/>
      <c r="D106" s="27"/>
      <c r="E106" s="219"/>
      <c r="F106" s="219"/>
      <c r="G106" s="151"/>
      <c r="H106" s="219"/>
      <c r="I106" s="219"/>
      <c r="J106" s="23"/>
    </row>
    <row r="107" spans="1:12" ht="15.75" customHeight="1" x14ac:dyDescent="0.2">
      <c r="A107" s="21" t="s">
        <v>340</v>
      </c>
      <c r="B107" s="218">
        <f>'Fremtind Livsforsikring'!B107+'DNB Livsforsikring'!B107+'Eika Forsikring AS'!B107+'Frende Livsforsikring'!B107+'Frende Skadeforsikring'!B107+'Gjensidige Forsikring'!B107+'Gjensidige Pensjon'!B107+'If Skadeforsikring NUF'!B107+KLP!B107+'KLP Skadeforsikring AS'!B107+'Landkreditt Forsikring'!B107+'Nordea Liv '!B107+'Oslo Pensjonsforsikring'!B107+'Protector Forsikring'!B107+'Sparebank 1 Fors.'!B107+'Storebrand Livsforsikring'!B107+'Telenor Forsikring'!B107+'Tryg Forsikring'!B107+'WaterCircles F'!B107+'Euro Accident'!B107+'Ly Forsikring'!B107+'Youplus Livsforsikring'!B107</f>
        <v>4339341.9309999999</v>
      </c>
      <c r="C107" s="218">
        <f>'Fremtind Livsforsikring'!C107+'DNB Livsforsikring'!C107+'Eika Forsikring AS'!C107+'Frende Livsforsikring'!C107+'Frende Skadeforsikring'!C107+'Gjensidige Forsikring'!C107+'Gjensidige Pensjon'!C107+'If Skadeforsikring NUF'!C107+KLP!C107+'KLP Skadeforsikring AS'!C107+'Landkreditt Forsikring'!C107+'Nordea Liv '!C107+'Oslo Pensjonsforsikring'!C107+'Protector Forsikring'!C107+'Sparebank 1 Fors.'!C107+'Storebrand Livsforsikring'!C107+'Telenor Forsikring'!C107+'Tryg Forsikring'!C107+'WaterCircles F'!C107+'Euro Accident'!C107+'Ly Forsikring'!C107+'Youplus Livsforsikring'!C107</f>
        <v>4291294.9560000002</v>
      </c>
      <c r="D107" s="23">
        <f t="shared" si="23"/>
        <v>-1.1000000000000001</v>
      </c>
      <c r="E107" s="44">
        <f>'Fremtind Livsforsikring'!F107+'DNB Livsforsikring'!F107+'Eika Forsikring AS'!F107+'Frende Livsforsikring'!F107+'Frende Skadeforsikring'!F107+'Gjensidige Forsikring'!F107+'Gjensidige Pensjon'!F107+'If Skadeforsikring NUF'!F107+KLP!F107+'KLP Skadeforsikring AS'!F107+'Landkreditt Forsikring'!F107+'Nordea Liv '!F107+'Oslo Pensjonsforsikring'!F107+'Protector Forsikring'!F107+'Sparebank 1 Fors.'!F107+'Storebrand Livsforsikring'!F107+'Telenor Forsikring'!F107+'Tryg Forsikring'!F107+'WaterCircles F'!F107+'Euro Accident'!F107+'Ly Forsikring'!F107+'Youplus Livsforsikring'!F107</f>
        <v>196600.09100999989</v>
      </c>
      <c r="F107" s="44">
        <f>'Fremtind Livsforsikring'!G107+'DNB Livsforsikring'!G107+'Eika Forsikring AS'!G107+'Frende Livsforsikring'!G107+'Frende Skadeforsikring'!G107+'Gjensidige Forsikring'!G107+'Gjensidige Pensjon'!G107+'If Skadeforsikring NUF'!G107+KLP!G107+'KLP Skadeforsikring AS'!G107+'Landkreditt Forsikring'!G107+'Nordea Liv '!G107+'Oslo Pensjonsforsikring'!G107+'Protector Forsikring'!G107+'Sparebank 1 Fors.'!G107+'Storebrand Livsforsikring'!G107+'Telenor Forsikring'!G107+'Tryg Forsikring'!G107+'WaterCircles F'!G107+'Euro Accident'!G107+'Ly Forsikring'!G107+'Youplus Livsforsikring'!G107</f>
        <v>404542.6673599999</v>
      </c>
      <c r="G107" s="151">
        <f t="shared" si="24"/>
        <v>105.8</v>
      </c>
      <c r="H107" s="221">
        <f t="shared" si="32"/>
        <v>4535942.0220099995</v>
      </c>
      <c r="I107" s="221">
        <f t="shared" si="33"/>
        <v>4695837.6233600006</v>
      </c>
      <c r="J107" s="23">
        <f t="shared" si="27"/>
        <v>3.5</v>
      </c>
    </row>
    <row r="108" spans="1:12" ht="15.75" customHeight="1" x14ac:dyDescent="0.2">
      <c r="A108" s="21" t="s">
        <v>341</v>
      </c>
      <c r="B108" s="218">
        <f>'Fremtind Livsforsikring'!B108+'DNB Livsforsikring'!B108+'Eika Forsikring AS'!B108+'Frende Livsforsikring'!B108+'Frende Skadeforsikring'!B108+'Gjensidige Forsikring'!B108+'Gjensidige Pensjon'!B108+'If Skadeforsikring NUF'!B108+KLP!B108+'KLP Skadeforsikring AS'!B108+'Landkreditt Forsikring'!B108+'Nordea Liv '!B108+'Oslo Pensjonsforsikring'!B108+'Protector Forsikring'!B108+'Sparebank 1 Fors.'!B108+'Storebrand Livsforsikring'!B108+'Telenor Forsikring'!B108+'Tryg Forsikring'!B108+'WaterCircles F'!B108+'Euro Accident'!B108+'Ly Forsikring'!B108+'Youplus Livsforsikring'!B108</f>
        <v>328640659.50096142</v>
      </c>
      <c r="C108" s="218">
        <f>'Fremtind Livsforsikring'!C108+'DNB Livsforsikring'!C108+'Eika Forsikring AS'!C108+'Frende Livsforsikring'!C108+'Frende Skadeforsikring'!C108+'Gjensidige Forsikring'!C108+'Gjensidige Pensjon'!C108+'If Skadeforsikring NUF'!C108+KLP!C108+'KLP Skadeforsikring AS'!C108+'Landkreditt Forsikring'!C108+'Nordea Liv '!C108+'Oslo Pensjonsforsikring'!C108+'Protector Forsikring'!C108+'Sparebank 1 Fors.'!C108+'Storebrand Livsforsikring'!C108+'Telenor Forsikring'!C108+'Tryg Forsikring'!C108+'WaterCircles F'!C108+'Euro Accident'!C108+'Ly Forsikring'!C108+'Youplus Livsforsikring'!C108</f>
        <v>331379472.97997999</v>
      </c>
      <c r="D108" s="23">
        <f t="shared" si="23"/>
        <v>0.8</v>
      </c>
      <c r="E108" s="44">
        <f>'Fremtind Livsforsikring'!F108+'DNB Livsforsikring'!F108+'Eika Forsikring AS'!F108+'Frende Livsforsikring'!F108+'Frende Skadeforsikring'!F108+'Gjensidige Forsikring'!F108+'Gjensidige Pensjon'!F108+'If Skadeforsikring NUF'!F108+KLP!F108+'KLP Skadeforsikring AS'!F108+'Landkreditt Forsikring'!F108+'Nordea Liv '!F108+'Oslo Pensjonsforsikring'!F108+'Protector Forsikring'!F108+'Sparebank 1 Fors.'!F108+'Storebrand Livsforsikring'!F108+'Telenor Forsikring'!F108+'Tryg Forsikring'!F108+'WaterCircles F'!F108+'Euro Accident'!F108+'Ly Forsikring'!F108+'Youplus Livsforsikring'!F108</f>
        <v>20480690.888390001</v>
      </c>
      <c r="F108" s="44">
        <f>'Fremtind Livsforsikring'!G108+'DNB Livsforsikring'!G108+'Eika Forsikring AS'!G108+'Frende Livsforsikring'!G108+'Frende Skadeforsikring'!G108+'Gjensidige Forsikring'!G108+'Gjensidige Pensjon'!G108+'If Skadeforsikring NUF'!G108+KLP!G108+'KLP Skadeforsikring AS'!G108+'Landkreditt Forsikring'!G108+'Nordea Liv '!G108+'Oslo Pensjonsforsikring'!G108+'Protector Forsikring'!G108+'Sparebank 1 Fors.'!G108+'Storebrand Livsforsikring'!G108+'Telenor Forsikring'!G108+'Tryg Forsikring'!G108+'WaterCircles F'!G108+'Euro Accident'!G108+'Ly Forsikring'!G108+'Youplus Livsforsikring'!G108</f>
        <v>22412240.37686</v>
      </c>
      <c r="G108" s="151">
        <f t="shared" si="24"/>
        <v>9.4</v>
      </c>
      <c r="H108" s="221">
        <f t="shared" si="32"/>
        <v>349121350.38935143</v>
      </c>
      <c r="I108" s="221">
        <f t="shared" si="33"/>
        <v>353791713.35684001</v>
      </c>
      <c r="J108" s="23">
        <f t="shared" si="27"/>
        <v>1.3</v>
      </c>
    </row>
    <row r="109" spans="1:12" ht="15.75" customHeight="1" x14ac:dyDescent="0.2">
      <c r="A109" s="38" t="s">
        <v>382</v>
      </c>
      <c r="B109" s="218">
        <f>'Fremtind Livsforsikring'!B109+'DNB Livsforsikring'!B109+'Eika Forsikring AS'!B109+'Frende Livsforsikring'!B109+'Frende Skadeforsikring'!B109+'Gjensidige Forsikring'!B109+'Gjensidige Pensjon'!B109+'If Skadeforsikring NUF'!B109+KLP!B109+'KLP Skadeforsikring AS'!B109+'Landkreditt Forsikring'!B109+'Nordea Liv '!B109+'Oslo Pensjonsforsikring'!B109+'Protector Forsikring'!B109+'Sparebank 1 Fors.'!B109+'Storebrand Livsforsikring'!B109+'Telenor Forsikring'!B109+'Tryg Forsikring'!B109+'WaterCircles F'!B109+'Euro Accident'!B109+'Ly Forsikring'!B109+'Youplus Livsforsikring'!B109</f>
        <v>2032149.69814677</v>
      </c>
      <c r="C109" s="218">
        <f>'Fremtind Livsforsikring'!C109+'DNB Livsforsikring'!C109+'Eika Forsikring AS'!C109+'Frende Livsforsikring'!C109+'Frende Skadeforsikring'!C109+'Gjensidige Forsikring'!C109+'Gjensidige Pensjon'!C109+'If Skadeforsikring NUF'!C109+KLP!C109+'KLP Skadeforsikring AS'!C109+'Landkreditt Forsikring'!C109+'Nordea Liv '!C109+'Oslo Pensjonsforsikring'!C109+'Protector Forsikring'!C109+'Sparebank 1 Fors.'!C109+'Storebrand Livsforsikring'!C109+'Telenor Forsikring'!C109+'Tryg Forsikring'!C109+'WaterCircles F'!C109+'Euro Accident'!C109+'Ly Forsikring'!C109+'Youplus Livsforsikring'!C109</f>
        <v>2346635.6744448403</v>
      </c>
      <c r="D109" s="23">
        <f t="shared" si="23"/>
        <v>15.5</v>
      </c>
      <c r="E109" s="44">
        <f>'Fremtind Livsforsikring'!F109+'DNB Livsforsikring'!F109+'Eika Forsikring AS'!F109+'Frende Livsforsikring'!F109+'Frende Skadeforsikring'!F109+'Gjensidige Forsikring'!F109+'Gjensidige Pensjon'!F109+'If Skadeforsikring NUF'!F109+KLP!F109+'KLP Skadeforsikring AS'!F109+'Landkreditt Forsikring'!F109+'Nordea Liv '!F109+'Oslo Pensjonsforsikring'!F109+'Protector Forsikring'!F109+'Sparebank 1 Fors.'!F109+'Storebrand Livsforsikring'!F109+'Telenor Forsikring'!F109+'Tryg Forsikring'!F109+'WaterCircles F'!F109+'Euro Accident'!F109+'Ly Forsikring'!F109+'Youplus Livsforsikring'!F109</f>
        <v>184558347.96051002</v>
      </c>
      <c r="F109" s="44">
        <f>'Fremtind Livsforsikring'!G109+'DNB Livsforsikring'!G109+'Eika Forsikring AS'!G109+'Frende Livsforsikring'!G109+'Frende Skadeforsikring'!G109+'Gjensidige Forsikring'!G109+'Gjensidige Pensjon'!G109+'If Skadeforsikring NUF'!G109+KLP!G109+'KLP Skadeforsikring AS'!G109+'Landkreditt Forsikring'!G109+'Nordea Liv '!G109+'Oslo Pensjonsforsikring'!G109+'Protector Forsikring'!G109+'Sparebank 1 Fors.'!G109+'Storebrand Livsforsikring'!G109+'Telenor Forsikring'!G109+'Tryg Forsikring'!G109+'WaterCircles F'!G109+'Euro Accident'!G109+'Ly Forsikring'!G109+'Youplus Livsforsikring'!G109</f>
        <v>228019775.76427001</v>
      </c>
      <c r="G109" s="151">
        <f t="shared" si="24"/>
        <v>23.5</v>
      </c>
      <c r="H109" s="221">
        <f t="shared" si="32"/>
        <v>186590497.65865678</v>
      </c>
      <c r="I109" s="221">
        <f t="shared" si="33"/>
        <v>230366411.43871486</v>
      </c>
      <c r="J109" s="23">
        <f t="shared" si="27"/>
        <v>23.5</v>
      </c>
      <c r="L109" s="3"/>
    </row>
    <row r="110" spans="1:12" ht="15.75" customHeight="1" x14ac:dyDescent="0.2">
      <c r="A110" s="21" t="s">
        <v>342</v>
      </c>
      <c r="B110" s="218">
        <f>'Fremtind Livsforsikring'!B110+'DNB Livsforsikring'!B110+'Eika Forsikring AS'!B110+'Frende Livsforsikring'!B110+'Frende Skadeforsikring'!B110+'Gjensidige Forsikring'!B110+'Gjensidige Pensjon'!B110+'If Skadeforsikring NUF'!B110+KLP!B110+'KLP Skadeforsikring AS'!B110+'Landkreditt Forsikring'!B110+'Nordea Liv '!B110+'Oslo Pensjonsforsikring'!B110+'Protector Forsikring'!B110+'Sparebank 1 Fors.'!B110+'Storebrand Livsforsikring'!B110+'Telenor Forsikring'!B110+'Tryg Forsikring'!B110+'WaterCircles F'!B110+'Euro Accident'!B110+'Ly Forsikring'!B110+'Youplus Livsforsikring'!B110</f>
        <v>1819034.5175699999</v>
      </c>
      <c r="C110" s="218">
        <f>'Fremtind Livsforsikring'!C110+'DNB Livsforsikring'!C110+'Eika Forsikring AS'!C110+'Frende Livsforsikring'!C110+'Frende Skadeforsikring'!C110+'Gjensidige Forsikring'!C110+'Gjensidige Pensjon'!C110+'If Skadeforsikring NUF'!C110+KLP!C110+'KLP Skadeforsikring AS'!C110+'Landkreditt Forsikring'!C110+'Nordea Liv '!C110+'Oslo Pensjonsforsikring'!C110+'Protector Forsikring'!C110+'Sparebank 1 Fors.'!C110+'Storebrand Livsforsikring'!C110+'Telenor Forsikring'!C110+'Tryg Forsikring'!C110+'WaterCircles F'!C110+'Euro Accident'!C110+'Ly Forsikring'!C110+'Youplus Livsforsikring'!C110</f>
        <v>2834424.1458900003</v>
      </c>
      <c r="D110" s="23">
        <f t="shared" si="23"/>
        <v>55.8</v>
      </c>
      <c r="E110" s="44"/>
      <c r="F110" s="44"/>
      <c r="G110" s="151"/>
      <c r="H110" s="221">
        <f t="shared" si="32"/>
        <v>1819034.5175699999</v>
      </c>
      <c r="I110" s="221">
        <f t="shared" si="33"/>
        <v>2834424.1458900003</v>
      </c>
      <c r="J110" s="23">
        <f t="shared" si="27"/>
        <v>55.8</v>
      </c>
    </row>
    <row r="111" spans="1:12" s="43" customFormat="1" ht="15.75" customHeight="1" x14ac:dyDescent="0.2">
      <c r="A111" s="13" t="s">
        <v>323</v>
      </c>
      <c r="B111" s="293">
        <f>'Fremtind Livsforsikring'!B111+'DNB Livsforsikring'!B111+'Eika Forsikring AS'!B111+'Frende Livsforsikring'!B111+'Frende Skadeforsikring'!B111+'Gjensidige Forsikring'!B111+'Gjensidige Pensjon'!B111+'If Skadeforsikring NUF'!B111+KLP!B111+'KLP Skadeforsikring AS'!B111+'Landkreditt Forsikring'!B111+'Nordea Liv '!B111+'Oslo Pensjonsforsikring'!B111+'Protector Forsikring'!B111+'Sparebank 1 Fors.'!B111+'Storebrand Livsforsikring'!B111+'Telenor Forsikring'!B111+'Tryg Forsikring'!B111+'WaterCircles F'!B111+'Euro Accident'!B111+'Ly Forsikring'!B111+'Youplus Livsforsikring'!B111</f>
        <v>261243.46815</v>
      </c>
      <c r="C111" s="293">
        <f>'Fremtind Livsforsikring'!C111+'DNB Livsforsikring'!C111+'Eika Forsikring AS'!C111+'Frende Livsforsikring'!C111+'Frende Skadeforsikring'!C111+'Gjensidige Forsikring'!C111+'Gjensidige Pensjon'!C111+'If Skadeforsikring NUF'!C111+KLP!C111+'KLP Skadeforsikring AS'!C111+'Landkreditt Forsikring'!C111+'Nordea Liv '!C111+'Oslo Pensjonsforsikring'!C111+'Protector Forsikring'!C111+'Sparebank 1 Fors.'!C111+'Storebrand Livsforsikring'!C111+'Telenor Forsikring'!C111+'Tryg Forsikring'!C111+'WaterCircles F'!C111+'Euro Accident'!C111+'Ly Forsikring'!C111+'Youplus Livsforsikring'!C111</f>
        <v>337334.94871999999</v>
      </c>
      <c r="D111" s="24">
        <f t="shared" si="23"/>
        <v>29.1</v>
      </c>
      <c r="E111" s="220">
        <f>'Fremtind Livsforsikring'!F111+'DNB Livsforsikring'!F111+'Eika Forsikring AS'!F111+'Frende Livsforsikring'!F111+'Frende Skadeforsikring'!F111+'Gjensidige Forsikring'!F111+'Gjensidige Pensjon'!F111+'If Skadeforsikring NUF'!F111+KLP!F111+'KLP Skadeforsikring AS'!F111+'Landkreditt Forsikring'!F111+'Nordea Liv '!F111+'Oslo Pensjonsforsikring'!F111+'Protector Forsikring'!F111+'Sparebank 1 Fors.'!F111+'Storebrand Livsforsikring'!F111+'Telenor Forsikring'!F111+'Tryg Forsikring'!F111+'WaterCircles F'!F111+'Euro Accident'!F111+'Ly Forsikring'!F111+'Youplus Livsforsikring'!F111</f>
        <v>25436204.317709997</v>
      </c>
      <c r="F111" s="220">
        <f>'Fremtind Livsforsikring'!G111+'DNB Livsforsikring'!G111+'Eika Forsikring AS'!G111+'Frende Livsforsikring'!G111+'Frende Skadeforsikring'!G111+'Gjensidige Forsikring'!G111+'Gjensidige Pensjon'!G111+'If Skadeforsikring NUF'!G111+KLP!G111+'KLP Skadeforsikring AS'!G111+'Landkreditt Forsikring'!G111+'Nordea Liv '!G111+'Oslo Pensjonsforsikring'!G111+'Protector Forsikring'!G111+'Sparebank 1 Fors.'!G111+'Storebrand Livsforsikring'!G111+'Telenor Forsikring'!G111+'Tryg Forsikring'!G111+'WaterCircles F'!G111+'Euro Accident'!G111+'Ly Forsikring'!G111+'Youplus Livsforsikring'!G111</f>
        <v>26359634.33255</v>
      </c>
      <c r="G111" s="156">
        <f t="shared" si="24"/>
        <v>3.6</v>
      </c>
      <c r="H111" s="313">
        <f t="shared" si="32"/>
        <v>25697447.785859998</v>
      </c>
      <c r="I111" s="313">
        <f t="shared" si="33"/>
        <v>26696969.281270001</v>
      </c>
      <c r="J111" s="24">
        <f t="shared" si="27"/>
        <v>3.9</v>
      </c>
    </row>
    <row r="112" spans="1:12" ht="15.75" customHeight="1" x14ac:dyDescent="0.2">
      <c r="A112" s="21" t="s">
        <v>9</v>
      </c>
      <c r="B112" s="218">
        <f>'Fremtind Livsforsikring'!B112+'DNB Livsforsikring'!B112+'Eika Forsikring AS'!B112+'Frende Livsforsikring'!B112+'Frende Skadeforsikring'!B112+'Gjensidige Forsikring'!B112+'Gjensidige Pensjon'!B112+'If Skadeforsikring NUF'!B112+KLP!B112+'KLP Skadeforsikring AS'!B112+'Landkreditt Forsikring'!B112+'Nordea Liv '!B112+'Oslo Pensjonsforsikring'!B112+'Protector Forsikring'!B112+'Sparebank 1 Fors.'!B112+'Storebrand Livsforsikring'!B112+'Telenor Forsikring'!B112+'Tryg Forsikring'!B112+'WaterCircles F'!B112+'Euro Accident'!B112+'Ly Forsikring'!B112+'Youplus Livsforsikring'!B112</f>
        <v>141472.68242</v>
      </c>
      <c r="C112" s="218">
        <f>'Fremtind Livsforsikring'!C112+'DNB Livsforsikring'!C112+'Eika Forsikring AS'!C112+'Frende Livsforsikring'!C112+'Frende Skadeforsikring'!C112+'Gjensidige Forsikring'!C112+'Gjensidige Pensjon'!C112+'If Skadeforsikring NUF'!C112+KLP!C112+'KLP Skadeforsikring AS'!C112+'Landkreditt Forsikring'!C112+'Nordea Liv '!C112+'Oslo Pensjonsforsikring'!C112+'Protector Forsikring'!C112+'Sparebank 1 Fors.'!C112+'Storebrand Livsforsikring'!C112+'Telenor Forsikring'!C112+'Tryg Forsikring'!C112+'WaterCircles F'!C112+'Euro Accident'!C112+'Ly Forsikring'!C112+'Youplus Livsforsikring'!C112</f>
        <v>236445.06138000003</v>
      </c>
      <c r="D112" s="23">
        <f t="shared" ref="D112:D125" si="38">IF(B112=0, "    ---- ", IF(ABS(ROUND(100/B112*C112-100,1))&lt;999,ROUND(100/B112*C112-100,1),IF(ROUND(100/B112*C112-100,1)&gt;999,999,-999)))</f>
        <v>67.099999999999994</v>
      </c>
      <c r="E112" s="44">
        <f>'Fremtind Livsforsikring'!F112+'DNB Livsforsikring'!F112+'Eika Forsikring AS'!F112+'Frende Livsforsikring'!F112+'Frende Skadeforsikring'!F112+'Gjensidige Forsikring'!F112+'Gjensidige Pensjon'!F112+'If Skadeforsikring NUF'!F112+KLP!F112+'KLP Skadeforsikring AS'!F112+'Landkreditt Forsikring'!F112+'Nordea Liv '!F112+'Oslo Pensjonsforsikring'!F112+'Protector Forsikring'!F112+'Sparebank 1 Fors.'!F112+'Storebrand Livsforsikring'!F112+'Telenor Forsikring'!F112+'Tryg Forsikring'!F112+'WaterCircles F'!F112+'Euro Accident'!F112+'Ly Forsikring'!F112+'Youplus Livsforsikring'!F112</f>
        <v>1965.529</v>
      </c>
      <c r="F112" s="44">
        <f>'Fremtind Livsforsikring'!G112+'DNB Livsforsikring'!G112+'Eika Forsikring AS'!G112+'Frende Livsforsikring'!G112+'Frende Skadeforsikring'!G112+'Gjensidige Forsikring'!G112+'Gjensidige Pensjon'!G112+'If Skadeforsikring NUF'!G112+KLP!G112+'KLP Skadeforsikring AS'!G112+'Landkreditt Forsikring'!G112+'Nordea Liv '!G112+'Oslo Pensjonsforsikring'!G112+'Protector Forsikring'!G112+'Sparebank 1 Fors.'!G112+'Storebrand Livsforsikring'!G112+'Telenor Forsikring'!G112+'Tryg Forsikring'!G112+'WaterCircles F'!G112+'Euro Accident'!G112+'Ly Forsikring'!G112+'Youplus Livsforsikring'!G112</f>
        <v>983.60799999999995</v>
      </c>
      <c r="G112" s="151">
        <f t="shared" si="24"/>
        <v>-50</v>
      </c>
      <c r="H112" s="221">
        <f t="shared" ref="H112:H125" si="39">SUM(B112,E112)</f>
        <v>143438.21142000001</v>
      </c>
      <c r="I112" s="221">
        <f t="shared" ref="I112:I125" si="40">SUM(C112,F112)</f>
        <v>237428.66938000004</v>
      </c>
      <c r="J112" s="23">
        <f t="shared" ref="J112:J125" si="41">IF(H112=0, "    ---- ", IF(ABS(ROUND(100/H112*I112-100,1))&lt;999,ROUND(100/H112*I112-100,1),IF(ROUND(100/H112*I112-100,1)&gt;999,999,-999)))</f>
        <v>65.5</v>
      </c>
    </row>
    <row r="113" spans="1:10" ht="15.75" customHeight="1" x14ac:dyDescent="0.2">
      <c r="A113" s="21" t="s">
        <v>10</v>
      </c>
      <c r="B113" s="218"/>
      <c r="C113" s="218"/>
      <c r="D113" s="23"/>
      <c r="E113" s="44">
        <f>'Fremtind Livsforsikring'!F113+'DNB Livsforsikring'!F113+'Eika Forsikring AS'!F113+'Frende Livsforsikring'!F113+'Frende Skadeforsikring'!F113+'Gjensidige Forsikring'!F113+'Gjensidige Pensjon'!F113+'If Skadeforsikring NUF'!F113+KLP!F113+'KLP Skadeforsikring AS'!F113+'Landkreditt Forsikring'!F113+'Nordea Liv '!F113+'Oslo Pensjonsforsikring'!F113+'Protector Forsikring'!F113+'Sparebank 1 Fors.'!F113+'Storebrand Livsforsikring'!F113+'Telenor Forsikring'!F113+'Tryg Forsikring'!F113+'WaterCircles F'!F113+'Euro Accident'!F113+'Ly Forsikring'!F113+'Youplus Livsforsikring'!F113</f>
        <v>25425958.936709996</v>
      </c>
      <c r="F113" s="44">
        <f>'Fremtind Livsforsikring'!G113+'DNB Livsforsikring'!G113+'Eika Forsikring AS'!G113+'Frende Livsforsikring'!G113+'Frende Skadeforsikring'!G113+'Gjensidige Forsikring'!G113+'Gjensidige Pensjon'!G113+'If Skadeforsikring NUF'!G113+KLP!G113+'KLP Skadeforsikring AS'!G113+'Landkreditt Forsikring'!G113+'Nordea Liv '!G113+'Oslo Pensjonsforsikring'!G113+'Protector Forsikring'!G113+'Sparebank 1 Fors.'!G113+'Storebrand Livsforsikring'!G113+'Telenor Forsikring'!G113+'Tryg Forsikring'!G113+'WaterCircles F'!G113+'Euro Accident'!G113+'Ly Forsikring'!G113+'Youplus Livsforsikring'!G113</f>
        <v>26358650.724550001</v>
      </c>
      <c r="G113" s="156">
        <f t="shared" si="24"/>
        <v>3.7</v>
      </c>
      <c r="H113" s="221">
        <f t="shared" si="39"/>
        <v>25425958.936709996</v>
      </c>
      <c r="I113" s="221">
        <f t="shared" si="40"/>
        <v>26358650.724550001</v>
      </c>
      <c r="J113" s="24">
        <f t="shared" si="41"/>
        <v>3.7</v>
      </c>
    </row>
    <row r="114" spans="1:10" ht="15.75" customHeight="1" x14ac:dyDescent="0.2">
      <c r="A114" s="21" t="s">
        <v>26</v>
      </c>
      <c r="B114" s="218">
        <f>'Fremtind Livsforsikring'!B114+'DNB Livsforsikring'!B114+'Eika Forsikring AS'!B114+'Frende Livsforsikring'!B114+'Frende Skadeforsikring'!B114+'Gjensidige Forsikring'!B114+'Gjensidige Pensjon'!B114+'If Skadeforsikring NUF'!B114+KLP!B114+'KLP Skadeforsikring AS'!B114+'Landkreditt Forsikring'!B114+'Nordea Liv '!B114+'Oslo Pensjonsforsikring'!B114+'Protector Forsikring'!B114+'Sparebank 1 Fors.'!B114+'Storebrand Livsforsikring'!B114+'Telenor Forsikring'!B114+'Tryg Forsikring'!B114+'WaterCircles F'!B114+'Euro Accident'!B114+'Ly Forsikring'!B114+'Youplus Livsforsikring'!B114</f>
        <v>119770.78573</v>
      </c>
      <c r="C114" s="218">
        <f>'Fremtind Livsforsikring'!C114+'DNB Livsforsikring'!C114+'Eika Forsikring AS'!C114+'Frende Livsforsikring'!C114+'Frende Skadeforsikring'!C114+'Gjensidige Forsikring'!C114+'Gjensidige Pensjon'!C114+'If Skadeforsikring NUF'!C114+KLP!C114+'KLP Skadeforsikring AS'!C114+'Landkreditt Forsikring'!C114+'Nordea Liv '!C114+'Oslo Pensjonsforsikring'!C114+'Protector Forsikring'!C114+'Sparebank 1 Fors.'!C114+'Storebrand Livsforsikring'!C114+'Telenor Forsikring'!C114+'Tryg Forsikring'!C114+'WaterCircles F'!C114+'Euro Accident'!C114+'Ly Forsikring'!C114+'Youplus Livsforsikring'!C114</f>
        <v>100889.88734</v>
      </c>
      <c r="D114" s="23">
        <f t="shared" si="38"/>
        <v>-15.8</v>
      </c>
      <c r="E114" s="44">
        <f>'Fremtind Livsforsikring'!F114+'DNB Livsforsikring'!F114+'Eika Forsikring AS'!F114+'Frende Livsforsikring'!F114+'Frende Skadeforsikring'!F114+'Gjensidige Forsikring'!F114+'Gjensidige Pensjon'!F114+'If Skadeforsikring NUF'!F114+KLP!F114+'KLP Skadeforsikring AS'!F114+'Landkreditt Forsikring'!F114+'Nordea Liv '!F114+'Oslo Pensjonsforsikring'!F114+'Protector Forsikring'!F114+'Sparebank 1 Fors.'!F114+'Storebrand Livsforsikring'!F114+'Telenor Forsikring'!F114+'Tryg Forsikring'!F114+'WaterCircles F'!F114+'Euro Accident'!F114+'Ly Forsikring'!F114+'Youplus Livsforsikring'!F114</f>
        <v>8279.8520000000008</v>
      </c>
      <c r="F114" s="44">
        <f>'Fremtind Livsforsikring'!G114+'DNB Livsforsikring'!G114+'Eika Forsikring AS'!G114+'Frende Livsforsikring'!G114+'Frende Skadeforsikring'!G114+'Gjensidige Forsikring'!G114+'Gjensidige Pensjon'!G114+'If Skadeforsikring NUF'!G114+KLP!G114+'KLP Skadeforsikring AS'!G114+'Landkreditt Forsikring'!G114+'Nordea Liv '!G114+'Oslo Pensjonsforsikring'!G114+'Protector Forsikring'!G114+'Sparebank 1 Fors.'!G114+'Storebrand Livsforsikring'!G114+'Telenor Forsikring'!G114+'Tryg Forsikring'!G114+'WaterCircles F'!G114+'Euro Accident'!G114+'Ly Forsikring'!G114+'Youplus Livsforsikring'!G114</f>
        <v>0</v>
      </c>
      <c r="G114" s="156">
        <f t="shared" si="24"/>
        <v>-100</v>
      </c>
      <c r="H114" s="221">
        <f t="shared" si="39"/>
        <v>128050.63773</v>
      </c>
      <c r="I114" s="221">
        <f t="shared" si="40"/>
        <v>100889.88734</v>
      </c>
      <c r="J114" s="24">
        <f t="shared" si="41"/>
        <v>-21.2</v>
      </c>
    </row>
    <row r="115" spans="1:10" ht="15.75" customHeight="1" x14ac:dyDescent="0.2">
      <c r="A115" s="281" t="s">
        <v>15</v>
      </c>
      <c r="B115" s="44"/>
      <c r="C115" s="44"/>
      <c r="D115" s="27"/>
      <c r="E115" s="44"/>
      <c r="F115" s="44"/>
      <c r="G115" s="151"/>
      <c r="H115" s="221"/>
      <c r="I115" s="221"/>
      <c r="J115" s="23"/>
    </row>
    <row r="116" spans="1:10" ht="15.75" customHeight="1" x14ac:dyDescent="0.2">
      <c r="A116" s="21" t="s">
        <v>343</v>
      </c>
      <c r="B116" s="218">
        <f>'Fremtind Livsforsikring'!B116+'DNB Livsforsikring'!B116+'Eika Forsikring AS'!B116+'Frende Livsforsikring'!B116+'Frende Skadeforsikring'!B116+'Gjensidige Forsikring'!B116+'Gjensidige Pensjon'!B116+'If Skadeforsikring NUF'!B116+KLP!B116+'KLP Skadeforsikring AS'!B116+'Landkreditt Forsikring'!B116+'Nordea Liv '!B116+'Oslo Pensjonsforsikring'!B116+'Protector Forsikring'!B116+'Sparebank 1 Fors.'!B116+'Storebrand Livsforsikring'!B116+'Telenor Forsikring'!B116+'Tryg Forsikring'!B116+'WaterCircles F'!B116+'Euro Accident'!B116+'Ly Forsikring'!B116+'Youplus Livsforsikring'!B116</f>
        <v>38461.724000000002</v>
      </c>
      <c r="C116" s="218">
        <f>'Fremtind Livsforsikring'!C116+'DNB Livsforsikring'!C116+'Eika Forsikring AS'!C116+'Frende Livsforsikring'!C116+'Frende Skadeforsikring'!C116+'Gjensidige Forsikring'!C116+'Gjensidige Pensjon'!C116+'If Skadeforsikring NUF'!C116+KLP!C116+'KLP Skadeforsikring AS'!C116+'Landkreditt Forsikring'!C116+'Nordea Liv '!C116+'Oslo Pensjonsforsikring'!C116+'Protector Forsikring'!C116+'Sparebank 1 Fors.'!C116+'Storebrand Livsforsikring'!C116+'Telenor Forsikring'!C116+'Tryg Forsikring'!C116+'WaterCircles F'!C116+'Euro Accident'!C116+'Ly Forsikring'!C116+'Youplus Livsforsikring'!C116</f>
        <v>36408.257039999997</v>
      </c>
      <c r="D116" s="23">
        <f t="shared" si="38"/>
        <v>-5.3</v>
      </c>
      <c r="E116" s="44">
        <f>'Fremtind Livsforsikring'!F116+'DNB Livsforsikring'!F116+'Eika Forsikring AS'!F116+'Frende Livsforsikring'!F116+'Frende Skadeforsikring'!F116+'Gjensidige Forsikring'!F116+'Gjensidige Pensjon'!F116+'If Skadeforsikring NUF'!F116+KLP!F116+'KLP Skadeforsikring AS'!F116+'Landkreditt Forsikring'!F116+'Nordea Liv '!F116+'Oslo Pensjonsforsikring'!F116+'Protector Forsikring'!F116+'Sparebank 1 Fors.'!F116+'Storebrand Livsforsikring'!F116+'Telenor Forsikring'!F116+'Tryg Forsikring'!F116+'WaterCircles F'!F116+'Euro Accident'!F116+'Ly Forsikring'!F116+'Youplus Livsforsikring'!F116</f>
        <v>1965.529</v>
      </c>
      <c r="F116" s="44">
        <f>'Fremtind Livsforsikring'!G116+'DNB Livsforsikring'!G116+'Eika Forsikring AS'!G116+'Frende Livsforsikring'!G116+'Frende Skadeforsikring'!G116+'Gjensidige Forsikring'!G116+'Gjensidige Pensjon'!G116+'If Skadeforsikring NUF'!G116+KLP!G116+'KLP Skadeforsikring AS'!G116+'Landkreditt Forsikring'!G116+'Nordea Liv '!G116+'Oslo Pensjonsforsikring'!G116+'Protector Forsikring'!G116+'Sparebank 1 Fors.'!G116+'Storebrand Livsforsikring'!G116+'Telenor Forsikring'!G116+'Tryg Forsikring'!G116+'WaterCircles F'!G116+'Euro Accident'!G116+'Ly Forsikring'!G116+'Youplus Livsforsikring'!G116</f>
        <v>983.60799999999995</v>
      </c>
      <c r="G116" s="151">
        <f t="shared" si="24"/>
        <v>-50</v>
      </c>
      <c r="H116" s="221">
        <f t="shared" si="39"/>
        <v>40427.253000000004</v>
      </c>
      <c r="I116" s="221">
        <f t="shared" si="40"/>
        <v>37391.865039999997</v>
      </c>
      <c r="J116" s="23">
        <f t="shared" si="41"/>
        <v>-7.5</v>
      </c>
    </row>
    <row r="117" spans="1:10" ht="15.75" customHeight="1" x14ac:dyDescent="0.2">
      <c r="A117" s="38" t="s">
        <v>382</v>
      </c>
      <c r="B117" s="218"/>
      <c r="C117" s="218"/>
      <c r="D117" s="23"/>
      <c r="E117" s="44">
        <f>'Fremtind Livsforsikring'!F117+'DNB Livsforsikring'!F117+'Eika Forsikring AS'!F117+'Frende Livsforsikring'!F117+'Frende Skadeforsikring'!F117+'Gjensidige Forsikring'!F117+'Gjensidige Pensjon'!F117+'If Skadeforsikring NUF'!F117+KLP!F117+'KLP Skadeforsikring AS'!F117+'Landkreditt Forsikring'!F117+'Nordea Liv '!F117+'Oslo Pensjonsforsikring'!F117+'Protector Forsikring'!F117+'Sparebank 1 Fors.'!F117+'Storebrand Livsforsikring'!F117+'Telenor Forsikring'!F117+'Tryg Forsikring'!F117+'WaterCircles F'!F117+'Euro Accident'!F117+'Ly Forsikring'!F117+'Youplus Livsforsikring'!F117</f>
        <v>14036306.752049996</v>
      </c>
      <c r="F117" s="44">
        <f>'Fremtind Livsforsikring'!G117+'DNB Livsforsikring'!G117+'Eika Forsikring AS'!G117+'Frende Livsforsikring'!G117+'Frende Skadeforsikring'!G117+'Gjensidige Forsikring'!G117+'Gjensidige Pensjon'!G117+'If Skadeforsikring NUF'!G117+KLP!G117+'KLP Skadeforsikring AS'!G117+'Landkreditt Forsikring'!G117+'Nordea Liv '!G117+'Oslo Pensjonsforsikring'!G117+'Protector Forsikring'!G117+'Sparebank 1 Fors.'!G117+'Storebrand Livsforsikring'!G117+'Telenor Forsikring'!G117+'Tryg Forsikring'!G117+'WaterCircles F'!G117+'Euro Accident'!G117+'Ly Forsikring'!G117+'Youplus Livsforsikring'!G117</f>
        <v>13848957.72958</v>
      </c>
      <c r="G117" s="151">
        <f t="shared" si="24"/>
        <v>-1.3</v>
      </c>
      <c r="H117" s="221">
        <f t="shared" si="39"/>
        <v>14036306.752049996</v>
      </c>
      <c r="I117" s="221">
        <f t="shared" si="40"/>
        <v>13848957.72958</v>
      </c>
      <c r="J117" s="23">
        <f t="shared" si="41"/>
        <v>-1.3</v>
      </c>
    </row>
    <row r="118" spans="1:10" ht="15.75" customHeight="1" x14ac:dyDescent="0.2">
      <c r="A118" s="21" t="s">
        <v>342</v>
      </c>
      <c r="B118" s="218"/>
      <c r="C118" s="218"/>
      <c r="D118" s="23"/>
      <c r="E118" s="44"/>
      <c r="F118" s="44"/>
      <c r="G118" s="151"/>
      <c r="H118" s="221"/>
      <c r="I118" s="221"/>
      <c r="J118" s="23"/>
    </row>
    <row r="119" spans="1:10" s="43" customFormat="1" ht="15.75" customHeight="1" x14ac:dyDescent="0.2">
      <c r="A119" s="13" t="s">
        <v>324</v>
      </c>
      <c r="B119" s="313">
        <f>'Fremtind Livsforsikring'!B119+'DNB Livsforsikring'!B119+'Eika Forsikring AS'!B119+'Frende Livsforsikring'!B119+'Frende Skadeforsikring'!B119+'Gjensidige Forsikring'!B119+'Gjensidige Pensjon'!B119+'If Skadeforsikring NUF'!B119+KLP!B119+'KLP Skadeforsikring AS'!B119+'Landkreditt Forsikring'!B119+'Nordea Liv '!B119+'Oslo Pensjonsforsikring'!B119+'Protector Forsikring'!B119+'Sparebank 1 Fors.'!B119+'Storebrand Livsforsikring'!B119+'Telenor Forsikring'!B119+'Tryg Forsikring'!B119+'WaterCircles F'!B119+'Euro Accident'!B119+'Ly Forsikring'!B119+'Youplus Livsforsikring'!B119</f>
        <v>309382.18416000094</v>
      </c>
      <c r="C119" s="313">
        <f>'Fremtind Livsforsikring'!C119+'DNB Livsforsikring'!C119+'Eika Forsikring AS'!C119+'Frende Livsforsikring'!C119+'Frende Skadeforsikring'!C119+'Gjensidige Forsikring'!C119+'Gjensidige Pensjon'!C119+'If Skadeforsikring NUF'!C119+KLP!C119+'KLP Skadeforsikring AS'!C119+'Landkreditt Forsikring'!C119+'Nordea Liv '!C119+'Oslo Pensjonsforsikring'!C119+'Protector Forsikring'!C119+'Sparebank 1 Fors.'!C119+'Storebrand Livsforsikring'!C119+'Telenor Forsikring'!C119+'Tryg Forsikring'!C119+'WaterCircles F'!C119+'Euro Accident'!C119+'Ly Forsikring'!C119+'Youplus Livsforsikring'!C119</f>
        <v>170992.5613099995</v>
      </c>
      <c r="D119" s="24">
        <f t="shared" si="38"/>
        <v>-44.7</v>
      </c>
      <c r="E119" s="220">
        <f>'Fremtind Livsforsikring'!F119+'DNB Livsforsikring'!F119+'Eika Forsikring AS'!F119+'Frende Livsforsikring'!F119+'Frende Skadeforsikring'!F119+'Gjensidige Forsikring'!F119+'Gjensidige Pensjon'!F119+'If Skadeforsikring NUF'!F119+KLP!F119+'KLP Skadeforsikring AS'!F119+'Landkreditt Forsikring'!F119+'Nordea Liv '!F119+'Oslo Pensjonsforsikring'!F119+'Protector Forsikring'!F119+'Sparebank 1 Fors.'!F119+'Storebrand Livsforsikring'!F119+'Telenor Forsikring'!F119+'Tryg Forsikring'!F119+'WaterCircles F'!F119+'Euro Accident'!F119+'Ly Forsikring'!F119+'Youplus Livsforsikring'!F119</f>
        <v>23305724.064889997</v>
      </c>
      <c r="F119" s="220">
        <f>'Fremtind Livsforsikring'!G119+'DNB Livsforsikring'!G119+'Eika Forsikring AS'!G119+'Frende Livsforsikring'!G119+'Frende Skadeforsikring'!G119+'Gjensidige Forsikring'!G119+'Gjensidige Pensjon'!G119+'If Skadeforsikring NUF'!G119+KLP!G119+'KLP Skadeforsikring AS'!G119+'Landkreditt Forsikring'!G119+'Nordea Liv '!G119+'Oslo Pensjonsforsikring'!G119+'Protector Forsikring'!G119+'Sparebank 1 Fors.'!G119+'Storebrand Livsforsikring'!G119+'Telenor Forsikring'!G119+'Tryg Forsikring'!G119+'WaterCircles F'!G119+'Euro Accident'!G119+'Ly Forsikring'!G119+'Youplus Livsforsikring'!G119</f>
        <v>29091608.48065</v>
      </c>
      <c r="G119" s="156">
        <f t="shared" si="24"/>
        <v>24.8</v>
      </c>
      <c r="H119" s="313">
        <f t="shared" si="39"/>
        <v>23615106.249049999</v>
      </c>
      <c r="I119" s="313">
        <f t="shared" si="40"/>
        <v>29262601.041960001</v>
      </c>
      <c r="J119" s="24">
        <f t="shared" si="41"/>
        <v>23.9</v>
      </c>
    </row>
    <row r="120" spans="1:10" ht="15.75" customHeight="1" x14ac:dyDescent="0.2">
      <c r="A120" s="21" t="s">
        <v>9</v>
      </c>
      <c r="B120" s="221">
        <f>'Fremtind Livsforsikring'!B120+'DNB Livsforsikring'!B120+'Eika Forsikring AS'!B120+'Frende Livsforsikring'!B120+'Frende Skadeforsikring'!B120+'Gjensidige Forsikring'!B120+'Gjensidige Pensjon'!B120+'If Skadeforsikring NUF'!B120+KLP!B120+'KLP Skadeforsikring AS'!B120+'Landkreditt Forsikring'!B120+'Nordea Liv '!B120+'Oslo Pensjonsforsikring'!B120+'Protector Forsikring'!B120+'Sparebank 1 Fors.'!B120+'Storebrand Livsforsikring'!B120+'Telenor Forsikring'!B120+'Tryg Forsikring'!B120+'WaterCircles F'!B120+'Euro Accident'!B120+'Ly Forsikring'!B120+'Youplus Livsforsikring'!B120</f>
        <v>217960.05500000092</v>
      </c>
      <c r="C120" s="221">
        <f>'Fremtind Livsforsikring'!C120+'DNB Livsforsikring'!C120+'Eika Forsikring AS'!C120+'Frende Livsforsikring'!C120+'Frende Skadeforsikring'!C120+'Gjensidige Forsikring'!C120+'Gjensidige Pensjon'!C120+'If Skadeforsikring NUF'!C120+KLP!C120+'KLP Skadeforsikring AS'!C120+'Landkreditt Forsikring'!C120+'Nordea Liv '!C120+'Oslo Pensjonsforsikring'!C120+'Protector Forsikring'!C120+'Sparebank 1 Fors.'!C120+'Storebrand Livsforsikring'!C120+'Telenor Forsikring'!C120+'Tryg Forsikring'!C120+'WaterCircles F'!C120+'Euro Accident'!C120+'Ly Forsikring'!C120+'Youplus Livsforsikring'!C120</f>
        <v>92797.120159999497</v>
      </c>
      <c r="D120" s="23">
        <f t="shared" si="38"/>
        <v>-57.4</v>
      </c>
      <c r="E120" s="44"/>
      <c r="F120" s="44"/>
      <c r="G120" s="151"/>
      <c r="H120" s="221">
        <f t="shared" si="39"/>
        <v>217960.05500000092</v>
      </c>
      <c r="I120" s="221">
        <f t="shared" si="40"/>
        <v>92797.120159999497</v>
      </c>
      <c r="J120" s="23">
        <f t="shared" si="41"/>
        <v>-57.4</v>
      </c>
    </row>
    <row r="121" spans="1:10" ht="15.75" customHeight="1" x14ac:dyDescent="0.2">
      <c r="A121" s="21" t="s">
        <v>10</v>
      </c>
      <c r="B121" s="221">
        <f>'Fremtind Livsforsikring'!B121+'DNB Livsforsikring'!B121+'Eika Forsikring AS'!B121+'Frende Livsforsikring'!B121+'Frende Skadeforsikring'!B121+'Gjensidige Forsikring'!B121+'Gjensidige Pensjon'!B121+'If Skadeforsikring NUF'!B121+KLP!B121+'KLP Skadeforsikring AS'!B121+'Landkreditt Forsikring'!B121+'Nordea Liv '!B121+'Oslo Pensjonsforsikring'!B121+'Protector Forsikring'!B121+'Sparebank 1 Fors.'!B121+'Storebrand Livsforsikring'!B121+'Telenor Forsikring'!B121+'Tryg Forsikring'!B121+'WaterCircles F'!B121+'Euro Accident'!B121+'Ly Forsikring'!B121+'Youplus Livsforsikring'!B121</f>
        <v>4414.3245999999999</v>
      </c>
      <c r="C121" s="221">
        <f>'Fremtind Livsforsikring'!C121+'DNB Livsforsikring'!C121+'Eika Forsikring AS'!C121+'Frende Livsforsikring'!C121+'Frende Skadeforsikring'!C121+'Gjensidige Forsikring'!C121+'Gjensidige Pensjon'!C121+'If Skadeforsikring NUF'!C121+KLP!C121+'KLP Skadeforsikring AS'!C121+'Landkreditt Forsikring'!C121+'Nordea Liv '!C121+'Oslo Pensjonsforsikring'!C121+'Protector Forsikring'!C121+'Sparebank 1 Fors.'!C121+'Storebrand Livsforsikring'!C121+'Telenor Forsikring'!C121+'Tryg Forsikring'!C121+'WaterCircles F'!C121+'Euro Accident'!C121+'Ly Forsikring'!C121+'Youplus Livsforsikring'!C121</f>
        <v>5132.13501</v>
      </c>
      <c r="D121" s="23">
        <f t="shared" si="38"/>
        <v>16.3</v>
      </c>
      <c r="E121" s="44">
        <f>'Fremtind Livsforsikring'!F121+'DNB Livsforsikring'!F121+'Eika Forsikring AS'!F121+'Frende Livsforsikring'!F121+'Frende Skadeforsikring'!F121+'Gjensidige Forsikring'!F121+'Gjensidige Pensjon'!F121+'If Skadeforsikring NUF'!F121+KLP!F121+'KLP Skadeforsikring AS'!F121+'Landkreditt Forsikring'!F121+'Nordea Liv '!F121+'Oslo Pensjonsforsikring'!F121+'Protector Forsikring'!F121+'Sparebank 1 Fors.'!F121+'Storebrand Livsforsikring'!F121+'Telenor Forsikring'!F121+'Tryg Forsikring'!F121+'WaterCircles F'!F121+'Euro Accident'!F121+'Ly Forsikring'!F121+'Youplus Livsforsikring'!F121</f>
        <v>23305724.064889997</v>
      </c>
      <c r="F121" s="44">
        <f>'Fremtind Livsforsikring'!G121+'DNB Livsforsikring'!G121+'Eika Forsikring AS'!G121+'Frende Livsforsikring'!G121+'Frende Skadeforsikring'!G121+'Gjensidige Forsikring'!G121+'Gjensidige Pensjon'!G121+'If Skadeforsikring NUF'!G121+KLP!G121+'KLP Skadeforsikring AS'!G121+'Landkreditt Forsikring'!G121+'Nordea Liv '!G121+'Oslo Pensjonsforsikring'!G121+'Protector Forsikring'!G121+'Sparebank 1 Fors.'!G121+'Storebrand Livsforsikring'!G121+'Telenor Forsikring'!G121+'Tryg Forsikring'!G121+'WaterCircles F'!G121+'Euro Accident'!G121+'Ly Forsikring'!G121+'Youplus Livsforsikring'!G121</f>
        <v>29091608.48065</v>
      </c>
      <c r="G121" s="151">
        <f t="shared" si="24"/>
        <v>24.8</v>
      </c>
      <c r="H121" s="221">
        <f t="shared" si="39"/>
        <v>23310138.389489997</v>
      </c>
      <c r="I121" s="221">
        <f t="shared" si="40"/>
        <v>29096740.615660001</v>
      </c>
      <c r="J121" s="23">
        <f t="shared" si="41"/>
        <v>24.8</v>
      </c>
    </row>
    <row r="122" spans="1:10" ht="15.75" customHeight="1" x14ac:dyDescent="0.2">
      <c r="A122" s="21" t="s">
        <v>26</v>
      </c>
      <c r="B122" s="221">
        <f>'Fremtind Livsforsikring'!B122+'DNB Livsforsikring'!B122+'Eika Forsikring AS'!B122+'Frende Livsforsikring'!B122+'Frende Skadeforsikring'!B122+'Gjensidige Forsikring'!B122+'Gjensidige Pensjon'!B122+'If Skadeforsikring NUF'!B122+KLP!B122+'KLP Skadeforsikring AS'!B122+'Landkreditt Forsikring'!B122+'Nordea Liv '!B122+'Oslo Pensjonsforsikring'!B122+'Protector Forsikring'!B122+'Sparebank 1 Fors.'!B122+'Storebrand Livsforsikring'!B122+'Telenor Forsikring'!B122+'Tryg Forsikring'!B122+'WaterCircles F'!B122+'Euro Accident'!B122+'Ly Forsikring'!B122+'Youplus Livsforsikring'!B122</f>
        <v>87007.804560000004</v>
      </c>
      <c r="C122" s="221">
        <f>'Fremtind Livsforsikring'!C122+'DNB Livsforsikring'!C122+'Eika Forsikring AS'!C122+'Frende Livsforsikring'!C122+'Frende Skadeforsikring'!C122+'Gjensidige Forsikring'!C122+'Gjensidige Pensjon'!C122+'If Skadeforsikring NUF'!C122+KLP!C122+'KLP Skadeforsikring AS'!C122+'Landkreditt Forsikring'!C122+'Nordea Liv '!C122+'Oslo Pensjonsforsikring'!C122+'Protector Forsikring'!C122+'Sparebank 1 Fors.'!C122+'Storebrand Livsforsikring'!C122+'Telenor Forsikring'!C122+'Tryg Forsikring'!C122+'WaterCircles F'!C122+'Euro Accident'!C122+'Ly Forsikring'!C122+'Youplus Livsforsikring'!C122</f>
        <v>73063.306140000001</v>
      </c>
      <c r="D122" s="23">
        <f t="shared" si="38"/>
        <v>-16</v>
      </c>
      <c r="E122" s="44"/>
      <c r="F122" s="44"/>
      <c r="G122" s="151"/>
      <c r="H122" s="221">
        <f t="shared" si="39"/>
        <v>87007.804560000004</v>
      </c>
      <c r="I122" s="221">
        <f t="shared" si="40"/>
        <v>73063.306140000001</v>
      </c>
      <c r="J122" s="23">
        <f t="shared" si="41"/>
        <v>-16</v>
      </c>
    </row>
    <row r="123" spans="1:10" ht="15.75" customHeight="1" x14ac:dyDescent="0.2">
      <c r="A123" s="281" t="s">
        <v>14</v>
      </c>
      <c r="B123" s="44"/>
      <c r="C123" s="44"/>
      <c r="D123" s="27"/>
      <c r="E123" s="44"/>
      <c r="F123" s="44"/>
      <c r="G123" s="151"/>
      <c r="H123" s="221"/>
      <c r="I123" s="221"/>
      <c r="J123" s="23"/>
    </row>
    <row r="124" spans="1:10" ht="15.75" customHeight="1" x14ac:dyDescent="0.2">
      <c r="A124" s="21" t="s">
        <v>341</v>
      </c>
      <c r="B124" s="221">
        <f>'Fremtind Livsforsikring'!B124+'DNB Livsforsikring'!B124+'Eika Forsikring AS'!B124+'Frende Livsforsikring'!B124+'Frende Skadeforsikring'!B124+'Gjensidige Forsikring'!B124+'Gjensidige Pensjon'!B124+'If Skadeforsikring NUF'!B124+KLP!B124+'KLP Skadeforsikring AS'!B124+'Landkreditt Forsikring'!B124+'Nordea Liv '!B124+'Oslo Pensjonsforsikring'!B124+'Protector Forsikring'!B124+'Sparebank 1 Fors.'!B124+'Storebrand Livsforsikring'!B124+'Telenor Forsikring'!B124+'Tryg Forsikring'!B124+'WaterCircles F'!B124+'Euro Accident'!B124+'Ly Forsikring'!B124+'Youplus Livsforsikring'!B124</f>
        <v>25613.917999999998</v>
      </c>
      <c r="C124" s="221">
        <f>'Fremtind Livsforsikring'!C124+'DNB Livsforsikring'!C124+'Eika Forsikring AS'!C124+'Frende Livsforsikring'!C124+'Frende Skadeforsikring'!C124+'Gjensidige Forsikring'!C124+'Gjensidige Pensjon'!C124+'If Skadeforsikring NUF'!C124+KLP!C124+'KLP Skadeforsikring AS'!C124+'Landkreditt Forsikring'!C124+'Nordea Liv '!C124+'Oslo Pensjonsforsikring'!C124+'Protector Forsikring'!C124+'Sparebank 1 Fors.'!C124+'Storebrand Livsforsikring'!C124+'Telenor Forsikring'!C124+'Tryg Forsikring'!C124+'WaterCircles F'!C124+'Euro Accident'!C124+'Ly Forsikring'!C124+'Youplus Livsforsikring'!C124</f>
        <v>15944.806</v>
      </c>
      <c r="D124" s="23">
        <f t="shared" si="38"/>
        <v>-37.700000000000003</v>
      </c>
      <c r="E124" s="44">
        <f>'Fremtind Livsforsikring'!F124+'DNB Livsforsikring'!F124+'Eika Forsikring AS'!F124+'Frende Livsforsikring'!F124+'Frende Skadeforsikring'!F124+'Gjensidige Forsikring'!F124+'Gjensidige Pensjon'!F124+'If Skadeforsikring NUF'!F124+KLP!F124+'KLP Skadeforsikring AS'!F124+'Landkreditt Forsikring'!F124+'Nordea Liv '!F124+'Oslo Pensjonsforsikring'!F124+'Protector Forsikring'!F124+'Sparebank 1 Fors.'!F124+'Storebrand Livsforsikring'!F124+'Telenor Forsikring'!F124+'Tryg Forsikring'!F124+'WaterCircles F'!F124+'Euro Accident'!F124+'Ly Forsikring'!F124+'Youplus Livsforsikring'!F124</f>
        <v>10478.852000000001</v>
      </c>
      <c r="F124" s="44">
        <f>'Fremtind Livsforsikring'!G124+'DNB Livsforsikring'!G124+'Eika Forsikring AS'!G124+'Frende Livsforsikring'!G124+'Frende Skadeforsikring'!G124+'Gjensidige Forsikring'!G124+'Gjensidige Pensjon'!G124+'If Skadeforsikring NUF'!G124+KLP!G124+'KLP Skadeforsikring AS'!G124+'Landkreditt Forsikring'!G124+'Nordea Liv '!G124+'Oslo Pensjonsforsikring'!G124+'Protector Forsikring'!G124+'Sparebank 1 Fors.'!G124+'Storebrand Livsforsikring'!G124+'Telenor Forsikring'!G124+'Tryg Forsikring'!G124+'WaterCircles F'!G124+'Euro Accident'!G124+'Ly Forsikring'!G124+'Youplus Livsforsikring'!G124</f>
        <v>13865.686</v>
      </c>
      <c r="G124" s="151">
        <f t="shared" si="24"/>
        <v>32.299999999999997</v>
      </c>
      <c r="H124" s="221">
        <f t="shared" si="39"/>
        <v>36092.769999999997</v>
      </c>
      <c r="I124" s="221">
        <f t="shared" si="40"/>
        <v>29810.491999999998</v>
      </c>
      <c r="J124" s="23">
        <f t="shared" si="41"/>
        <v>-17.399999999999999</v>
      </c>
    </row>
    <row r="125" spans="1:10" ht="15.75" customHeight="1" x14ac:dyDescent="0.2">
      <c r="A125" s="38" t="s">
        <v>382</v>
      </c>
      <c r="B125" s="221">
        <f>'Fremtind Livsforsikring'!B125+'DNB Livsforsikring'!B125+'Eika Forsikring AS'!B125+'Frende Livsforsikring'!B125+'Frende Skadeforsikring'!B125+'Gjensidige Forsikring'!B125+'Gjensidige Pensjon'!B125+'If Skadeforsikring NUF'!B125+KLP!B125+'KLP Skadeforsikring AS'!B125+'Landkreditt Forsikring'!B125+'Nordea Liv '!B125+'Oslo Pensjonsforsikring'!B125+'Protector Forsikring'!B125+'Sparebank 1 Fors.'!B125+'Storebrand Livsforsikring'!B125+'Telenor Forsikring'!B125+'Tryg Forsikring'!B125+'WaterCircles F'!B125+'Euro Accident'!B125+'Ly Forsikring'!B125+'Youplus Livsforsikring'!B125</f>
        <v>231.46334000000002</v>
      </c>
      <c r="C125" s="221">
        <f>'Fremtind Livsforsikring'!C125+'DNB Livsforsikring'!C125+'Eika Forsikring AS'!C125+'Frende Livsforsikring'!C125+'Frende Skadeforsikring'!C125+'Gjensidige Forsikring'!C125+'Gjensidige Pensjon'!C125+'If Skadeforsikring NUF'!C125+KLP!C125+'KLP Skadeforsikring AS'!C125+'Landkreditt Forsikring'!C125+'Nordea Liv '!C125+'Oslo Pensjonsforsikring'!C125+'Protector Forsikring'!C125+'Sparebank 1 Fors.'!C125+'Storebrand Livsforsikring'!C125+'Telenor Forsikring'!C125+'Tryg Forsikring'!C125+'WaterCircles F'!C125+'Euro Accident'!C125+'Ly Forsikring'!C125+'Youplus Livsforsikring'!C125</f>
        <v>2475.5549100000003</v>
      </c>
      <c r="D125" s="23">
        <f t="shared" si="38"/>
        <v>969.5</v>
      </c>
      <c r="E125" s="44">
        <f>'Fremtind Livsforsikring'!F125+'DNB Livsforsikring'!F125+'Eika Forsikring AS'!F125+'Frende Livsforsikring'!F125+'Frende Skadeforsikring'!F125+'Gjensidige Forsikring'!F125+'Gjensidige Pensjon'!F125+'If Skadeforsikring NUF'!F125+KLP!F125+'KLP Skadeforsikring AS'!F125+'Landkreditt Forsikring'!F125+'Nordea Liv '!F125+'Oslo Pensjonsforsikring'!F125+'Protector Forsikring'!F125+'Sparebank 1 Fors.'!F125+'Storebrand Livsforsikring'!F125+'Telenor Forsikring'!F125+'Tryg Forsikring'!F125+'WaterCircles F'!F125+'Euro Accident'!F125+'Ly Forsikring'!F125+'Youplus Livsforsikring'!F125</f>
        <v>11975847.294980001</v>
      </c>
      <c r="F125" s="44">
        <f>'Fremtind Livsforsikring'!G125+'DNB Livsforsikring'!G125+'Eika Forsikring AS'!G125+'Frende Livsforsikring'!G125+'Frende Skadeforsikring'!G125+'Gjensidige Forsikring'!G125+'Gjensidige Pensjon'!G125+'If Skadeforsikring NUF'!G125+KLP!G125+'KLP Skadeforsikring AS'!G125+'Landkreditt Forsikring'!G125+'Nordea Liv '!G125+'Oslo Pensjonsforsikring'!G125+'Protector Forsikring'!G125+'Sparebank 1 Fors.'!G125+'Storebrand Livsforsikring'!G125+'Telenor Forsikring'!G125+'Tryg Forsikring'!G125+'WaterCircles F'!G125+'Euro Accident'!G125+'Ly Forsikring'!G125+'Youplus Livsforsikring'!G125</f>
        <v>13501871.487509999</v>
      </c>
      <c r="G125" s="151">
        <f t="shared" si="24"/>
        <v>12.7</v>
      </c>
      <c r="H125" s="221">
        <f t="shared" si="39"/>
        <v>11976078.75832</v>
      </c>
      <c r="I125" s="221">
        <f t="shared" si="40"/>
        <v>13504347.04242</v>
      </c>
      <c r="J125" s="23">
        <f t="shared" si="41"/>
        <v>12.8</v>
      </c>
    </row>
    <row r="126" spans="1:10" ht="15.75" customHeight="1" x14ac:dyDescent="0.2">
      <c r="A126" s="10" t="s">
        <v>342</v>
      </c>
      <c r="B126" s="222"/>
      <c r="C126" s="222"/>
      <c r="D126" s="22"/>
      <c r="E126" s="45"/>
      <c r="F126" s="45"/>
      <c r="G126" s="152"/>
      <c r="H126" s="222"/>
      <c r="I126" s="223"/>
      <c r="J126" s="22"/>
    </row>
    <row r="127" spans="1:10" ht="15.75" customHeight="1" x14ac:dyDescent="0.2">
      <c r="A127" s="140"/>
    </row>
    <row r="128" spans="1:10" ht="15.75" customHeight="1" x14ac:dyDescent="0.2">
      <c r="A128" s="134"/>
    </row>
    <row r="129" spans="1:10" ht="15.75" customHeight="1" x14ac:dyDescent="0.25">
      <c r="A129" s="150" t="s">
        <v>27</v>
      </c>
    </row>
    <row r="130" spans="1:10" ht="15.75" customHeight="1" x14ac:dyDescent="0.25">
      <c r="A130" s="134"/>
      <c r="B130" s="709"/>
      <c r="C130" s="709"/>
      <c r="D130" s="709"/>
      <c r="E130" s="709"/>
      <c r="F130" s="709"/>
      <c r="G130" s="709"/>
      <c r="H130" s="709"/>
      <c r="I130" s="709"/>
      <c r="J130" s="709"/>
    </row>
    <row r="131" spans="1:10" s="3" customFormat="1" ht="20.100000000000001" customHeight="1" x14ac:dyDescent="0.2">
      <c r="A131" s="129"/>
      <c r="B131" s="710" t="s">
        <v>0</v>
      </c>
      <c r="C131" s="711"/>
      <c r="D131" s="712"/>
      <c r="E131" s="711" t="s">
        <v>1</v>
      </c>
      <c r="F131" s="711"/>
      <c r="G131" s="711"/>
      <c r="H131" s="710" t="s">
        <v>2</v>
      </c>
      <c r="I131" s="711"/>
      <c r="J131" s="712"/>
    </row>
    <row r="132" spans="1:10" s="3" customFormat="1" ht="15.75" customHeight="1" x14ac:dyDescent="0.2">
      <c r="A132" s="125"/>
      <c r="B132" s="236" t="s">
        <v>414</v>
      </c>
      <c r="C132" s="236" t="s">
        <v>415</v>
      </c>
      <c r="D132" s="19" t="s">
        <v>3</v>
      </c>
      <c r="E132" s="236" t="s">
        <v>414</v>
      </c>
      <c r="F132" s="236" t="s">
        <v>415</v>
      </c>
      <c r="G132" s="19" t="s">
        <v>3</v>
      </c>
      <c r="H132" s="236" t="s">
        <v>414</v>
      </c>
      <c r="I132" s="236" t="s">
        <v>415</v>
      </c>
      <c r="J132" s="19" t="s">
        <v>3</v>
      </c>
    </row>
    <row r="133" spans="1:10" s="3" customFormat="1" ht="15.75" customHeight="1" x14ac:dyDescent="0.2">
      <c r="A133" s="683"/>
      <c r="B133" s="15"/>
      <c r="C133" s="15"/>
      <c r="D133" s="17" t="s">
        <v>4</v>
      </c>
      <c r="E133" s="16"/>
      <c r="F133" s="16"/>
      <c r="G133" s="15" t="s">
        <v>4</v>
      </c>
      <c r="H133" s="16"/>
      <c r="I133" s="16"/>
      <c r="J133" s="15" t="s">
        <v>4</v>
      </c>
    </row>
    <row r="134" spans="1:10" s="397" customFormat="1" ht="15.75" customHeight="1" x14ac:dyDescent="0.2">
      <c r="A134" s="14" t="s">
        <v>344</v>
      </c>
      <c r="B134" s="220">
        <f>'Fremtind Livsforsikring'!B134+'DNB Livsforsikring'!B134+'Eika Forsikring AS'!B134+'Frende Livsforsikring'!B134+'Frende Skadeforsikring'!B134+'Gjensidige Forsikring'!B134+'Gjensidige Pensjon'!B134+'If Skadeforsikring NUF'!B134+KLP!B134+'KLP Skadeforsikring AS'!B134+'Landkreditt Forsikring'!B134+'Nordea Liv '!B134+'Oslo Pensjonsforsikring'!B134+'Protector Forsikring'!B134+'Sparebank 1 Fors.'!B134+'Storebrand Livsforsikring'!B134+'Telenor Forsikring'!B134+'Tryg Forsikring'!B134+'WaterCircles F'!B134+'Euro Accident'!B134+'Ly Forsikring'!B134+'Youplus Livsforsikring'!B134</f>
        <v>53604839.846839994</v>
      </c>
      <c r="C134" s="220">
        <f>'Fremtind Livsforsikring'!C134+'DNB Livsforsikring'!C134+'Eika Forsikring AS'!C134+'Frende Livsforsikring'!C134+'Frende Skadeforsikring'!C134+'Gjensidige Forsikring'!C134+'Gjensidige Pensjon'!C134+'If Skadeforsikring NUF'!C134+KLP!C134+'KLP Skadeforsikring AS'!C134+'Landkreditt Forsikring'!C134+'Nordea Liv '!C134+'Oslo Pensjonsforsikring'!C134+'Protector Forsikring'!C134+'Sparebank 1 Fors.'!C134+'Storebrand Livsforsikring'!C134+'Telenor Forsikring'!C134+'Tryg Forsikring'!C134+'WaterCircles F'!C134+'Euro Accident'!C134+'Ly Forsikring'!C134+'Youplus Livsforsikring'!C134</f>
        <v>39874610.619670004</v>
      </c>
      <c r="D134" s="11">
        <f t="shared" ref="D134:D137" si="42">IF(B134=0, "    ---- ", IF(ABS(ROUND(100/B134*C134-100,1))&lt;999,ROUND(100/B134*C134-100,1),IF(ROUND(100/B134*C134-100,1)&gt;999,999,-999)))</f>
        <v>-25.6</v>
      </c>
      <c r="E134" s="220">
        <f>'Fremtind Livsforsikring'!F134+'DNB Livsforsikring'!F134+'Eika Forsikring AS'!F134+'Frende Livsforsikring'!F134+'Frende Skadeforsikring'!F134+'Gjensidige Forsikring'!F134+'Gjensidige Pensjon'!F134+'If Skadeforsikring NUF'!F134+KLP!F134+'KLP Skadeforsikring AS'!F134+'Landkreditt Forsikring'!F134+'Nordea Liv '!F134+'Oslo Pensjonsforsikring'!F134+'Protector Forsikring'!F134+'Sparebank 1 Fors.'!F134+'Storebrand Livsforsikring'!F134+'Telenor Forsikring'!F134+'Tryg Forsikring'!F134+'WaterCircles F'!F134+'Euro Accident'!F134+'Ly Forsikring'!F134+'Youplus Livsforsikring'!F134</f>
        <v>189248.239</v>
      </c>
      <c r="F134" s="220">
        <f>'Fremtind Livsforsikring'!G134+'DNB Livsforsikring'!G134+'Eika Forsikring AS'!G134+'Frende Livsforsikring'!G134+'Frende Skadeforsikring'!G134+'Gjensidige Forsikring'!G134+'Gjensidige Pensjon'!G134+'If Skadeforsikring NUF'!G134+KLP!G134+'KLP Skadeforsikring AS'!G134+'Landkreditt Forsikring'!G134+'Nordea Liv '!G134+'Oslo Pensjonsforsikring'!G134+'Protector Forsikring'!G134+'Sparebank 1 Fors.'!G134+'Storebrand Livsforsikring'!G134+'Telenor Forsikring'!G134+'Tryg Forsikring'!G134+'WaterCircles F'!G134+'Euro Accident'!G134+'Ly Forsikring'!G134+'Youplus Livsforsikring'!G134</f>
        <v>129541.768</v>
      </c>
      <c r="G134" s="11">
        <f t="shared" ref="G134:G136" si="43">IF(E134=0, "    ---- ", IF(ABS(ROUND(100/E134*F134-100,1))&lt;999,ROUND(100/E134*F134-100,1),IF(ROUND(100/E134*F134-100,1)&gt;999,999,-999)))</f>
        <v>-31.5</v>
      </c>
      <c r="H134" s="220">
        <f t="shared" ref="H134:I137" si="44">SUM(B134,E134)</f>
        <v>53794088.085839994</v>
      </c>
      <c r="I134" s="220">
        <f t="shared" si="44"/>
        <v>40004152.387670003</v>
      </c>
      <c r="J134" s="11">
        <f t="shared" ref="J134:J137" si="45">IF(H134=0, "    ---- ", IF(ABS(ROUND(100/H134*I134-100,1))&lt;999,ROUND(100/H134*I134-100,1),IF(ROUND(100/H134*I134-100,1)&gt;999,999,-999)))</f>
        <v>-25.6</v>
      </c>
    </row>
    <row r="135" spans="1:10" s="397" customFormat="1" ht="15.75" customHeight="1" x14ac:dyDescent="0.2">
      <c r="A135" s="13" t="s">
        <v>345</v>
      </c>
      <c r="B135" s="220">
        <f>'Fremtind Livsforsikring'!B135+'DNB Livsforsikring'!B135+'Eika Forsikring AS'!B135+'Frende Livsforsikring'!B135+'Frende Skadeforsikring'!B135+'Gjensidige Forsikring'!B135+'Gjensidige Pensjon'!B135+'If Skadeforsikring NUF'!B135+KLP!B135+'KLP Skadeforsikring AS'!B135+'Landkreditt Forsikring'!B135+'Nordea Liv '!B135+'Oslo Pensjonsforsikring'!B135+'Protector Forsikring'!B135+'Sparebank 1 Fors.'!B135+'Storebrand Livsforsikring'!B135+'Telenor Forsikring'!B135+'Tryg Forsikring'!B135+'WaterCircles F'!B135+'Euro Accident'!B135+'Ly Forsikring'!B135+'Youplus Livsforsikring'!B135</f>
        <v>820916631.14503992</v>
      </c>
      <c r="C135" s="220">
        <f>'Fremtind Livsforsikring'!C135+'DNB Livsforsikring'!C135+'Eika Forsikring AS'!C135+'Frende Livsforsikring'!C135+'Frende Skadeforsikring'!C135+'Gjensidige Forsikring'!C135+'Gjensidige Pensjon'!C135+'If Skadeforsikring NUF'!C135+KLP!C135+'KLP Skadeforsikring AS'!C135+'Landkreditt Forsikring'!C135+'Nordea Liv '!C135+'Oslo Pensjonsforsikring'!C135+'Protector Forsikring'!C135+'Sparebank 1 Fors.'!C135+'Storebrand Livsforsikring'!C135+'Telenor Forsikring'!C135+'Tryg Forsikring'!C135+'WaterCircles F'!C135+'Euro Accident'!C135+'Ly Forsikring'!C135+'Youplus Livsforsikring'!C135</f>
        <v>890183698.16070008</v>
      </c>
      <c r="D135" s="11">
        <f t="shared" si="42"/>
        <v>8.4</v>
      </c>
      <c r="E135" s="220">
        <f>'Fremtind Livsforsikring'!F135+'DNB Livsforsikring'!F135+'Eika Forsikring AS'!F135+'Frende Livsforsikring'!F135+'Frende Skadeforsikring'!F135+'Gjensidige Forsikring'!F135+'Gjensidige Pensjon'!F135+'If Skadeforsikring NUF'!F135+KLP!F135+'KLP Skadeforsikring AS'!F135+'Landkreditt Forsikring'!F135+'Nordea Liv '!F135+'Oslo Pensjonsforsikring'!F135+'Protector Forsikring'!F135+'Sparebank 1 Fors.'!F135+'Storebrand Livsforsikring'!F135+'Telenor Forsikring'!F135+'Tryg Forsikring'!F135+'WaterCircles F'!F135+'Euro Accident'!F135+'Ly Forsikring'!F135+'Youplus Livsforsikring'!F135</f>
        <v>2792444.4909299999</v>
      </c>
      <c r="F135" s="220">
        <f>'Fremtind Livsforsikring'!G135+'DNB Livsforsikring'!G135+'Eika Forsikring AS'!G135+'Frende Livsforsikring'!G135+'Frende Skadeforsikring'!G135+'Gjensidige Forsikring'!G135+'Gjensidige Pensjon'!G135+'If Skadeforsikring NUF'!G135+KLP!G135+'KLP Skadeforsikring AS'!G135+'Landkreditt Forsikring'!G135+'Nordea Liv '!G135+'Oslo Pensjonsforsikring'!G135+'Protector Forsikring'!G135+'Sparebank 1 Fors.'!G135+'Storebrand Livsforsikring'!G135+'Telenor Forsikring'!G135+'Tryg Forsikring'!G135+'WaterCircles F'!G135+'Euro Accident'!G135+'Ly Forsikring'!G135+'Youplus Livsforsikring'!G135</f>
        <v>2890424.3207899998</v>
      </c>
      <c r="G135" s="11">
        <f t="shared" si="43"/>
        <v>3.5</v>
      </c>
      <c r="H135" s="220">
        <f t="shared" si="44"/>
        <v>823709075.63596988</v>
      </c>
      <c r="I135" s="220">
        <f t="shared" si="44"/>
        <v>893074122.48149014</v>
      </c>
      <c r="J135" s="11">
        <f t="shared" si="45"/>
        <v>8.4</v>
      </c>
    </row>
    <row r="136" spans="1:10" s="397" customFormat="1" ht="15.75" customHeight="1" x14ac:dyDescent="0.2">
      <c r="A136" s="13" t="s">
        <v>346</v>
      </c>
      <c r="B136" s="220">
        <f>'Fremtind Livsforsikring'!B136+'DNB Livsforsikring'!B136+'Eika Forsikring AS'!B136+'Frende Livsforsikring'!B136+'Frende Skadeforsikring'!B136+'Gjensidige Forsikring'!B136+'Gjensidige Pensjon'!B136+'If Skadeforsikring NUF'!B136+KLP!B136+'KLP Skadeforsikring AS'!B136+'Landkreditt Forsikring'!B136+'Nordea Liv '!B136+'Oslo Pensjonsforsikring'!B136+'Protector Forsikring'!B136+'Sparebank 1 Fors.'!B136+'Storebrand Livsforsikring'!B136+'Telenor Forsikring'!B136+'Tryg Forsikring'!B136+'WaterCircles F'!B136+'Euro Accident'!B136+'Ly Forsikring'!B136+'Youplus Livsforsikring'!B136</f>
        <v>889906.05099999998</v>
      </c>
      <c r="C136" s="220">
        <f>'Fremtind Livsforsikring'!C136+'DNB Livsforsikring'!C136+'Eika Forsikring AS'!C136+'Frende Livsforsikring'!C136+'Frende Skadeforsikring'!C136+'Gjensidige Forsikring'!C136+'Gjensidige Pensjon'!C136+'If Skadeforsikring NUF'!C136+KLP!C136+'KLP Skadeforsikring AS'!C136+'Landkreditt Forsikring'!C136+'Nordea Liv '!C136+'Oslo Pensjonsforsikring'!C136+'Protector Forsikring'!C136+'Sparebank 1 Fors.'!C136+'Storebrand Livsforsikring'!C136+'Telenor Forsikring'!C136+'Tryg Forsikring'!C136+'WaterCircles F'!C136+'Euro Accident'!C136+'Ly Forsikring'!C136+'Youplus Livsforsikring'!C136</f>
        <v>2285445.0349999997</v>
      </c>
      <c r="D136" s="11">
        <f t="shared" si="42"/>
        <v>156.80000000000001</v>
      </c>
      <c r="E136" s="220">
        <f>'Fremtind Livsforsikring'!F136+'DNB Livsforsikring'!F136+'Eika Forsikring AS'!F136+'Frende Livsforsikring'!F136+'Frende Skadeforsikring'!F136+'Gjensidige Forsikring'!F136+'Gjensidige Pensjon'!F136+'If Skadeforsikring NUF'!F136+KLP!F136+'KLP Skadeforsikring AS'!F136+'Landkreditt Forsikring'!F136+'Nordea Liv '!F136+'Oslo Pensjonsforsikring'!F136+'Protector Forsikring'!F136+'Sparebank 1 Fors.'!F136+'Storebrand Livsforsikring'!F136+'Telenor Forsikring'!F136+'Tryg Forsikring'!F136+'WaterCircles F'!F136+'Euro Accident'!F136+'Ly Forsikring'!F136+'Youplus Livsforsikring'!F136</f>
        <v>0</v>
      </c>
      <c r="F136" s="220">
        <f>'Fremtind Livsforsikring'!G136+'DNB Livsforsikring'!G136+'Eika Forsikring AS'!G136+'Frende Livsforsikring'!G136+'Frende Skadeforsikring'!G136+'Gjensidige Forsikring'!G136+'Gjensidige Pensjon'!G136+'If Skadeforsikring NUF'!G136+KLP!G136+'KLP Skadeforsikring AS'!G136+'Landkreditt Forsikring'!G136+'Nordea Liv '!G136+'Oslo Pensjonsforsikring'!G136+'Protector Forsikring'!G136+'Sparebank 1 Fors.'!G136+'Storebrand Livsforsikring'!G136+'Telenor Forsikring'!G136+'Tryg Forsikring'!G136+'WaterCircles F'!G136+'Euro Accident'!G136+'Ly Forsikring'!G136+'Youplus Livsforsikring'!G136</f>
        <v>-182.05500000000001</v>
      </c>
      <c r="G136" s="11" t="str">
        <f t="shared" si="43"/>
        <v xml:space="preserve">    ---- </v>
      </c>
      <c r="H136" s="220">
        <f t="shared" si="44"/>
        <v>889906.05099999998</v>
      </c>
      <c r="I136" s="220">
        <f t="shared" si="44"/>
        <v>2285262.9799999995</v>
      </c>
      <c r="J136" s="11">
        <f t="shared" si="45"/>
        <v>156.80000000000001</v>
      </c>
    </row>
    <row r="137" spans="1:10" s="397" customFormat="1" ht="15.75" customHeight="1" x14ac:dyDescent="0.2">
      <c r="A137" s="41" t="s">
        <v>347</v>
      </c>
      <c r="B137" s="261">
        <f>'Fremtind Livsforsikring'!B137+'DNB Livsforsikring'!B137+'Eika Forsikring AS'!B137+'Frende Livsforsikring'!B137+'Frende Skadeforsikring'!B137+'Gjensidige Forsikring'!B137+'Gjensidige Pensjon'!B137+'If Skadeforsikring NUF'!B137+KLP!B137+'KLP Skadeforsikring AS'!B137+'Landkreditt Forsikring'!B137+'Nordea Liv '!B137+'Oslo Pensjonsforsikring'!B137+'Protector Forsikring'!B137+'Sparebank 1 Fors.'!B137+'Storebrand Livsforsikring'!B137+'Telenor Forsikring'!B137+'Tryg Forsikring'!B137+'WaterCircles F'!B137+'Euro Accident'!B137+'Ly Forsikring'!B137+'Youplus Livsforsikring'!B137</f>
        <v>2121172.8709999998</v>
      </c>
      <c r="C137" s="261">
        <f>'Fremtind Livsforsikring'!C137+'DNB Livsforsikring'!C137+'Eika Forsikring AS'!C137+'Frende Livsforsikring'!C137+'Frende Skadeforsikring'!C137+'Gjensidige Forsikring'!C137+'Gjensidige Pensjon'!C137+'If Skadeforsikring NUF'!C137+KLP!C137+'KLP Skadeforsikring AS'!C137+'Landkreditt Forsikring'!C137+'Nordea Liv '!C137+'Oslo Pensjonsforsikring'!C137+'Protector Forsikring'!C137+'Sparebank 1 Fors.'!C137+'Storebrand Livsforsikring'!C137+'Telenor Forsikring'!C137+'Tryg Forsikring'!C137+'WaterCircles F'!C137+'Euro Accident'!C137+'Ly Forsikring'!C137+'Youplus Livsforsikring'!C137</f>
        <v>2298166.9709999999</v>
      </c>
      <c r="D137" s="9">
        <f t="shared" si="42"/>
        <v>8.3000000000000007</v>
      </c>
      <c r="E137" s="261">
        <f>'Fremtind Livsforsikring'!F137+'DNB Livsforsikring'!F137+'Eika Forsikring AS'!F137+'Frende Livsforsikring'!F137+'Frende Skadeforsikring'!F137+'Gjensidige Forsikring'!F137+'Gjensidige Pensjon'!F137+'If Skadeforsikring NUF'!F137+KLP!F137+'KLP Skadeforsikring AS'!F137+'Landkreditt Forsikring'!F137+'Nordea Liv '!F137+'Oslo Pensjonsforsikring'!F137+'Protector Forsikring'!F137+'Sparebank 1 Fors.'!F137+'Storebrand Livsforsikring'!F137+'Telenor Forsikring'!F137+'Tryg Forsikring'!F137+'WaterCircles F'!F137+'Euro Accident'!F137+'Ly Forsikring'!F137+'Youplus Livsforsikring'!F137</f>
        <v>0</v>
      </c>
      <c r="F137" s="261">
        <f>'Fremtind Livsforsikring'!G137+'DNB Livsforsikring'!G137+'Eika Forsikring AS'!G137+'Frende Livsforsikring'!G137+'Frende Skadeforsikring'!G137+'Gjensidige Forsikring'!G137+'Gjensidige Pensjon'!G137+'If Skadeforsikring NUF'!G137+KLP!G137+'KLP Skadeforsikring AS'!G137+'Landkreditt Forsikring'!G137+'Nordea Liv '!G137+'Oslo Pensjonsforsikring'!G137+'Protector Forsikring'!G137+'Sparebank 1 Fors.'!G137+'Storebrand Livsforsikring'!G137+'Telenor Forsikring'!G137+'Tryg Forsikring'!G137+'WaterCircles F'!G137+'Euro Accident'!G137+'Ly Forsikring'!G137+'Youplus Livsforsikring'!G137</f>
        <v>0</v>
      </c>
      <c r="G137" s="9"/>
      <c r="H137" s="261">
        <f t="shared" si="44"/>
        <v>2121172.8709999998</v>
      </c>
      <c r="I137" s="261">
        <f t="shared" si="44"/>
        <v>2298166.9709999999</v>
      </c>
      <c r="J137" s="9">
        <f t="shared" si="45"/>
        <v>8.3000000000000007</v>
      </c>
    </row>
    <row r="138" spans="1:10" s="3" customFormat="1" ht="15.75" customHeight="1" x14ac:dyDescent="0.2">
      <c r="A138" s="8"/>
      <c r="E138" s="7"/>
      <c r="F138" s="7"/>
      <c r="G138" s="6"/>
      <c r="H138" s="7"/>
      <c r="I138" s="7"/>
      <c r="J138" s="6"/>
    </row>
    <row r="139" spans="1:10" ht="15.75" customHeight="1" x14ac:dyDescent="0.2"/>
    <row r="140" spans="1:10" ht="15.75" customHeight="1" x14ac:dyDescent="0.2"/>
    <row r="141" spans="1:10" ht="15.75" customHeight="1" x14ac:dyDescent="0.2"/>
    <row r="142" spans="1:10" ht="15.75" customHeight="1" x14ac:dyDescent="0.2"/>
    <row r="143" spans="1:10" ht="15.75" customHeight="1" x14ac:dyDescent="0.2"/>
    <row r="144" spans="1:10"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sheetData>
  <mergeCells count="27">
    <mergeCell ref="B131:D131"/>
    <mergeCell ref="E131:G131"/>
    <mergeCell ref="H131:J131"/>
    <mergeCell ref="B130:D130"/>
    <mergeCell ref="E130:G130"/>
    <mergeCell ref="H130:J130"/>
    <mergeCell ref="B63:D63"/>
    <mergeCell ref="E63:G63"/>
    <mergeCell ref="H63:J63"/>
    <mergeCell ref="B19:D19"/>
    <mergeCell ref="E19:G19"/>
    <mergeCell ref="H19:J19"/>
    <mergeCell ref="B62:D62"/>
    <mergeCell ref="E62:G62"/>
    <mergeCell ref="H62:J62"/>
    <mergeCell ref="B42:D42"/>
    <mergeCell ref="E42:G42"/>
    <mergeCell ref="H42:J42"/>
    <mergeCell ref="B18:D18"/>
    <mergeCell ref="E18:G18"/>
    <mergeCell ref="H18:J18"/>
    <mergeCell ref="B2:D2"/>
    <mergeCell ref="E2:G2"/>
    <mergeCell ref="H2:J2"/>
    <mergeCell ref="B4:D4"/>
    <mergeCell ref="E4:G4"/>
    <mergeCell ref="H4:J4"/>
  </mergeCells>
  <conditionalFormatting sqref="H115:I115">
    <cfRule type="expression" dxfId="727" priority="103">
      <formula>kvartal&lt;4</formula>
    </cfRule>
  </conditionalFormatting>
  <conditionalFormatting sqref="H123:I123">
    <cfRule type="expression" dxfId="726" priority="102">
      <formula>kvartal&lt;4</formula>
    </cfRule>
  </conditionalFormatting>
  <conditionalFormatting sqref="A50:A52">
    <cfRule type="expression" dxfId="725" priority="98">
      <formula>kvartal &lt; 4</formula>
    </cfRule>
  </conditionalFormatting>
  <conditionalFormatting sqref="A69:A74">
    <cfRule type="expression" dxfId="724" priority="96">
      <formula>kvartal &lt; 4</formula>
    </cfRule>
  </conditionalFormatting>
  <conditionalFormatting sqref="A80:A85">
    <cfRule type="expression" dxfId="723" priority="95">
      <formula>kvartal &lt; 4</formula>
    </cfRule>
  </conditionalFormatting>
  <conditionalFormatting sqref="A90:A95">
    <cfRule type="expression" dxfId="722" priority="92">
      <formula>kvartal &lt; 4</formula>
    </cfRule>
  </conditionalFormatting>
  <conditionalFormatting sqref="A101:A106">
    <cfRule type="expression" dxfId="721" priority="91">
      <formula>kvartal &lt; 4</formula>
    </cfRule>
  </conditionalFormatting>
  <conditionalFormatting sqref="A115">
    <cfRule type="expression" dxfId="720" priority="90">
      <formula>kvartal &lt; 4</formula>
    </cfRule>
  </conditionalFormatting>
  <conditionalFormatting sqref="A123">
    <cfRule type="expression" dxfId="719" priority="89">
      <formula>kvartal &lt; 4</formula>
    </cfRule>
  </conditionalFormatting>
  <conditionalFormatting sqref="B50:B52">
    <cfRule type="expression" dxfId="718" priority="82">
      <formula>kvartal&lt;4</formula>
    </cfRule>
  </conditionalFormatting>
  <conditionalFormatting sqref="B69">
    <cfRule type="expression" dxfId="717" priority="80">
      <formula>kvartal&lt;4</formula>
    </cfRule>
  </conditionalFormatting>
  <conditionalFormatting sqref="B72">
    <cfRule type="expression" dxfId="716" priority="79">
      <formula>kvartal&lt;4</formula>
    </cfRule>
  </conditionalFormatting>
  <conditionalFormatting sqref="B80">
    <cfRule type="expression" dxfId="715" priority="78">
      <formula>kvartal&lt;4</formula>
    </cfRule>
  </conditionalFormatting>
  <conditionalFormatting sqref="B83">
    <cfRule type="expression" dxfId="714" priority="77">
      <formula>kvartal&lt;4</formula>
    </cfRule>
  </conditionalFormatting>
  <conditionalFormatting sqref="B115">
    <cfRule type="expression" dxfId="713" priority="68">
      <formula>kvartal&lt;4</formula>
    </cfRule>
  </conditionalFormatting>
  <conditionalFormatting sqref="B123">
    <cfRule type="expression" dxfId="712" priority="67">
      <formula>kvartal&lt;4</formula>
    </cfRule>
  </conditionalFormatting>
  <conditionalFormatting sqref="E115">
    <cfRule type="expression" dxfId="711" priority="60">
      <formula>kvartal&lt;4</formula>
    </cfRule>
  </conditionalFormatting>
  <conditionalFormatting sqref="E123">
    <cfRule type="expression" dxfId="710" priority="59">
      <formula>kvartal&lt;4</formula>
    </cfRule>
  </conditionalFormatting>
  <conditionalFormatting sqref="F123">
    <cfRule type="expression" dxfId="709" priority="41">
      <formula>kvartal&lt;4</formula>
    </cfRule>
  </conditionalFormatting>
  <conditionalFormatting sqref="C50:C52">
    <cfRule type="expression" dxfId="708" priority="57">
      <formula>kvartal&lt;4</formula>
    </cfRule>
  </conditionalFormatting>
  <conditionalFormatting sqref="C69">
    <cfRule type="expression" dxfId="707" priority="56">
      <formula>kvartal&lt;4</formula>
    </cfRule>
  </conditionalFormatting>
  <conditionalFormatting sqref="C72">
    <cfRule type="expression" dxfId="706" priority="55">
      <formula>kvartal&lt;4</formula>
    </cfRule>
  </conditionalFormatting>
  <conditionalFormatting sqref="C80">
    <cfRule type="expression" dxfId="705" priority="54">
      <formula>kvartal&lt;4</formula>
    </cfRule>
  </conditionalFormatting>
  <conditionalFormatting sqref="C83">
    <cfRule type="expression" dxfId="704" priority="53">
      <formula>kvartal&lt;4</formula>
    </cfRule>
  </conditionalFormatting>
  <conditionalFormatting sqref="C115">
    <cfRule type="expression" dxfId="703" priority="48">
      <formula>kvartal&lt;4</formula>
    </cfRule>
  </conditionalFormatting>
  <conditionalFormatting sqref="C123">
    <cfRule type="expression" dxfId="702" priority="47">
      <formula>kvartal&lt;4</formula>
    </cfRule>
  </conditionalFormatting>
  <conditionalFormatting sqref="F115">
    <cfRule type="expression" dxfId="701" priority="42">
      <formula>kvartal&lt;4</formula>
    </cfRule>
  </conditionalFormatting>
  <conditionalFormatting sqref="E69">
    <cfRule type="expression" dxfId="700" priority="40">
      <formula>kvartal&lt;4</formula>
    </cfRule>
  </conditionalFormatting>
  <conditionalFormatting sqref="E72">
    <cfRule type="expression" dxfId="699" priority="39">
      <formula>kvartal&lt;4</formula>
    </cfRule>
  </conditionalFormatting>
  <conditionalFormatting sqref="F69">
    <cfRule type="expression" dxfId="698" priority="38">
      <formula>kvartal&lt;4</formula>
    </cfRule>
  </conditionalFormatting>
  <conditionalFormatting sqref="F72">
    <cfRule type="expression" dxfId="697" priority="37">
      <formula>kvartal&lt;4</formula>
    </cfRule>
  </conditionalFormatting>
  <conditionalFormatting sqref="H69">
    <cfRule type="expression" dxfId="696" priority="36">
      <formula>kvartal&lt;4</formula>
    </cfRule>
  </conditionalFormatting>
  <conditionalFormatting sqref="H72">
    <cfRule type="expression" dxfId="695" priority="35">
      <formula>kvartal&lt;4</formula>
    </cfRule>
  </conditionalFormatting>
  <conditionalFormatting sqref="I69">
    <cfRule type="expression" dxfId="694" priority="34">
      <formula>kvartal&lt;4</formula>
    </cfRule>
  </conditionalFormatting>
  <conditionalFormatting sqref="I72">
    <cfRule type="expression" dxfId="693" priority="33">
      <formula>kvartal&lt;4</formula>
    </cfRule>
  </conditionalFormatting>
  <conditionalFormatting sqref="E80">
    <cfRule type="expression" dxfId="692" priority="32">
      <formula>kvartal&lt;4</formula>
    </cfRule>
  </conditionalFormatting>
  <conditionalFormatting sqref="E83">
    <cfRule type="expression" dxfId="691" priority="31">
      <formula>kvartal&lt;4</formula>
    </cfRule>
  </conditionalFormatting>
  <conditionalFormatting sqref="F80">
    <cfRule type="expression" dxfId="690" priority="30">
      <formula>kvartal&lt;4</formula>
    </cfRule>
  </conditionalFormatting>
  <conditionalFormatting sqref="F83">
    <cfRule type="expression" dxfId="689" priority="29">
      <formula>kvartal&lt;4</formula>
    </cfRule>
  </conditionalFormatting>
  <conditionalFormatting sqref="H80">
    <cfRule type="expression" dxfId="688" priority="28">
      <formula>kvartal&lt;4</formula>
    </cfRule>
  </conditionalFormatting>
  <conditionalFormatting sqref="H83">
    <cfRule type="expression" dxfId="687" priority="27">
      <formula>kvartal&lt;4</formula>
    </cfRule>
  </conditionalFormatting>
  <conditionalFormatting sqref="I80">
    <cfRule type="expression" dxfId="686" priority="26">
      <formula>kvartal&lt;4</formula>
    </cfRule>
  </conditionalFormatting>
  <conditionalFormatting sqref="I83">
    <cfRule type="expression" dxfId="685" priority="25">
      <formula>kvartal&lt;4</formula>
    </cfRule>
  </conditionalFormatting>
  <conditionalFormatting sqref="B90">
    <cfRule type="expression" dxfId="684" priority="24">
      <formula>kvartal&lt;4</formula>
    </cfRule>
  </conditionalFormatting>
  <conditionalFormatting sqref="B93">
    <cfRule type="expression" dxfId="683" priority="23">
      <formula>kvartal&lt;4</formula>
    </cfRule>
  </conditionalFormatting>
  <conditionalFormatting sqref="C90">
    <cfRule type="expression" dxfId="682" priority="22">
      <formula>kvartal&lt;4</formula>
    </cfRule>
  </conditionalFormatting>
  <conditionalFormatting sqref="C93">
    <cfRule type="expression" dxfId="681" priority="21">
      <formula>kvartal&lt;4</formula>
    </cfRule>
  </conditionalFormatting>
  <conditionalFormatting sqref="E90">
    <cfRule type="expression" dxfId="680" priority="20">
      <formula>kvartal&lt;4</formula>
    </cfRule>
  </conditionalFormatting>
  <conditionalFormatting sqref="E93">
    <cfRule type="expression" dxfId="679" priority="19">
      <formula>kvartal&lt;4</formula>
    </cfRule>
  </conditionalFormatting>
  <conditionalFormatting sqref="F90">
    <cfRule type="expression" dxfId="678" priority="18">
      <formula>kvartal&lt;4</formula>
    </cfRule>
  </conditionalFormatting>
  <conditionalFormatting sqref="F93">
    <cfRule type="expression" dxfId="677" priority="17">
      <formula>kvartal&lt;4</formula>
    </cfRule>
  </conditionalFormatting>
  <conditionalFormatting sqref="H90">
    <cfRule type="expression" dxfId="676" priority="16">
      <formula>kvartal&lt;4</formula>
    </cfRule>
  </conditionalFormatting>
  <conditionalFormatting sqref="H93">
    <cfRule type="expression" dxfId="675" priority="15">
      <formula>kvartal&lt;4</formula>
    </cfRule>
  </conditionalFormatting>
  <conditionalFormatting sqref="I90">
    <cfRule type="expression" dxfId="674" priority="14">
      <formula>kvartal&lt;4</formula>
    </cfRule>
  </conditionalFormatting>
  <conditionalFormatting sqref="I93">
    <cfRule type="expression" dxfId="673" priority="13">
      <formula>kvartal&lt;4</formula>
    </cfRule>
  </conditionalFormatting>
  <conditionalFormatting sqref="B101">
    <cfRule type="expression" dxfId="672" priority="12">
      <formula>kvartal&lt;4</formula>
    </cfRule>
  </conditionalFormatting>
  <conditionalFormatting sqref="B104">
    <cfRule type="expression" dxfId="671" priority="11">
      <formula>kvartal&lt;4</formula>
    </cfRule>
  </conditionalFormatting>
  <conditionalFormatting sqref="C101">
    <cfRule type="expression" dxfId="670" priority="10">
      <formula>kvartal&lt;4</formula>
    </cfRule>
  </conditionalFormatting>
  <conditionalFormatting sqref="C104">
    <cfRule type="expression" dxfId="669" priority="9">
      <formula>kvartal&lt;4</formula>
    </cfRule>
  </conditionalFormatting>
  <conditionalFormatting sqref="E101">
    <cfRule type="expression" dxfId="668" priority="8">
      <formula>kvartal&lt;4</formula>
    </cfRule>
  </conditionalFormatting>
  <conditionalFormatting sqref="E104">
    <cfRule type="expression" dxfId="667" priority="7">
      <formula>kvartal&lt;4</formula>
    </cfRule>
  </conditionalFormatting>
  <conditionalFormatting sqref="F101">
    <cfRule type="expression" dxfId="666" priority="6">
      <formula>kvartal&lt;4</formula>
    </cfRule>
  </conditionalFormatting>
  <conditionalFormatting sqref="F104">
    <cfRule type="expression" dxfId="665" priority="5">
      <formula>kvartal&lt;4</formula>
    </cfRule>
  </conditionalFormatting>
  <conditionalFormatting sqref="H101">
    <cfRule type="expression" dxfId="664" priority="4">
      <formula>kvartal&lt;4</formula>
    </cfRule>
  </conditionalFormatting>
  <conditionalFormatting sqref="H104">
    <cfRule type="expression" dxfId="663" priority="3">
      <formula>kvartal&lt;4</formula>
    </cfRule>
  </conditionalFormatting>
  <conditionalFormatting sqref="I101">
    <cfRule type="expression" dxfId="662" priority="2">
      <formula>kvartal&lt;4</formula>
    </cfRule>
  </conditionalFormatting>
  <conditionalFormatting sqref="I104">
    <cfRule type="expression" dxfId="661" priority="1">
      <formula>kvartal&lt;4</formula>
    </cfRule>
  </conditionalFormatting>
  <pageMargins left="0.23622047244094491" right="0.23622047244094491" top="0.62992125984251968" bottom="0.59055118110236227" header="0.51181102362204722" footer="0.51181102362204722"/>
  <pageSetup paperSize="9" scale="55" fitToHeight="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7"/>
  <dimension ref="A1:Q144"/>
  <sheetViews>
    <sheetView showGridLines="0" zoomScaleNormal="100" workbookViewId="0"/>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7" x14ac:dyDescent="0.2">
      <c r="A1" s="157" t="s">
        <v>123</v>
      </c>
      <c r="B1" s="681"/>
      <c r="C1" s="233" t="s">
        <v>116</v>
      </c>
      <c r="D1" s="26"/>
      <c r="E1" s="26"/>
      <c r="F1" s="26"/>
      <c r="G1" s="26"/>
      <c r="H1" s="26"/>
      <c r="I1" s="26"/>
      <c r="J1" s="26"/>
      <c r="K1" s="26"/>
      <c r="L1" s="26"/>
      <c r="M1" s="26"/>
    </row>
    <row r="2" spans="1:17" ht="15.75" x14ac:dyDescent="0.25">
      <c r="A2" s="150" t="s">
        <v>28</v>
      </c>
      <c r="B2" s="717"/>
      <c r="C2" s="717"/>
      <c r="D2" s="717"/>
      <c r="E2" s="284"/>
      <c r="F2" s="717"/>
      <c r="G2" s="717"/>
      <c r="H2" s="717"/>
      <c r="I2" s="284"/>
      <c r="J2" s="717"/>
      <c r="K2" s="717"/>
      <c r="L2" s="717"/>
      <c r="M2" s="284"/>
    </row>
    <row r="3" spans="1:17" ht="15.75" x14ac:dyDescent="0.25">
      <c r="A3" s="148"/>
      <c r="B3" s="284"/>
      <c r="C3" s="284"/>
      <c r="D3" s="284"/>
      <c r="E3" s="284"/>
      <c r="F3" s="284"/>
      <c r="G3" s="284"/>
      <c r="H3" s="284"/>
      <c r="I3" s="284"/>
      <c r="J3" s="284"/>
      <c r="K3" s="284"/>
      <c r="L3" s="284"/>
      <c r="M3" s="284"/>
    </row>
    <row r="4" spans="1:17" x14ac:dyDescent="0.2">
      <c r="A4" s="129"/>
      <c r="B4" s="715" t="s">
        <v>0</v>
      </c>
      <c r="C4" s="716"/>
      <c r="D4" s="716"/>
      <c r="E4" s="286"/>
      <c r="F4" s="715" t="s">
        <v>1</v>
      </c>
      <c r="G4" s="716"/>
      <c r="H4" s="716"/>
      <c r="I4" s="289"/>
      <c r="J4" s="715" t="s">
        <v>2</v>
      </c>
      <c r="K4" s="716"/>
      <c r="L4" s="716"/>
      <c r="M4" s="289"/>
    </row>
    <row r="5" spans="1:17"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7" x14ac:dyDescent="0.2">
      <c r="A6" s="682"/>
      <c r="B6" s="141"/>
      <c r="C6" s="141"/>
      <c r="D6" s="231" t="s">
        <v>4</v>
      </c>
      <c r="E6" s="141" t="s">
        <v>30</v>
      </c>
      <c r="F6" s="146"/>
      <c r="G6" s="146"/>
      <c r="H6" s="230" t="s">
        <v>4</v>
      </c>
      <c r="I6" s="141" t="s">
        <v>30</v>
      </c>
      <c r="J6" s="146"/>
      <c r="K6" s="146"/>
      <c r="L6" s="230" t="s">
        <v>4</v>
      </c>
      <c r="M6" s="141" t="s">
        <v>30</v>
      </c>
    </row>
    <row r="7" spans="1:17" ht="15.75" x14ac:dyDescent="0.2">
      <c r="A7" s="14" t="s">
        <v>23</v>
      </c>
      <c r="B7" s="291">
        <v>83779.663589999996</v>
      </c>
      <c r="C7" s="292">
        <v>70096</v>
      </c>
      <c r="D7" s="334">
        <f>IF(B7=0, "    ---- ", IF(ABS(ROUND(100/B7*C7-100,1))&lt;999,ROUND(100/B7*C7-100,1),IF(ROUND(100/B7*C7-100,1)&gt;999,999,-999)))</f>
        <v>-16.3</v>
      </c>
      <c r="E7" s="11">
        <f>IFERROR(100/'Skjema total MA'!C7*C7,0)</f>
        <v>2.2256232290517177</v>
      </c>
      <c r="F7" s="291">
        <v>221295</v>
      </c>
      <c r="G7" s="292">
        <v>239362</v>
      </c>
      <c r="H7" s="334">
        <f>IF(F7=0, "    ---- ", IF(ABS(ROUND(100/F7*G7-100,1))&lt;999,ROUND(100/F7*G7-100,1),IF(ROUND(100/F7*G7-100,1)&gt;999,999,-999)))</f>
        <v>8.1999999999999993</v>
      </c>
      <c r="I7" s="145">
        <f>IFERROR(100/'Skjema total MA'!F7*G7,0)</f>
        <v>3.0764157614538621</v>
      </c>
      <c r="J7" s="293">
        <f t="shared" ref="J7:K12" si="0">SUM(B7,F7)</f>
        <v>305074.66359000001</v>
      </c>
      <c r="K7" s="294">
        <f t="shared" si="0"/>
        <v>309458</v>
      </c>
      <c r="L7" s="404">
        <f>IF(J7=0, "    ---- ", IF(ABS(ROUND(100/J7*K7-100,1))&lt;999,ROUND(100/J7*K7-100,1),IF(ROUND(100/J7*K7-100,1)&gt;999,999,-999)))</f>
        <v>1.4</v>
      </c>
      <c r="M7" s="11">
        <f>IFERROR(100/'Skjema total MA'!I7*K7,0)</f>
        <v>2.8312593794594334</v>
      </c>
    </row>
    <row r="8" spans="1:17" ht="15.75" x14ac:dyDescent="0.2">
      <c r="A8" s="21" t="s">
        <v>25</v>
      </c>
      <c r="B8" s="266">
        <v>13781.5</v>
      </c>
      <c r="C8" s="267">
        <v>12721</v>
      </c>
      <c r="D8" s="151">
        <f t="shared" ref="D8:D12" si="1">IF(B8=0, "    ---- ", IF(ABS(ROUND(100/B8*C8-100,1))&lt;999,ROUND(100/B8*C8-100,1),IF(ROUND(100/B8*C8-100,1)&gt;999,999,-999)))</f>
        <v>-7.7</v>
      </c>
      <c r="E8" s="27">
        <f>IFERROR(100/'Skjema total MA'!C8*C8,0)</f>
        <v>0.60409059250547925</v>
      </c>
      <c r="F8" s="270"/>
      <c r="G8" s="271"/>
      <c r="H8" s="151"/>
      <c r="I8" s="161"/>
      <c r="J8" s="218">
        <f t="shared" si="0"/>
        <v>13781.5</v>
      </c>
      <c r="K8" s="272">
        <f t="shared" si="0"/>
        <v>12721</v>
      </c>
      <c r="L8" s="151">
        <f t="shared" ref="L8:L9" si="2">IF(J8=0, "    ---- ", IF(ABS(ROUND(100/J8*K8-100,1))&lt;999,ROUND(100/J8*K8-100,1),IF(ROUND(100/J8*K8-100,1)&gt;999,999,-999)))</f>
        <v>-7.7</v>
      </c>
      <c r="M8" s="27">
        <f>IFERROR(100/'Skjema total MA'!I8*K8,0)</f>
        <v>0.60409059250547925</v>
      </c>
    </row>
    <row r="9" spans="1:17" ht="15.75" x14ac:dyDescent="0.2">
      <c r="A9" s="21" t="s">
        <v>24</v>
      </c>
      <c r="B9" s="266">
        <v>10236</v>
      </c>
      <c r="C9" s="267">
        <v>9266</v>
      </c>
      <c r="D9" s="151">
        <f t="shared" si="1"/>
        <v>-9.5</v>
      </c>
      <c r="E9" s="27">
        <f>IFERROR(100/'Skjema total MA'!C9*C9,0)</f>
        <v>1.3844347366501817</v>
      </c>
      <c r="F9" s="270"/>
      <c r="G9" s="271"/>
      <c r="H9" s="151"/>
      <c r="I9" s="161"/>
      <c r="J9" s="218">
        <f t="shared" si="0"/>
        <v>10236</v>
      </c>
      <c r="K9" s="272">
        <f t="shared" si="0"/>
        <v>9266</v>
      </c>
      <c r="L9" s="151">
        <f t="shared" si="2"/>
        <v>-9.5</v>
      </c>
      <c r="M9" s="27">
        <f>IFERROR(100/'Skjema total MA'!I9*K9,0)</f>
        <v>1.3844347366501817</v>
      </c>
    </row>
    <row r="10" spans="1:17" ht="15.75" x14ac:dyDescent="0.2">
      <c r="A10" s="13" t="s">
        <v>322</v>
      </c>
      <c r="B10" s="295">
        <v>7648022</v>
      </c>
      <c r="C10" s="296">
        <v>6365591</v>
      </c>
      <c r="D10" s="156">
        <f t="shared" si="1"/>
        <v>-16.8</v>
      </c>
      <c r="E10" s="11">
        <f>IFERROR(100/'Skjema total MA'!C10*C10,0)</f>
        <v>48.080964654854697</v>
      </c>
      <c r="F10" s="295">
        <v>7639640</v>
      </c>
      <c r="G10" s="296">
        <v>8789740</v>
      </c>
      <c r="H10" s="156">
        <f t="shared" ref="H10:H12" si="3">IF(F10=0, "    ---- ", IF(ABS(ROUND(100/F10*G10-100,1))&lt;999,ROUND(100/F10*G10-100,1),IF(ROUND(100/F10*G10-100,1)&gt;999,999,-999)))</f>
        <v>15.1</v>
      </c>
      <c r="I10" s="145">
        <f>IFERROR(100/'Skjema total MA'!F10*G10,0)</f>
        <v>9.37327568898802</v>
      </c>
      <c r="J10" s="293">
        <f t="shared" si="0"/>
        <v>15287662</v>
      </c>
      <c r="K10" s="294">
        <f t="shared" si="0"/>
        <v>15155331</v>
      </c>
      <c r="L10" s="405">
        <f t="shared" ref="L10:L12" si="4">IF(J10=0, "    ---- ", IF(ABS(ROUND(100/J10*K10-100,1))&lt;999,ROUND(100/J10*K10-100,1),IF(ROUND(100/J10*K10-100,1)&gt;999,999,-999)))</f>
        <v>-0.9</v>
      </c>
      <c r="M10" s="11">
        <f>IFERROR(100/'Skjema total MA'!I10*K10,0)</f>
        <v>14.16203548662468</v>
      </c>
      <c r="Q10" s="134"/>
    </row>
    <row r="11" spans="1:17" s="43" customFormat="1" ht="15.75" x14ac:dyDescent="0.2">
      <c r="A11" s="13" t="s">
        <v>323</v>
      </c>
      <c r="B11" s="295">
        <v>24653</v>
      </c>
      <c r="C11" s="296"/>
      <c r="D11" s="156">
        <f t="shared" si="1"/>
        <v>-100</v>
      </c>
      <c r="E11" s="11">
        <f>IFERROR(100/'Skjema total MA'!C11*C11,0)</f>
        <v>0</v>
      </c>
      <c r="F11" s="295">
        <v>16970</v>
      </c>
      <c r="G11" s="296">
        <v>20242</v>
      </c>
      <c r="H11" s="156">
        <f t="shared" si="3"/>
        <v>19.3</v>
      </c>
      <c r="I11" s="145">
        <f>IFERROR(100/'Skjema total MA'!F11*G11,0)</f>
        <v>9.9435983944437645</v>
      </c>
      <c r="J11" s="293">
        <f t="shared" si="0"/>
        <v>41623</v>
      </c>
      <c r="K11" s="294">
        <f t="shared" si="0"/>
        <v>20242</v>
      </c>
      <c r="L11" s="405">
        <f t="shared" si="4"/>
        <v>-51.4</v>
      </c>
      <c r="M11" s="11">
        <f>IFERROR(100/'Skjema total MA'!I11*K11,0)</f>
        <v>9.9435983944437645</v>
      </c>
      <c r="N11" s="128"/>
    </row>
    <row r="12" spans="1:17" s="43" customFormat="1" ht="15.75" x14ac:dyDescent="0.2">
      <c r="A12" s="41" t="s">
        <v>324</v>
      </c>
      <c r="B12" s="297">
        <v>1615</v>
      </c>
      <c r="C12" s="298"/>
      <c r="D12" s="154">
        <f t="shared" si="1"/>
        <v>-100</v>
      </c>
      <c r="E12" s="36">
        <f>IFERROR(100/'Skjema total MA'!C12*C12,0)</f>
        <v>0</v>
      </c>
      <c r="F12" s="297">
        <v>8894</v>
      </c>
      <c r="G12" s="298">
        <v>47072</v>
      </c>
      <c r="H12" s="154">
        <f t="shared" si="3"/>
        <v>429.3</v>
      </c>
      <c r="I12" s="154">
        <f>IFERROR(100/'Skjema total MA'!F12*G12,0)</f>
        <v>21.784766018030346</v>
      </c>
      <c r="J12" s="299">
        <f t="shared" si="0"/>
        <v>10509</v>
      </c>
      <c r="K12" s="300">
        <f t="shared" si="0"/>
        <v>47072</v>
      </c>
      <c r="L12" s="406">
        <f t="shared" si="4"/>
        <v>347.9</v>
      </c>
      <c r="M12" s="36">
        <f>IFERROR(100/'Skjema total MA'!I12*K12,0)</f>
        <v>21.784766018030346</v>
      </c>
      <c r="N12" s="128"/>
      <c r="Q12" s="128"/>
    </row>
    <row r="13" spans="1:17" s="43" customFormat="1" x14ac:dyDescent="0.2">
      <c r="A13" s="153"/>
      <c r="B13" s="130"/>
      <c r="C13" s="33"/>
      <c r="D13" s="144"/>
      <c r="E13" s="144"/>
      <c r="F13" s="130"/>
      <c r="G13" s="33"/>
      <c r="H13" s="144"/>
      <c r="I13" s="144"/>
      <c r="J13" s="48"/>
      <c r="K13" s="48"/>
      <c r="L13" s="144"/>
      <c r="M13" s="144"/>
      <c r="N13" s="128"/>
    </row>
    <row r="14" spans="1:17" x14ac:dyDescent="0.2">
      <c r="A14" s="138" t="s">
        <v>245</v>
      </c>
      <c r="B14" s="26"/>
    </row>
    <row r="15" spans="1:17" x14ac:dyDescent="0.2">
      <c r="F15" s="131"/>
      <c r="G15" s="131"/>
      <c r="H15" s="131"/>
      <c r="I15" s="131"/>
      <c r="J15" s="131"/>
      <c r="K15" s="131"/>
      <c r="L15" s="131"/>
      <c r="M15" s="131"/>
    </row>
    <row r="16" spans="1:17"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v>124415</v>
      </c>
      <c r="C22" s="295">
        <v>126305</v>
      </c>
      <c r="D22" s="334">
        <f t="shared" ref="D22:D39" si="5">IF(B22=0, "    ---- ", IF(ABS(ROUND(100/B22*C22-100,1))&lt;999,ROUND(100/B22*C22-100,1),IF(ROUND(100/B22*C22-100,1)&gt;999,999,-999)))</f>
        <v>1.5</v>
      </c>
      <c r="E22" s="11">
        <f>IFERROR(100/'Skjema total MA'!C22*C22,0)</f>
        <v>9.0317443227977083</v>
      </c>
      <c r="F22" s="303">
        <v>10910.906000000001</v>
      </c>
      <c r="G22" s="303">
        <v>10178</v>
      </c>
      <c r="H22" s="334">
        <f t="shared" ref="H22:H35" si="6">IF(F22=0, "    ---- ", IF(ABS(ROUND(100/F22*G22-100,1))&lt;999,ROUND(100/F22*G22-100,1),IF(ROUND(100/F22*G22-100,1)&gt;999,999,-999)))</f>
        <v>-6.7</v>
      </c>
      <c r="I22" s="11">
        <f>IFERROR(100/'Skjema total MA'!F22*G22,0)</f>
        <v>2.1306366598396993</v>
      </c>
      <c r="J22" s="301">
        <f t="shared" ref="J22:K35" si="7">SUM(B22,F22)</f>
        <v>135325.90599999999</v>
      </c>
      <c r="K22" s="301">
        <f t="shared" si="7"/>
        <v>136483</v>
      </c>
      <c r="L22" s="404">
        <f t="shared" ref="L22:L35" si="8">IF(J22=0, "    ---- ", IF(ABS(ROUND(100/J22*K22-100,1))&lt;999,ROUND(100/J22*K22-100,1),IF(ROUND(100/J22*K22-100,1)&gt;999,999,-999)))</f>
        <v>0.9</v>
      </c>
      <c r="M22" s="24">
        <f>IFERROR(100/'Skjema total MA'!I22*K22,0)</f>
        <v>7.2746163636391623</v>
      </c>
    </row>
    <row r="23" spans="1:14" ht="15.75" x14ac:dyDescent="0.2">
      <c r="A23" s="453" t="s">
        <v>325</v>
      </c>
      <c r="B23" s="266">
        <v>108371</v>
      </c>
      <c r="C23" s="266">
        <v>111434.126631611</v>
      </c>
      <c r="D23" s="151">
        <f t="shared" si="5"/>
        <v>2.8</v>
      </c>
      <c r="E23" s="11">
        <f>IFERROR(100/'Skjema total MA'!C23*C23,0)</f>
        <v>12.412754507158731</v>
      </c>
      <c r="F23" s="275">
        <v>7159.87</v>
      </c>
      <c r="G23" s="275">
        <v>6756</v>
      </c>
      <c r="H23" s="151">
        <f t="shared" si="6"/>
        <v>-5.6</v>
      </c>
      <c r="I23" s="394">
        <f>IFERROR(100/'Skjema total MA'!F23*G23,0)</f>
        <v>28.123718209559929</v>
      </c>
      <c r="J23" s="275">
        <f t="shared" ref="J23:J25" si="9">SUM(B23,F23)</f>
        <v>115530.87</v>
      </c>
      <c r="K23" s="275">
        <f t="shared" ref="K23:K25" si="10">SUM(C23,G23)</f>
        <v>118190.126631611</v>
      </c>
      <c r="L23" s="151">
        <f t="shared" si="8"/>
        <v>2.2999999999999998</v>
      </c>
      <c r="M23" s="23">
        <f>IFERROR(100/'Skjema total MA'!I23*K23,0)</f>
        <v>12.822204852218247</v>
      </c>
    </row>
    <row r="24" spans="1:14" ht="15.75" x14ac:dyDescent="0.2">
      <c r="A24" s="453" t="s">
        <v>326</v>
      </c>
      <c r="B24" s="266">
        <v>5193</v>
      </c>
      <c r="C24" s="266">
        <v>4581.0712167330603</v>
      </c>
      <c r="D24" s="151">
        <f t="shared" si="5"/>
        <v>-11.8</v>
      </c>
      <c r="E24" s="11">
        <f>IFERROR(100/'Skjema total MA'!C24*C24,0)</f>
        <v>65.652067885605561</v>
      </c>
      <c r="F24" s="275">
        <v>12</v>
      </c>
      <c r="G24" s="275">
        <v>12</v>
      </c>
      <c r="H24" s="151">
        <f t="shared" si="6"/>
        <v>0</v>
      </c>
      <c r="I24" s="394">
        <f>IFERROR(100/'Skjema total MA'!F24*G24,0)</f>
        <v>1.4137858541394306</v>
      </c>
      <c r="J24" s="275">
        <f t="shared" si="9"/>
        <v>5205</v>
      </c>
      <c r="K24" s="275">
        <f t="shared" si="10"/>
        <v>4593.0712167330603</v>
      </c>
      <c r="L24" s="151">
        <f t="shared" si="8"/>
        <v>-11.8</v>
      </c>
      <c r="M24" s="23">
        <f>IFERROR(100/'Skjema total MA'!I24*K24,0)</f>
        <v>58.685495866734982</v>
      </c>
    </row>
    <row r="25" spans="1:14" ht="15.75" x14ac:dyDescent="0.2">
      <c r="A25" s="453" t="s">
        <v>327</v>
      </c>
      <c r="B25" s="266">
        <v>10851</v>
      </c>
      <c r="C25" s="266">
        <v>10289.802151656</v>
      </c>
      <c r="D25" s="151">
        <f t="shared" si="5"/>
        <v>-5.2</v>
      </c>
      <c r="E25" s="11">
        <f>IFERROR(100/'Skjema total MA'!C25*C25,0)</f>
        <v>99.999999999999986</v>
      </c>
      <c r="F25" s="275">
        <v>3739.0360000000001</v>
      </c>
      <c r="G25" s="275">
        <v>3410</v>
      </c>
      <c r="H25" s="151">
        <f t="shared" si="6"/>
        <v>-8.8000000000000007</v>
      </c>
      <c r="I25" s="394">
        <f>IFERROR(100/'Skjema total MA'!F25*G25,0)</f>
        <v>48.249877268088945</v>
      </c>
      <c r="J25" s="275">
        <f t="shared" si="9"/>
        <v>14590.036</v>
      </c>
      <c r="K25" s="275">
        <f t="shared" si="10"/>
        <v>13699.802151656</v>
      </c>
      <c r="L25" s="151">
        <f t="shared" si="8"/>
        <v>-6.1</v>
      </c>
      <c r="M25" s="23">
        <f>IFERROR(100/'Skjema total MA'!I25*K25,0)</f>
        <v>78.928743108427028</v>
      </c>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v>52135.5</v>
      </c>
      <c r="C28" s="272">
        <v>51070</v>
      </c>
      <c r="D28" s="151">
        <f t="shared" si="5"/>
        <v>-2</v>
      </c>
      <c r="E28" s="11">
        <f>IFERROR(100/'Skjema total MA'!C28*C28,0)</f>
        <v>3.0239522582423439</v>
      </c>
      <c r="F28" s="218"/>
      <c r="G28" s="272"/>
      <c r="H28" s="151"/>
      <c r="I28" s="27"/>
      <c r="J28" s="44">
        <f t="shared" si="7"/>
        <v>52135.5</v>
      </c>
      <c r="K28" s="44">
        <f t="shared" si="7"/>
        <v>51070</v>
      </c>
      <c r="L28" s="242">
        <f t="shared" si="8"/>
        <v>-2</v>
      </c>
      <c r="M28" s="23">
        <f>IFERROR(100/'Skjema total MA'!I28*K28,0)</f>
        <v>3.0239522582423439</v>
      </c>
    </row>
    <row r="29" spans="1:14" s="3" customFormat="1" ht="15.75" x14ac:dyDescent="0.2">
      <c r="A29" s="13" t="s">
        <v>322</v>
      </c>
      <c r="B29" s="220">
        <v>20668238.077</v>
      </c>
      <c r="C29" s="220">
        <v>19642477</v>
      </c>
      <c r="D29" s="156">
        <f t="shared" si="5"/>
        <v>-5</v>
      </c>
      <c r="E29" s="11">
        <f>IFERROR(100/'Skjema total MA'!C29*C29,0)</f>
        <v>44.860593617022339</v>
      </c>
      <c r="F29" s="293">
        <v>4475748</v>
      </c>
      <c r="G29" s="293">
        <v>4992308</v>
      </c>
      <c r="H29" s="156">
        <f t="shared" si="6"/>
        <v>11.5</v>
      </c>
      <c r="I29" s="11">
        <f>IFERROR(100/'Skjema total MA'!F29*G29,0)</f>
        <v>17.531867067579697</v>
      </c>
      <c r="J29" s="220">
        <f t="shared" si="7"/>
        <v>25143986.077</v>
      </c>
      <c r="K29" s="220">
        <f t="shared" si="7"/>
        <v>24634785</v>
      </c>
      <c r="L29" s="405">
        <f t="shared" si="8"/>
        <v>-2</v>
      </c>
      <c r="M29" s="24">
        <f>IFERROR(100/'Skjema total MA'!I29*K29,0)</f>
        <v>34.091296878756999</v>
      </c>
      <c r="N29" s="133"/>
    </row>
    <row r="30" spans="1:14" s="3" customFormat="1" ht="15.75" x14ac:dyDescent="0.2">
      <c r="A30" s="453" t="s">
        <v>325</v>
      </c>
      <c r="B30" s="266">
        <v>4285930.6375075802</v>
      </c>
      <c r="C30" s="266">
        <v>4196989</v>
      </c>
      <c r="D30" s="151">
        <f t="shared" si="5"/>
        <v>-2.1</v>
      </c>
      <c r="E30" s="11">
        <f>IFERROR(100/'Skjema total MA'!C30*C30,0)</f>
        <v>23.300720136158699</v>
      </c>
      <c r="F30" s="275">
        <v>1453258</v>
      </c>
      <c r="G30" s="275">
        <v>1619112</v>
      </c>
      <c r="H30" s="151">
        <f t="shared" si="6"/>
        <v>11.4</v>
      </c>
      <c r="I30" s="394">
        <f>IFERROR(100/'Skjema total MA'!F30*G30,0)</f>
        <v>42.977344843724282</v>
      </c>
      <c r="J30" s="275">
        <f t="shared" ref="J30:J32" si="11">SUM(B30,F30)</f>
        <v>5739188.6375075802</v>
      </c>
      <c r="K30" s="275">
        <f t="shared" ref="K30:K32" si="12">SUM(C30,G30)</f>
        <v>5816101</v>
      </c>
      <c r="L30" s="151">
        <f t="shared" si="8"/>
        <v>1.3</v>
      </c>
      <c r="M30" s="23">
        <f>IFERROR(100/'Skjema total MA'!I30*K30,0)</f>
        <v>26.704311009991677</v>
      </c>
      <c r="N30" s="133"/>
    </row>
    <row r="31" spans="1:14" s="3" customFormat="1" ht="15.75" x14ac:dyDescent="0.2">
      <c r="A31" s="453" t="s">
        <v>326</v>
      </c>
      <c r="B31" s="266">
        <v>14975408.4353771</v>
      </c>
      <c r="C31" s="266">
        <v>14011936</v>
      </c>
      <c r="D31" s="151">
        <f t="shared" si="5"/>
        <v>-6.4</v>
      </c>
      <c r="E31" s="11">
        <f>IFERROR(100/'Skjema total MA'!C31*C31,0)</f>
        <v>60.029064954839768</v>
      </c>
      <c r="F31" s="275">
        <v>2500305</v>
      </c>
      <c r="G31" s="275">
        <v>2791203</v>
      </c>
      <c r="H31" s="151">
        <f t="shared" si="6"/>
        <v>11.6</v>
      </c>
      <c r="I31" s="394">
        <f>IFERROR(100/'Skjema total MA'!F31*G31,0)</f>
        <v>35.993411198078469</v>
      </c>
      <c r="J31" s="275">
        <f t="shared" si="11"/>
        <v>17475713.435377099</v>
      </c>
      <c r="K31" s="275">
        <f t="shared" si="12"/>
        <v>16803139</v>
      </c>
      <c r="L31" s="151">
        <f t="shared" si="8"/>
        <v>-3.8</v>
      </c>
      <c r="M31" s="23">
        <f>IFERROR(100/'Skjema total MA'!I31*K31,0)</f>
        <v>54.035153487791305</v>
      </c>
      <c r="N31" s="133"/>
    </row>
    <row r="32" spans="1:14" ht="15.75" x14ac:dyDescent="0.2">
      <c r="A32" s="453" t="s">
        <v>327</v>
      </c>
      <c r="B32" s="266">
        <v>1406899.0041153401</v>
      </c>
      <c r="C32" s="266">
        <v>1433552</v>
      </c>
      <c r="D32" s="151">
        <f t="shared" si="5"/>
        <v>1.9</v>
      </c>
      <c r="E32" s="11">
        <f>IFERROR(100/'Skjema total MA'!C32*C32,0)</f>
        <v>61.829514559052186</v>
      </c>
      <c r="F32" s="275">
        <v>522185</v>
      </c>
      <c r="G32" s="275">
        <v>581993</v>
      </c>
      <c r="H32" s="151">
        <f t="shared" si="6"/>
        <v>11.5</v>
      </c>
      <c r="I32" s="394">
        <f>IFERROR(100/'Skjema total MA'!F32*G32,0)</f>
        <v>8.8913220363175309</v>
      </c>
      <c r="J32" s="275">
        <f t="shared" si="11"/>
        <v>1929084.0041153401</v>
      </c>
      <c r="K32" s="275">
        <f t="shared" si="12"/>
        <v>2015545</v>
      </c>
      <c r="L32" s="151">
        <f t="shared" si="8"/>
        <v>4.5</v>
      </c>
      <c r="M32" s="23">
        <f>IFERROR(100/'Skjema total MA'!I32*K32,0)</f>
        <v>22.738072953143906</v>
      </c>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v>8117</v>
      </c>
      <c r="C34" s="294">
        <v>6782</v>
      </c>
      <c r="D34" s="156">
        <f t="shared" si="5"/>
        <v>-16.399999999999999</v>
      </c>
      <c r="E34" s="11">
        <f>IFERROR(100/'Skjema total MA'!C34*C34,0)</f>
        <v>59.910909244778026</v>
      </c>
      <c r="F34" s="293">
        <v>-51626</v>
      </c>
      <c r="G34" s="294">
        <v>-195642</v>
      </c>
      <c r="H34" s="156">
        <f t="shared" si="6"/>
        <v>279</v>
      </c>
      <c r="I34" s="11">
        <f>IFERROR(100/'Skjema total MA'!F34*G34,0)</f>
        <v>191.41568674881822</v>
      </c>
      <c r="J34" s="220">
        <f t="shared" si="7"/>
        <v>-43509</v>
      </c>
      <c r="K34" s="220">
        <f t="shared" si="7"/>
        <v>-188860</v>
      </c>
      <c r="L34" s="405">
        <f t="shared" si="8"/>
        <v>334.1</v>
      </c>
      <c r="M34" s="24">
        <f>IFERROR(100/'Skjema total MA'!I34*K34,0)</f>
        <v>207.79470622925982</v>
      </c>
    </row>
    <row r="35" spans="1:14" ht="15.75" x14ac:dyDescent="0.2">
      <c r="A35" s="13" t="s">
        <v>324</v>
      </c>
      <c r="B35" s="220">
        <v>-54972</v>
      </c>
      <c r="C35" s="294">
        <v>-193241</v>
      </c>
      <c r="D35" s="156">
        <f t="shared" si="5"/>
        <v>251.5</v>
      </c>
      <c r="E35" s="11">
        <f>IFERROR(100/'Skjema total MA'!C35*C35,0)</f>
        <v>100.5125909949746</v>
      </c>
      <c r="F35" s="293">
        <v>865</v>
      </c>
      <c r="G35" s="294">
        <v>4967</v>
      </c>
      <c r="H35" s="156">
        <f t="shared" si="6"/>
        <v>474.2</v>
      </c>
      <c r="I35" s="11">
        <f>IFERROR(100/'Skjema total MA'!F35*G35,0)</f>
        <v>4.5243220571012861</v>
      </c>
      <c r="J35" s="220">
        <f t="shared" si="7"/>
        <v>-54107</v>
      </c>
      <c r="K35" s="220">
        <f t="shared" si="7"/>
        <v>-188274</v>
      </c>
      <c r="L35" s="405">
        <f t="shared" si="8"/>
        <v>248</v>
      </c>
      <c r="M35" s="24">
        <f>IFERROR(100/'Skjema total MA'!I35*K35,0)</f>
        <v>228.29084780157797</v>
      </c>
    </row>
    <row r="36" spans="1:14" ht="15.75" x14ac:dyDescent="0.2">
      <c r="A36" s="12" t="s">
        <v>254</v>
      </c>
      <c r="B36" s="220">
        <v>1106</v>
      </c>
      <c r="C36" s="294">
        <v>998</v>
      </c>
      <c r="D36" s="156">
        <f t="shared" si="5"/>
        <v>-9.8000000000000007</v>
      </c>
      <c r="E36" s="11">
        <f>100/'Skjema total MA'!C36*C36</f>
        <v>13.827067718133424</v>
      </c>
      <c r="F36" s="304"/>
      <c r="G36" s="305"/>
      <c r="H36" s="156"/>
      <c r="I36" s="411"/>
      <c r="J36" s="220">
        <f t="shared" ref="J36:J39" si="13">SUM(B36,F36)</f>
        <v>1106</v>
      </c>
      <c r="K36" s="220">
        <f t="shared" ref="K36:K39" si="14">SUM(C36,G36)</f>
        <v>998</v>
      </c>
      <c r="L36" s="405"/>
      <c r="M36" s="24">
        <f>IFERROR(100/'Skjema total MA'!I36*K36,0)</f>
        <v>13.827067718133424</v>
      </c>
    </row>
    <row r="37" spans="1:14" ht="15.75" x14ac:dyDescent="0.2">
      <c r="A37" s="12" t="s">
        <v>330</v>
      </c>
      <c r="B37" s="220">
        <v>2387496</v>
      </c>
      <c r="C37" s="294">
        <v>2191441.7312699999</v>
      </c>
      <c r="D37" s="156">
        <f t="shared" si="5"/>
        <v>-8.1999999999999993</v>
      </c>
      <c r="E37" s="11">
        <f>100/'Skjema total MA'!C37*C37</f>
        <v>84.528093414309495</v>
      </c>
      <c r="F37" s="304"/>
      <c r="G37" s="306"/>
      <c r="H37" s="156"/>
      <c r="I37" s="411"/>
      <c r="J37" s="220">
        <f t="shared" si="13"/>
        <v>2387496</v>
      </c>
      <c r="K37" s="220">
        <f t="shared" si="14"/>
        <v>2191441.7312699999</v>
      </c>
      <c r="L37" s="405"/>
      <c r="M37" s="24">
        <f>IFERROR(100/'Skjema total MA'!I37*K37,0)</f>
        <v>84.528093414309495</v>
      </c>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v>8</v>
      </c>
      <c r="C39" s="300">
        <v>1</v>
      </c>
      <c r="D39" s="154">
        <f t="shared" si="5"/>
        <v>-87.5</v>
      </c>
      <c r="E39" s="36">
        <f>IFERROR(100/'Skjema total MA'!C38*C39,0)</f>
        <v>0</v>
      </c>
      <c r="F39" s="307"/>
      <c r="G39" s="308"/>
      <c r="H39" s="154"/>
      <c r="I39" s="36"/>
      <c r="J39" s="220">
        <f t="shared" si="13"/>
        <v>8</v>
      </c>
      <c r="K39" s="220">
        <f t="shared" si="14"/>
        <v>1</v>
      </c>
      <c r="L39" s="406"/>
      <c r="M39" s="36">
        <f>IFERROR(100/'Skjema total MA'!I39*K39,0)</f>
        <v>100</v>
      </c>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473178.27100000001</v>
      </c>
      <c r="C47" s="296">
        <v>511600</v>
      </c>
      <c r="D47" s="404">
        <f t="shared" ref="D47:D57" si="15">IF(B47=0, "    ---- ", IF(ABS(ROUND(100/B47*C47-100,1))&lt;999,ROUND(100/B47*C47-100,1),IF(ROUND(100/B47*C47-100,1)&gt;999,999,-999)))</f>
        <v>8.1</v>
      </c>
      <c r="E47" s="11">
        <f>IFERROR(100/'Skjema total MA'!C47*C47,0)</f>
        <v>9.8150907644225533</v>
      </c>
      <c r="F47" s="130"/>
      <c r="G47" s="33"/>
      <c r="H47" s="144"/>
      <c r="I47" s="144"/>
      <c r="J47" s="37"/>
      <c r="K47" s="37"/>
      <c r="L47" s="144"/>
      <c r="M47" s="144"/>
      <c r="N47" s="133"/>
    </row>
    <row r="48" spans="1:14" s="3" customFormat="1" ht="15.75" x14ac:dyDescent="0.2">
      <c r="A48" s="38" t="s">
        <v>333</v>
      </c>
      <c r="B48" s="266">
        <v>473178.27100000001</v>
      </c>
      <c r="C48" s="267">
        <v>511600</v>
      </c>
      <c r="D48" s="242">
        <f t="shared" si="15"/>
        <v>8.1</v>
      </c>
      <c r="E48" s="27">
        <f>IFERROR(100/'Skjema total MA'!C48*C48,0)</f>
        <v>17.238449190931053</v>
      </c>
      <c r="F48" s="130"/>
      <c r="G48" s="33"/>
      <c r="H48" s="130"/>
      <c r="I48" s="130"/>
      <c r="J48" s="33"/>
      <c r="K48" s="33"/>
      <c r="L48" s="144"/>
      <c r="M48" s="144"/>
      <c r="N48" s="133"/>
    </row>
    <row r="49" spans="1:14" s="3" customFormat="1" ht="15.75" x14ac:dyDescent="0.2">
      <c r="A49" s="38" t="s">
        <v>334</v>
      </c>
      <c r="B49" s="44"/>
      <c r="C49" s="272"/>
      <c r="D49" s="242"/>
      <c r="E49" s="27"/>
      <c r="F49" s="130"/>
      <c r="G49" s="33"/>
      <c r="H49" s="130"/>
      <c r="I49" s="130"/>
      <c r="J49" s="37"/>
      <c r="K49" s="37"/>
      <c r="L49" s="144"/>
      <c r="M49" s="144"/>
      <c r="N49" s="133"/>
    </row>
    <row r="50" spans="1:14" s="3" customFormat="1" x14ac:dyDescent="0.2">
      <c r="A50" s="281" t="s">
        <v>6</v>
      </c>
      <c r="B50" s="304"/>
      <c r="C50" s="304"/>
      <c r="D50" s="242"/>
      <c r="E50" s="23"/>
      <c r="F50" s="130"/>
      <c r="G50" s="33"/>
      <c r="H50" s="130"/>
      <c r="I50" s="130"/>
      <c r="J50" s="33"/>
      <c r="K50" s="33"/>
      <c r="L50" s="144"/>
      <c r="M50" s="144"/>
      <c r="N50" s="133"/>
    </row>
    <row r="51" spans="1:14" s="3" customFormat="1" x14ac:dyDescent="0.2">
      <c r="A51" s="281" t="s">
        <v>7</v>
      </c>
      <c r="B51" s="304"/>
      <c r="C51" s="304"/>
      <c r="D51" s="242"/>
      <c r="E51" s="23"/>
      <c r="F51" s="130"/>
      <c r="G51" s="33"/>
      <c r="H51" s="130"/>
      <c r="I51" s="130"/>
      <c r="J51" s="33"/>
      <c r="K51" s="33"/>
      <c r="L51" s="144"/>
      <c r="M51" s="144"/>
      <c r="N51" s="133"/>
    </row>
    <row r="52" spans="1:14" s="3" customFormat="1" x14ac:dyDescent="0.2">
      <c r="A52" s="281" t="s">
        <v>8</v>
      </c>
      <c r="B52" s="304"/>
      <c r="C52" s="304"/>
      <c r="D52" s="242"/>
      <c r="E52" s="23"/>
      <c r="F52" s="130"/>
      <c r="G52" s="33"/>
      <c r="H52" s="130"/>
      <c r="I52" s="130"/>
      <c r="J52" s="33"/>
      <c r="K52" s="33"/>
      <c r="L52" s="144"/>
      <c r="M52" s="144"/>
      <c r="N52" s="133"/>
    </row>
    <row r="53" spans="1:14" s="3" customFormat="1" ht="15.75" x14ac:dyDescent="0.2">
      <c r="A53" s="39" t="s">
        <v>335</v>
      </c>
      <c r="B53" s="295">
        <v>26800</v>
      </c>
      <c r="C53" s="296">
        <v>24100</v>
      </c>
      <c r="D53" s="405">
        <f t="shared" si="15"/>
        <v>-10.1</v>
      </c>
      <c r="E53" s="11">
        <f>IFERROR(100/'Skjema total MA'!C53*C53,0)</f>
        <v>15.041918924717393</v>
      </c>
      <c r="F53" s="130"/>
      <c r="G53" s="33"/>
      <c r="H53" s="130"/>
      <c r="I53" s="130"/>
      <c r="J53" s="33"/>
      <c r="K53" s="33"/>
      <c r="L53" s="144"/>
      <c r="M53" s="144"/>
      <c r="N53" s="133"/>
    </row>
    <row r="54" spans="1:14" s="3" customFormat="1" ht="15.75" x14ac:dyDescent="0.2">
      <c r="A54" s="38" t="s">
        <v>333</v>
      </c>
      <c r="B54" s="266">
        <v>26800</v>
      </c>
      <c r="C54" s="267">
        <v>24100</v>
      </c>
      <c r="D54" s="242">
        <f t="shared" si="15"/>
        <v>-10.1</v>
      </c>
      <c r="E54" s="27">
        <f>IFERROR(100/'Skjema total MA'!C54*C54,0)</f>
        <v>15.135346452952309</v>
      </c>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v>63800</v>
      </c>
      <c r="C56" s="296">
        <v>34600</v>
      </c>
      <c r="D56" s="405">
        <f t="shared" si="15"/>
        <v>-45.8</v>
      </c>
      <c r="E56" s="11">
        <f>IFERROR(100/'Skjema total MA'!C56*C56,0)</f>
        <v>23.655774946231652</v>
      </c>
      <c r="F56" s="130"/>
      <c r="G56" s="33"/>
      <c r="H56" s="130"/>
      <c r="I56" s="130"/>
      <c r="J56" s="33"/>
      <c r="K56" s="33"/>
      <c r="L56" s="144"/>
      <c r="M56" s="144"/>
      <c r="N56" s="133"/>
    </row>
    <row r="57" spans="1:14" s="3" customFormat="1" ht="15.75" x14ac:dyDescent="0.2">
      <c r="A57" s="38" t="s">
        <v>333</v>
      </c>
      <c r="B57" s="266">
        <v>63800</v>
      </c>
      <c r="C57" s="267">
        <v>34600</v>
      </c>
      <c r="D57" s="242">
        <f t="shared" si="15"/>
        <v>-45.8</v>
      </c>
      <c r="E57" s="27">
        <f>IFERROR(100/'Skjema total MA'!C57*C57,0)</f>
        <v>23.655774946231652</v>
      </c>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v>1239294</v>
      </c>
      <c r="C66" s="337">
        <v>1293338</v>
      </c>
      <c r="D66" s="334">
        <f t="shared" ref="D66:D111" si="16">IF(B66=0, "    ---- ", IF(ABS(ROUND(100/B66*C66-100,1))&lt;999,ROUND(100/B66*C66-100,1),IF(ROUND(100/B66*C66-100,1)&gt;999,999,-999)))</f>
        <v>4.4000000000000004</v>
      </c>
      <c r="E66" s="11">
        <f>IFERROR(100/'Skjema total MA'!C66*C66,0)</f>
        <v>26.481869578568148</v>
      </c>
      <c r="F66" s="336">
        <v>6833989</v>
      </c>
      <c r="G66" s="336">
        <v>7640884</v>
      </c>
      <c r="H66" s="334">
        <f t="shared" ref="H66:H111" si="17">IF(F66=0, "    ---- ", IF(ABS(ROUND(100/F66*G66-100,1))&lt;999,ROUND(100/F66*G66-100,1),IF(ROUND(100/F66*G66-100,1)&gt;999,999,-999)))</f>
        <v>11.8</v>
      </c>
      <c r="I66" s="11">
        <f>IFERROR(100/'Skjema total MA'!F66*G66,0)</f>
        <v>29.082954096683245</v>
      </c>
      <c r="J66" s="294">
        <f t="shared" ref="J66:K86" si="18">SUM(B66,F66)</f>
        <v>8073283</v>
      </c>
      <c r="K66" s="301">
        <f t="shared" si="18"/>
        <v>8934222</v>
      </c>
      <c r="L66" s="405">
        <f t="shared" ref="L66:L111" si="19">IF(J66=0, "    ---- ", IF(ABS(ROUND(100/J66*K66-100,1))&lt;999,ROUND(100/J66*K66-100,1),IF(ROUND(100/J66*K66-100,1)&gt;999,999,-999)))</f>
        <v>10.7</v>
      </c>
      <c r="M66" s="11">
        <f>IFERROR(100/'Skjema total MA'!I66*K66,0)</f>
        <v>28.675228471980507</v>
      </c>
    </row>
    <row r="67" spans="1:14" x14ac:dyDescent="0.2">
      <c r="A67" s="21" t="s">
        <v>9</v>
      </c>
      <c r="B67" s="44">
        <v>1031404</v>
      </c>
      <c r="C67" s="130">
        <v>1045602</v>
      </c>
      <c r="D67" s="151">
        <f t="shared" si="16"/>
        <v>1.4</v>
      </c>
      <c r="E67" s="27">
        <f>IFERROR(100/'Skjema total MA'!C67*C67,0)</f>
        <v>36.056421267528933</v>
      </c>
      <c r="F67" s="218"/>
      <c r="G67" s="130"/>
      <c r="H67" s="151"/>
      <c r="I67" s="27"/>
      <c r="J67" s="272">
        <f t="shared" si="18"/>
        <v>1031404</v>
      </c>
      <c r="K67" s="44">
        <f t="shared" si="18"/>
        <v>1045602</v>
      </c>
      <c r="L67" s="242">
        <f t="shared" si="19"/>
        <v>1.4</v>
      </c>
      <c r="M67" s="27">
        <f>IFERROR(100/'Skjema total MA'!I67*K67,0)</f>
        <v>36.056421267528933</v>
      </c>
    </row>
    <row r="68" spans="1:14" x14ac:dyDescent="0.2">
      <c r="A68" s="21" t="s">
        <v>10</v>
      </c>
      <c r="B68" s="277"/>
      <c r="C68" s="278"/>
      <c r="D68" s="151"/>
      <c r="E68" s="27"/>
      <c r="F68" s="277">
        <v>6833989</v>
      </c>
      <c r="G68" s="278">
        <v>7640884</v>
      </c>
      <c r="H68" s="151">
        <f t="shared" si="17"/>
        <v>11.8</v>
      </c>
      <c r="I68" s="27">
        <f>IFERROR(100/'Skjema total MA'!F68*G68,0)</f>
        <v>30.26557104860581</v>
      </c>
      <c r="J68" s="272">
        <f t="shared" si="18"/>
        <v>6833989</v>
      </c>
      <c r="K68" s="44">
        <f t="shared" si="18"/>
        <v>7640884</v>
      </c>
      <c r="L68" s="242">
        <f t="shared" si="19"/>
        <v>11.8</v>
      </c>
      <c r="M68" s="27">
        <f>IFERROR(100/'Skjema total MA'!I68*K68,0)</f>
        <v>30.245270962064126</v>
      </c>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v>207890</v>
      </c>
      <c r="C76" s="130">
        <v>247736</v>
      </c>
      <c r="D76" s="151">
        <f t="shared" ref="D76" si="20">IF(B76=0, "    ---- ", IF(ABS(ROUND(100/B76*C76-100,1))&lt;999,ROUND(100/B76*C76-100,1),IF(ROUND(100/B76*C76-100,1)&gt;999,999,-999)))</f>
        <v>19.2</v>
      </c>
      <c r="E76" s="27">
        <f>IFERROR(100/'Skjema total MA'!C77*C76,0)</f>
        <v>8.7023409763122537</v>
      </c>
      <c r="F76" s="218"/>
      <c r="G76" s="130"/>
      <c r="H76" s="151"/>
      <c r="I76" s="27"/>
      <c r="J76" s="272">
        <f t="shared" ref="J76" si="21">SUM(B76,F76)</f>
        <v>207890</v>
      </c>
      <c r="K76" s="44">
        <f t="shared" ref="K76" si="22">SUM(C76,G76)</f>
        <v>247736</v>
      </c>
      <c r="L76" s="242">
        <f t="shared" ref="L76" si="23">IF(J76=0, "    ---- ", IF(ABS(ROUND(100/J76*K76-100,1))&lt;999,ROUND(100/J76*K76-100,1),IF(ROUND(100/J76*K76-100,1)&gt;999,999,-999)))</f>
        <v>19.2</v>
      </c>
      <c r="M76" s="27">
        <f>IFERROR(100/'Skjema total MA'!I77*K76,0)</f>
        <v>0.88205216336486514</v>
      </c>
      <c r="N76" s="133"/>
    </row>
    <row r="77" spans="1:14" ht="15.75" x14ac:dyDescent="0.2">
      <c r="A77" s="21" t="s">
        <v>339</v>
      </c>
      <c r="B77" s="218">
        <v>1017150</v>
      </c>
      <c r="C77" s="218">
        <v>1029828</v>
      </c>
      <c r="D77" s="151">
        <f t="shared" si="16"/>
        <v>1.2</v>
      </c>
      <c r="E77" s="27">
        <f>IFERROR(100/'Skjema total MA'!C77*C77,0)</f>
        <v>36.175260773378497</v>
      </c>
      <c r="F77" s="218">
        <v>6833989</v>
      </c>
      <c r="G77" s="130">
        <v>7640884</v>
      </c>
      <c r="H77" s="151">
        <f t="shared" si="17"/>
        <v>11.8</v>
      </c>
      <c r="I77" s="27">
        <f>IFERROR(100/'Skjema total MA'!F77*G77,0)</f>
        <v>30.273459887445185</v>
      </c>
      <c r="J77" s="272">
        <f t="shared" si="18"/>
        <v>7851139</v>
      </c>
      <c r="K77" s="44">
        <f t="shared" si="18"/>
        <v>8670712</v>
      </c>
      <c r="L77" s="242">
        <f t="shared" si="19"/>
        <v>10.4</v>
      </c>
      <c r="M77" s="27">
        <f>IFERROR(100/'Skjema total MA'!I77*K77,0)</f>
        <v>30.87165481606911</v>
      </c>
    </row>
    <row r="78" spans="1:14" x14ac:dyDescent="0.2">
      <c r="A78" s="21" t="s">
        <v>9</v>
      </c>
      <c r="B78" s="218">
        <v>1017150</v>
      </c>
      <c r="C78" s="130">
        <v>1029828</v>
      </c>
      <c r="D78" s="151">
        <f t="shared" si="16"/>
        <v>1.2</v>
      </c>
      <c r="E78" s="27">
        <f>IFERROR(100/'Skjema total MA'!C78*C78,0)</f>
        <v>36.391874786280141</v>
      </c>
      <c r="F78" s="218"/>
      <c r="G78" s="130"/>
      <c r="H78" s="151"/>
      <c r="I78" s="27"/>
      <c r="J78" s="272">
        <f t="shared" si="18"/>
        <v>1017150</v>
      </c>
      <c r="K78" s="44">
        <f t="shared" si="18"/>
        <v>1029828</v>
      </c>
      <c r="L78" s="242">
        <f t="shared" si="19"/>
        <v>1.2</v>
      </c>
      <c r="M78" s="27">
        <f>IFERROR(100/'Skjema total MA'!I78*K78,0)</f>
        <v>36.391874786280141</v>
      </c>
    </row>
    <row r="79" spans="1:14" x14ac:dyDescent="0.2">
      <c r="A79" s="38" t="s">
        <v>368</v>
      </c>
      <c r="B79" s="277"/>
      <c r="C79" s="278"/>
      <c r="D79" s="151"/>
      <c r="E79" s="27"/>
      <c r="F79" s="277">
        <v>6833989</v>
      </c>
      <c r="G79" s="278">
        <v>7640884</v>
      </c>
      <c r="H79" s="151">
        <f t="shared" si="17"/>
        <v>11.8</v>
      </c>
      <c r="I79" s="27">
        <f>IFERROR(100/'Skjema total MA'!F79*G79,0)</f>
        <v>30.273459887445185</v>
      </c>
      <c r="J79" s="272">
        <f t="shared" si="18"/>
        <v>6833989</v>
      </c>
      <c r="K79" s="44">
        <f t="shared" si="18"/>
        <v>7640884</v>
      </c>
      <c r="L79" s="242">
        <f t="shared" si="19"/>
        <v>11.8</v>
      </c>
      <c r="M79" s="27">
        <f>IFERROR(100/'Skjema total MA'!I79*K79,0)</f>
        <v>30.253149220482133</v>
      </c>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v>14254</v>
      </c>
      <c r="C86" s="130">
        <v>15774</v>
      </c>
      <c r="D86" s="151">
        <f t="shared" si="16"/>
        <v>10.7</v>
      </c>
      <c r="E86" s="27">
        <f>IFERROR(100/'Skjema total MA'!C86*C86,0)</f>
        <v>22.509933503510176</v>
      </c>
      <c r="F86" s="218"/>
      <c r="G86" s="130"/>
      <c r="H86" s="151"/>
      <c r="I86" s="27"/>
      <c r="J86" s="272">
        <f t="shared" si="18"/>
        <v>14254</v>
      </c>
      <c r="K86" s="44">
        <f t="shared" si="18"/>
        <v>15774</v>
      </c>
      <c r="L86" s="242">
        <f t="shared" si="19"/>
        <v>10.7</v>
      </c>
      <c r="M86" s="27">
        <f>IFERROR(100/'Skjema total MA'!I86*K86,0)</f>
        <v>20.578044228705899</v>
      </c>
    </row>
    <row r="87" spans="1:13" ht="15.75" x14ac:dyDescent="0.2">
      <c r="A87" s="13" t="s">
        <v>322</v>
      </c>
      <c r="B87" s="337">
        <v>153706417</v>
      </c>
      <c r="C87" s="337">
        <v>153751466</v>
      </c>
      <c r="D87" s="156">
        <f t="shared" si="16"/>
        <v>0</v>
      </c>
      <c r="E87" s="11">
        <f>IFERROR(100/'Skjema total MA'!C87*C87,0)</f>
        <v>38.060714023133592</v>
      </c>
      <c r="F87" s="336">
        <v>140321914</v>
      </c>
      <c r="G87" s="336">
        <v>173225426</v>
      </c>
      <c r="H87" s="156">
        <f t="shared" si="17"/>
        <v>23.4</v>
      </c>
      <c r="I87" s="11">
        <f>IFERROR(100/'Skjema total MA'!F87*G87,0)</f>
        <v>28.273532273024866</v>
      </c>
      <c r="J87" s="294">
        <f t="shared" ref="J87:K111" si="24">SUM(B87,F87)</f>
        <v>294028331</v>
      </c>
      <c r="K87" s="220">
        <f t="shared" si="24"/>
        <v>326976892</v>
      </c>
      <c r="L87" s="405">
        <f t="shared" si="19"/>
        <v>11.2</v>
      </c>
      <c r="M87" s="11">
        <f>IFERROR(100/'Skjema total MA'!I87*K87,0)</f>
        <v>32.162483558921245</v>
      </c>
    </row>
    <row r="88" spans="1:13" x14ac:dyDescent="0.2">
      <c r="A88" s="21" t="s">
        <v>9</v>
      </c>
      <c r="B88" s="218">
        <v>153559142</v>
      </c>
      <c r="C88" s="130">
        <v>153609711</v>
      </c>
      <c r="D88" s="151">
        <f t="shared" si="16"/>
        <v>0</v>
      </c>
      <c r="E88" s="27">
        <f>IFERROR(100/'Skjema total MA'!C88*C88,0)</f>
        <v>39.988940358473279</v>
      </c>
      <c r="F88" s="218"/>
      <c r="G88" s="130"/>
      <c r="H88" s="151"/>
      <c r="I88" s="27"/>
      <c r="J88" s="272">
        <f t="shared" si="24"/>
        <v>153559142</v>
      </c>
      <c r="K88" s="44">
        <f t="shared" si="24"/>
        <v>153609711</v>
      </c>
      <c r="L88" s="242">
        <f t="shared" si="19"/>
        <v>0</v>
      </c>
      <c r="M88" s="27">
        <f>IFERROR(100/'Skjema total MA'!I88*K88,0)</f>
        <v>39.988940358473279</v>
      </c>
    </row>
    <row r="89" spans="1:13" x14ac:dyDescent="0.2">
      <c r="A89" s="21" t="s">
        <v>10</v>
      </c>
      <c r="B89" s="218">
        <v>87910</v>
      </c>
      <c r="C89" s="130">
        <v>84646</v>
      </c>
      <c r="D89" s="151">
        <f t="shared" si="16"/>
        <v>-3.7</v>
      </c>
      <c r="E89" s="27">
        <f>IFERROR(100/'Skjema total MA'!C89*C89,0)</f>
        <v>3.5346735290899685</v>
      </c>
      <c r="F89" s="218">
        <v>140321914</v>
      </c>
      <c r="G89" s="130">
        <v>173225426</v>
      </c>
      <c r="H89" s="151">
        <f t="shared" si="17"/>
        <v>23.4</v>
      </c>
      <c r="I89" s="27">
        <f>IFERROR(100/'Skjema total MA'!F89*G89,0)</f>
        <v>28.707144264052435</v>
      </c>
      <c r="J89" s="272">
        <f t="shared" si="24"/>
        <v>140409824</v>
      </c>
      <c r="K89" s="44">
        <f t="shared" si="24"/>
        <v>173310072</v>
      </c>
      <c r="L89" s="242">
        <f t="shared" si="19"/>
        <v>23.4</v>
      </c>
      <c r="M89" s="27">
        <f>IFERROR(100/'Skjema total MA'!I89*K89,0)</f>
        <v>28.607640110845523</v>
      </c>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v>59365</v>
      </c>
      <c r="C97" s="130">
        <v>57109</v>
      </c>
      <c r="D97" s="151">
        <f t="shared" ref="D97" si="25">IF(B97=0, "    ---- ", IF(ABS(ROUND(100/B97*C97-100,1))&lt;999,ROUND(100/B97*C97-100,1),IF(ROUND(100/B97*C97-100,1)&gt;999,999,-999)))</f>
        <v>-3.8</v>
      </c>
      <c r="E97" s="27">
        <f>IFERROR(100/'Skjema total MA'!C98*C97,0)</f>
        <v>1.4940850693070102E-2</v>
      </c>
      <c r="F97" s="218"/>
      <c r="G97" s="130"/>
      <c r="H97" s="151"/>
      <c r="I97" s="27"/>
      <c r="J97" s="272">
        <f t="shared" ref="J97" si="26">SUM(B97,F97)</f>
        <v>59365</v>
      </c>
      <c r="K97" s="44">
        <f t="shared" ref="K97" si="27">SUM(C97,G97)</f>
        <v>57109</v>
      </c>
      <c r="L97" s="242">
        <f t="shared" ref="L97" si="28">IF(J97=0, "    ---- ", IF(ABS(ROUND(100/J97*K97-100,1))&lt;999,ROUND(100/J97*K97-100,1),IF(ROUND(100/J97*K97-100,1)&gt;999,999,-999)))</f>
        <v>-3.8</v>
      </c>
      <c r="M97" s="27">
        <f>IFERROR(100/'Skjema total MA'!I98*K97,0)</f>
        <v>5.7963845824187772E-3</v>
      </c>
    </row>
    <row r="98" spans="1:13" ht="15.75" x14ac:dyDescent="0.2">
      <c r="A98" s="21" t="s">
        <v>339</v>
      </c>
      <c r="B98" s="218">
        <v>152561231</v>
      </c>
      <c r="C98" s="218">
        <v>152569901</v>
      </c>
      <c r="D98" s="151">
        <f t="shared" si="16"/>
        <v>0</v>
      </c>
      <c r="E98" s="27">
        <f>IFERROR(100/'Skjema total MA'!C98*C98,0)</f>
        <v>39.915321772356137</v>
      </c>
      <c r="F98" s="277">
        <v>140225903</v>
      </c>
      <c r="G98" s="277">
        <v>172927727</v>
      </c>
      <c r="H98" s="151">
        <f t="shared" si="17"/>
        <v>23.3</v>
      </c>
      <c r="I98" s="27">
        <f>IFERROR(100/'Skjema total MA'!F98*G98,0)</f>
        <v>28.677034652583842</v>
      </c>
      <c r="J98" s="272">
        <f t="shared" si="24"/>
        <v>292787134</v>
      </c>
      <c r="K98" s="44">
        <f t="shared" si="24"/>
        <v>325497628</v>
      </c>
      <c r="L98" s="242">
        <f t="shared" si="19"/>
        <v>11.2</v>
      </c>
      <c r="M98" s="27">
        <f>IFERROR(100/'Skjema total MA'!I98*K98,0)</f>
        <v>33.03698948594937</v>
      </c>
    </row>
    <row r="99" spans="1:13" x14ac:dyDescent="0.2">
      <c r="A99" s="21" t="s">
        <v>9</v>
      </c>
      <c r="B99" s="277">
        <v>152473321</v>
      </c>
      <c r="C99" s="278">
        <v>152485255</v>
      </c>
      <c r="D99" s="151">
        <f t="shared" si="16"/>
        <v>0</v>
      </c>
      <c r="E99" s="27">
        <f>IFERROR(100/'Skjema total MA'!C99*C99,0)</f>
        <v>40.144687113230169</v>
      </c>
      <c r="F99" s="218"/>
      <c r="G99" s="130"/>
      <c r="H99" s="151"/>
      <c r="I99" s="27"/>
      <c r="J99" s="272">
        <f t="shared" si="24"/>
        <v>152473321</v>
      </c>
      <c r="K99" s="44">
        <f t="shared" si="24"/>
        <v>152485255</v>
      </c>
      <c r="L99" s="242">
        <f t="shared" si="19"/>
        <v>0</v>
      </c>
      <c r="M99" s="27">
        <f>IFERROR(100/'Skjema total MA'!I99*K99,0)</f>
        <v>40.144687113230169</v>
      </c>
    </row>
    <row r="100" spans="1:13" x14ac:dyDescent="0.2">
      <c r="A100" s="38" t="s">
        <v>368</v>
      </c>
      <c r="B100" s="277">
        <v>87910</v>
      </c>
      <c r="C100" s="278">
        <v>84646</v>
      </c>
      <c r="D100" s="151">
        <f t="shared" si="16"/>
        <v>-3.7</v>
      </c>
      <c r="E100" s="27">
        <f>IFERROR(100/'Skjema total MA'!C100*C100,0)</f>
        <v>3.5346735290899685</v>
      </c>
      <c r="F100" s="218">
        <v>140225903</v>
      </c>
      <c r="G100" s="218">
        <v>172927727</v>
      </c>
      <c r="H100" s="151">
        <f t="shared" si="17"/>
        <v>23.3</v>
      </c>
      <c r="I100" s="27">
        <f>IFERROR(100/'Skjema total MA'!F100*G100,0)</f>
        <v>28.677034652583842</v>
      </c>
      <c r="J100" s="272">
        <f t="shared" si="24"/>
        <v>140313813</v>
      </c>
      <c r="K100" s="44">
        <f t="shared" si="24"/>
        <v>173012373</v>
      </c>
      <c r="L100" s="242">
        <f t="shared" si="19"/>
        <v>23.3</v>
      </c>
      <c r="M100" s="27">
        <f>IFERROR(100/'Skjema total MA'!I100*K100,0)</f>
        <v>28.577583109480994</v>
      </c>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v>1085821</v>
      </c>
      <c r="C107" s="130">
        <v>1124456.416</v>
      </c>
      <c r="D107" s="151">
        <f t="shared" si="16"/>
        <v>3.6</v>
      </c>
      <c r="E107" s="27">
        <f>IFERROR(100/'Skjema total MA'!C107*C107,0)</f>
        <v>26.203195714333457</v>
      </c>
      <c r="F107" s="218">
        <v>96011</v>
      </c>
      <c r="G107" s="130">
        <v>297699.25254999998</v>
      </c>
      <c r="H107" s="151">
        <f t="shared" si="17"/>
        <v>210.1</v>
      </c>
      <c r="I107" s="27">
        <f>IFERROR(100/'Skjema total MA'!F107*G107,0)</f>
        <v>73.589086286683155</v>
      </c>
      <c r="J107" s="272">
        <f t="shared" si="24"/>
        <v>1181832</v>
      </c>
      <c r="K107" s="44">
        <f t="shared" si="24"/>
        <v>1422155.6685500001</v>
      </c>
      <c r="L107" s="242">
        <f t="shared" si="19"/>
        <v>20.3</v>
      </c>
      <c r="M107" s="27">
        <f>IFERROR(100/'Skjema total MA'!I107*K107,0)</f>
        <v>30.285452407368563</v>
      </c>
    </row>
    <row r="108" spans="1:13" ht="15.75" x14ac:dyDescent="0.2">
      <c r="A108" s="21" t="s">
        <v>341</v>
      </c>
      <c r="B108" s="218">
        <v>135452827</v>
      </c>
      <c r="C108" s="218">
        <v>133977522</v>
      </c>
      <c r="D108" s="151">
        <f t="shared" si="16"/>
        <v>-1.1000000000000001</v>
      </c>
      <c r="E108" s="27">
        <f>IFERROR(100/'Skjema total MA'!C108*C108,0)</f>
        <v>40.430241739232336</v>
      </c>
      <c r="F108" s="218">
        <v>1097460</v>
      </c>
      <c r="G108" s="218">
        <v>1535340.50765</v>
      </c>
      <c r="H108" s="151">
        <f t="shared" si="17"/>
        <v>39.9</v>
      </c>
      <c r="I108" s="27">
        <f>IFERROR(100/'Skjema total MA'!F108*G108,0)</f>
        <v>6.8504552951127344</v>
      </c>
      <c r="J108" s="272">
        <f t="shared" si="24"/>
        <v>136550287</v>
      </c>
      <c r="K108" s="44">
        <f t="shared" si="24"/>
        <v>135512862.50764999</v>
      </c>
      <c r="L108" s="242">
        <f t="shared" si="19"/>
        <v>-0.8</v>
      </c>
      <c r="M108" s="27">
        <f>IFERROR(100/'Skjema total MA'!I108*K108,0)</f>
        <v>38.303006371144008</v>
      </c>
    </row>
    <row r="109" spans="1:13" ht="15.75" x14ac:dyDescent="0.2">
      <c r="A109" s="38" t="s">
        <v>382</v>
      </c>
      <c r="B109" s="218">
        <v>87910</v>
      </c>
      <c r="C109" s="218">
        <v>84646</v>
      </c>
      <c r="D109" s="151">
        <f t="shared" si="16"/>
        <v>-3.7</v>
      </c>
      <c r="E109" s="27">
        <f>IFERROR(100/'Skjema total MA'!C109*C109,0)</f>
        <v>3.607121502575183</v>
      </c>
      <c r="F109" s="218">
        <v>54419598</v>
      </c>
      <c r="G109" s="218">
        <v>64689039</v>
      </c>
      <c r="H109" s="151">
        <f t="shared" si="17"/>
        <v>18.899999999999999</v>
      </c>
      <c r="I109" s="27">
        <f>IFERROR(100/'Skjema total MA'!F109*G109,0)</f>
        <v>28.369924837956347</v>
      </c>
      <c r="J109" s="272">
        <f t="shared" si="24"/>
        <v>54507508</v>
      </c>
      <c r="K109" s="44">
        <f t="shared" si="24"/>
        <v>64773685</v>
      </c>
      <c r="L109" s="242">
        <f t="shared" si="19"/>
        <v>18.8</v>
      </c>
      <c r="M109" s="27">
        <f>IFERROR(100/'Skjema total MA'!I109*K109,0)</f>
        <v>28.117677657722233</v>
      </c>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v>54750</v>
      </c>
      <c r="C111" s="144">
        <v>127937</v>
      </c>
      <c r="D111" s="156">
        <f t="shared" si="16"/>
        <v>133.69999999999999</v>
      </c>
      <c r="E111" s="11">
        <f>IFERROR(100/'Skjema total MA'!C111*C111,0)</f>
        <v>37.925806527147671</v>
      </c>
      <c r="F111" s="293">
        <v>6040428</v>
      </c>
      <c r="G111" s="144">
        <v>7238640</v>
      </c>
      <c r="H111" s="156">
        <f t="shared" si="17"/>
        <v>19.8</v>
      </c>
      <c r="I111" s="11">
        <f>IFERROR(100/'Skjema total MA'!F111*G111,0)</f>
        <v>27.46107896899548</v>
      </c>
      <c r="J111" s="294">
        <f t="shared" si="24"/>
        <v>6095178</v>
      </c>
      <c r="K111" s="220">
        <f t="shared" si="24"/>
        <v>7366577</v>
      </c>
      <c r="L111" s="405">
        <f t="shared" si="19"/>
        <v>20.9</v>
      </c>
      <c r="M111" s="11">
        <f>IFERROR(100/'Skjema total MA'!I111*K111,0)</f>
        <v>27.593308148158322</v>
      </c>
    </row>
    <row r="112" spans="1:13" x14ac:dyDescent="0.2">
      <c r="A112" s="21" t="s">
        <v>9</v>
      </c>
      <c r="B112" s="218">
        <v>54750</v>
      </c>
      <c r="C112" s="130">
        <v>127937</v>
      </c>
      <c r="D112" s="151">
        <f t="shared" ref="D112:D124" si="29">IF(B112=0, "    ---- ", IF(ABS(ROUND(100/B112*C112-100,1))&lt;999,ROUND(100/B112*C112-100,1),IF(ROUND(100/B112*C112-100,1)&gt;999,999,-999)))</f>
        <v>133.69999999999999</v>
      </c>
      <c r="E112" s="27">
        <f>IFERROR(100/'Skjema total MA'!C112*C112,0)</f>
        <v>54.108552427909451</v>
      </c>
      <c r="F112" s="218"/>
      <c r="G112" s="130"/>
      <c r="H112" s="151"/>
      <c r="I112" s="27"/>
      <c r="J112" s="272">
        <f t="shared" ref="J112:K125" si="30">SUM(B112,F112)</f>
        <v>54750</v>
      </c>
      <c r="K112" s="44">
        <f t="shared" si="30"/>
        <v>127937</v>
      </c>
      <c r="L112" s="242">
        <f t="shared" ref="L112:L125" si="31">IF(J112=0, "    ---- ", IF(ABS(ROUND(100/J112*K112-100,1))&lt;999,ROUND(100/J112*K112-100,1),IF(ROUND(100/J112*K112-100,1)&gt;999,999,-999)))</f>
        <v>133.69999999999999</v>
      </c>
      <c r="M112" s="27">
        <f>IFERROR(100/'Skjema total MA'!I112*K112,0)</f>
        <v>53.884394135755898</v>
      </c>
    </row>
    <row r="113" spans="1:14" x14ac:dyDescent="0.2">
      <c r="A113" s="21" t="s">
        <v>10</v>
      </c>
      <c r="B113" s="218"/>
      <c r="C113" s="130"/>
      <c r="D113" s="151"/>
      <c r="E113" s="27"/>
      <c r="F113" s="218">
        <v>6040428</v>
      </c>
      <c r="G113" s="130">
        <v>7238640</v>
      </c>
      <c r="H113" s="151">
        <f t="shared" ref="H113:H125" si="32">IF(F113=0, "    ---- ", IF(ABS(ROUND(100/F113*G113-100,1))&lt;999,ROUND(100/F113*G113-100,1),IF(ROUND(100/F113*G113-100,1)&gt;999,999,-999)))</f>
        <v>19.8</v>
      </c>
      <c r="I113" s="27">
        <f>IFERROR(100/'Skjema total MA'!F113*G113,0)</f>
        <v>27.4621037155671</v>
      </c>
      <c r="J113" s="272">
        <f t="shared" si="30"/>
        <v>6040428</v>
      </c>
      <c r="K113" s="44">
        <f t="shared" si="30"/>
        <v>7238640</v>
      </c>
      <c r="L113" s="242">
        <f t="shared" si="31"/>
        <v>19.8</v>
      </c>
      <c r="M113" s="27">
        <f>IFERROR(100/'Skjema total MA'!I113*K113,0)</f>
        <v>27.4621037155671</v>
      </c>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v>29431</v>
      </c>
      <c r="C116" s="218">
        <v>19230</v>
      </c>
      <c r="D116" s="151">
        <f t="shared" si="29"/>
        <v>-34.700000000000003</v>
      </c>
      <c r="E116" s="27">
        <f>IFERROR(100/'Skjema total MA'!C116*C116,0)</f>
        <v>52.817689072214932</v>
      </c>
      <c r="F116" s="218"/>
      <c r="G116" s="218"/>
      <c r="H116" s="151"/>
      <c r="I116" s="27"/>
      <c r="J116" s="272">
        <f t="shared" si="30"/>
        <v>29431</v>
      </c>
      <c r="K116" s="44">
        <f t="shared" si="30"/>
        <v>19230</v>
      </c>
      <c r="L116" s="242">
        <f t="shared" si="31"/>
        <v>-34.700000000000003</v>
      </c>
      <c r="M116" s="27">
        <f>IFERROR(100/'Skjema total MA'!I116*K116,0)</f>
        <v>51.428298586948472</v>
      </c>
    </row>
    <row r="117" spans="1:14" ht="15.75" x14ac:dyDescent="0.2">
      <c r="A117" s="38" t="s">
        <v>382</v>
      </c>
      <c r="B117" s="218"/>
      <c r="C117" s="218"/>
      <c r="D117" s="151"/>
      <c r="E117" s="27"/>
      <c r="F117" s="218">
        <v>4949552</v>
      </c>
      <c r="G117" s="218">
        <v>5656132</v>
      </c>
      <c r="H117" s="151">
        <f t="shared" si="32"/>
        <v>14.3</v>
      </c>
      <c r="I117" s="27">
        <f>IFERROR(100/'Skjema total MA'!F117*G117,0)</f>
        <v>40.841571694013211</v>
      </c>
      <c r="J117" s="272">
        <f t="shared" si="30"/>
        <v>4949552</v>
      </c>
      <c r="K117" s="44">
        <f t="shared" si="30"/>
        <v>5656132</v>
      </c>
      <c r="L117" s="242">
        <f t="shared" si="31"/>
        <v>14.3</v>
      </c>
      <c r="M117" s="27">
        <f>IFERROR(100/'Skjema total MA'!I117*K117,0)</f>
        <v>40.841571694013211</v>
      </c>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v>49330</v>
      </c>
      <c r="C119" s="144">
        <v>53586</v>
      </c>
      <c r="D119" s="156">
        <f t="shared" si="29"/>
        <v>8.6</v>
      </c>
      <c r="E119" s="11">
        <f>IFERROR(100/'Skjema total MA'!C119*C119,0)</f>
        <v>31.338205352016292</v>
      </c>
      <c r="F119" s="293">
        <v>7264960</v>
      </c>
      <c r="G119" s="144">
        <v>9273856</v>
      </c>
      <c r="H119" s="156">
        <f t="shared" si="32"/>
        <v>27.7</v>
      </c>
      <c r="I119" s="11">
        <f>IFERROR(100/'Skjema total MA'!F119*G119,0)</f>
        <v>31.878113601619571</v>
      </c>
      <c r="J119" s="294">
        <f t="shared" si="30"/>
        <v>7314290</v>
      </c>
      <c r="K119" s="220">
        <f t="shared" si="30"/>
        <v>9327442</v>
      </c>
      <c r="L119" s="405">
        <f t="shared" si="31"/>
        <v>27.5</v>
      </c>
      <c r="M119" s="11">
        <f>IFERROR(100/'Skjema total MA'!I119*K119,0)</f>
        <v>31.874958711377936</v>
      </c>
    </row>
    <row r="120" spans="1:14" x14ac:dyDescent="0.2">
      <c r="A120" s="21" t="s">
        <v>9</v>
      </c>
      <c r="B120" s="218">
        <v>49330</v>
      </c>
      <c r="C120" s="130">
        <v>53586</v>
      </c>
      <c r="D120" s="151">
        <f t="shared" si="29"/>
        <v>8.6</v>
      </c>
      <c r="E120" s="27">
        <f>IFERROR(100/'Skjema total MA'!C120*C120,0)</f>
        <v>57.745326479537042</v>
      </c>
      <c r="F120" s="218"/>
      <c r="G120" s="130"/>
      <c r="H120" s="151"/>
      <c r="I120" s="27"/>
      <c r="J120" s="272">
        <f t="shared" si="30"/>
        <v>49330</v>
      </c>
      <c r="K120" s="44">
        <f t="shared" si="30"/>
        <v>53586</v>
      </c>
      <c r="L120" s="242">
        <f t="shared" si="31"/>
        <v>8.6</v>
      </c>
      <c r="M120" s="27">
        <f>IFERROR(100/'Skjema total MA'!I120*K120,0)</f>
        <v>57.745326479537042</v>
      </c>
    </row>
    <row r="121" spans="1:14" x14ac:dyDescent="0.2">
      <c r="A121" s="21" t="s">
        <v>10</v>
      </c>
      <c r="B121" s="218"/>
      <c r="C121" s="130"/>
      <c r="D121" s="151"/>
      <c r="E121" s="27"/>
      <c r="F121" s="218">
        <v>7264960</v>
      </c>
      <c r="G121" s="130">
        <v>9273856</v>
      </c>
      <c r="H121" s="151">
        <f t="shared" si="32"/>
        <v>27.7</v>
      </c>
      <c r="I121" s="27">
        <f>IFERROR(100/'Skjema total MA'!F121*G121,0)</f>
        <v>31.878113601619571</v>
      </c>
      <c r="J121" s="272">
        <f t="shared" si="30"/>
        <v>7264960</v>
      </c>
      <c r="K121" s="44">
        <f t="shared" si="30"/>
        <v>9273856</v>
      </c>
      <c r="L121" s="242">
        <f t="shared" si="31"/>
        <v>27.7</v>
      </c>
      <c r="M121" s="27">
        <f>IFERROR(100/'Skjema total MA'!I121*K121,0)</f>
        <v>31.872490883081134</v>
      </c>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v>17555</v>
      </c>
      <c r="C124" s="218">
        <v>14252</v>
      </c>
      <c r="D124" s="151">
        <f t="shared" si="29"/>
        <v>-18.8</v>
      </c>
      <c r="E124" s="27">
        <f>IFERROR(100/'Skjema total MA'!C124*C124,0)</f>
        <v>89.383339000800632</v>
      </c>
      <c r="F124" s="218"/>
      <c r="G124" s="218"/>
      <c r="H124" s="151"/>
      <c r="I124" s="27"/>
      <c r="J124" s="272">
        <f t="shared" si="30"/>
        <v>17555</v>
      </c>
      <c r="K124" s="44">
        <f t="shared" si="30"/>
        <v>14252</v>
      </c>
      <c r="L124" s="242">
        <f t="shared" si="31"/>
        <v>-18.8</v>
      </c>
      <c r="M124" s="27">
        <f>IFERROR(100/'Skjema total MA'!I124*K124,0)</f>
        <v>47.808670853201619</v>
      </c>
    </row>
    <row r="125" spans="1:14" ht="15.75" x14ac:dyDescent="0.2">
      <c r="A125" s="38" t="s">
        <v>382</v>
      </c>
      <c r="B125" s="218"/>
      <c r="C125" s="218"/>
      <c r="D125" s="151"/>
      <c r="E125" s="27"/>
      <c r="F125" s="218">
        <v>5252812</v>
      </c>
      <c r="G125" s="218">
        <v>6211823</v>
      </c>
      <c r="H125" s="151">
        <f t="shared" si="32"/>
        <v>18.3</v>
      </c>
      <c r="I125" s="27">
        <f>IFERROR(100/'Skjema total MA'!F125*G125,0)</f>
        <v>46.007125795459466</v>
      </c>
      <c r="J125" s="272">
        <f t="shared" si="30"/>
        <v>5252812</v>
      </c>
      <c r="K125" s="44">
        <f t="shared" si="30"/>
        <v>6211823</v>
      </c>
      <c r="L125" s="242">
        <f t="shared" si="31"/>
        <v>18.3</v>
      </c>
      <c r="M125" s="27">
        <f>IFERROR(100/'Skjema total MA'!I125*K125,0)</f>
        <v>45.998691980347921</v>
      </c>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115">
    <cfRule type="expression" dxfId="660" priority="76">
      <formula>kvartal &lt; 4</formula>
    </cfRule>
  </conditionalFormatting>
  <conditionalFormatting sqref="C115">
    <cfRule type="expression" dxfId="659" priority="75">
      <formula>kvartal &lt; 4</formula>
    </cfRule>
  </conditionalFormatting>
  <conditionalFormatting sqref="B123">
    <cfRule type="expression" dxfId="658" priority="74">
      <formula>kvartal &lt; 4</formula>
    </cfRule>
  </conditionalFormatting>
  <conditionalFormatting sqref="C123">
    <cfRule type="expression" dxfId="657" priority="73">
      <formula>kvartal &lt; 4</formula>
    </cfRule>
  </conditionalFormatting>
  <conditionalFormatting sqref="F115">
    <cfRule type="expression" dxfId="656" priority="58">
      <formula>kvartal &lt; 4</formula>
    </cfRule>
  </conditionalFormatting>
  <conditionalFormatting sqref="G115">
    <cfRule type="expression" dxfId="655" priority="57">
      <formula>kvartal &lt; 4</formula>
    </cfRule>
  </conditionalFormatting>
  <conditionalFormatting sqref="F123:G123">
    <cfRule type="expression" dxfId="654" priority="56">
      <formula>kvartal &lt; 4</formula>
    </cfRule>
  </conditionalFormatting>
  <conditionalFormatting sqref="J115:K115">
    <cfRule type="expression" dxfId="653" priority="32">
      <formula>kvartal &lt; 4</formula>
    </cfRule>
  </conditionalFormatting>
  <conditionalFormatting sqref="J123:K123">
    <cfRule type="expression" dxfId="652" priority="31">
      <formula>kvartal &lt; 4</formula>
    </cfRule>
  </conditionalFormatting>
  <conditionalFormatting sqref="A50:A52">
    <cfRule type="expression" dxfId="651" priority="12">
      <formula>kvartal &lt; 4</formula>
    </cfRule>
  </conditionalFormatting>
  <conditionalFormatting sqref="A69:A74">
    <cfRule type="expression" dxfId="650" priority="10">
      <formula>kvartal &lt; 4</formula>
    </cfRule>
  </conditionalFormatting>
  <conditionalFormatting sqref="A80:A85">
    <cfRule type="expression" dxfId="649" priority="9">
      <formula>kvartal &lt; 4</formula>
    </cfRule>
  </conditionalFormatting>
  <conditionalFormatting sqref="A90:A95">
    <cfRule type="expression" dxfId="648" priority="6">
      <formula>kvartal &lt; 4</formula>
    </cfRule>
  </conditionalFormatting>
  <conditionalFormatting sqref="A101:A106">
    <cfRule type="expression" dxfId="647" priority="5">
      <formula>kvartal &lt; 4</formula>
    </cfRule>
  </conditionalFormatting>
  <conditionalFormatting sqref="A115">
    <cfRule type="expression" dxfId="646" priority="4">
      <formula>kvartal &lt; 4</formula>
    </cfRule>
  </conditionalFormatting>
  <conditionalFormatting sqref="A123">
    <cfRule type="expression" dxfId="645" priority="3">
      <formula>kvartal &lt; 4</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3"/>
  <dimension ref="A1:N144"/>
  <sheetViews>
    <sheetView showGridLines="0" zoomScaleNormal="100" workbookViewId="0">
      <selection activeCell="B1" sqref="B1"/>
    </sheetView>
  </sheetViews>
  <sheetFormatPr baseColWidth="10" defaultColWidth="11.42578125" defaultRowHeight="12.75" x14ac:dyDescent="0.2"/>
  <cols>
    <col min="1" max="1" width="46.140625" style="134" customWidth="1"/>
    <col min="2" max="2" width="10.7109375" style="134" customWidth="1"/>
    <col min="3" max="3" width="11" style="134" customWidth="1"/>
    <col min="4" max="5" width="8.7109375" style="134" customWidth="1"/>
    <col min="6" max="7" width="10.7109375" style="134" customWidth="1"/>
    <col min="8" max="9" width="8.7109375" style="134" customWidth="1"/>
    <col min="10" max="11" width="10.7109375" style="134" customWidth="1"/>
    <col min="12" max="13" width="8.7109375" style="134" customWidth="1"/>
    <col min="14" max="14" width="11.42578125" style="134"/>
    <col min="15" max="16384" width="11.42578125" style="1"/>
  </cols>
  <sheetData>
    <row r="1" spans="1:14" x14ac:dyDescent="0.2">
      <c r="A1" s="157" t="s">
        <v>123</v>
      </c>
      <c r="B1" s="681"/>
      <c r="C1" s="233" t="s">
        <v>55</v>
      </c>
      <c r="D1" s="26"/>
      <c r="E1" s="26"/>
      <c r="F1" s="26"/>
      <c r="G1" s="26"/>
      <c r="H1" s="26"/>
      <c r="I1" s="26"/>
      <c r="J1" s="26"/>
      <c r="K1" s="26"/>
      <c r="L1" s="26"/>
      <c r="M1" s="26"/>
    </row>
    <row r="2" spans="1:14" ht="15.75" x14ac:dyDescent="0.25">
      <c r="A2" s="150" t="s">
        <v>28</v>
      </c>
      <c r="B2" s="717"/>
      <c r="C2" s="717"/>
      <c r="D2" s="717"/>
      <c r="E2" s="284"/>
      <c r="F2" s="717"/>
      <c r="G2" s="717"/>
      <c r="H2" s="717"/>
      <c r="I2" s="284"/>
      <c r="J2" s="717"/>
      <c r="K2" s="717"/>
      <c r="L2" s="717"/>
      <c r="M2" s="284"/>
    </row>
    <row r="3" spans="1:14" ht="15.75" x14ac:dyDescent="0.25">
      <c r="A3" s="148"/>
      <c r="B3" s="284"/>
      <c r="C3" s="284"/>
      <c r="D3" s="284"/>
      <c r="E3" s="284"/>
      <c r="F3" s="284"/>
      <c r="G3" s="284"/>
      <c r="H3" s="284"/>
      <c r="I3" s="284"/>
      <c r="J3" s="284"/>
      <c r="K3" s="284"/>
      <c r="L3" s="284"/>
      <c r="M3" s="284"/>
    </row>
    <row r="4" spans="1:14" x14ac:dyDescent="0.2">
      <c r="A4" s="129"/>
      <c r="B4" s="715" t="s">
        <v>0</v>
      </c>
      <c r="C4" s="716"/>
      <c r="D4" s="716"/>
      <c r="E4" s="286"/>
      <c r="F4" s="715" t="s">
        <v>1</v>
      </c>
      <c r="G4" s="716"/>
      <c r="H4" s="716"/>
      <c r="I4" s="289"/>
      <c r="J4" s="715" t="s">
        <v>2</v>
      </c>
      <c r="K4" s="716"/>
      <c r="L4" s="716"/>
      <c r="M4" s="289"/>
    </row>
    <row r="5" spans="1:14" x14ac:dyDescent="0.2">
      <c r="A5" s="143"/>
      <c r="B5" s="137" t="s">
        <v>414</v>
      </c>
      <c r="C5" s="137" t="s">
        <v>415</v>
      </c>
      <c r="D5" s="230" t="s">
        <v>3</v>
      </c>
      <c r="E5" s="290" t="s">
        <v>29</v>
      </c>
      <c r="F5" s="137" t="s">
        <v>414</v>
      </c>
      <c r="G5" s="137" t="s">
        <v>415</v>
      </c>
      <c r="H5" s="230" t="s">
        <v>3</v>
      </c>
      <c r="I5" s="147" t="s">
        <v>29</v>
      </c>
      <c r="J5" s="137" t="s">
        <v>414</v>
      </c>
      <c r="K5" s="137" t="s">
        <v>415</v>
      </c>
      <c r="L5" s="230" t="s">
        <v>3</v>
      </c>
      <c r="M5" s="147" t="s">
        <v>29</v>
      </c>
    </row>
    <row r="6" spans="1:14" x14ac:dyDescent="0.2">
      <c r="A6" s="682"/>
      <c r="B6" s="141"/>
      <c r="C6" s="141"/>
      <c r="D6" s="231" t="s">
        <v>4</v>
      </c>
      <c r="E6" s="141" t="s">
        <v>30</v>
      </c>
      <c r="F6" s="146"/>
      <c r="G6" s="146"/>
      <c r="H6" s="230" t="s">
        <v>4</v>
      </c>
      <c r="I6" s="141" t="s">
        <v>30</v>
      </c>
      <c r="J6" s="146"/>
      <c r="K6" s="146"/>
      <c r="L6" s="230" t="s">
        <v>4</v>
      </c>
      <c r="M6" s="141" t="s">
        <v>30</v>
      </c>
    </row>
    <row r="7" spans="1:14" ht="15.75" x14ac:dyDescent="0.2">
      <c r="A7" s="14" t="s">
        <v>23</v>
      </c>
      <c r="B7" s="291">
        <v>232512</v>
      </c>
      <c r="C7" s="292">
        <v>249881</v>
      </c>
      <c r="D7" s="334">
        <f>IF(B7=0, "    ---- ", IF(ABS(ROUND(100/B7*C7-100,1))&lt;999,ROUND(100/B7*C7-100,1),IF(ROUND(100/B7*C7-100,1)&gt;999,999,-999)))</f>
        <v>7.5</v>
      </c>
      <c r="E7" s="11"/>
      <c r="F7" s="291"/>
      <c r="G7" s="292"/>
      <c r="H7" s="334"/>
      <c r="I7" s="145"/>
      <c r="J7" s="293">
        <f t="shared" ref="J7:K9" si="0">SUM(B7,F7)</f>
        <v>232512</v>
      </c>
      <c r="K7" s="294">
        <f t="shared" si="0"/>
        <v>249881</v>
      </c>
      <c r="L7" s="404">
        <f>IF(J7=0, "    ---- ", IF(ABS(ROUND(100/J7*K7-100,1))&lt;999,ROUND(100/J7*K7-100,1),IF(ROUND(100/J7*K7-100,1)&gt;999,999,-999)))</f>
        <v>7.5</v>
      </c>
      <c r="M7" s="11">
        <f>IFERROR(100/'Skjema total MA'!I7*K7,0)</f>
        <v>2.2861839894224829</v>
      </c>
    </row>
    <row r="8" spans="1:14" ht="15.75" x14ac:dyDescent="0.2">
      <c r="A8" s="21" t="s">
        <v>25</v>
      </c>
      <c r="B8" s="266">
        <v>117714</v>
      </c>
      <c r="C8" s="267">
        <v>124849</v>
      </c>
      <c r="D8" s="151">
        <f t="shared" ref="D8:D9" si="1">IF(B8=0, "    ---- ", IF(ABS(ROUND(100/B8*C8-100,1))&lt;999,ROUND(100/B8*C8-100,1),IF(ROUND(100/B8*C8-100,1)&gt;999,999,-999)))</f>
        <v>6.1</v>
      </c>
      <c r="E8" s="27"/>
      <c r="F8" s="270"/>
      <c r="G8" s="271"/>
      <c r="H8" s="151"/>
      <c r="I8" s="161"/>
      <c r="J8" s="218">
        <f t="shared" si="0"/>
        <v>117714</v>
      </c>
      <c r="K8" s="272">
        <f t="shared" si="0"/>
        <v>124849</v>
      </c>
      <c r="L8" s="151">
        <f t="shared" ref="L8:L9" si="2">IF(J8=0, "    ---- ", IF(ABS(ROUND(100/J8*K8-100,1))&lt;999,ROUND(100/J8*K8-100,1),IF(ROUND(100/J8*K8-100,1)&gt;999,999,-999)))</f>
        <v>6.1</v>
      </c>
      <c r="M8" s="27">
        <f>IFERROR(100/'Skjema total MA'!I8*K8,0)</f>
        <v>5.9287875468686879</v>
      </c>
    </row>
    <row r="9" spans="1:14" ht="15.75" x14ac:dyDescent="0.2">
      <c r="A9" s="21" t="s">
        <v>24</v>
      </c>
      <c r="B9" s="266">
        <v>114798</v>
      </c>
      <c r="C9" s="267">
        <v>125032</v>
      </c>
      <c r="D9" s="151">
        <f t="shared" si="1"/>
        <v>8.9</v>
      </c>
      <c r="E9" s="27"/>
      <c r="F9" s="270"/>
      <c r="G9" s="271"/>
      <c r="H9" s="151"/>
      <c r="I9" s="161"/>
      <c r="J9" s="218">
        <f t="shared" si="0"/>
        <v>114798</v>
      </c>
      <c r="K9" s="272">
        <f t="shared" si="0"/>
        <v>125032</v>
      </c>
      <c r="L9" s="151">
        <f t="shared" si="2"/>
        <v>8.9</v>
      </c>
      <c r="M9" s="27">
        <f>IFERROR(100/'Skjema total MA'!I9*K9,0)</f>
        <v>18.681053744101611</v>
      </c>
    </row>
    <row r="10" spans="1:14" ht="15.75" x14ac:dyDescent="0.2">
      <c r="A10" s="13" t="s">
        <v>322</v>
      </c>
      <c r="B10" s="295"/>
      <c r="C10" s="296"/>
      <c r="D10" s="156"/>
      <c r="E10" s="11"/>
      <c r="F10" s="295"/>
      <c r="G10" s="296"/>
      <c r="H10" s="156"/>
      <c r="I10" s="145"/>
      <c r="J10" s="293"/>
      <c r="K10" s="294"/>
      <c r="L10" s="405"/>
      <c r="M10" s="11"/>
    </row>
    <row r="11" spans="1:14" s="43" customFormat="1" ht="15.75" x14ac:dyDescent="0.2">
      <c r="A11" s="13" t="s">
        <v>323</v>
      </c>
      <c r="B11" s="295"/>
      <c r="C11" s="296"/>
      <c r="D11" s="156"/>
      <c r="E11" s="11"/>
      <c r="F11" s="295"/>
      <c r="G11" s="296"/>
      <c r="H11" s="156"/>
      <c r="I11" s="145"/>
      <c r="J11" s="293"/>
      <c r="K11" s="294"/>
      <c r="L11" s="405"/>
      <c r="M11" s="11"/>
      <c r="N11" s="128"/>
    </row>
    <row r="12" spans="1:14" s="43" customFormat="1" ht="15.75" x14ac:dyDescent="0.2">
      <c r="A12" s="41" t="s">
        <v>324</v>
      </c>
      <c r="B12" s="297"/>
      <c r="C12" s="298"/>
      <c r="D12" s="154"/>
      <c r="E12" s="36"/>
      <c r="F12" s="297"/>
      <c r="G12" s="298"/>
      <c r="H12" s="154"/>
      <c r="I12" s="154"/>
      <c r="J12" s="299"/>
      <c r="K12" s="300"/>
      <c r="L12" s="406"/>
      <c r="M12" s="36"/>
      <c r="N12" s="128"/>
    </row>
    <row r="13" spans="1:14" s="43" customFormat="1" x14ac:dyDescent="0.2">
      <c r="A13" s="153"/>
      <c r="B13" s="130"/>
      <c r="C13" s="33"/>
      <c r="D13" s="144"/>
      <c r="E13" s="144"/>
      <c r="F13" s="130"/>
      <c r="G13" s="33"/>
      <c r="H13" s="144"/>
      <c r="I13" s="144"/>
      <c r="J13" s="48"/>
      <c r="K13" s="48"/>
      <c r="L13" s="144"/>
      <c r="M13" s="144"/>
      <c r="N13" s="128"/>
    </row>
    <row r="14" spans="1:14" x14ac:dyDescent="0.2">
      <c r="A14" s="138" t="s">
        <v>245</v>
      </c>
      <c r="B14" s="26"/>
    </row>
    <row r="15" spans="1:14" x14ac:dyDescent="0.2">
      <c r="F15" s="131"/>
      <c r="G15" s="131"/>
      <c r="H15" s="131"/>
      <c r="I15" s="131"/>
      <c r="J15" s="131"/>
      <c r="K15" s="131"/>
      <c r="L15" s="131"/>
      <c r="M15" s="131"/>
    </row>
    <row r="16" spans="1:14" s="3" customFormat="1" ht="15.75" x14ac:dyDescent="0.25">
      <c r="A16" s="149"/>
      <c r="B16" s="133"/>
      <c r="C16" s="139"/>
      <c r="D16" s="139"/>
      <c r="E16" s="139"/>
      <c r="F16" s="139"/>
      <c r="G16" s="139"/>
      <c r="H16" s="139"/>
      <c r="I16" s="139"/>
      <c r="J16" s="139"/>
      <c r="K16" s="139"/>
      <c r="L16" s="139"/>
      <c r="M16" s="139"/>
      <c r="N16" s="133"/>
    </row>
    <row r="17" spans="1:14" ht="15.75" x14ac:dyDescent="0.25">
      <c r="A17" s="132" t="s">
        <v>242</v>
      </c>
      <c r="B17" s="142"/>
      <c r="C17" s="142"/>
      <c r="D17" s="136"/>
      <c r="E17" s="136"/>
      <c r="F17" s="142"/>
      <c r="G17" s="142"/>
      <c r="H17" s="142"/>
      <c r="I17" s="142"/>
      <c r="J17" s="142"/>
      <c r="K17" s="142"/>
      <c r="L17" s="142"/>
      <c r="M17" s="142"/>
    </row>
    <row r="18" spans="1:14" ht="15.75" x14ac:dyDescent="0.25">
      <c r="B18" s="714"/>
      <c r="C18" s="714"/>
      <c r="D18" s="714"/>
      <c r="E18" s="284"/>
      <c r="F18" s="714"/>
      <c r="G18" s="714"/>
      <c r="H18" s="714"/>
      <c r="I18" s="284"/>
      <c r="J18" s="714"/>
      <c r="K18" s="714"/>
      <c r="L18" s="714"/>
      <c r="M18" s="284"/>
    </row>
    <row r="19" spans="1:14" x14ac:dyDescent="0.2">
      <c r="A19" s="129"/>
      <c r="B19" s="715" t="s">
        <v>0</v>
      </c>
      <c r="C19" s="716"/>
      <c r="D19" s="716"/>
      <c r="E19" s="286"/>
      <c r="F19" s="715" t="s">
        <v>1</v>
      </c>
      <c r="G19" s="716"/>
      <c r="H19" s="716"/>
      <c r="I19" s="289"/>
      <c r="J19" s="715" t="s">
        <v>2</v>
      </c>
      <c r="K19" s="716"/>
      <c r="L19" s="716"/>
      <c r="M19" s="289"/>
    </row>
    <row r="20" spans="1:14" x14ac:dyDescent="0.2">
      <c r="A20" s="125" t="s">
        <v>5</v>
      </c>
      <c r="B20" s="227" t="s">
        <v>414</v>
      </c>
      <c r="C20" s="227" t="s">
        <v>415</v>
      </c>
      <c r="D20" s="147" t="s">
        <v>3</v>
      </c>
      <c r="E20" s="290" t="s">
        <v>29</v>
      </c>
      <c r="F20" s="227" t="s">
        <v>414</v>
      </c>
      <c r="G20" s="227" t="s">
        <v>415</v>
      </c>
      <c r="H20" s="147" t="s">
        <v>3</v>
      </c>
      <c r="I20" s="147" t="s">
        <v>29</v>
      </c>
      <c r="J20" s="227" t="s">
        <v>414</v>
      </c>
      <c r="K20" s="227" t="s">
        <v>415</v>
      </c>
      <c r="L20" s="147" t="s">
        <v>3</v>
      </c>
      <c r="M20" s="147" t="s">
        <v>29</v>
      </c>
    </row>
    <row r="21" spans="1:14" x14ac:dyDescent="0.2">
      <c r="A21" s="683"/>
      <c r="B21" s="141"/>
      <c r="C21" s="141"/>
      <c r="D21" s="231" t="s">
        <v>4</v>
      </c>
      <c r="E21" s="141" t="s">
        <v>30</v>
      </c>
      <c r="F21" s="146"/>
      <c r="G21" s="146"/>
      <c r="H21" s="230" t="s">
        <v>4</v>
      </c>
      <c r="I21" s="141" t="s">
        <v>30</v>
      </c>
      <c r="J21" s="146"/>
      <c r="K21" s="146"/>
      <c r="L21" s="141" t="s">
        <v>4</v>
      </c>
      <c r="M21" s="141" t="s">
        <v>30</v>
      </c>
    </row>
    <row r="22" spans="1:14" ht="15.75" x14ac:dyDescent="0.2">
      <c r="A22" s="14" t="s">
        <v>23</v>
      </c>
      <c r="B22" s="295"/>
      <c r="C22" s="295"/>
      <c r="D22" s="334"/>
      <c r="E22" s="11"/>
      <c r="F22" s="303"/>
      <c r="G22" s="303"/>
      <c r="H22" s="334"/>
      <c r="I22" s="11"/>
      <c r="J22" s="301"/>
      <c r="K22" s="301"/>
      <c r="L22" s="404"/>
      <c r="M22" s="24"/>
    </row>
    <row r="23" spans="1:14" ht="15.75" x14ac:dyDescent="0.2">
      <c r="A23" s="453" t="s">
        <v>325</v>
      </c>
      <c r="B23" s="266"/>
      <c r="C23" s="266"/>
      <c r="D23" s="151"/>
      <c r="E23" s="11"/>
      <c r="F23" s="275"/>
      <c r="G23" s="275"/>
      <c r="H23" s="151"/>
      <c r="I23" s="394"/>
      <c r="J23" s="275"/>
      <c r="K23" s="275"/>
      <c r="L23" s="151"/>
      <c r="M23" s="23"/>
    </row>
    <row r="24" spans="1:14" ht="15.75" x14ac:dyDescent="0.2">
      <c r="A24" s="453" t="s">
        <v>326</v>
      </c>
      <c r="B24" s="266"/>
      <c r="C24" s="266"/>
      <c r="D24" s="151"/>
      <c r="E24" s="11"/>
      <c r="F24" s="275"/>
      <c r="G24" s="275"/>
      <c r="H24" s="151"/>
      <c r="I24" s="394"/>
      <c r="J24" s="275"/>
      <c r="K24" s="275"/>
      <c r="L24" s="151"/>
      <c r="M24" s="23"/>
    </row>
    <row r="25" spans="1:14" ht="15.75" x14ac:dyDescent="0.2">
      <c r="A25" s="453" t="s">
        <v>327</v>
      </c>
      <c r="B25" s="266"/>
      <c r="C25" s="266"/>
      <c r="D25" s="151"/>
      <c r="E25" s="11"/>
      <c r="F25" s="275"/>
      <c r="G25" s="275"/>
      <c r="H25" s="151"/>
      <c r="I25" s="394"/>
      <c r="J25" s="275"/>
      <c r="K25" s="275"/>
      <c r="L25" s="151"/>
      <c r="M25" s="23"/>
    </row>
    <row r="26" spans="1:14" ht="15.75" x14ac:dyDescent="0.2">
      <c r="A26" s="453" t="s">
        <v>328</v>
      </c>
      <c r="B26" s="266"/>
      <c r="C26" s="266"/>
      <c r="D26" s="151"/>
      <c r="E26" s="11"/>
      <c r="F26" s="275"/>
      <c r="G26" s="275"/>
      <c r="H26" s="151"/>
      <c r="I26" s="394"/>
      <c r="J26" s="275"/>
      <c r="K26" s="275"/>
      <c r="L26" s="151"/>
      <c r="M26" s="23"/>
    </row>
    <row r="27" spans="1:14" x14ac:dyDescent="0.2">
      <c r="A27" s="453" t="s">
        <v>11</v>
      </c>
      <c r="B27" s="266"/>
      <c r="C27" s="266"/>
      <c r="D27" s="151"/>
      <c r="E27" s="11"/>
      <c r="F27" s="275"/>
      <c r="G27" s="275"/>
      <c r="H27" s="151"/>
      <c r="I27" s="394"/>
      <c r="J27" s="275"/>
      <c r="K27" s="275"/>
      <c r="L27" s="151"/>
      <c r="M27" s="23"/>
    </row>
    <row r="28" spans="1:14" ht="15.75" x14ac:dyDescent="0.2">
      <c r="A28" s="49" t="s">
        <v>246</v>
      </c>
      <c r="B28" s="44"/>
      <c r="C28" s="272">
        <v>375</v>
      </c>
      <c r="D28" s="151" t="str">
        <f t="shared" ref="D28" si="3">IF(B28=0, "    ---- ", IF(ABS(ROUND(100/B28*C28-100,1))&lt;999,ROUND(100/B28*C28-100,1),IF(ROUND(100/B28*C28-100,1)&gt;999,999,-999)))</f>
        <v xml:space="preserve">    ---- </v>
      </c>
      <c r="E28" s="11">
        <f>IFERROR(100/'Skjema total MA'!C28*C28,0)</f>
        <v>2.2204466356782436E-2</v>
      </c>
      <c r="F28" s="218"/>
      <c r="G28" s="272"/>
      <c r="H28" s="151"/>
      <c r="I28" s="27"/>
      <c r="J28" s="44">
        <f t="shared" ref="J28:K28" si="4">SUM(B28,F28)</f>
        <v>0</v>
      </c>
      <c r="K28" s="44">
        <f t="shared" si="4"/>
        <v>375</v>
      </c>
      <c r="L28" s="242" t="str">
        <f t="shared" ref="L28" si="5">IF(J28=0, "    ---- ", IF(ABS(ROUND(100/J28*K28-100,1))&lt;999,ROUND(100/J28*K28-100,1),IF(ROUND(100/J28*K28-100,1)&gt;999,999,-999)))</f>
        <v xml:space="preserve">    ---- </v>
      </c>
      <c r="M28" s="23">
        <f>IFERROR(100/'Skjema total MA'!I28*K28,0)</f>
        <v>2.2204466356782436E-2</v>
      </c>
    </row>
    <row r="29" spans="1:14" s="3" customFormat="1" ht="15.75" x14ac:dyDescent="0.2">
      <c r="A29" s="13" t="s">
        <v>322</v>
      </c>
      <c r="B29" s="220"/>
      <c r="C29" s="220"/>
      <c r="D29" s="156"/>
      <c r="E29" s="11"/>
      <c r="F29" s="293"/>
      <c r="G29" s="293"/>
      <c r="H29" s="156"/>
      <c r="I29" s="11"/>
      <c r="J29" s="220"/>
      <c r="K29" s="220"/>
      <c r="L29" s="405"/>
      <c r="M29" s="24"/>
      <c r="N29" s="133"/>
    </row>
    <row r="30" spans="1:14" s="3" customFormat="1" ht="15.75" x14ac:dyDescent="0.2">
      <c r="A30" s="453" t="s">
        <v>325</v>
      </c>
      <c r="B30" s="266"/>
      <c r="C30" s="266"/>
      <c r="D30" s="151"/>
      <c r="E30" s="11"/>
      <c r="F30" s="275"/>
      <c r="G30" s="275"/>
      <c r="H30" s="151"/>
      <c r="I30" s="394"/>
      <c r="J30" s="275"/>
      <c r="K30" s="275"/>
      <c r="L30" s="151"/>
      <c r="M30" s="23"/>
      <c r="N30" s="133"/>
    </row>
    <row r="31" spans="1:14" s="3" customFormat="1" ht="15.75" x14ac:dyDescent="0.2">
      <c r="A31" s="453" t="s">
        <v>326</v>
      </c>
      <c r="B31" s="266"/>
      <c r="C31" s="266"/>
      <c r="D31" s="151"/>
      <c r="E31" s="11"/>
      <c r="F31" s="275"/>
      <c r="G31" s="275"/>
      <c r="H31" s="151"/>
      <c r="I31" s="394"/>
      <c r="J31" s="275"/>
      <c r="K31" s="275"/>
      <c r="L31" s="151"/>
      <c r="M31" s="23"/>
      <c r="N31" s="133"/>
    </row>
    <row r="32" spans="1:14" ht="15.75" x14ac:dyDescent="0.2">
      <c r="A32" s="453" t="s">
        <v>327</v>
      </c>
      <c r="B32" s="266"/>
      <c r="C32" s="266"/>
      <c r="D32" s="151"/>
      <c r="E32" s="11"/>
      <c r="F32" s="275"/>
      <c r="G32" s="275"/>
      <c r="H32" s="151"/>
      <c r="I32" s="394"/>
      <c r="J32" s="275"/>
      <c r="K32" s="275"/>
      <c r="L32" s="151"/>
      <c r="M32" s="23"/>
    </row>
    <row r="33" spans="1:14" ht="15.75" x14ac:dyDescent="0.2">
      <c r="A33" s="453" t="s">
        <v>328</v>
      </c>
      <c r="B33" s="266"/>
      <c r="C33" s="266"/>
      <c r="D33" s="151"/>
      <c r="E33" s="11"/>
      <c r="F33" s="275"/>
      <c r="G33" s="275"/>
      <c r="H33" s="151"/>
      <c r="I33" s="394"/>
      <c r="J33" s="275"/>
      <c r="K33" s="275"/>
      <c r="L33" s="151"/>
      <c r="M33" s="23"/>
    </row>
    <row r="34" spans="1:14" ht="15.75" x14ac:dyDescent="0.2">
      <c r="A34" s="13" t="s">
        <v>323</v>
      </c>
      <c r="B34" s="220"/>
      <c r="C34" s="294"/>
      <c r="D34" s="156"/>
      <c r="E34" s="11"/>
      <c r="F34" s="293"/>
      <c r="G34" s="294"/>
      <c r="H34" s="156"/>
      <c r="I34" s="11"/>
      <c r="J34" s="220"/>
      <c r="K34" s="220"/>
      <c r="L34" s="405"/>
      <c r="M34" s="24"/>
    </row>
    <row r="35" spans="1:14" ht="15.75" x14ac:dyDescent="0.2">
      <c r="A35" s="13" t="s">
        <v>324</v>
      </c>
      <c r="B35" s="220"/>
      <c r="C35" s="294"/>
      <c r="D35" s="156"/>
      <c r="E35" s="11"/>
      <c r="F35" s="293"/>
      <c r="G35" s="294"/>
      <c r="H35" s="156"/>
      <c r="I35" s="11"/>
      <c r="J35" s="220"/>
      <c r="K35" s="220"/>
      <c r="L35" s="405"/>
      <c r="M35" s="24"/>
    </row>
    <row r="36" spans="1:14" ht="15.75" x14ac:dyDescent="0.2">
      <c r="A36" s="12" t="s">
        <v>254</v>
      </c>
      <c r="B36" s="220"/>
      <c r="C36" s="294"/>
      <c r="D36" s="156"/>
      <c r="E36" s="11"/>
      <c r="F36" s="304"/>
      <c r="G36" s="305"/>
      <c r="H36" s="156"/>
      <c r="I36" s="411"/>
      <c r="J36" s="220"/>
      <c r="K36" s="220"/>
      <c r="L36" s="405"/>
      <c r="M36" s="24"/>
    </row>
    <row r="37" spans="1:14" ht="15.75" x14ac:dyDescent="0.2">
      <c r="A37" s="12" t="s">
        <v>330</v>
      </c>
      <c r="B37" s="220"/>
      <c r="C37" s="294"/>
      <c r="D37" s="156"/>
      <c r="E37" s="11"/>
      <c r="F37" s="304"/>
      <c r="G37" s="306"/>
      <c r="H37" s="156"/>
      <c r="I37" s="411"/>
      <c r="J37" s="220"/>
      <c r="K37" s="220"/>
      <c r="L37" s="405"/>
      <c r="M37" s="24"/>
    </row>
    <row r="38" spans="1:14" ht="15.75" x14ac:dyDescent="0.2">
      <c r="A38" s="12" t="s">
        <v>331</v>
      </c>
      <c r="B38" s="220"/>
      <c r="C38" s="294"/>
      <c r="D38" s="156"/>
      <c r="E38" s="24"/>
      <c r="F38" s="304"/>
      <c r="G38" s="305"/>
      <c r="H38" s="156"/>
      <c r="I38" s="411"/>
      <c r="J38" s="220"/>
      <c r="K38" s="220"/>
      <c r="L38" s="405"/>
      <c r="M38" s="24"/>
    </row>
    <row r="39" spans="1:14" ht="15.75" x14ac:dyDescent="0.2">
      <c r="A39" s="18" t="s">
        <v>332</v>
      </c>
      <c r="B39" s="261"/>
      <c r="C39" s="300"/>
      <c r="D39" s="154"/>
      <c r="E39" s="36"/>
      <c r="F39" s="307"/>
      <c r="G39" s="308"/>
      <c r="H39" s="154"/>
      <c r="I39" s="36"/>
      <c r="J39" s="220"/>
      <c r="K39" s="220"/>
      <c r="L39" s="406"/>
      <c r="M39" s="36"/>
    </row>
    <row r="40" spans="1:14" ht="15.75" x14ac:dyDescent="0.25">
      <c r="A40" s="47"/>
      <c r="B40" s="241"/>
      <c r="C40" s="241"/>
      <c r="D40" s="718"/>
      <c r="E40" s="718"/>
      <c r="F40" s="718"/>
      <c r="G40" s="718"/>
      <c r="H40" s="718"/>
      <c r="I40" s="718"/>
      <c r="J40" s="718"/>
      <c r="K40" s="718"/>
      <c r="L40" s="718"/>
      <c r="M40" s="287"/>
    </row>
    <row r="41" spans="1:14" x14ac:dyDescent="0.2">
      <c r="A41" s="140"/>
    </row>
    <row r="42" spans="1:14" ht="15.75" x14ac:dyDescent="0.25">
      <c r="A42" s="132" t="s">
        <v>243</v>
      </c>
      <c r="B42" s="717"/>
      <c r="C42" s="717"/>
      <c r="D42" s="717"/>
      <c r="E42" s="284"/>
      <c r="F42" s="719"/>
      <c r="G42" s="719"/>
      <c r="H42" s="719"/>
      <c r="I42" s="287"/>
      <c r="J42" s="719"/>
      <c r="K42" s="719"/>
      <c r="L42" s="719"/>
      <c r="M42" s="287"/>
    </row>
    <row r="43" spans="1:14" ht="15.75" x14ac:dyDescent="0.25">
      <c r="A43" s="148"/>
      <c r="B43" s="288"/>
      <c r="C43" s="288"/>
      <c r="D43" s="288"/>
      <c r="E43" s="288"/>
      <c r="F43" s="287"/>
      <c r="G43" s="287"/>
      <c r="H43" s="287"/>
      <c r="I43" s="287"/>
      <c r="J43" s="287"/>
      <c r="K43" s="287"/>
      <c r="L43" s="287"/>
      <c r="M43" s="287"/>
    </row>
    <row r="44" spans="1:14" ht="15.75" x14ac:dyDescent="0.25">
      <c r="A44" s="232"/>
      <c r="B44" s="715" t="s">
        <v>0</v>
      </c>
      <c r="C44" s="716"/>
      <c r="D44" s="716"/>
      <c r="E44" s="228"/>
      <c r="F44" s="287"/>
      <c r="G44" s="287"/>
      <c r="H44" s="287"/>
      <c r="I44" s="287"/>
      <c r="J44" s="287"/>
      <c r="K44" s="287"/>
      <c r="L44" s="287"/>
      <c r="M44" s="287"/>
    </row>
    <row r="45" spans="1:14" s="3" customFormat="1" x14ac:dyDescent="0.2">
      <c r="A45" s="125"/>
      <c r="B45" s="158" t="s">
        <v>414</v>
      </c>
      <c r="C45" s="158" t="s">
        <v>415</v>
      </c>
      <c r="D45" s="147" t="s">
        <v>3</v>
      </c>
      <c r="E45" s="147" t="s">
        <v>29</v>
      </c>
      <c r="F45" s="160"/>
      <c r="G45" s="160"/>
      <c r="H45" s="159"/>
      <c r="I45" s="159"/>
      <c r="J45" s="160"/>
      <c r="K45" s="160"/>
      <c r="L45" s="159"/>
      <c r="M45" s="159"/>
      <c r="N45" s="133"/>
    </row>
    <row r="46" spans="1:14" s="3" customFormat="1" x14ac:dyDescent="0.2">
      <c r="A46" s="683"/>
      <c r="B46" s="229"/>
      <c r="C46" s="229"/>
      <c r="D46" s="230" t="s">
        <v>4</v>
      </c>
      <c r="E46" s="141" t="s">
        <v>30</v>
      </c>
      <c r="F46" s="159"/>
      <c r="G46" s="159"/>
      <c r="H46" s="159"/>
      <c r="I46" s="159"/>
      <c r="J46" s="159"/>
      <c r="K46" s="159"/>
      <c r="L46" s="159"/>
      <c r="M46" s="159"/>
      <c r="N46" s="133"/>
    </row>
    <row r="47" spans="1:14" s="3" customFormat="1" ht="15.75" x14ac:dyDescent="0.2">
      <c r="A47" s="14" t="s">
        <v>23</v>
      </c>
      <c r="B47" s="295">
        <v>95973</v>
      </c>
      <c r="C47" s="296">
        <v>104617</v>
      </c>
      <c r="D47" s="404">
        <f t="shared" ref="D47:D48" si="6">IF(B47=0, "    ---- ", IF(ABS(ROUND(100/B47*C47-100,1))&lt;999,ROUND(100/B47*C47-100,1),IF(ROUND(100/B47*C47-100,1)&gt;999,999,-999)))</f>
        <v>9</v>
      </c>
      <c r="E47" s="11">
        <f>IFERROR(100/'Skjema total MA'!C47*C47,0)</f>
        <v>2.0070862988694183</v>
      </c>
      <c r="F47" s="130"/>
      <c r="G47" s="33"/>
      <c r="H47" s="144"/>
      <c r="I47" s="144"/>
      <c r="J47" s="37"/>
      <c r="K47" s="37"/>
      <c r="L47" s="144"/>
      <c r="M47" s="144"/>
      <c r="N47" s="133"/>
    </row>
    <row r="48" spans="1:14" s="3" customFormat="1" ht="15.75" x14ac:dyDescent="0.2">
      <c r="A48" s="38" t="s">
        <v>333</v>
      </c>
      <c r="B48" s="266">
        <v>31559</v>
      </c>
      <c r="C48" s="267">
        <v>34548</v>
      </c>
      <c r="D48" s="242">
        <f t="shared" si="6"/>
        <v>9.5</v>
      </c>
      <c r="E48" s="27">
        <f>IFERROR(100/'Skjema total MA'!C48*C48,0)</f>
        <v>1.1641007479442651</v>
      </c>
      <c r="F48" s="130"/>
      <c r="G48" s="33"/>
      <c r="H48" s="130"/>
      <c r="I48" s="130"/>
      <c r="J48" s="33"/>
      <c r="K48" s="33"/>
      <c r="L48" s="144"/>
      <c r="M48" s="144"/>
      <c r="N48" s="133"/>
    </row>
    <row r="49" spans="1:14" s="3" customFormat="1" ht="15.75" x14ac:dyDescent="0.2">
      <c r="A49" s="38" t="s">
        <v>334</v>
      </c>
      <c r="B49" s="44">
        <v>64414</v>
      </c>
      <c r="C49" s="272">
        <v>70069</v>
      </c>
      <c r="D49" s="242">
        <f>IF(B49=0, "    ---- ", IF(ABS(ROUND(100/B49*C49-100,1))&lt;999,ROUND(100/B49*C49-100,1),IF(ROUND(100/B49*C49-100,1)&gt;999,999,-999)))</f>
        <v>8.8000000000000007</v>
      </c>
      <c r="E49" s="27">
        <f>IFERROR(100/'Skjema total MA'!C49*C49,0)</f>
        <v>3.1222799044200209</v>
      </c>
      <c r="F49" s="130"/>
      <c r="G49" s="33"/>
      <c r="H49" s="130"/>
      <c r="I49" s="130"/>
      <c r="J49" s="37"/>
      <c r="K49" s="37"/>
      <c r="L49" s="144"/>
      <c r="M49" s="144"/>
      <c r="N49" s="133"/>
    </row>
    <row r="50" spans="1:14" s="3" customFormat="1" x14ac:dyDescent="0.2">
      <c r="A50" s="281" t="s">
        <v>6</v>
      </c>
      <c r="B50" s="275"/>
      <c r="C50" s="276"/>
      <c r="D50" s="242"/>
      <c r="E50" s="23"/>
      <c r="F50" s="130"/>
      <c r="G50" s="33"/>
      <c r="H50" s="130"/>
      <c r="I50" s="130"/>
      <c r="J50" s="33"/>
      <c r="K50" s="33"/>
      <c r="L50" s="144"/>
      <c r="M50" s="144"/>
      <c r="N50" s="133"/>
    </row>
    <row r="51" spans="1:14" s="3" customFormat="1" x14ac:dyDescent="0.2">
      <c r="A51" s="281" t="s">
        <v>7</v>
      </c>
      <c r="B51" s="275"/>
      <c r="C51" s="276"/>
      <c r="D51" s="242"/>
      <c r="E51" s="23"/>
      <c r="F51" s="130"/>
      <c r="G51" s="33"/>
      <c r="H51" s="130"/>
      <c r="I51" s="130"/>
      <c r="J51" s="33"/>
      <c r="K51" s="33"/>
      <c r="L51" s="144"/>
      <c r="M51" s="144"/>
      <c r="N51" s="133"/>
    </row>
    <row r="52" spans="1:14" s="3" customFormat="1" x14ac:dyDescent="0.2">
      <c r="A52" s="281" t="s">
        <v>8</v>
      </c>
      <c r="B52" s="275"/>
      <c r="C52" s="276"/>
      <c r="D52" s="242"/>
      <c r="E52" s="23"/>
      <c r="F52" s="130"/>
      <c r="G52" s="33"/>
      <c r="H52" s="130"/>
      <c r="I52" s="130"/>
      <c r="J52" s="33"/>
      <c r="K52" s="33"/>
      <c r="L52" s="144"/>
      <c r="M52" s="144"/>
      <c r="N52" s="133"/>
    </row>
    <row r="53" spans="1:14" s="3" customFormat="1" ht="15.75" x14ac:dyDescent="0.2">
      <c r="A53" s="39" t="s">
        <v>335</v>
      </c>
      <c r="B53" s="295"/>
      <c r="C53" s="296"/>
      <c r="D53" s="405"/>
      <c r="E53" s="11"/>
      <c r="F53" s="130"/>
      <c r="G53" s="33"/>
      <c r="H53" s="130"/>
      <c r="I53" s="130"/>
      <c r="J53" s="33"/>
      <c r="K53" s="33"/>
      <c r="L53" s="144"/>
      <c r="M53" s="144"/>
      <c r="N53" s="133"/>
    </row>
    <row r="54" spans="1:14" s="3" customFormat="1" ht="15.75" x14ac:dyDescent="0.2">
      <c r="A54" s="38" t="s">
        <v>333</v>
      </c>
      <c r="B54" s="266"/>
      <c r="C54" s="267"/>
      <c r="D54" s="242"/>
      <c r="E54" s="27"/>
      <c r="F54" s="130"/>
      <c r="G54" s="33"/>
      <c r="H54" s="130"/>
      <c r="I54" s="130"/>
      <c r="J54" s="33"/>
      <c r="K54" s="33"/>
      <c r="L54" s="144"/>
      <c r="M54" s="144"/>
      <c r="N54" s="133"/>
    </row>
    <row r="55" spans="1:14" s="3" customFormat="1" ht="15.75" x14ac:dyDescent="0.2">
      <c r="A55" s="38" t="s">
        <v>334</v>
      </c>
      <c r="B55" s="266"/>
      <c r="C55" s="267"/>
      <c r="D55" s="242"/>
      <c r="E55" s="27"/>
      <c r="F55" s="130"/>
      <c r="G55" s="33"/>
      <c r="H55" s="130"/>
      <c r="I55" s="130"/>
      <c r="J55" s="33"/>
      <c r="K55" s="33"/>
      <c r="L55" s="144"/>
      <c r="M55" s="144"/>
      <c r="N55" s="133"/>
    </row>
    <row r="56" spans="1:14" s="3" customFormat="1" ht="15.75" x14ac:dyDescent="0.2">
      <c r="A56" s="39" t="s">
        <v>336</v>
      </c>
      <c r="B56" s="295"/>
      <c r="C56" s="296"/>
      <c r="D56" s="405"/>
      <c r="E56" s="11"/>
      <c r="F56" s="130"/>
      <c r="G56" s="33"/>
      <c r="H56" s="130"/>
      <c r="I56" s="130"/>
      <c r="J56" s="33"/>
      <c r="K56" s="33"/>
      <c r="L56" s="144"/>
      <c r="M56" s="144"/>
      <c r="N56" s="133"/>
    </row>
    <row r="57" spans="1:14" s="3" customFormat="1" ht="15.75" x14ac:dyDescent="0.2">
      <c r="A57" s="38" t="s">
        <v>333</v>
      </c>
      <c r="B57" s="266"/>
      <c r="C57" s="267"/>
      <c r="D57" s="242"/>
      <c r="E57" s="27"/>
      <c r="F57" s="130"/>
      <c r="G57" s="33"/>
      <c r="H57" s="130"/>
      <c r="I57" s="130"/>
      <c r="J57" s="33"/>
      <c r="K57" s="33"/>
      <c r="L57" s="144"/>
      <c r="M57" s="144"/>
      <c r="N57" s="133"/>
    </row>
    <row r="58" spans="1:14" s="3" customFormat="1" ht="15.75" x14ac:dyDescent="0.2">
      <c r="A58" s="46" t="s">
        <v>334</v>
      </c>
      <c r="B58" s="268"/>
      <c r="C58" s="269"/>
      <c r="D58" s="243"/>
      <c r="E58" s="22"/>
      <c r="F58" s="130"/>
      <c r="G58" s="33"/>
      <c r="H58" s="130"/>
      <c r="I58" s="130"/>
      <c r="J58" s="33"/>
      <c r="K58" s="33"/>
      <c r="L58" s="144"/>
      <c r="M58" s="144"/>
      <c r="N58" s="133"/>
    </row>
    <row r="59" spans="1:14" s="3" customFormat="1" ht="15.75" x14ac:dyDescent="0.25">
      <c r="A59" s="149"/>
      <c r="B59" s="139"/>
      <c r="C59" s="139"/>
      <c r="D59" s="139"/>
      <c r="E59" s="139"/>
      <c r="F59" s="127"/>
      <c r="G59" s="127"/>
      <c r="H59" s="127"/>
      <c r="I59" s="127"/>
      <c r="J59" s="127"/>
      <c r="K59" s="127"/>
      <c r="L59" s="127"/>
      <c r="M59" s="127"/>
      <c r="N59" s="133"/>
    </row>
    <row r="60" spans="1:14" x14ac:dyDescent="0.2">
      <c r="A60" s="140"/>
    </row>
    <row r="61" spans="1:14" ht="15.75" x14ac:dyDescent="0.25">
      <c r="A61" s="132" t="s">
        <v>244</v>
      </c>
      <c r="C61" s="26"/>
      <c r="D61" s="26"/>
      <c r="E61" s="26"/>
      <c r="F61" s="26"/>
      <c r="G61" s="26"/>
      <c r="H61" s="26"/>
      <c r="I61" s="26"/>
      <c r="J61" s="26"/>
      <c r="K61" s="26"/>
      <c r="L61" s="26"/>
      <c r="M61" s="26"/>
    </row>
    <row r="62" spans="1:14" ht="15.75" x14ac:dyDescent="0.25">
      <c r="B62" s="714"/>
      <c r="C62" s="714"/>
      <c r="D62" s="714"/>
      <c r="E62" s="284"/>
      <c r="F62" s="714"/>
      <c r="G62" s="714"/>
      <c r="H62" s="714"/>
      <c r="I62" s="284"/>
      <c r="J62" s="714"/>
      <c r="K62" s="714"/>
      <c r="L62" s="714"/>
      <c r="M62" s="284"/>
    </row>
    <row r="63" spans="1:14" x14ac:dyDescent="0.2">
      <c r="A63" s="129"/>
      <c r="B63" s="715" t="s">
        <v>0</v>
      </c>
      <c r="C63" s="716"/>
      <c r="D63" s="720"/>
      <c r="E63" s="285"/>
      <c r="F63" s="716" t="s">
        <v>1</v>
      </c>
      <c r="G63" s="716"/>
      <c r="H63" s="716"/>
      <c r="I63" s="289"/>
      <c r="J63" s="715" t="s">
        <v>2</v>
      </c>
      <c r="K63" s="716"/>
      <c r="L63" s="716"/>
      <c r="M63" s="289"/>
    </row>
    <row r="64" spans="1:14" x14ac:dyDescent="0.2">
      <c r="A64" s="125"/>
      <c r="B64" s="137" t="s">
        <v>414</v>
      </c>
      <c r="C64" s="137" t="s">
        <v>415</v>
      </c>
      <c r="D64" s="230" t="s">
        <v>3</v>
      </c>
      <c r="E64" s="290" t="s">
        <v>29</v>
      </c>
      <c r="F64" s="137" t="s">
        <v>414</v>
      </c>
      <c r="G64" s="137" t="s">
        <v>415</v>
      </c>
      <c r="H64" s="230" t="s">
        <v>3</v>
      </c>
      <c r="I64" s="290" t="s">
        <v>29</v>
      </c>
      <c r="J64" s="137" t="s">
        <v>414</v>
      </c>
      <c r="K64" s="137" t="s">
        <v>415</v>
      </c>
      <c r="L64" s="230" t="s">
        <v>3</v>
      </c>
      <c r="M64" s="147" t="s">
        <v>29</v>
      </c>
    </row>
    <row r="65" spans="1:14" x14ac:dyDescent="0.2">
      <c r="A65" s="683"/>
      <c r="B65" s="141"/>
      <c r="C65" s="141"/>
      <c r="D65" s="231" t="s">
        <v>4</v>
      </c>
      <c r="E65" s="141" t="s">
        <v>30</v>
      </c>
      <c r="F65" s="146"/>
      <c r="G65" s="146"/>
      <c r="H65" s="230" t="s">
        <v>4</v>
      </c>
      <c r="I65" s="141" t="s">
        <v>30</v>
      </c>
      <c r="J65" s="146"/>
      <c r="K65" s="191"/>
      <c r="L65" s="141" t="s">
        <v>4</v>
      </c>
      <c r="M65" s="141" t="s">
        <v>30</v>
      </c>
    </row>
    <row r="66" spans="1:14" ht="15.75" x14ac:dyDescent="0.2">
      <c r="A66" s="14" t="s">
        <v>23</v>
      </c>
      <c r="B66" s="337"/>
      <c r="C66" s="337"/>
      <c r="D66" s="334"/>
      <c r="E66" s="11"/>
      <c r="F66" s="336"/>
      <c r="G66" s="336"/>
      <c r="H66" s="334"/>
      <c r="I66" s="11"/>
      <c r="J66" s="294"/>
      <c r="K66" s="301"/>
      <c r="L66" s="405"/>
      <c r="M66" s="11"/>
    </row>
    <row r="67" spans="1:14" x14ac:dyDescent="0.2">
      <c r="A67" s="396" t="s">
        <v>9</v>
      </c>
      <c r="B67" s="44"/>
      <c r="C67" s="130"/>
      <c r="D67" s="151"/>
      <c r="E67" s="27"/>
      <c r="F67" s="218"/>
      <c r="G67" s="130"/>
      <c r="H67" s="151"/>
      <c r="I67" s="27"/>
      <c r="J67" s="272"/>
      <c r="K67" s="44"/>
      <c r="L67" s="242"/>
      <c r="M67" s="27"/>
    </row>
    <row r="68" spans="1:14" x14ac:dyDescent="0.2">
      <c r="A68" s="21" t="s">
        <v>10</v>
      </c>
      <c r="B68" s="277"/>
      <c r="C68" s="278"/>
      <c r="D68" s="151"/>
      <c r="E68" s="27"/>
      <c r="F68" s="277"/>
      <c r="G68" s="278"/>
      <c r="H68" s="151"/>
      <c r="I68" s="27"/>
      <c r="J68" s="272"/>
      <c r="K68" s="44"/>
      <c r="L68" s="242"/>
      <c r="M68" s="27"/>
    </row>
    <row r="69" spans="1:14" ht="15.75" x14ac:dyDescent="0.2">
      <c r="A69" s="281" t="s">
        <v>337</v>
      </c>
      <c r="B69" s="279"/>
      <c r="C69" s="280"/>
      <c r="D69" s="151"/>
      <c r="E69" s="394"/>
      <c r="F69" s="690"/>
      <c r="G69" s="280"/>
      <c r="H69" s="151"/>
      <c r="I69" s="394"/>
      <c r="J69" s="690"/>
      <c r="K69" s="280"/>
      <c r="L69" s="151"/>
      <c r="M69" s="23"/>
    </row>
    <row r="70" spans="1:14" x14ac:dyDescent="0.2">
      <c r="A70" s="281" t="s">
        <v>12</v>
      </c>
      <c r="B70" s="279"/>
      <c r="C70" s="280"/>
      <c r="D70" s="151"/>
      <c r="E70" s="394"/>
      <c r="F70" s="690"/>
      <c r="G70" s="280"/>
      <c r="H70" s="151"/>
      <c r="I70" s="394"/>
      <c r="J70" s="690"/>
      <c r="K70" s="280"/>
      <c r="L70" s="151"/>
      <c r="M70" s="23"/>
    </row>
    <row r="71" spans="1:14" x14ac:dyDescent="0.2">
      <c r="A71" s="281" t="s">
        <v>13</v>
      </c>
      <c r="B71" s="219"/>
      <c r="C71" s="274"/>
      <c r="D71" s="151"/>
      <c r="E71" s="394"/>
      <c r="F71" s="172"/>
      <c r="G71" s="274"/>
      <c r="H71" s="151"/>
      <c r="I71" s="394"/>
      <c r="J71" s="172"/>
      <c r="K71" s="274"/>
      <c r="L71" s="151"/>
      <c r="M71" s="23"/>
    </row>
    <row r="72" spans="1:14" ht="15.75" x14ac:dyDescent="0.2">
      <c r="A72" s="281" t="s">
        <v>338</v>
      </c>
      <c r="B72" s="279"/>
      <c r="C72" s="280"/>
      <c r="D72" s="151"/>
      <c r="E72" s="394"/>
      <c r="F72" s="690"/>
      <c r="G72" s="280"/>
      <c r="H72" s="151"/>
      <c r="I72" s="394"/>
      <c r="J72" s="690"/>
      <c r="K72" s="280"/>
      <c r="L72" s="151"/>
      <c r="M72" s="23"/>
    </row>
    <row r="73" spans="1:14" x14ac:dyDescent="0.2">
      <c r="A73" s="281" t="s">
        <v>12</v>
      </c>
      <c r="B73" s="219"/>
      <c r="C73" s="274"/>
      <c r="D73" s="151"/>
      <c r="E73" s="394"/>
      <c r="F73" s="172"/>
      <c r="G73" s="274"/>
      <c r="H73" s="151"/>
      <c r="I73" s="394"/>
      <c r="J73" s="172"/>
      <c r="K73" s="274"/>
      <c r="L73" s="151"/>
      <c r="M73" s="23"/>
    </row>
    <row r="74" spans="1:14" s="3" customFormat="1" x14ac:dyDescent="0.2">
      <c r="A74" s="281" t="s">
        <v>13</v>
      </c>
      <c r="B74" s="219"/>
      <c r="C74" s="274"/>
      <c r="D74" s="151"/>
      <c r="E74" s="394"/>
      <c r="F74" s="172"/>
      <c r="G74" s="274"/>
      <c r="H74" s="151"/>
      <c r="I74" s="394"/>
      <c r="J74" s="172"/>
      <c r="K74" s="274"/>
      <c r="L74" s="151"/>
      <c r="M74" s="23"/>
      <c r="N74" s="133"/>
    </row>
    <row r="75" spans="1:14" s="3" customFormat="1" x14ac:dyDescent="0.2">
      <c r="A75" s="21" t="s">
        <v>309</v>
      </c>
      <c r="B75" s="218"/>
      <c r="C75" s="130"/>
      <c r="D75" s="151"/>
      <c r="E75" s="27"/>
      <c r="F75" s="218"/>
      <c r="G75" s="130"/>
      <c r="H75" s="151"/>
      <c r="I75" s="27"/>
      <c r="J75" s="272"/>
      <c r="K75" s="44"/>
      <c r="L75" s="242"/>
      <c r="M75" s="27"/>
      <c r="N75" s="133"/>
    </row>
    <row r="76" spans="1:14" s="3" customFormat="1" x14ac:dyDescent="0.2">
      <c r="A76" s="21" t="s">
        <v>308</v>
      </c>
      <c r="B76" s="218"/>
      <c r="C76" s="130"/>
      <c r="D76" s="151"/>
      <c r="E76" s="27"/>
      <c r="F76" s="218"/>
      <c r="G76" s="130"/>
      <c r="H76" s="151"/>
      <c r="I76" s="27"/>
      <c r="J76" s="272"/>
      <c r="K76" s="44"/>
      <c r="L76" s="242"/>
      <c r="M76" s="27"/>
      <c r="N76" s="133"/>
    </row>
    <row r="77" spans="1:14" ht="15.75" x14ac:dyDescent="0.2">
      <c r="A77" s="21" t="s">
        <v>339</v>
      </c>
      <c r="B77" s="218"/>
      <c r="C77" s="218"/>
      <c r="D77" s="151"/>
      <c r="E77" s="27"/>
      <c r="F77" s="218"/>
      <c r="G77" s="130"/>
      <c r="H77" s="151"/>
      <c r="I77" s="27"/>
      <c r="J77" s="272"/>
      <c r="K77" s="44"/>
      <c r="L77" s="242"/>
      <c r="M77" s="27"/>
    </row>
    <row r="78" spans="1:14" x14ac:dyDescent="0.2">
      <c r="A78" s="21" t="s">
        <v>9</v>
      </c>
      <c r="B78" s="218"/>
      <c r="C78" s="130"/>
      <c r="D78" s="151"/>
      <c r="E78" s="27"/>
      <c r="F78" s="218"/>
      <c r="G78" s="130"/>
      <c r="H78" s="151"/>
      <c r="I78" s="27"/>
      <c r="J78" s="272"/>
      <c r="K78" s="44"/>
      <c r="L78" s="242"/>
      <c r="M78" s="27"/>
    </row>
    <row r="79" spans="1:14" x14ac:dyDescent="0.2">
      <c r="A79" s="38" t="s">
        <v>368</v>
      </c>
      <c r="B79" s="277"/>
      <c r="C79" s="278"/>
      <c r="D79" s="151"/>
      <c r="E79" s="27"/>
      <c r="F79" s="277"/>
      <c r="G79" s="278"/>
      <c r="H79" s="151"/>
      <c r="I79" s="27"/>
      <c r="J79" s="272"/>
      <c r="K79" s="44"/>
      <c r="L79" s="242"/>
      <c r="M79" s="27"/>
    </row>
    <row r="80" spans="1:14" ht="15.75" x14ac:dyDescent="0.2">
      <c r="A80" s="281" t="s">
        <v>337</v>
      </c>
      <c r="B80" s="690"/>
      <c r="C80" s="280"/>
      <c r="D80" s="151"/>
      <c r="E80" s="394"/>
      <c r="F80" s="690"/>
      <c r="G80" s="280"/>
      <c r="H80" s="151"/>
      <c r="I80" s="394"/>
      <c r="J80" s="690"/>
      <c r="K80" s="280"/>
      <c r="L80" s="151"/>
      <c r="M80" s="23"/>
    </row>
    <row r="81" spans="1:13" x14ac:dyDescent="0.2">
      <c r="A81" s="281" t="s">
        <v>12</v>
      </c>
      <c r="B81" s="690"/>
      <c r="C81" s="280"/>
      <c r="D81" s="151"/>
      <c r="E81" s="394"/>
      <c r="F81" s="690"/>
      <c r="G81" s="280"/>
      <c r="H81" s="151"/>
      <c r="I81" s="394"/>
      <c r="J81" s="690"/>
      <c r="K81" s="280"/>
      <c r="L81" s="151"/>
      <c r="M81" s="23"/>
    </row>
    <row r="82" spans="1:13" x14ac:dyDescent="0.2">
      <c r="A82" s="281" t="s">
        <v>13</v>
      </c>
      <c r="B82" s="172"/>
      <c r="C82" s="274"/>
      <c r="D82" s="151"/>
      <c r="E82" s="394"/>
      <c r="F82" s="172"/>
      <c r="G82" s="274"/>
      <c r="H82" s="151"/>
      <c r="I82" s="394"/>
      <c r="J82" s="172"/>
      <c r="K82" s="274"/>
      <c r="L82" s="151"/>
      <c r="M82" s="23"/>
    </row>
    <row r="83" spans="1:13" ht="15.75" x14ac:dyDescent="0.2">
      <c r="A83" s="281" t="s">
        <v>338</v>
      </c>
      <c r="B83" s="690"/>
      <c r="C83" s="280"/>
      <c r="D83" s="151"/>
      <c r="E83" s="394"/>
      <c r="F83" s="690"/>
      <c r="G83" s="280"/>
      <c r="H83" s="151"/>
      <c r="I83" s="394"/>
      <c r="J83" s="690"/>
      <c r="K83" s="280"/>
      <c r="L83" s="151"/>
      <c r="M83" s="23"/>
    </row>
    <row r="84" spans="1:13" x14ac:dyDescent="0.2">
      <c r="A84" s="281" t="s">
        <v>12</v>
      </c>
      <c r="B84" s="172"/>
      <c r="C84" s="274"/>
      <c r="D84" s="151"/>
      <c r="E84" s="394"/>
      <c r="F84" s="172"/>
      <c r="G84" s="274"/>
      <c r="H84" s="151"/>
      <c r="I84" s="394"/>
      <c r="J84" s="172"/>
      <c r="K84" s="274"/>
      <c r="L84" s="151"/>
      <c r="M84" s="23"/>
    </row>
    <row r="85" spans="1:13" x14ac:dyDescent="0.2">
      <c r="A85" s="281" t="s">
        <v>13</v>
      </c>
      <c r="B85" s="172"/>
      <c r="C85" s="274"/>
      <c r="D85" s="151"/>
      <c r="E85" s="394"/>
      <c r="F85" s="172"/>
      <c r="G85" s="274"/>
      <c r="H85" s="151"/>
      <c r="I85" s="394"/>
      <c r="J85" s="172"/>
      <c r="K85" s="274"/>
      <c r="L85" s="151"/>
      <c r="M85" s="23"/>
    </row>
    <row r="86" spans="1:13" ht="15.75" x14ac:dyDescent="0.2">
      <c r="A86" s="21" t="s">
        <v>340</v>
      </c>
      <c r="B86" s="218"/>
      <c r="C86" s="130"/>
      <c r="D86" s="151"/>
      <c r="E86" s="27"/>
      <c r="F86" s="218"/>
      <c r="G86" s="130"/>
      <c r="H86" s="151"/>
      <c r="I86" s="27"/>
      <c r="J86" s="272"/>
      <c r="K86" s="44"/>
      <c r="L86" s="242"/>
      <c r="M86" s="27"/>
    </row>
    <row r="87" spans="1:13" ht="15.75" x14ac:dyDescent="0.2">
      <c r="A87" s="13" t="s">
        <v>322</v>
      </c>
      <c r="B87" s="337"/>
      <c r="C87" s="337"/>
      <c r="D87" s="156"/>
      <c r="E87" s="11"/>
      <c r="F87" s="336"/>
      <c r="G87" s="336"/>
      <c r="H87" s="156"/>
      <c r="I87" s="11"/>
      <c r="J87" s="294"/>
      <c r="K87" s="220"/>
      <c r="L87" s="405"/>
      <c r="M87" s="11"/>
    </row>
    <row r="88" spans="1:13" x14ac:dyDescent="0.2">
      <c r="A88" s="21" t="s">
        <v>9</v>
      </c>
      <c r="B88" s="218"/>
      <c r="C88" s="130"/>
      <c r="D88" s="151"/>
      <c r="E88" s="27"/>
      <c r="F88" s="218"/>
      <c r="G88" s="130"/>
      <c r="H88" s="151"/>
      <c r="I88" s="27"/>
      <c r="J88" s="272"/>
      <c r="K88" s="44"/>
      <c r="L88" s="242"/>
      <c r="M88" s="27"/>
    </row>
    <row r="89" spans="1:13" x14ac:dyDescent="0.2">
      <c r="A89" s="21" t="s">
        <v>10</v>
      </c>
      <c r="B89" s="218"/>
      <c r="C89" s="130"/>
      <c r="D89" s="151"/>
      <c r="E89" s="27"/>
      <c r="F89" s="218"/>
      <c r="G89" s="130"/>
      <c r="H89" s="151"/>
      <c r="I89" s="27"/>
      <c r="J89" s="272"/>
      <c r="K89" s="44"/>
      <c r="L89" s="242"/>
      <c r="M89" s="27"/>
    </row>
    <row r="90" spans="1:13" ht="15.75" x14ac:dyDescent="0.2">
      <c r="A90" s="281" t="s">
        <v>337</v>
      </c>
      <c r="B90" s="690"/>
      <c r="C90" s="280"/>
      <c r="D90" s="151"/>
      <c r="E90" s="394"/>
      <c r="F90" s="690"/>
      <c r="G90" s="280"/>
      <c r="H90" s="151"/>
      <c r="I90" s="394"/>
      <c r="J90" s="690"/>
      <c r="K90" s="280"/>
      <c r="L90" s="151"/>
      <c r="M90" s="23"/>
    </row>
    <row r="91" spans="1:13" x14ac:dyDescent="0.2">
      <c r="A91" s="281" t="s">
        <v>12</v>
      </c>
      <c r="B91" s="690"/>
      <c r="C91" s="280"/>
      <c r="D91" s="151"/>
      <c r="E91" s="394"/>
      <c r="F91" s="690"/>
      <c r="G91" s="280"/>
      <c r="H91" s="151"/>
      <c r="I91" s="394"/>
      <c r="J91" s="690"/>
      <c r="K91" s="280"/>
      <c r="L91" s="151"/>
      <c r="M91" s="23"/>
    </row>
    <row r="92" spans="1:13" x14ac:dyDescent="0.2">
      <c r="A92" s="281" t="s">
        <v>13</v>
      </c>
      <c r="B92" s="172"/>
      <c r="C92" s="274"/>
      <c r="D92" s="151"/>
      <c r="E92" s="394"/>
      <c r="F92" s="172"/>
      <c r="G92" s="274"/>
      <c r="H92" s="151"/>
      <c r="I92" s="394"/>
      <c r="J92" s="172"/>
      <c r="K92" s="274"/>
      <c r="L92" s="151"/>
      <c r="M92" s="23"/>
    </row>
    <row r="93" spans="1:13" ht="15.75" x14ac:dyDescent="0.2">
      <c r="A93" s="281" t="s">
        <v>338</v>
      </c>
      <c r="B93" s="690"/>
      <c r="C93" s="280"/>
      <c r="D93" s="151"/>
      <c r="E93" s="394"/>
      <c r="F93" s="690"/>
      <c r="G93" s="280"/>
      <c r="H93" s="151"/>
      <c r="I93" s="394"/>
      <c r="J93" s="690"/>
      <c r="K93" s="280"/>
      <c r="L93" s="151"/>
      <c r="M93" s="23"/>
    </row>
    <row r="94" spans="1:13" x14ac:dyDescent="0.2">
      <c r="A94" s="281" t="s">
        <v>12</v>
      </c>
      <c r="B94" s="172"/>
      <c r="C94" s="274"/>
      <c r="D94" s="151"/>
      <c r="E94" s="394"/>
      <c r="F94" s="172"/>
      <c r="G94" s="274"/>
      <c r="H94" s="151"/>
      <c r="I94" s="394"/>
      <c r="J94" s="172"/>
      <c r="K94" s="274"/>
      <c r="L94" s="151"/>
      <c r="M94" s="23"/>
    </row>
    <row r="95" spans="1:13" x14ac:dyDescent="0.2">
      <c r="A95" s="281" t="s">
        <v>13</v>
      </c>
      <c r="B95" s="172"/>
      <c r="C95" s="274"/>
      <c r="D95" s="151"/>
      <c r="E95" s="394"/>
      <c r="F95" s="172"/>
      <c r="G95" s="274"/>
      <c r="H95" s="151"/>
      <c r="I95" s="394"/>
      <c r="J95" s="172"/>
      <c r="K95" s="274"/>
      <c r="L95" s="151"/>
      <c r="M95" s="23"/>
    </row>
    <row r="96" spans="1:13" x14ac:dyDescent="0.2">
      <c r="A96" s="21" t="s">
        <v>307</v>
      </c>
      <c r="B96" s="218"/>
      <c r="C96" s="130"/>
      <c r="D96" s="151"/>
      <c r="E96" s="27"/>
      <c r="F96" s="218"/>
      <c r="G96" s="130"/>
      <c r="H96" s="151"/>
      <c r="I96" s="27"/>
      <c r="J96" s="272"/>
      <c r="K96" s="44"/>
      <c r="L96" s="242"/>
      <c r="M96" s="27"/>
    </row>
    <row r="97" spans="1:13" x14ac:dyDescent="0.2">
      <c r="A97" s="21" t="s">
        <v>306</v>
      </c>
      <c r="B97" s="218"/>
      <c r="C97" s="130"/>
      <c r="D97" s="151"/>
      <c r="E97" s="27"/>
      <c r="F97" s="218"/>
      <c r="G97" s="130"/>
      <c r="H97" s="151"/>
      <c r="I97" s="27"/>
      <c r="J97" s="272"/>
      <c r="K97" s="44"/>
      <c r="L97" s="242"/>
      <c r="M97" s="27"/>
    </row>
    <row r="98" spans="1:13" ht="15.75" x14ac:dyDescent="0.2">
      <c r="A98" s="21" t="s">
        <v>339</v>
      </c>
      <c r="B98" s="218"/>
      <c r="C98" s="218"/>
      <c r="D98" s="151"/>
      <c r="E98" s="27"/>
      <c r="F98" s="277"/>
      <c r="G98" s="277"/>
      <c r="H98" s="151"/>
      <c r="I98" s="27"/>
      <c r="J98" s="272"/>
      <c r="K98" s="44"/>
      <c r="L98" s="242"/>
      <c r="M98" s="27"/>
    </row>
    <row r="99" spans="1:13" x14ac:dyDescent="0.2">
      <c r="A99" s="21" t="s">
        <v>9</v>
      </c>
      <c r="B99" s="277"/>
      <c r="C99" s="278"/>
      <c r="D99" s="151"/>
      <c r="E99" s="27"/>
      <c r="F99" s="218"/>
      <c r="G99" s="130"/>
      <c r="H99" s="151"/>
      <c r="I99" s="27"/>
      <c r="J99" s="272"/>
      <c r="K99" s="44"/>
      <c r="L99" s="242"/>
      <c r="M99" s="27"/>
    </row>
    <row r="100" spans="1:13" x14ac:dyDescent="0.2">
      <c r="A100" s="38" t="s">
        <v>368</v>
      </c>
      <c r="B100" s="277"/>
      <c r="C100" s="278"/>
      <c r="D100" s="151"/>
      <c r="E100" s="27"/>
      <c r="F100" s="218"/>
      <c r="G100" s="218"/>
      <c r="H100" s="151"/>
      <c r="I100" s="27"/>
      <c r="J100" s="272"/>
      <c r="K100" s="44"/>
      <c r="L100" s="242"/>
      <c r="M100" s="27"/>
    </row>
    <row r="101" spans="1:13" ht="15.75" x14ac:dyDescent="0.2">
      <c r="A101" s="281" t="s">
        <v>337</v>
      </c>
      <c r="B101" s="690"/>
      <c r="C101" s="280"/>
      <c r="D101" s="151"/>
      <c r="E101" s="394"/>
      <c r="F101" s="690"/>
      <c r="G101" s="280"/>
      <c r="H101" s="151"/>
      <c r="I101" s="394"/>
      <c r="J101" s="690"/>
      <c r="K101" s="280"/>
      <c r="L101" s="151"/>
      <c r="M101" s="23"/>
    </row>
    <row r="102" spans="1:13" x14ac:dyDescent="0.2">
      <c r="A102" s="281" t="s">
        <v>12</v>
      </c>
      <c r="B102" s="690"/>
      <c r="C102" s="280"/>
      <c r="D102" s="151"/>
      <c r="E102" s="394"/>
      <c r="F102" s="690"/>
      <c r="G102" s="280"/>
      <c r="H102" s="151"/>
      <c r="I102" s="394"/>
      <c r="J102" s="690"/>
      <c r="K102" s="280"/>
      <c r="L102" s="151"/>
      <c r="M102" s="23"/>
    </row>
    <row r="103" spans="1:13" x14ac:dyDescent="0.2">
      <c r="A103" s="281" t="s">
        <v>13</v>
      </c>
      <c r="B103" s="172"/>
      <c r="C103" s="274"/>
      <c r="D103" s="151"/>
      <c r="E103" s="394"/>
      <c r="F103" s="172"/>
      <c r="G103" s="274"/>
      <c r="H103" s="151"/>
      <c r="I103" s="394"/>
      <c r="J103" s="172"/>
      <c r="K103" s="274"/>
      <c r="L103" s="151"/>
      <c r="M103" s="23"/>
    </row>
    <row r="104" spans="1:13" ht="15.75" x14ac:dyDescent="0.2">
      <c r="A104" s="281" t="s">
        <v>338</v>
      </c>
      <c r="B104" s="690"/>
      <c r="C104" s="280"/>
      <c r="D104" s="151"/>
      <c r="E104" s="394"/>
      <c r="F104" s="690"/>
      <c r="G104" s="280"/>
      <c r="H104" s="151"/>
      <c r="I104" s="394"/>
      <c r="J104" s="690"/>
      <c r="K104" s="280"/>
      <c r="L104" s="151"/>
      <c r="M104" s="23"/>
    </row>
    <row r="105" spans="1:13" x14ac:dyDescent="0.2">
      <c r="A105" s="281" t="s">
        <v>12</v>
      </c>
      <c r="B105" s="172"/>
      <c r="C105" s="274"/>
      <c r="D105" s="151"/>
      <c r="E105" s="394"/>
      <c r="F105" s="172"/>
      <c r="G105" s="274"/>
      <c r="H105" s="151"/>
      <c r="I105" s="394"/>
      <c r="J105" s="172"/>
      <c r="K105" s="274"/>
      <c r="L105" s="151"/>
      <c r="M105" s="23"/>
    </row>
    <row r="106" spans="1:13" x14ac:dyDescent="0.2">
      <c r="A106" s="281" t="s">
        <v>13</v>
      </c>
      <c r="B106" s="172"/>
      <c r="C106" s="274"/>
      <c r="D106" s="151"/>
      <c r="E106" s="394"/>
      <c r="F106" s="172"/>
      <c r="G106" s="274"/>
      <c r="H106" s="151"/>
      <c r="I106" s="394"/>
      <c r="J106" s="172"/>
      <c r="K106" s="274"/>
      <c r="L106" s="151"/>
      <c r="M106" s="23"/>
    </row>
    <row r="107" spans="1:13" ht="15.75" x14ac:dyDescent="0.2">
      <c r="A107" s="21" t="s">
        <v>340</v>
      </c>
      <c r="B107" s="218"/>
      <c r="C107" s="130"/>
      <c r="D107" s="151"/>
      <c r="E107" s="27"/>
      <c r="F107" s="218"/>
      <c r="G107" s="130"/>
      <c r="H107" s="151"/>
      <c r="I107" s="27"/>
      <c r="J107" s="272"/>
      <c r="K107" s="44"/>
      <c r="L107" s="242"/>
      <c r="M107" s="27"/>
    </row>
    <row r="108" spans="1:13" ht="15.75" x14ac:dyDescent="0.2">
      <c r="A108" s="21" t="s">
        <v>341</v>
      </c>
      <c r="B108" s="218"/>
      <c r="C108" s="218"/>
      <c r="D108" s="151"/>
      <c r="E108" s="27"/>
      <c r="F108" s="218"/>
      <c r="G108" s="218"/>
      <c r="H108" s="151"/>
      <c r="I108" s="27"/>
      <c r="J108" s="272"/>
      <c r="K108" s="44"/>
      <c r="L108" s="242"/>
      <c r="M108" s="27"/>
    </row>
    <row r="109" spans="1:13" ht="15.75" x14ac:dyDescent="0.2">
      <c r="A109" s="38" t="s">
        <v>382</v>
      </c>
      <c r="B109" s="218"/>
      <c r="C109" s="218"/>
      <c r="D109" s="151"/>
      <c r="E109" s="27"/>
      <c r="F109" s="218"/>
      <c r="G109" s="218"/>
      <c r="H109" s="151"/>
      <c r="I109" s="27"/>
      <c r="J109" s="272"/>
      <c r="K109" s="44"/>
      <c r="L109" s="242"/>
      <c r="M109" s="27"/>
    </row>
    <row r="110" spans="1:13" ht="15.75" x14ac:dyDescent="0.2">
      <c r="A110" s="21" t="s">
        <v>342</v>
      </c>
      <c r="B110" s="218"/>
      <c r="C110" s="218"/>
      <c r="D110" s="151"/>
      <c r="E110" s="27"/>
      <c r="F110" s="218"/>
      <c r="G110" s="218"/>
      <c r="H110" s="151"/>
      <c r="I110" s="27"/>
      <c r="J110" s="272"/>
      <c r="K110" s="44"/>
      <c r="L110" s="242"/>
      <c r="M110" s="27"/>
    </row>
    <row r="111" spans="1:13" ht="15.75" x14ac:dyDescent="0.2">
      <c r="A111" s="13" t="s">
        <v>323</v>
      </c>
      <c r="B111" s="293"/>
      <c r="C111" s="144"/>
      <c r="D111" s="156"/>
      <c r="E111" s="11"/>
      <c r="F111" s="293"/>
      <c r="G111" s="144"/>
      <c r="H111" s="156"/>
      <c r="I111" s="11"/>
      <c r="J111" s="294"/>
      <c r="K111" s="220"/>
      <c r="L111" s="405"/>
      <c r="M111" s="11"/>
    </row>
    <row r="112" spans="1:13" x14ac:dyDescent="0.2">
      <c r="A112" s="21" t="s">
        <v>9</v>
      </c>
      <c r="B112" s="218"/>
      <c r="C112" s="130"/>
      <c r="D112" s="151"/>
      <c r="E112" s="27"/>
      <c r="F112" s="218"/>
      <c r="G112" s="130"/>
      <c r="H112" s="151"/>
      <c r="I112" s="27"/>
      <c r="J112" s="272"/>
      <c r="K112" s="44"/>
      <c r="L112" s="242"/>
      <c r="M112" s="27"/>
    </row>
    <row r="113" spans="1:14" x14ac:dyDescent="0.2">
      <c r="A113" s="21" t="s">
        <v>10</v>
      </c>
      <c r="B113" s="218"/>
      <c r="C113" s="130"/>
      <c r="D113" s="151"/>
      <c r="E113" s="27"/>
      <c r="F113" s="218"/>
      <c r="G113" s="130"/>
      <c r="H113" s="151"/>
      <c r="I113" s="27"/>
      <c r="J113" s="272"/>
      <c r="K113" s="44"/>
      <c r="L113" s="242"/>
      <c r="M113" s="27"/>
    </row>
    <row r="114" spans="1:14" x14ac:dyDescent="0.2">
      <c r="A114" s="21" t="s">
        <v>26</v>
      </c>
      <c r="B114" s="218"/>
      <c r="C114" s="130"/>
      <c r="D114" s="151"/>
      <c r="E114" s="27"/>
      <c r="F114" s="218"/>
      <c r="G114" s="130"/>
      <c r="H114" s="151"/>
      <c r="I114" s="27"/>
      <c r="J114" s="272"/>
      <c r="K114" s="44"/>
      <c r="L114" s="242"/>
      <c r="M114" s="27"/>
    </row>
    <row r="115" spans="1:14" x14ac:dyDescent="0.2">
      <c r="A115" s="281" t="s">
        <v>15</v>
      </c>
      <c r="B115" s="266"/>
      <c r="C115" s="266"/>
      <c r="D115" s="151"/>
      <c r="E115" s="394"/>
      <c r="F115" s="266"/>
      <c r="G115" s="266"/>
      <c r="H115" s="151"/>
      <c r="I115" s="394"/>
      <c r="J115" s="275"/>
      <c r="K115" s="275"/>
      <c r="L115" s="151"/>
      <c r="M115" s="23"/>
    </row>
    <row r="116" spans="1:14" ht="15.75" x14ac:dyDescent="0.2">
      <c r="A116" s="21" t="s">
        <v>343</v>
      </c>
      <c r="B116" s="218"/>
      <c r="C116" s="218"/>
      <c r="D116" s="151"/>
      <c r="E116" s="27"/>
      <c r="F116" s="218"/>
      <c r="G116" s="218"/>
      <c r="H116" s="151"/>
      <c r="I116" s="27"/>
      <c r="J116" s="272"/>
      <c r="K116" s="44"/>
      <c r="L116" s="242"/>
      <c r="M116" s="27"/>
    </row>
    <row r="117" spans="1:14" ht="15.75" x14ac:dyDescent="0.2">
      <c r="A117" s="38" t="s">
        <v>382</v>
      </c>
      <c r="B117" s="218"/>
      <c r="C117" s="218"/>
      <c r="D117" s="151"/>
      <c r="E117" s="27"/>
      <c r="F117" s="218"/>
      <c r="G117" s="218"/>
      <c r="H117" s="151"/>
      <c r="I117" s="27"/>
      <c r="J117" s="272"/>
      <c r="K117" s="44"/>
      <c r="L117" s="242"/>
      <c r="M117" s="27"/>
    </row>
    <row r="118" spans="1:14" ht="15.75" x14ac:dyDescent="0.2">
      <c r="A118" s="21" t="s">
        <v>342</v>
      </c>
      <c r="B118" s="218"/>
      <c r="C118" s="218"/>
      <c r="D118" s="151"/>
      <c r="E118" s="27"/>
      <c r="F118" s="218"/>
      <c r="G118" s="218"/>
      <c r="H118" s="151"/>
      <c r="I118" s="27"/>
      <c r="J118" s="272"/>
      <c r="K118" s="44"/>
      <c r="L118" s="242"/>
      <c r="M118" s="27"/>
    </row>
    <row r="119" spans="1:14" ht="15.75" x14ac:dyDescent="0.2">
      <c r="A119" s="13" t="s">
        <v>324</v>
      </c>
      <c r="B119" s="293"/>
      <c r="C119" s="144"/>
      <c r="D119" s="156"/>
      <c r="E119" s="11"/>
      <c r="F119" s="293"/>
      <c r="G119" s="144"/>
      <c r="H119" s="156"/>
      <c r="I119" s="11"/>
      <c r="J119" s="294"/>
      <c r="K119" s="220"/>
      <c r="L119" s="405"/>
      <c r="M119" s="11"/>
    </row>
    <row r="120" spans="1:14" x14ac:dyDescent="0.2">
      <c r="A120" s="21" t="s">
        <v>9</v>
      </c>
      <c r="B120" s="218"/>
      <c r="C120" s="130"/>
      <c r="D120" s="151"/>
      <c r="E120" s="27"/>
      <c r="F120" s="218"/>
      <c r="G120" s="130"/>
      <c r="H120" s="151"/>
      <c r="I120" s="27"/>
      <c r="J120" s="272"/>
      <c r="K120" s="44"/>
      <c r="L120" s="242"/>
      <c r="M120" s="27"/>
    </row>
    <row r="121" spans="1:14" x14ac:dyDescent="0.2">
      <c r="A121" s="21" t="s">
        <v>10</v>
      </c>
      <c r="B121" s="218"/>
      <c r="C121" s="130"/>
      <c r="D121" s="151"/>
      <c r="E121" s="27"/>
      <c r="F121" s="218"/>
      <c r="G121" s="130"/>
      <c r="H121" s="151"/>
      <c r="I121" s="27"/>
      <c r="J121" s="272"/>
      <c r="K121" s="44"/>
      <c r="L121" s="242"/>
      <c r="M121" s="27"/>
    </row>
    <row r="122" spans="1:14" x14ac:dyDescent="0.2">
      <c r="A122" s="21" t="s">
        <v>26</v>
      </c>
      <c r="B122" s="218"/>
      <c r="C122" s="130"/>
      <c r="D122" s="151"/>
      <c r="E122" s="27"/>
      <c r="F122" s="218"/>
      <c r="G122" s="130"/>
      <c r="H122" s="151"/>
      <c r="I122" s="27"/>
      <c r="J122" s="272"/>
      <c r="K122" s="44"/>
      <c r="L122" s="242"/>
      <c r="M122" s="27"/>
    </row>
    <row r="123" spans="1:14" x14ac:dyDescent="0.2">
      <c r="A123" s="281" t="s">
        <v>14</v>
      </c>
      <c r="B123" s="266"/>
      <c r="C123" s="266"/>
      <c r="D123" s="151"/>
      <c r="E123" s="394"/>
      <c r="F123" s="266"/>
      <c r="G123" s="266"/>
      <c r="H123" s="151"/>
      <c r="I123" s="394"/>
      <c r="J123" s="275"/>
      <c r="K123" s="275"/>
      <c r="L123" s="151"/>
      <c r="M123" s="23"/>
    </row>
    <row r="124" spans="1:14" ht="15.75" x14ac:dyDescent="0.2">
      <c r="A124" s="21" t="s">
        <v>348</v>
      </c>
      <c r="B124" s="218"/>
      <c r="C124" s="218"/>
      <c r="D124" s="151"/>
      <c r="E124" s="27"/>
      <c r="F124" s="218"/>
      <c r="G124" s="218"/>
      <c r="H124" s="151"/>
      <c r="I124" s="27"/>
      <c r="J124" s="272"/>
      <c r="K124" s="44"/>
      <c r="L124" s="242"/>
      <c r="M124" s="27"/>
    </row>
    <row r="125" spans="1:14" ht="15.75" x14ac:dyDescent="0.2">
      <c r="A125" s="38" t="s">
        <v>382</v>
      </c>
      <c r="B125" s="218"/>
      <c r="C125" s="218"/>
      <c r="D125" s="151"/>
      <c r="E125" s="27"/>
      <c r="F125" s="218"/>
      <c r="G125" s="218"/>
      <c r="H125" s="151"/>
      <c r="I125" s="27"/>
      <c r="J125" s="272"/>
      <c r="K125" s="44"/>
      <c r="L125" s="242"/>
      <c r="M125" s="27"/>
    </row>
    <row r="126" spans="1:14" ht="15.75" x14ac:dyDescent="0.2">
      <c r="A126" s="10" t="s">
        <v>342</v>
      </c>
      <c r="B126" s="45"/>
      <c r="C126" s="45"/>
      <c r="D126" s="152"/>
      <c r="E126" s="395"/>
      <c r="F126" s="45"/>
      <c r="G126" s="45"/>
      <c r="H126" s="152"/>
      <c r="I126" s="22"/>
      <c r="J126" s="273"/>
      <c r="K126" s="45"/>
      <c r="L126" s="243"/>
      <c r="M126" s="22"/>
    </row>
    <row r="127" spans="1:14" x14ac:dyDescent="0.2">
      <c r="A127" s="140"/>
      <c r="L127" s="26"/>
      <c r="M127" s="26"/>
      <c r="N127" s="26"/>
    </row>
    <row r="128" spans="1:14" x14ac:dyDescent="0.2">
      <c r="L128" s="26"/>
      <c r="M128" s="26"/>
      <c r="N128" s="26"/>
    </row>
    <row r="129" spans="1:14" ht="15.75" x14ac:dyDescent="0.25">
      <c r="A129" s="150" t="s">
        <v>27</v>
      </c>
    </row>
    <row r="130" spans="1:14" ht="15.75" x14ac:dyDescent="0.25">
      <c r="B130" s="714"/>
      <c r="C130" s="714"/>
      <c r="D130" s="714"/>
      <c r="E130" s="284"/>
      <c r="F130" s="714"/>
      <c r="G130" s="714"/>
      <c r="H130" s="714"/>
      <c r="I130" s="284"/>
      <c r="J130" s="714"/>
      <c r="K130" s="714"/>
      <c r="L130" s="714"/>
      <c r="M130" s="284"/>
    </row>
    <row r="131" spans="1:14" s="3" customFormat="1" x14ac:dyDescent="0.2">
      <c r="A131" s="129"/>
      <c r="B131" s="715" t="s">
        <v>0</v>
      </c>
      <c r="C131" s="716"/>
      <c r="D131" s="716"/>
      <c r="E131" s="286"/>
      <c r="F131" s="715" t="s">
        <v>1</v>
      </c>
      <c r="G131" s="716"/>
      <c r="H131" s="716"/>
      <c r="I131" s="289"/>
      <c r="J131" s="715" t="s">
        <v>2</v>
      </c>
      <c r="K131" s="716"/>
      <c r="L131" s="716"/>
      <c r="M131" s="289"/>
      <c r="N131" s="133"/>
    </row>
    <row r="132" spans="1:14" s="3" customFormat="1" x14ac:dyDescent="0.2">
      <c r="A132" s="125"/>
      <c r="B132" s="137" t="s">
        <v>414</v>
      </c>
      <c r="C132" s="137" t="s">
        <v>415</v>
      </c>
      <c r="D132" s="230" t="s">
        <v>3</v>
      </c>
      <c r="E132" s="290" t="s">
        <v>29</v>
      </c>
      <c r="F132" s="137" t="s">
        <v>414</v>
      </c>
      <c r="G132" s="137" t="s">
        <v>415</v>
      </c>
      <c r="H132" s="230" t="s">
        <v>3</v>
      </c>
      <c r="I132" s="290" t="s">
        <v>29</v>
      </c>
      <c r="J132" s="137" t="s">
        <v>414</v>
      </c>
      <c r="K132" s="137" t="s">
        <v>415</v>
      </c>
      <c r="L132" s="230" t="s">
        <v>3</v>
      </c>
      <c r="M132" s="290" t="s">
        <v>29</v>
      </c>
      <c r="N132" s="133"/>
    </row>
    <row r="133" spans="1:14" s="3" customFormat="1" x14ac:dyDescent="0.2">
      <c r="A133" s="683"/>
      <c r="B133" s="141"/>
      <c r="C133" s="141"/>
      <c r="D133" s="231" t="s">
        <v>4</v>
      </c>
      <c r="E133" s="141" t="s">
        <v>30</v>
      </c>
      <c r="F133" s="146"/>
      <c r="G133" s="146"/>
      <c r="H133" s="191" t="s">
        <v>4</v>
      </c>
      <c r="I133" s="141" t="s">
        <v>30</v>
      </c>
      <c r="J133" s="141"/>
      <c r="K133" s="141"/>
      <c r="L133" s="135" t="s">
        <v>4</v>
      </c>
      <c r="M133" s="141" t="s">
        <v>30</v>
      </c>
      <c r="N133" s="133"/>
    </row>
    <row r="134" spans="1:14" s="3" customFormat="1" ht="15.75" x14ac:dyDescent="0.2">
      <c r="A134" s="14" t="s">
        <v>344</v>
      </c>
      <c r="B134" s="220"/>
      <c r="C134" s="294"/>
      <c r="D134" s="334"/>
      <c r="E134" s="11"/>
      <c r="F134" s="301"/>
      <c r="G134" s="302"/>
      <c r="H134" s="408"/>
      <c r="I134" s="24"/>
      <c r="J134" s="303"/>
      <c r="K134" s="303"/>
      <c r="L134" s="404"/>
      <c r="M134" s="11"/>
      <c r="N134" s="133"/>
    </row>
    <row r="135" spans="1:14" s="3" customFormat="1" ht="15.75" x14ac:dyDescent="0.2">
      <c r="A135" s="13" t="s">
        <v>349</v>
      </c>
      <c r="B135" s="220"/>
      <c r="C135" s="294"/>
      <c r="D135" s="156"/>
      <c r="E135" s="11"/>
      <c r="F135" s="220"/>
      <c r="G135" s="294"/>
      <c r="H135" s="409"/>
      <c r="I135" s="24"/>
      <c r="J135" s="293"/>
      <c r="K135" s="293"/>
      <c r="L135" s="405"/>
      <c r="M135" s="11"/>
      <c r="N135" s="133"/>
    </row>
    <row r="136" spans="1:14" s="3" customFormat="1" ht="15.75" x14ac:dyDescent="0.2">
      <c r="A136" s="13" t="s">
        <v>346</v>
      </c>
      <c r="B136" s="220"/>
      <c r="C136" s="294"/>
      <c r="D136" s="156"/>
      <c r="E136" s="11"/>
      <c r="F136" s="220"/>
      <c r="G136" s="294"/>
      <c r="H136" s="409"/>
      <c r="I136" s="24"/>
      <c r="J136" s="293"/>
      <c r="K136" s="293"/>
      <c r="L136" s="405"/>
      <c r="M136" s="11"/>
      <c r="N136" s="133"/>
    </row>
    <row r="137" spans="1:14" s="3" customFormat="1" ht="15.75" x14ac:dyDescent="0.2">
      <c r="A137" s="41" t="s">
        <v>347</v>
      </c>
      <c r="B137" s="261"/>
      <c r="C137" s="300"/>
      <c r="D137" s="154"/>
      <c r="E137" s="9"/>
      <c r="F137" s="261"/>
      <c r="G137" s="300"/>
      <c r="H137" s="410"/>
      <c r="I137" s="36"/>
      <c r="J137" s="299"/>
      <c r="K137" s="299"/>
      <c r="L137" s="406"/>
      <c r="M137" s="36"/>
      <c r="N137" s="133"/>
    </row>
    <row r="138" spans="1:14" s="3" customFormat="1" x14ac:dyDescent="0.2">
      <c r="A138" s="153"/>
      <c r="B138" s="33"/>
      <c r="C138" s="33"/>
      <c r="D138" s="144"/>
      <c r="E138" s="144"/>
      <c r="F138" s="33"/>
      <c r="G138" s="33"/>
      <c r="H138" s="144"/>
      <c r="I138" s="144"/>
      <c r="J138" s="33"/>
      <c r="K138" s="33"/>
      <c r="L138" s="144"/>
      <c r="M138" s="144"/>
      <c r="N138" s="133"/>
    </row>
    <row r="139" spans="1:14" x14ac:dyDescent="0.2">
      <c r="A139" s="153"/>
      <c r="B139" s="33"/>
      <c r="C139" s="33"/>
      <c r="D139" s="144"/>
      <c r="E139" s="144"/>
      <c r="F139" s="33"/>
      <c r="G139" s="33"/>
      <c r="H139" s="144"/>
      <c r="I139" s="144"/>
      <c r="J139" s="33"/>
      <c r="K139" s="33"/>
      <c r="L139" s="144"/>
      <c r="M139" s="144"/>
      <c r="N139" s="133"/>
    </row>
    <row r="140" spans="1:14" x14ac:dyDescent="0.2">
      <c r="A140" s="153"/>
      <c r="B140" s="33"/>
      <c r="C140" s="33"/>
      <c r="D140" s="144"/>
      <c r="E140" s="144"/>
      <c r="F140" s="33"/>
      <c r="G140" s="33"/>
      <c r="H140" s="144"/>
      <c r="I140" s="144"/>
      <c r="J140" s="33"/>
      <c r="K140" s="33"/>
      <c r="L140" s="144"/>
      <c r="M140" s="144"/>
      <c r="N140" s="133"/>
    </row>
    <row r="141" spans="1:14" x14ac:dyDescent="0.2">
      <c r="A141" s="131"/>
      <c r="B141" s="131"/>
      <c r="C141" s="131"/>
      <c r="D141" s="131"/>
      <c r="E141" s="131"/>
      <c r="F141" s="131"/>
      <c r="G141" s="131"/>
      <c r="H141" s="131"/>
      <c r="I141" s="131"/>
      <c r="J141" s="131"/>
      <c r="K141" s="131"/>
      <c r="L141" s="131"/>
      <c r="M141" s="131"/>
      <c r="N141" s="131"/>
    </row>
    <row r="142" spans="1:14" ht="15.75" x14ac:dyDescent="0.25">
      <c r="B142" s="127"/>
      <c r="C142" s="127"/>
      <c r="D142" s="127"/>
      <c r="E142" s="127"/>
      <c r="F142" s="127"/>
      <c r="G142" s="127"/>
      <c r="H142" s="127"/>
      <c r="I142" s="127"/>
      <c r="J142" s="127"/>
      <c r="K142" s="127"/>
      <c r="L142" s="127"/>
      <c r="M142" s="127"/>
      <c r="N142" s="127"/>
    </row>
    <row r="143" spans="1:14" ht="15.75" x14ac:dyDescent="0.25">
      <c r="B143" s="142"/>
      <c r="C143" s="142"/>
      <c r="D143" s="142"/>
      <c r="E143" s="142"/>
      <c r="F143" s="142"/>
      <c r="G143" s="142"/>
      <c r="H143" s="142"/>
      <c r="I143" s="142"/>
      <c r="J143" s="142"/>
      <c r="K143" s="142"/>
      <c r="L143" s="142"/>
      <c r="M143" s="142"/>
      <c r="N143" s="142"/>
    </row>
    <row r="144" spans="1:14" ht="15.75" x14ac:dyDescent="0.25">
      <c r="B144" s="142"/>
      <c r="C144" s="142"/>
      <c r="D144" s="142"/>
      <c r="E144" s="142"/>
      <c r="F144" s="142"/>
      <c r="G144" s="142"/>
      <c r="H144" s="142"/>
      <c r="I144" s="142"/>
      <c r="J144" s="142"/>
      <c r="K144" s="142"/>
      <c r="L144" s="142"/>
      <c r="M144" s="142"/>
      <c r="N144" s="142"/>
    </row>
  </sheetData>
  <mergeCells count="31">
    <mergeCell ref="B131:D131"/>
    <mergeCell ref="F131:H131"/>
    <mergeCell ref="J131:L131"/>
    <mergeCell ref="B63:D63"/>
    <mergeCell ref="F63:H63"/>
    <mergeCell ref="J63:L63"/>
    <mergeCell ref="B130:D130"/>
    <mergeCell ref="F130:H130"/>
    <mergeCell ref="J130:L130"/>
    <mergeCell ref="B62:D62"/>
    <mergeCell ref="F62:H62"/>
    <mergeCell ref="J62:L62"/>
    <mergeCell ref="B42:D42"/>
    <mergeCell ref="F42:H42"/>
    <mergeCell ref="J42:L42"/>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s>
  <conditionalFormatting sqref="B50:C52">
    <cfRule type="expression" dxfId="644" priority="132">
      <formula>kvartal &lt; 4</formula>
    </cfRule>
  </conditionalFormatting>
  <conditionalFormatting sqref="B115">
    <cfRule type="expression" dxfId="643" priority="76">
      <formula>kvartal &lt; 4</formula>
    </cfRule>
  </conditionalFormatting>
  <conditionalFormatting sqref="C115">
    <cfRule type="expression" dxfId="642" priority="75">
      <formula>kvartal &lt; 4</formula>
    </cfRule>
  </conditionalFormatting>
  <conditionalFormatting sqref="B123">
    <cfRule type="expression" dxfId="641" priority="74">
      <formula>kvartal &lt; 4</formula>
    </cfRule>
  </conditionalFormatting>
  <conditionalFormatting sqref="C123">
    <cfRule type="expression" dxfId="640" priority="73">
      <formula>kvartal &lt; 4</formula>
    </cfRule>
  </conditionalFormatting>
  <conditionalFormatting sqref="F115">
    <cfRule type="expression" dxfId="639" priority="58">
      <formula>kvartal &lt; 4</formula>
    </cfRule>
  </conditionalFormatting>
  <conditionalFormatting sqref="G115">
    <cfRule type="expression" dxfId="638" priority="57">
      <formula>kvartal &lt; 4</formula>
    </cfRule>
  </conditionalFormatting>
  <conditionalFormatting sqref="F123:G123">
    <cfRule type="expression" dxfId="637" priority="56">
      <formula>kvartal &lt; 4</formula>
    </cfRule>
  </conditionalFormatting>
  <conditionalFormatting sqref="J115:K115">
    <cfRule type="expression" dxfId="636" priority="32">
      <formula>kvartal &lt; 4</formula>
    </cfRule>
  </conditionalFormatting>
  <conditionalFormatting sqref="J123:K123">
    <cfRule type="expression" dxfId="635" priority="31">
      <formula>kvartal &lt; 4</formula>
    </cfRule>
  </conditionalFormatting>
  <conditionalFormatting sqref="A50:A52">
    <cfRule type="expression" dxfId="634" priority="12">
      <formula>kvartal &lt; 4</formula>
    </cfRule>
  </conditionalFormatting>
  <conditionalFormatting sqref="A69:A74">
    <cfRule type="expression" dxfId="633" priority="10">
      <formula>kvartal &lt; 4</formula>
    </cfRule>
  </conditionalFormatting>
  <conditionalFormatting sqref="A80:A85">
    <cfRule type="expression" dxfId="632" priority="9">
      <formula>kvartal &lt; 4</formula>
    </cfRule>
  </conditionalFormatting>
  <conditionalFormatting sqref="A90:A95">
    <cfRule type="expression" dxfId="631" priority="6">
      <formula>kvartal &lt; 4</formula>
    </cfRule>
  </conditionalFormatting>
  <conditionalFormatting sqref="A101:A106">
    <cfRule type="expression" dxfId="630" priority="5">
      <formula>kvartal &lt; 4</formula>
    </cfRule>
  </conditionalFormatting>
  <conditionalFormatting sqref="A115">
    <cfRule type="expression" dxfId="629" priority="4">
      <formula>kvartal &lt; 4</formula>
    </cfRule>
  </conditionalFormatting>
  <conditionalFormatting sqref="A123">
    <cfRule type="expression" dxfId="628" priority="3">
      <formula>kvartal &lt; 4</formula>
    </cfRule>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f 6 9 7 3 f 7 - 0 8 c 0 - 4 5 7 9 - b f 5 c - 6 c 7 f a d 0 9 0 d 4 1 "   x m l n s = " h t t p : / / s c h e m a s . m i c r o s o f t . c o m / D a t a M a s h u p " > A A A A A A Y E A A B Q S w M E F A A C A A g A v U 0 m W V h N 2 5 W m A A A A 9 w A A A B I A H A B D b 2 5 m a W c v U G F j a 2 F n Z S 5 4 b W w g o h g A K K A U A A A A A A A A A A A A A A A A A A A A A A A A A A A A h Y + x D o I w G I R f h X S n L d U Y Q 0 o Z X E V N T I x r L R U a 4 c f Q Y n k 3 B x / J V x C j q J v j 3 X 2 X 3 N 2 v N 5 7 2 d R V c d G t N A w m K M E W B B t X k B o o E d e 4 Y z l E q + E a q k y x 0 M M B g 4 9 6 a B J X O n W N C v P f Y T 3 D T F o R R G p F 9 t t y q U t c y N G C d B K X R p 5 X / b y H B d 6 8 x g u G I z T C b U o Y p J 6 P L M w N f g g 2 D n + m P y R d d 5 b p W C z i E q z U n o + T k f U I 8 A F B L A w Q U A A I A C A C 9 T S Z 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U 0 m W Q b 6 + e n + A A A A Y g E A A B M A H A B G b 3 J t d W x h c y 9 T Z W N 0 a W 9 u M S 5 t I K I Y A C i g F A A A A A A A A A A A A A A A A A A A A A A A A A A A A H 2 P w U r D Q B C G z w 3 0 H Y Y 9 l A b S E D 0 J I S C k Q a R Q l A Q t r E v Y N A P G b L J 1 s i m V 0 q O P 4 p P 0 x b q x R f H i X G Z g / m / + + T t c m 0 q 3 k J 7 7 V T h 2 x k 7 3 K g l L m E s j I Q K F x g F b D 5 J k g w b p C a m s 7 C L Z r V H 5 c U + E r X n W V B d a 1 1 N 3 z 5 d W F 7 E f P T J x 4 L F u j Z U J D 7 6 P L S p V o r 2 R v i t / 8 C l k h 1 O W 3 c 3 S 1 f w m m Q X B 9 c u 9 B a i V i n n A V L X N G 2 k n / t g j f U Q s W S U x 8 L L Q w u e b H I d P 8 g 1 h Z y 1 k 9 6 Z b 4 Y x G t 8 c v s h Y M J r D s m w L J z 3 S G O z P 9 m 4 Q f P 0 n s g 4 M L E + Y N W L 2 V Z K S 6 o P + z i 7 P 2 w g M L m X C d q v 3 N G J 4 A U E s B A i 0 A F A A C A A g A v U 0 m W V h N 2 5 W m A A A A 9 w A A A B I A A A A A A A A A A A A A A A A A A A A A A E N v b m Z p Z y 9 Q Y W N r Y W d l L n h t b F B L A Q I t A B Q A A g A I A L 1 N J l k P y u m r p A A A A O k A A A A T A A A A A A A A A A A A A A A A A P I A A A B b Q 2 9 u d G V u d F 9 U e X B l c 1 0 u e G 1 s U E s B A i 0 A F A A C A A g A v U 0 m W Q b 6 + e n + A A A A Y g E A A B M A A A A A A A A A A A A A A A A A 4 w E A A E Z v c m 1 1 b G F z L 1 N l Y 3 R p b 2 4 x L m 1 Q S w U G A A A A A A M A A w D C A A A A L g M A A A A A P Q 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x X b 3 J r Y m 9 v a 0 d y b 3 V w V H l w Z T 5 Q d W J s a W M 8 L 1 d v c m t i b 2 9 r R 3 J v d X B U e X B l P j w v U G V y b W l z c 2 l v b k x p c 3 Q + o w w A A A A A A A C B D 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G F 0 Y T w v S X R l b V B h d G g + P C 9 J d G V t T G 9 j Y X R p b 2 4 + P F N 0 Y W J s Z U V u d H J p Z X M + P E V u d H J 5 I F R 5 c G U 9 I k l z U H J p d m F 0 Z S I g V m F s d W U 9 I m w w I i A v P j x F b n R y e S B U e X B l P S J C d W Z m Z X J O Z X h 0 U m V m c m V z a C I g V m F s d W U 9 I m w x I i A v P j x F b n R y e S B U e X B l P S J G a W x s R W 5 h Y m x l Z C I g V m F s d W U 9 I m w w I i A v P j x F b n R y e S B U e X B l P S J G a W x s V G 9 E Y X R h T W 9 k Z W x F b m F i b G V k I i B W Y W x 1 Z T 0 i b D A i I C 8 + P E V u d H J 5 I F R 5 c G U 9 I l J l c 3 V s d F R 5 c G U i I F Z h b H V l P S J z V G F i b G U i I C 8 + P E V u d H J 5 I F R 5 c G U 9 I k 5 h b W V V c G R h d G V k Q W Z 0 Z X J G a W x s I i B W Y W x 1 Z T 0 i b D A i I C 8 + P E V u d H J 5 I F R 5 c G U 9 I k Z p b G x l Z E N v b X B s Z X R l U m V z d W x 0 V G 9 X b 3 J r c 2 h l Z X Q i I F Z h b H V l P S J s M S I g L z 4 8 R W 5 0 c n k g V H l w Z T 0 i U m V j b 3 Z l c n l U Y X J n Z X R T a G V l d C I g V m F s d W U 9 I n N B c m s y I i A v P j x F b n R y e S B U e X B l P S J S Z W N v d m V y e V R h c m d l d E N v b H V t b i I g V m F s d W U 9 I m w x I i A v P j x F b n R y e S B U e X B l P S J S Z W N v d m V y e V R h c m d l d F J v d y I g V m F s d W U 9 I m w x I i A v P j x F b n R y e S B U e X B l P S J R d W V y e U l E I i B W Y W x 1 Z T 0 i c z R l O D N h Z G Q 5 L W V j Y 2 I t N G V m N i 0 5 Y 2 Y 4 L T Z i M j k 4 Z G Y w N D R j O S I g L z 4 8 R W 5 0 c n k g V H l w Z T 0 i T m F 2 a W d h d G l v b l N 0 Z X B O Y W 1 l I i B W Y W x 1 Z T 0 i c 0 5 h d m l n Y X R p b 2 4 i I C 8 + P E V u d H J 5 I F R 5 c G U 9 I k Z p b G x F c n J v c k N v d W 5 0 I i B W Y W x 1 Z T 0 i b D A i I C 8 + P E V u d H J 5 I F R 5 c G U 9 I k Z p b G x F c n J v c k N v Z G U i I F Z h b H V l P S J z V W 5 r b m 9 3 b i I g L z 4 8 R W 5 0 c n k g V H l w Z T 0 i R m l s b E N v d W 5 0 I i B W Y W x 1 Z T 0 i b D c 1 O T A i I C 8 + P E V u d H J 5 I F R 5 c G U 9 I k Z p b G x M Y X N 0 V X B k Y X R l Z C I g V m F s d W U 9 I m Q y M D I 0 L T A 5 L T A 2 V D A 2 O j A 0 O j A 2 L j A 2 N z A 5 N T R a I i A v P j x F b n R y e S B U e X B l P S J G a W x s Q 2 9 s d W 1 u V H l w Z X M i I F Z h b H V l P S J z Q m d J Q 0 F n S U N B Z 1 U 9 I i A v P j x F b n R y e S B U e X B l P S J G a W x s Q 2 9 s d W 1 u T m F t Z X M i I F Z h b H V l P S J z W y Z x d W 9 0 O 3 P D u G t l b s O 4 a 2 t l b C Z x d W 9 0 O y w m c X V v d D t z Z W x z a 2 F w X 2 l k J n F 1 b 3 Q 7 L C Z x d W 9 0 O 8 O l c i Z x d W 9 0 O y w m c X V v d D t r d m F y d G F s J n F 1 b 3 Q 7 L C Z x d W 9 0 O 3 R h Y m V s b F 9 p Z C Z x d W 9 0 O y w m c X V v d D t y Y W R f a W Q m c X V v d D s s J n F 1 b 3 Q 7 a 2 F 0 Z W d v c m l f a W Q m c X V v d D s s J n F 1 b 3 Q 7 d m V y Z G k m c X V v d D t d I i A v P j x F b n R y e S B U e X B l P S J G a W x s U 3 R h d H V z I i B W Y W x 1 Z T 0 i c 0 N v b X B s Z X R l I i A v P j x F b n R y e S B U e X B l P S J B Z G R l Z F R v R G F 0 Y U 1 v Z G V s I i B W Y W x 1 Z T 0 i b D A i I C 8 + P E V u d H J 5 I F R 5 c G U 9 I l J l b G F 0 a W 9 u c 2 h p c E l u Z m 9 D b 2 5 0 Y W l u Z X I i I F Z h b H V l P S J z e y Z x d W 9 0 O 2 N v b H V t b k N v d W 5 0 J n F 1 b 3 Q 7 O j g s J n F 1 b 3 Q 7 a 2 V 5 Q 2 9 s d W 1 u T m F t Z X M m c X V v d D s 6 W 1 0 s J n F 1 b 3 Q 7 c X V l c n l S Z W x h d G l v b n N o a X B z J n F 1 b 3 Q 7 O l t d L C Z x d W 9 0 O 2 N v b H V t b k l k Z W 5 0 a X R p Z X M m c X V v d D s 6 W y Z x d W 9 0 O 1 N l Y 3 R p b 2 4 x L 0 R h d G E v Q X V 0 b 1 J l b W 9 2 Z W R D b 2 x 1 b W 5 z M S 5 7 c 8 O 4 a 2 V u w 7 h r a 2 V s L D B 9 J n F 1 b 3 Q 7 L C Z x d W 9 0 O 1 N l Y 3 R p b 2 4 x L 0 R h d G E v Q X V 0 b 1 J l b W 9 2 Z W R D b 2 x 1 b W 5 z M S 5 7 c 2 V s c 2 t h c F 9 p Z C w x f S Z x d W 9 0 O y w m c X V v d D t T Z W N 0 a W 9 u M S 9 E Y X R h L 0 F 1 d G 9 S Z W 1 v d m V k Q 2 9 s d W 1 u c z E u e 8 O l c i w y f S Z x d W 9 0 O y w m c X V v d D t T Z W N 0 a W 9 u M S 9 E Y X R h L 0 F 1 d G 9 S Z W 1 v d m V k Q 2 9 s d W 1 u c z E u e 2 t 2 Y X J 0 Y W w s M 3 0 m c X V v d D s s J n F 1 b 3 Q 7 U 2 V j d G l v b j E v R G F 0 Y S 9 B d X R v U m V t b 3 Z l Z E N v b H V t b n M x L n t 0 Y W J l b G x f a W Q s N H 0 m c X V v d D s s J n F 1 b 3 Q 7 U 2 V j d G l v b j E v R G F 0 Y S 9 B d X R v U m V t b 3 Z l Z E N v b H V t b n M x L n t y Y W R f a W Q s N X 0 m c X V v d D s s J n F 1 b 3 Q 7 U 2 V j d G l v b j E v R G F 0 Y S 9 B d X R v U m V t b 3 Z l Z E N v b H V t b n M x L n t r Y X R l Z 2 9 y a V 9 p Z C w 2 f S Z x d W 9 0 O y w m c X V v d D t T Z W N 0 a W 9 u M S 9 E Y X R h L 0 F 1 d G 9 S Z W 1 v d m V k Q 2 9 s d W 1 u c z E u e 3 Z l c m R p L D d 9 J n F 1 b 3 Q 7 X S w m c X V v d D t D b 2 x 1 b W 5 D b 3 V u d C Z x d W 9 0 O z o 4 L C Z x d W 9 0 O 0 t l e U N v b H V t b k 5 h b W V z J n F 1 b 3 Q 7 O l t d L C Z x d W 9 0 O 0 N v b H V t b k l k Z W 5 0 a X R p Z X M m c X V v d D s 6 W y Z x d W 9 0 O 1 N l Y 3 R p b 2 4 x L 0 R h d G E v Q X V 0 b 1 J l b W 9 2 Z W R D b 2 x 1 b W 5 z M S 5 7 c 8 O 4 a 2 V u w 7 h r a 2 V s L D B 9 J n F 1 b 3 Q 7 L C Z x d W 9 0 O 1 N l Y 3 R p b 2 4 x L 0 R h d G E v Q X V 0 b 1 J l b W 9 2 Z W R D b 2 x 1 b W 5 z M S 5 7 c 2 V s c 2 t h c F 9 p Z C w x f S Z x d W 9 0 O y w m c X V v d D t T Z W N 0 a W 9 u M S 9 E Y X R h L 0 F 1 d G 9 S Z W 1 v d m V k Q 2 9 s d W 1 u c z E u e 8 O l c i w y f S Z x d W 9 0 O y w m c X V v d D t T Z W N 0 a W 9 u M S 9 E Y X R h L 0 F 1 d G 9 S Z W 1 v d m V k Q 2 9 s d W 1 u c z E u e 2 t 2 Y X J 0 Y W w s M 3 0 m c X V v d D s s J n F 1 b 3 Q 7 U 2 V j d G l v b j E v R G F 0 Y S 9 B d X R v U m V t b 3 Z l Z E N v b H V t b n M x L n t 0 Y W J l b G x f a W Q s N H 0 m c X V v d D s s J n F 1 b 3 Q 7 U 2 V j d G l v b j E v R G F 0 Y S 9 B d X R v U m V t b 3 Z l Z E N v b H V t b n M x L n t y Y W R f a W Q s N X 0 m c X V v d D s s J n F 1 b 3 Q 7 U 2 V j d G l v b j E v R G F 0 Y S 9 B d X R v U m V t b 3 Z l Z E N v b H V t b n M x L n t r Y X R l Z 2 9 y a V 9 p Z C w 2 f S Z x d W 9 0 O y w m c X V v d D t T Z W N 0 a W 9 u M S 9 E Y X R h L 0 F 1 d G 9 S Z W 1 v d m V k Q 2 9 s d W 1 u c z E u e 3 Z l c m R p L D d 9 J n F 1 b 3 Q 7 X S w m c X V v d D t S Z W x h d G l v b n N o a X B J b m Z v J n F 1 b 3 Q 7 O l t d f S I g L z 4 8 R W 5 0 c n k g V H l w Z T 0 i R m l s b E 9 i a m V j d F R 5 c G U i I F Z h b H V l P S J z Q 2 9 u b m V j d G l v b k 9 u b H k i I C 8 + P C 9 T d G F i b G V F b n R y a W V z P j w v S X R l b T 4 8 S X R l b T 4 8 S X R l b U x v Y 2 F 0 a W 9 u P j x J d G V t V H l w Z T 5 G b 3 J t d W x h P C 9 J d G V t V H l w Z T 4 8 S X R l b V B h d G g + U 2 V j d G l v b j E v R G F 0 Y S 9 L a W x k Z T w v S X R l b V B h d G g + P C 9 J d G V t T G 9 j Y X R p b 2 4 + P F N 0 Y W J s Z U V u d H J p Z X M g L z 4 8 L 0 l 0 Z W 0 + P E l 0 Z W 0 + P E l 0 Z W 1 M b 2 N h d G l v b j 4 8 S X R l b V R 5 c G U + R m 9 y b X V s Y T w v S X R l b V R 5 c G U + P E l 0 Z W 1 Q Y X R o P l N l Y 3 R p b 2 4 x L 0 R h d G E v U G F y Y W 1 l d G V y V m V y Z G k 8 L 0 l 0 Z W 1 Q Y X R o P j w v S X R l b U x v Y 2 F 0 a W 9 u P j x T d G F i b G V F b n R y a W V z I C 8 + P C 9 J d G V t P j w v S X R l b X M + P C 9 M b 2 N h b F B h Y 2 t h Z 2 V N Z X R h Z G F 0 Y U Z p b G U + F g A A A F B L B Q Y A A A A A A A A A A A A A A A A A A A A A A A D a A A A A A Q A A A N C M n d 8 B F d E R j H o A w E / C l + s B A A A A B b v m j H j z w E e m h f N Q h Y M r + Q A A A A A C A A A A A A A D Z g A A w A A A A B A A A A A / 1 5 r 1 F r j I j F O x H u I Y r w d 7 A A A A A A S A A A C g A A A A E A A A A A D J S + T S p m N 7 U u x 0 6 Q v z 2 4 l Q A A A A 9 x C b Z W E V g s d j h 7 Z q F z 8 q x N 4 6 A D y a 3 V 1 P V O 9 4 1 D / N f R I 4 s C f O j p + r u l 3 t B Y h z q x 1 T o f 3 z 6 F W l m 2 L c u 0 S W V Q x 7 Z e / 0 G q O u Q U Q T 8 9 9 y 1 B 2 X w z M U A A A A 3 E U K y Y h h G 1 / u g V 9 M / U s Y R z W Y z B Y = < / D a t a M a s h u p > 
</file>

<file path=customXml/itemProps1.xml><?xml version="1.0" encoding="utf-8"?>
<ds:datastoreItem xmlns:ds="http://schemas.openxmlformats.org/officeDocument/2006/customXml" ds:itemID="{90A5026E-7503-4E4B-BD83-E9801AFFB72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34</vt:i4>
      </vt:variant>
      <vt:variant>
        <vt:lpstr>Navngitte områder</vt:lpstr>
      </vt:variant>
      <vt:variant>
        <vt:i4>3</vt:i4>
      </vt:variant>
    </vt:vector>
  </HeadingPairs>
  <TitlesOfParts>
    <vt:vector size="37" baseType="lpstr">
      <vt:lpstr>Forside</vt:lpstr>
      <vt:lpstr>Innhold</vt:lpstr>
      <vt:lpstr>Figurer</vt:lpstr>
      <vt:lpstr>Tabel 1.1</vt:lpstr>
      <vt:lpstr>Tabell 1.2</vt:lpstr>
      <vt:lpstr>Tabell 1.3</vt:lpstr>
      <vt:lpstr>Skjema total MA</vt:lpstr>
      <vt:lpstr>DNB Livsforsikring</vt:lpstr>
      <vt:lpstr>Eika Forsikring AS</vt:lpstr>
      <vt:lpstr>Euro Accident</vt:lpstr>
      <vt:lpstr>Fremtind Livsforsikring</vt:lpstr>
      <vt:lpstr>Frende Livsforsikring</vt:lpstr>
      <vt:lpstr>Frende Skadeforsikring</vt:lpstr>
      <vt:lpstr>Gjensidige Forsikring</vt:lpstr>
      <vt:lpstr>Gjensidige Pensjon</vt:lpstr>
      <vt:lpstr>If Skadeforsikring NUF</vt:lpstr>
      <vt:lpstr>KLP</vt:lpstr>
      <vt:lpstr>KLP Skadeforsikring AS</vt:lpstr>
      <vt:lpstr>Landkreditt Forsikring</vt:lpstr>
      <vt:lpstr>Ly Forsikring</vt:lpstr>
      <vt:lpstr>Nordea Liv </vt:lpstr>
      <vt:lpstr>Oslo Forsikring</vt:lpstr>
      <vt:lpstr>Oslo Pensjonsforsikring</vt:lpstr>
      <vt:lpstr>Protector Forsikring</vt:lpstr>
      <vt:lpstr>Sparebank 1 Fors.</vt:lpstr>
      <vt:lpstr>Storebrand Livsforsikring</vt:lpstr>
      <vt:lpstr>Telenor Forsikring</vt:lpstr>
      <vt:lpstr>Tryg Forsikring</vt:lpstr>
      <vt:lpstr>WaterCircles F</vt:lpstr>
      <vt:lpstr>Youplus Livsforsikring</vt:lpstr>
      <vt:lpstr>Tabell 4</vt:lpstr>
      <vt:lpstr>Tabell 6</vt:lpstr>
      <vt:lpstr>Tabell 8</vt:lpstr>
      <vt:lpstr>Noter og kommentarer</vt:lpstr>
      <vt:lpstr>'Fremtind Livsforsikring'!Utskriftsområde</vt:lpstr>
      <vt:lpstr>'Noter og kommentarer'!Utskriftsområde</vt:lpstr>
      <vt:lpstr>'Skjema total MA'!Utskriftsområde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Anne-Kathrine Johansen</dc:creator>
  <cp:lastModifiedBy>Randi Mørk</cp:lastModifiedBy>
  <cp:lastPrinted>2016-06-01T05:37:12Z</cp:lastPrinted>
  <dcterms:created xsi:type="dcterms:W3CDTF">2010-12-15T10:21:26Z</dcterms:created>
  <dcterms:modified xsi:type="dcterms:W3CDTF">2024-09-23T13:16:00Z</dcterms:modified>
</cp:coreProperties>
</file>