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worksheets/sheet13.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21\Q2-2021\Publisert\"/>
    </mc:Choice>
  </mc:AlternateContent>
  <xr:revisionPtr revIDLastSave="0" documentId="13_ncr:1_{B901707B-E872-4BAA-8A68-6EEE12E96D48}" xr6:coauthVersionLast="47" xr6:coauthVersionMax="47" xr10:uidLastSave="{00000000-0000-0000-0000-000000000000}"/>
  <bookViews>
    <workbookView xWindow="-120" yWindow="-120" windowWidth="29040" windowHeight="176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Codan Forsikring" sheetId="76" r:id="rId8"/>
    <sheet name="Danica Pensjonsforsikring" sheetId="18" r:id="rId9"/>
    <sheet name="DNB Bedriftspensjon AS" sheetId="27" r:id="rId10"/>
    <sheet name="DNB Livsforsikring" sheetId="13" r:id="rId11"/>
    <sheet name="Eika Forsikring AS" sheetId="19" r:id="rId12"/>
    <sheet name="Euro Accident" sheetId="77" r:id="rId13"/>
    <sheet name="Fremtind Livsforsikring" sheetId="16" r:id="rId14"/>
    <sheet name="Frende Livsforsikring" sheetId="20" r:id="rId15"/>
    <sheet name="Frende Skadeforsikring" sheetId="21" r:id="rId16"/>
    <sheet name="Gjensidige Forsikring" sheetId="22" r:id="rId17"/>
    <sheet name="Gjensidige Pensjon" sheetId="23" r:id="rId18"/>
    <sheet name="Handelsbanken Liv" sheetId="24" r:id="rId19"/>
    <sheet name="If Skadeforsikring NUF" sheetId="25" r:id="rId20"/>
    <sheet name="Insr" sheetId="41" r:id="rId21"/>
    <sheet name="KLP" sheetId="26" r:id="rId22"/>
    <sheet name="KLP Skadeforsikring AS" sheetId="51" r:id="rId23"/>
    <sheet name="Landkreditt Forsikring" sheetId="40" r:id="rId24"/>
    <sheet name="Nordea Liv " sheetId="29" r:id="rId25"/>
    <sheet name="Oslo Pensjonsforsikring" sheetId="34" r:id="rId26"/>
    <sheet name="Protector Forsikring" sheetId="72" r:id="rId27"/>
    <sheet name="SHB Liv" sheetId="35" r:id="rId28"/>
    <sheet name="Sparebank 1" sheetId="33" r:id="rId29"/>
    <sheet name="Storebrand Livsforsikring" sheetId="37" r:id="rId30"/>
    <sheet name="Telenor Forsikring" sheetId="38" r:id="rId31"/>
    <sheet name="Tryg Forsikring" sheetId="39" r:id="rId32"/>
    <sheet name="WaterCircle F" sheetId="74" r:id="rId33"/>
    <sheet name="Tabell 4" sheetId="65" r:id="rId34"/>
    <sheet name="Tabell 6" sheetId="62" r:id="rId35"/>
    <sheet name="Tabell 8" sheetId="75" r:id="rId36"/>
    <sheet name="Noter og kommentarer" sheetId="3" r:id="rId37"/>
  </sheets>
  <externalReferences>
    <externalReference r:id="rId38"/>
    <externalReference r:id="rId39"/>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3">'Fremtind Livsforsikring'!$A$1:$M$138</definedName>
    <definedName name="_xlnm.Print_Area" localSheetId="20">Insr!$A$1:$M$138</definedName>
    <definedName name="_xlnm.Print_Area" localSheetId="36">'Noter og kommentarer'!$A$1:$L$43</definedName>
    <definedName name="_xlnm.Print_Area" localSheetId="6">'Skjema total MA'!$A$1:$J$139</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9" l="1"/>
  <c r="L29" i="16"/>
  <c r="E29" i="16"/>
  <c r="C105" i="4"/>
  <c r="B105" i="4"/>
  <c r="C102" i="4"/>
  <c r="B102" i="4"/>
  <c r="F107" i="4"/>
  <c r="E107" i="4"/>
  <c r="F106" i="4"/>
  <c r="E106" i="4"/>
  <c r="F105" i="4"/>
  <c r="E105" i="4"/>
  <c r="F104" i="4"/>
  <c r="E104" i="4"/>
  <c r="F103" i="4"/>
  <c r="E103" i="4"/>
  <c r="F102" i="4"/>
  <c r="E102" i="4"/>
  <c r="I107" i="4"/>
  <c r="H107" i="4"/>
  <c r="I106" i="4"/>
  <c r="H106" i="4"/>
  <c r="I105" i="4"/>
  <c r="H105" i="4"/>
  <c r="I104" i="4"/>
  <c r="H104" i="4"/>
  <c r="I103" i="4"/>
  <c r="H103" i="4"/>
  <c r="I102" i="4"/>
  <c r="H102" i="4"/>
  <c r="I95" i="4"/>
  <c r="H95" i="4"/>
  <c r="I94" i="4"/>
  <c r="H94" i="4"/>
  <c r="I93" i="4"/>
  <c r="H93" i="4"/>
  <c r="I92" i="4"/>
  <c r="H92" i="4"/>
  <c r="I91" i="4"/>
  <c r="H91" i="4"/>
  <c r="I90" i="4"/>
  <c r="H90" i="4"/>
  <c r="F95" i="4"/>
  <c r="E95" i="4"/>
  <c r="F94" i="4"/>
  <c r="E94" i="4"/>
  <c r="F93" i="4"/>
  <c r="E93" i="4"/>
  <c r="F92" i="4"/>
  <c r="E92" i="4"/>
  <c r="F91" i="4"/>
  <c r="E91" i="4"/>
  <c r="F90" i="4"/>
  <c r="E90" i="4"/>
  <c r="C93" i="4"/>
  <c r="B93" i="4"/>
  <c r="C90" i="4"/>
  <c r="B90" i="4"/>
  <c r="I85" i="4"/>
  <c r="H85" i="4"/>
  <c r="I84" i="4"/>
  <c r="H84" i="4"/>
  <c r="I83" i="4"/>
  <c r="H83" i="4"/>
  <c r="I82" i="4"/>
  <c r="H82" i="4"/>
  <c r="I81" i="4"/>
  <c r="H81" i="4"/>
  <c r="I80" i="4"/>
  <c r="H80" i="4"/>
  <c r="F85" i="4"/>
  <c r="E85" i="4"/>
  <c r="F84" i="4"/>
  <c r="E84" i="4"/>
  <c r="F83" i="4"/>
  <c r="E83" i="4"/>
  <c r="F82" i="4"/>
  <c r="E82" i="4"/>
  <c r="F81" i="4"/>
  <c r="E81" i="4"/>
  <c r="F80" i="4"/>
  <c r="E80" i="4"/>
  <c r="C83" i="4"/>
  <c r="B83" i="4"/>
  <c r="C80" i="4"/>
  <c r="B80" i="4"/>
  <c r="I74" i="4"/>
  <c r="H74" i="4"/>
  <c r="I73" i="4"/>
  <c r="H73" i="4"/>
  <c r="I72" i="4"/>
  <c r="H72" i="4"/>
  <c r="I71" i="4"/>
  <c r="H71" i="4"/>
  <c r="I70" i="4"/>
  <c r="H70" i="4"/>
  <c r="I69" i="4"/>
  <c r="H69" i="4"/>
  <c r="F74" i="4"/>
  <c r="E74" i="4"/>
  <c r="F73" i="4"/>
  <c r="E73" i="4"/>
  <c r="F72" i="4"/>
  <c r="E72" i="4"/>
  <c r="F71" i="4"/>
  <c r="E71" i="4"/>
  <c r="F70" i="4"/>
  <c r="E70" i="4"/>
  <c r="F69" i="4"/>
  <c r="E69" i="4"/>
  <c r="C72" i="4"/>
  <c r="B72" i="4"/>
  <c r="C69" i="4"/>
  <c r="B69" i="4"/>
  <c r="H32" i="9" l="1"/>
  <c r="G32" i="9"/>
  <c r="F138" i="4" l="1"/>
  <c r="E137" i="4"/>
  <c r="F137" i="4"/>
  <c r="E136" i="4"/>
  <c r="E135" i="4"/>
  <c r="F136" i="4"/>
  <c r="F135" i="4"/>
  <c r="B138" i="4"/>
  <c r="B137" i="4"/>
  <c r="B136" i="4"/>
  <c r="B135" i="4"/>
  <c r="C138" i="4"/>
  <c r="C137" i="4"/>
  <c r="C136" i="4"/>
  <c r="C135" i="4"/>
  <c r="E66" i="4"/>
  <c r="E127" i="4"/>
  <c r="E126" i="4"/>
  <c r="E125" i="4"/>
  <c r="E124" i="4"/>
  <c r="E123" i="4"/>
  <c r="E122" i="4"/>
  <c r="E121" i="4"/>
  <c r="E120" i="4"/>
  <c r="E119" i="4"/>
  <c r="E118" i="4"/>
  <c r="E117" i="4"/>
  <c r="E116" i="4"/>
  <c r="E115" i="4"/>
  <c r="E114" i="4"/>
  <c r="E113" i="4"/>
  <c r="E112" i="4"/>
  <c r="E111" i="4"/>
  <c r="E110" i="4"/>
  <c r="E109" i="4"/>
  <c r="E108" i="4"/>
  <c r="E101" i="4"/>
  <c r="E100" i="4"/>
  <c r="E99" i="4"/>
  <c r="E98" i="4"/>
  <c r="E97" i="4"/>
  <c r="E96" i="4"/>
  <c r="E89" i="4"/>
  <c r="E88" i="4"/>
  <c r="E87" i="4"/>
  <c r="E86" i="4"/>
  <c r="E79" i="4"/>
  <c r="E78" i="4"/>
  <c r="E77" i="4"/>
  <c r="E76" i="4"/>
  <c r="E75" i="4"/>
  <c r="E68" i="4"/>
  <c r="E67" i="4"/>
  <c r="F127" i="4"/>
  <c r="F126" i="4"/>
  <c r="F125" i="4"/>
  <c r="F124" i="4"/>
  <c r="F123" i="4"/>
  <c r="F122" i="4"/>
  <c r="F121" i="4"/>
  <c r="F120" i="4"/>
  <c r="F119" i="4"/>
  <c r="F118" i="4"/>
  <c r="F117" i="4"/>
  <c r="F116" i="4"/>
  <c r="F115" i="4"/>
  <c r="F114" i="4"/>
  <c r="F113" i="4"/>
  <c r="F112" i="4"/>
  <c r="F111" i="4"/>
  <c r="F110" i="4"/>
  <c r="F109" i="4"/>
  <c r="F108" i="4"/>
  <c r="F101" i="4"/>
  <c r="F100" i="4"/>
  <c r="F99" i="4"/>
  <c r="F98" i="4"/>
  <c r="F97" i="4"/>
  <c r="F96" i="4"/>
  <c r="F89" i="4"/>
  <c r="F88" i="4"/>
  <c r="F87" i="4"/>
  <c r="F86" i="4"/>
  <c r="F79" i="4"/>
  <c r="F78" i="4"/>
  <c r="F77" i="4"/>
  <c r="F76" i="4"/>
  <c r="F75" i="4"/>
  <c r="F68" i="4"/>
  <c r="F67" i="4"/>
  <c r="F66" i="4"/>
  <c r="B127" i="4"/>
  <c r="B126" i="4"/>
  <c r="B125" i="4"/>
  <c r="B123" i="4"/>
  <c r="B122" i="4"/>
  <c r="B121" i="4"/>
  <c r="B120" i="4"/>
  <c r="B119" i="4"/>
  <c r="B118" i="4"/>
  <c r="B117" i="4"/>
  <c r="B115" i="4"/>
  <c r="B114" i="4"/>
  <c r="B113" i="4"/>
  <c r="B112" i="4"/>
  <c r="B111" i="4"/>
  <c r="B110" i="4"/>
  <c r="B109" i="4"/>
  <c r="B108" i="4"/>
  <c r="B107" i="4"/>
  <c r="B106" i="4"/>
  <c r="B104" i="4"/>
  <c r="B103" i="4"/>
  <c r="B101" i="4"/>
  <c r="B100" i="4"/>
  <c r="B99" i="4"/>
  <c r="B98" i="4"/>
  <c r="B97" i="4"/>
  <c r="B96" i="4"/>
  <c r="B95" i="4"/>
  <c r="B94" i="4"/>
  <c r="B92" i="4"/>
  <c r="B91" i="4"/>
  <c r="B89" i="4"/>
  <c r="B88" i="4"/>
  <c r="B87" i="4"/>
  <c r="B86" i="4"/>
  <c r="B85" i="4"/>
  <c r="B84" i="4"/>
  <c r="B82" i="4"/>
  <c r="B81" i="4"/>
  <c r="B79" i="4"/>
  <c r="B78" i="4"/>
  <c r="B77" i="4"/>
  <c r="B76" i="4"/>
  <c r="B75" i="4"/>
  <c r="B74" i="4"/>
  <c r="B73" i="4"/>
  <c r="B71" i="4"/>
  <c r="B70" i="4"/>
  <c r="B68" i="4"/>
  <c r="B67" i="4"/>
  <c r="B66" i="4"/>
  <c r="C127" i="4"/>
  <c r="C126" i="4"/>
  <c r="C125" i="4"/>
  <c r="C123" i="4"/>
  <c r="C122" i="4"/>
  <c r="C121" i="4"/>
  <c r="C120" i="4"/>
  <c r="C119" i="4"/>
  <c r="C118" i="4"/>
  <c r="C117" i="4"/>
  <c r="C115" i="4"/>
  <c r="C114" i="4"/>
  <c r="C113" i="4"/>
  <c r="C112" i="4"/>
  <c r="C111" i="4"/>
  <c r="C110" i="4"/>
  <c r="C109" i="4"/>
  <c r="C108" i="4"/>
  <c r="C107" i="4"/>
  <c r="C106" i="4"/>
  <c r="C104" i="4"/>
  <c r="C103" i="4"/>
  <c r="C101" i="4"/>
  <c r="C100" i="4"/>
  <c r="C99" i="4"/>
  <c r="C98" i="4"/>
  <c r="C97" i="4"/>
  <c r="C96" i="4"/>
  <c r="C95" i="4"/>
  <c r="C94" i="4"/>
  <c r="C92" i="4"/>
  <c r="C91" i="4"/>
  <c r="C89" i="4"/>
  <c r="C88" i="4"/>
  <c r="C87" i="4"/>
  <c r="C86" i="4"/>
  <c r="C85" i="4"/>
  <c r="C84" i="4"/>
  <c r="C82" i="4"/>
  <c r="C81" i="4"/>
  <c r="C79" i="4"/>
  <c r="C78" i="4"/>
  <c r="C77" i="4"/>
  <c r="C76" i="4"/>
  <c r="C75" i="4"/>
  <c r="C74" i="4"/>
  <c r="C73" i="4"/>
  <c r="C71" i="4"/>
  <c r="C70" i="4"/>
  <c r="C68" i="4"/>
  <c r="C67" i="4"/>
  <c r="C66" i="4"/>
  <c r="B58" i="4"/>
  <c r="B57" i="4"/>
  <c r="B56" i="4"/>
  <c r="B55" i="4"/>
  <c r="B54" i="4"/>
  <c r="B53" i="4"/>
  <c r="B49" i="4"/>
  <c r="B48" i="4"/>
  <c r="B47" i="4"/>
  <c r="C58" i="4"/>
  <c r="C57" i="4"/>
  <c r="C56" i="4"/>
  <c r="C55" i="4"/>
  <c r="C54" i="4"/>
  <c r="C53" i="4"/>
  <c r="C49" i="4"/>
  <c r="C48" i="4"/>
  <c r="C47" i="4"/>
  <c r="E39" i="4"/>
  <c r="E38" i="4"/>
  <c r="E37" i="4"/>
  <c r="E36" i="4"/>
  <c r="E35" i="4"/>
  <c r="E34" i="4"/>
  <c r="E33" i="4"/>
  <c r="E32" i="4"/>
  <c r="E31" i="4"/>
  <c r="E30" i="4"/>
  <c r="E29" i="4"/>
  <c r="E27" i="4"/>
  <c r="E26" i="4"/>
  <c r="E25" i="4"/>
  <c r="E24" i="4"/>
  <c r="E23" i="4"/>
  <c r="E22" i="4"/>
  <c r="F39" i="4"/>
  <c r="F38" i="4"/>
  <c r="F37" i="4"/>
  <c r="F36" i="4"/>
  <c r="F35" i="4"/>
  <c r="F34" i="4"/>
  <c r="F33" i="4"/>
  <c r="F32" i="4"/>
  <c r="F31" i="4"/>
  <c r="F30" i="4"/>
  <c r="F29" i="4"/>
  <c r="F27" i="4"/>
  <c r="F26" i="4"/>
  <c r="F25" i="4"/>
  <c r="F24" i="4"/>
  <c r="F23" i="4"/>
  <c r="F22" i="4"/>
  <c r="B39" i="4"/>
  <c r="B38" i="4"/>
  <c r="B37" i="4"/>
  <c r="B36" i="4"/>
  <c r="B35" i="4"/>
  <c r="B34" i="4"/>
  <c r="B33" i="4"/>
  <c r="B32" i="4"/>
  <c r="B31" i="4"/>
  <c r="B30" i="4"/>
  <c r="B29" i="4"/>
  <c r="B28" i="4"/>
  <c r="B27" i="4"/>
  <c r="B26" i="4"/>
  <c r="B25" i="4"/>
  <c r="B24" i="4"/>
  <c r="B23" i="4"/>
  <c r="B22" i="4"/>
  <c r="C39" i="4"/>
  <c r="C38" i="4"/>
  <c r="C37" i="4"/>
  <c r="C36" i="4"/>
  <c r="C35" i="4"/>
  <c r="C34" i="4"/>
  <c r="C33" i="4"/>
  <c r="C32" i="4"/>
  <c r="C31" i="4"/>
  <c r="C30" i="4"/>
  <c r="C29" i="4"/>
  <c r="C28" i="4"/>
  <c r="E28" i="16" s="1"/>
  <c r="C27" i="4"/>
  <c r="C26" i="4"/>
  <c r="C25" i="4"/>
  <c r="C24" i="4"/>
  <c r="C23" i="4"/>
  <c r="C22" i="4"/>
  <c r="E12" i="4"/>
  <c r="E11" i="4"/>
  <c r="E10" i="4"/>
  <c r="E7" i="4"/>
  <c r="F12" i="4"/>
  <c r="F11" i="4"/>
  <c r="F10" i="4"/>
  <c r="F7" i="4"/>
  <c r="B12" i="4"/>
  <c r="B11" i="4"/>
  <c r="B10" i="4"/>
  <c r="B9" i="4"/>
  <c r="B8" i="4"/>
  <c r="B7" i="4"/>
  <c r="C12" i="4"/>
  <c r="C11" i="4"/>
  <c r="C10" i="4"/>
  <c r="C9" i="4"/>
  <c r="C8" i="4"/>
  <c r="C7" i="4"/>
  <c r="AJ18" i="75" l="1"/>
  <c r="AI18" i="75"/>
  <c r="AJ16" i="75"/>
  <c r="AI16" i="75"/>
  <c r="AN78" i="62"/>
  <c r="AN46" i="62"/>
  <c r="AK24" i="62"/>
  <c r="AK57" i="62"/>
  <c r="AK58" i="62"/>
  <c r="AK78" i="62"/>
  <c r="AH89" i="62"/>
  <c r="AE21" i="62"/>
  <c r="AE78" i="62"/>
  <c r="AE77" i="62"/>
  <c r="AE76" i="62"/>
  <c r="AB87" i="62"/>
  <c r="AB58" i="62"/>
  <c r="AB57" i="62"/>
  <c r="AB56" i="62"/>
  <c r="AB42" i="62"/>
  <c r="AB33" i="62"/>
  <c r="AB26" i="62"/>
  <c r="AB25" i="62"/>
  <c r="AB24" i="62"/>
  <c r="Y52" i="62"/>
  <c r="Y72" i="62"/>
  <c r="Y77" i="62"/>
  <c r="Y78" i="62"/>
  <c r="Y82" i="62"/>
  <c r="Y84" i="62"/>
  <c r="S19" i="62"/>
  <c r="S14" i="62"/>
  <c r="S34" i="62"/>
  <c r="S40" i="62"/>
  <c r="S50" i="62"/>
  <c r="S49" i="62"/>
  <c r="S46" i="62"/>
  <c r="S71" i="62"/>
  <c r="S76" i="62"/>
  <c r="S78" i="62"/>
  <c r="P75" i="62"/>
  <c r="P70" i="62"/>
  <c r="P36" i="62"/>
  <c r="P17" i="62"/>
  <c r="M42" i="62"/>
  <c r="M38" i="62"/>
  <c r="M23" i="62"/>
  <c r="M19" i="62"/>
  <c r="M16" i="62"/>
  <c r="M35" i="62"/>
  <c r="M71" i="62"/>
  <c r="M75" i="62"/>
  <c r="M88" i="62"/>
  <c r="M87" i="62"/>
  <c r="J78" i="62"/>
  <c r="J46" i="62"/>
  <c r="J38" i="62"/>
  <c r="J19" i="62"/>
  <c r="J18" i="62"/>
  <c r="J17" i="62"/>
  <c r="G17" i="62"/>
  <c r="D70" i="62"/>
  <c r="D58" i="62"/>
  <c r="AH37" i="65"/>
  <c r="AH40" i="65"/>
  <c r="AG40" i="65"/>
  <c r="AH42" i="65"/>
  <c r="AE33" i="65"/>
  <c r="AE27" i="65"/>
  <c r="AE13" i="65"/>
  <c r="AE12" i="65"/>
  <c r="Y42" i="65"/>
  <c r="V23" i="65"/>
  <c r="V29" i="65"/>
  <c r="S26" i="65"/>
  <c r="S17" i="65"/>
  <c r="P25" i="65"/>
  <c r="P30" i="65"/>
  <c r="M25" i="65"/>
  <c r="M31" i="65"/>
  <c r="M33" i="65"/>
  <c r="G126" i="4" l="1"/>
  <c r="G125" i="4"/>
  <c r="G122" i="4"/>
  <c r="G120" i="4"/>
  <c r="G118" i="4"/>
  <c r="G117" i="4"/>
  <c r="G115" i="4"/>
  <c r="G114" i="4"/>
  <c r="G113" i="4"/>
  <c r="G112" i="4"/>
  <c r="G109" i="4"/>
  <c r="G108" i="4"/>
  <c r="G101" i="4"/>
  <c r="G100" i="4"/>
  <c r="G98" i="4"/>
  <c r="G96" i="4"/>
  <c r="G89" i="4"/>
  <c r="G87" i="4"/>
  <c r="G86" i="4"/>
  <c r="G79" i="4"/>
  <c r="G77" i="4"/>
  <c r="G75" i="4"/>
  <c r="G68" i="4"/>
  <c r="J24" i="13" l="1"/>
  <c r="E22" i="16" l="1"/>
  <c r="W85" i="62" l="1"/>
  <c r="W79" i="62"/>
  <c r="W91" i="62" s="1"/>
  <c r="W62" i="62"/>
  <c r="W64" i="62" s="1"/>
  <c r="C85" i="62" l="1"/>
  <c r="B85" i="62"/>
  <c r="C79" i="62"/>
  <c r="C91" i="62" s="1"/>
  <c r="B79" i="62"/>
  <c r="B91" i="62" s="1"/>
  <c r="C59" i="62"/>
  <c r="B59" i="62"/>
  <c r="C54" i="62"/>
  <c r="B54" i="62"/>
  <c r="B60" i="62" s="1"/>
  <c r="C39" i="62"/>
  <c r="B39" i="62"/>
  <c r="B45" i="62" s="1"/>
  <c r="C45" i="62"/>
  <c r="C28" i="62"/>
  <c r="B28" i="62"/>
  <c r="C20" i="62"/>
  <c r="B20" i="62"/>
  <c r="B27" i="62" s="1"/>
  <c r="B29" i="62" s="1"/>
  <c r="C27" i="62"/>
  <c r="C29" i="62" s="1"/>
  <c r="C40" i="65"/>
  <c r="B40" i="65"/>
  <c r="C23" i="65"/>
  <c r="C29" i="65" s="1"/>
  <c r="B23" i="65"/>
  <c r="B29" i="65" s="1"/>
  <c r="C19" i="65"/>
  <c r="C21" i="65" s="1"/>
  <c r="B19" i="65"/>
  <c r="B21" i="65" s="1"/>
  <c r="C11" i="65"/>
  <c r="C14" i="65" s="1"/>
  <c r="B11" i="65"/>
  <c r="B14" i="65" s="1"/>
  <c r="B34" i="65" l="1"/>
  <c r="B41" i="65" s="1"/>
  <c r="B43" i="65" s="1"/>
  <c r="B45" i="65" s="1"/>
  <c r="C34" i="65"/>
  <c r="C41" i="65" s="1"/>
  <c r="C43" i="65" s="1"/>
  <c r="C45" i="65" s="1"/>
  <c r="C60" i="62"/>
  <c r="C62" i="62" s="1"/>
  <c r="C64" i="62" s="1"/>
  <c r="B62" i="62"/>
  <c r="B64" i="62" s="1"/>
  <c r="I14" i="75" l="1"/>
  <c r="E85" i="62"/>
  <c r="E79" i="62"/>
  <c r="E91" i="62" s="1"/>
  <c r="E54" i="62"/>
  <c r="E60" i="62" s="1"/>
  <c r="E39" i="62"/>
  <c r="E35" i="62"/>
  <c r="E45" i="62" s="1"/>
  <c r="E62" i="62" s="1"/>
  <c r="E20" i="62"/>
  <c r="E16" i="62"/>
  <c r="G16" i="62" s="1"/>
  <c r="I85" i="62"/>
  <c r="H85" i="62"/>
  <c r="I79" i="62"/>
  <c r="I91" i="62" s="1"/>
  <c r="H79" i="62"/>
  <c r="H91" i="62" s="1"/>
  <c r="I54" i="62"/>
  <c r="H54" i="62"/>
  <c r="H60" i="62" s="1"/>
  <c r="I60" i="62"/>
  <c r="I39" i="62"/>
  <c r="H39" i="62"/>
  <c r="I35" i="62"/>
  <c r="I45" i="62" s="1"/>
  <c r="H35" i="62"/>
  <c r="H45" i="62" s="1"/>
  <c r="H28" i="62"/>
  <c r="I20" i="62"/>
  <c r="H20" i="62"/>
  <c r="I16" i="62"/>
  <c r="H16" i="62"/>
  <c r="I40" i="65"/>
  <c r="H40" i="65"/>
  <c r="I29" i="65"/>
  <c r="H29" i="65"/>
  <c r="I21" i="65"/>
  <c r="H21" i="65"/>
  <c r="I14" i="65"/>
  <c r="H14" i="65"/>
  <c r="E40" i="65"/>
  <c r="E29" i="65"/>
  <c r="E21" i="65"/>
  <c r="E14" i="65"/>
  <c r="J16" i="62" l="1"/>
  <c r="I27" i="62"/>
  <c r="I29" i="62" s="1"/>
  <c r="I34" i="65"/>
  <c r="I41" i="65" s="1"/>
  <c r="I43" i="65" s="1"/>
  <c r="I45" i="65" s="1"/>
  <c r="E34" i="65"/>
  <c r="E41" i="65" s="1"/>
  <c r="E43" i="65" s="1"/>
  <c r="E45" i="65" s="1"/>
  <c r="H34" i="65"/>
  <c r="H41" i="65" s="1"/>
  <c r="H43" i="65" s="1"/>
  <c r="H45" i="65" s="1"/>
  <c r="H27" i="62"/>
  <c r="H29" i="62" s="1"/>
  <c r="I62" i="62"/>
  <c r="I64" i="62" s="1"/>
  <c r="E27" i="62"/>
  <c r="E29" i="62" s="1"/>
  <c r="E64" i="62" s="1"/>
  <c r="H62" i="62"/>
  <c r="H64" i="62" l="1"/>
  <c r="AM85" i="62"/>
  <c r="AL85" i="62"/>
  <c r="AM79" i="62"/>
  <c r="AM91" i="62" s="1"/>
  <c r="AL79" i="62"/>
  <c r="AL91" i="62" s="1"/>
  <c r="AL57" i="62"/>
  <c r="AL54" i="62" s="1"/>
  <c r="AM54" i="62"/>
  <c r="AM53" i="62"/>
  <c r="AL50" i="62"/>
  <c r="AM39" i="62"/>
  <c r="AL39" i="62"/>
  <c r="AM38" i="62"/>
  <c r="AM35" i="62" s="1"/>
  <c r="AM45" i="62" s="1"/>
  <c r="AL38" i="62"/>
  <c r="AL35" i="62" s="1"/>
  <c r="AL45" i="62" s="1"/>
  <c r="AM28" i="62"/>
  <c r="AL28" i="62"/>
  <c r="AM20" i="62"/>
  <c r="AL20" i="62"/>
  <c r="AM19" i="62"/>
  <c r="AM16" i="62" s="1"/>
  <c r="AL19" i="62"/>
  <c r="AL16" i="62" s="1"/>
  <c r="AL27" i="62" s="1"/>
  <c r="AM40" i="65"/>
  <c r="AL40" i="65"/>
  <c r="AM29" i="65"/>
  <c r="AL29" i="65"/>
  <c r="AM19" i="65"/>
  <c r="AM21" i="65" s="1"/>
  <c r="AL19" i="65"/>
  <c r="AL21" i="65" s="1"/>
  <c r="AM14" i="65"/>
  <c r="AL14" i="65"/>
  <c r="AM50" i="62" l="1"/>
  <c r="AN53" i="62"/>
  <c r="AN50" i="62"/>
  <c r="AM27" i="62"/>
  <c r="AM29" i="62" s="1"/>
  <c r="AL29" i="62"/>
  <c r="AL34" i="65"/>
  <c r="AL41" i="65" s="1"/>
  <c r="AL43" i="65" s="1"/>
  <c r="AL45" i="65" s="1"/>
  <c r="AM34" i="65"/>
  <c r="AM41" i="65" s="1"/>
  <c r="AM43" i="65" s="1"/>
  <c r="AM45" i="65" s="1"/>
  <c r="AL60" i="62"/>
  <c r="AL62" i="62" s="1"/>
  <c r="AL64" i="62" s="1"/>
  <c r="AM60" i="62"/>
  <c r="AM62" i="62" s="1"/>
  <c r="AM64" i="62" l="1"/>
  <c r="AD14" i="75"/>
  <c r="AJ85" i="62"/>
  <c r="AI85" i="62"/>
  <c r="AJ79" i="62"/>
  <c r="AJ91" i="62" s="1"/>
  <c r="AI79" i="62"/>
  <c r="AI91" i="62" s="1"/>
  <c r="AJ54" i="62"/>
  <c r="AI54" i="62"/>
  <c r="AI60" i="62" s="1"/>
  <c r="AJ39" i="62"/>
  <c r="AI39" i="62"/>
  <c r="AJ35" i="62"/>
  <c r="AI35" i="62"/>
  <c r="AI45" i="62" s="1"/>
  <c r="AJ20" i="62"/>
  <c r="AJ27" i="62" s="1"/>
  <c r="AJ29" i="62" s="1"/>
  <c r="AI20" i="62"/>
  <c r="AI27" i="62" s="1"/>
  <c r="AI29" i="62" s="1"/>
  <c r="AJ16" i="62"/>
  <c r="AI16" i="62"/>
  <c r="AJ40" i="65"/>
  <c r="AI40" i="65"/>
  <c r="AJ29" i="65"/>
  <c r="AI29" i="65"/>
  <c r="AJ21" i="65"/>
  <c r="AI21" i="65"/>
  <c r="AJ14" i="65"/>
  <c r="AI14" i="65"/>
  <c r="AJ45" i="62" l="1"/>
  <c r="AI34" i="65"/>
  <c r="AI41" i="65" s="1"/>
  <c r="AI43" i="65" s="1"/>
  <c r="AI45" i="65" s="1"/>
  <c r="AJ34" i="65"/>
  <c r="AJ41" i="65" s="1"/>
  <c r="AJ43" i="65" s="1"/>
  <c r="AJ45" i="65" s="1"/>
  <c r="AJ60" i="62"/>
  <c r="AJ62" i="62" s="1"/>
  <c r="AJ64" i="62" s="1"/>
  <c r="AI62" i="62"/>
  <c r="AI64" i="62" s="1"/>
  <c r="AA14" i="75" l="1"/>
  <c r="Z14" i="75"/>
  <c r="AD88" i="62"/>
  <c r="AD79" i="62"/>
  <c r="AC79" i="62"/>
  <c r="AC91" i="62" s="1"/>
  <c r="AD44" i="62"/>
  <c r="AD39" i="62" s="1"/>
  <c r="AC39" i="62"/>
  <c r="AD35" i="62"/>
  <c r="AC35" i="62"/>
  <c r="AD34" i="62"/>
  <c r="AC34" i="62"/>
  <c r="AD28" i="62"/>
  <c r="AD20" i="62"/>
  <c r="AC20" i="62"/>
  <c r="AD16" i="62"/>
  <c r="AC16" i="62"/>
  <c r="AD15" i="62"/>
  <c r="AC15" i="62"/>
  <c r="AD40" i="65"/>
  <c r="AC40" i="65"/>
  <c r="AD29" i="65"/>
  <c r="AC29" i="65"/>
  <c r="AD21" i="65"/>
  <c r="AC21" i="65"/>
  <c r="AD14" i="65"/>
  <c r="AC14" i="65"/>
  <c r="AD27" i="62" l="1"/>
  <c r="AD29" i="62" s="1"/>
  <c r="AC27" i="62"/>
  <c r="AC29" i="62" s="1"/>
  <c r="AC45" i="62"/>
  <c r="AC62" i="62" s="1"/>
  <c r="AC64" i="62" s="1"/>
  <c r="AD34" i="65"/>
  <c r="AD41" i="65" s="1"/>
  <c r="AD43" i="65" s="1"/>
  <c r="AD45" i="65" s="1"/>
  <c r="AD91" i="62"/>
  <c r="AD45" i="62"/>
  <c r="AD62" i="62" s="1"/>
  <c r="AD64" i="62" s="1"/>
  <c r="AC34" i="65"/>
  <c r="AC41" i="65" s="1"/>
  <c r="AC43" i="65" s="1"/>
  <c r="AC45" i="65" s="1"/>
  <c r="AA85" i="62" l="1"/>
  <c r="Z85" i="62"/>
  <c r="AA79" i="62"/>
  <c r="Z79" i="62"/>
  <c r="Z91" i="62" s="1"/>
  <c r="AA54" i="62"/>
  <c r="Z54" i="62"/>
  <c r="Z60" i="62" s="1"/>
  <c r="AA39" i="62"/>
  <c r="Z39" i="62"/>
  <c r="AA35" i="62"/>
  <c r="Z35" i="62"/>
  <c r="AA20" i="62"/>
  <c r="Z20" i="62"/>
  <c r="AA40" i="65"/>
  <c r="Z40" i="65"/>
  <c r="AA29" i="65"/>
  <c r="Z29" i="65"/>
  <c r="AA21" i="65"/>
  <c r="Z21" i="65"/>
  <c r="AA14" i="65"/>
  <c r="Z14" i="65"/>
  <c r="AA60" i="62" l="1"/>
  <c r="Z34" i="65"/>
  <c r="Z41" i="65" s="1"/>
  <c r="Z43" i="65" s="1"/>
  <c r="Z45" i="65" s="1"/>
  <c r="AA27" i="62"/>
  <c r="AA29" i="62" s="1"/>
  <c r="AA34" i="65"/>
  <c r="AA41" i="65" s="1"/>
  <c r="AA43" i="65" s="1"/>
  <c r="AA45" i="65" s="1"/>
  <c r="Z27" i="62"/>
  <c r="Z29" i="62" s="1"/>
  <c r="Z45" i="62"/>
  <c r="Z62" i="62" s="1"/>
  <c r="AA45" i="62"/>
  <c r="AA91" i="62"/>
  <c r="AA62" i="62" l="1"/>
  <c r="Z64" i="62"/>
  <c r="AA64" i="62"/>
  <c r="AG85" i="62"/>
  <c r="AF85" i="62"/>
  <c r="AF91" i="62" s="1"/>
  <c r="AG54" i="62"/>
  <c r="AF54" i="62"/>
  <c r="AF60" i="62" s="1"/>
  <c r="AF62" i="62" s="1"/>
  <c r="AG60" i="62"/>
  <c r="AG20" i="62"/>
  <c r="AF20" i="62"/>
  <c r="AF27" i="62" s="1"/>
  <c r="AF29" i="62" s="1"/>
  <c r="AG27" i="62"/>
  <c r="AG29" i="62" s="1"/>
  <c r="U79" i="62"/>
  <c r="U91" i="62" s="1"/>
  <c r="T79" i="62"/>
  <c r="T91" i="62" s="1"/>
  <c r="U20" i="62"/>
  <c r="T20" i="62"/>
  <c r="AG21" i="65"/>
  <c r="AF21" i="65"/>
  <c r="AG14" i="65"/>
  <c r="AF14" i="65"/>
  <c r="U40" i="65"/>
  <c r="T40" i="65"/>
  <c r="U29" i="65"/>
  <c r="T29" i="65"/>
  <c r="U21" i="65"/>
  <c r="T21" i="65"/>
  <c r="U14" i="65"/>
  <c r="T14" i="65"/>
  <c r="T34" i="65" s="1"/>
  <c r="T41" i="65" l="1"/>
  <c r="T43" i="65" s="1"/>
  <c r="T45" i="65" s="1"/>
  <c r="T27" i="62"/>
  <c r="T29" i="62" s="1"/>
  <c r="T64" i="62" s="1"/>
  <c r="AG91" i="62"/>
  <c r="AG34" i="65"/>
  <c r="AG41" i="65" s="1"/>
  <c r="AG43" i="65" s="1"/>
  <c r="AG45" i="65" s="1"/>
  <c r="AF34" i="65"/>
  <c r="AF41" i="65" s="1"/>
  <c r="AF43" i="65" s="1"/>
  <c r="AF45" i="65" s="1"/>
  <c r="U27" i="62"/>
  <c r="U29" i="62" s="1"/>
  <c r="U34" i="65"/>
  <c r="U41" i="65" s="1"/>
  <c r="U43" i="65" s="1"/>
  <c r="U45" i="65" s="1"/>
  <c r="AG62" i="62"/>
  <c r="AG64" i="62" s="1"/>
  <c r="AF64" i="62"/>
  <c r="U64" i="62" l="1"/>
  <c r="O40" i="65"/>
  <c r="N40" i="65"/>
  <c r="O29" i="65"/>
  <c r="N29" i="65"/>
  <c r="O21" i="65"/>
  <c r="N21" i="65"/>
  <c r="O14" i="65"/>
  <c r="O34" i="65" s="1"/>
  <c r="O41" i="65" s="1"/>
  <c r="O43" i="65" s="1"/>
  <c r="O45" i="65" s="1"/>
  <c r="N14" i="65"/>
  <c r="N34" i="65" l="1"/>
  <c r="N41" i="65" s="1"/>
  <c r="N43" i="65" s="1"/>
  <c r="N45" i="65" s="1"/>
  <c r="R85" i="62"/>
  <c r="Q85" i="62"/>
  <c r="R79" i="62"/>
  <c r="Q79" i="62"/>
  <c r="Q91" i="62" s="1"/>
  <c r="Q59" i="62"/>
  <c r="Q54" i="62" s="1"/>
  <c r="Q60" i="62" s="1"/>
  <c r="R54" i="62"/>
  <c r="R50" i="62"/>
  <c r="R39" i="62"/>
  <c r="Q39" i="62"/>
  <c r="R35" i="62"/>
  <c r="Q35" i="62"/>
  <c r="Q45" i="62" s="1"/>
  <c r="Q28" i="62"/>
  <c r="R20" i="62"/>
  <c r="R27" i="62" s="1"/>
  <c r="R29" i="62" s="1"/>
  <c r="Q20" i="62"/>
  <c r="R16" i="62"/>
  <c r="Q16" i="62"/>
  <c r="R40" i="65"/>
  <c r="Q40" i="65"/>
  <c r="R29" i="65"/>
  <c r="Q23" i="65"/>
  <c r="Q29" i="65" s="1"/>
  <c r="R21" i="65"/>
  <c r="Q19" i="65"/>
  <c r="Q21" i="65" s="1"/>
  <c r="R14" i="65"/>
  <c r="Q14" i="65"/>
  <c r="R60" i="62" l="1"/>
  <c r="S16" i="62"/>
  <c r="Q62" i="62"/>
  <c r="Q27" i="62"/>
  <c r="Q29" i="62" s="1"/>
  <c r="Q64" i="62" s="1"/>
  <c r="Q34" i="65"/>
  <c r="Q41" i="65" s="1"/>
  <c r="Q43" i="65" s="1"/>
  <c r="Q45" i="65" s="1"/>
  <c r="R34" i="65"/>
  <c r="R41" i="65" s="1"/>
  <c r="R43" i="65" s="1"/>
  <c r="R45" i="65" s="1"/>
  <c r="R45" i="62"/>
  <c r="R62" i="62" s="1"/>
  <c r="R64" i="62" s="1"/>
  <c r="R91" i="62"/>
  <c r="O85" i="62" l="1"/>
  <c r="N85" i="62"/>
  <c r="O79" i="62"/>
  <c r="N79" i="62"/>
  <c r="N91" i="62" s="1"/>
  <c r="N55" i="62"/>
  <c r="N54" i="62"/>
  <c r="N60" i="62" s="1"/>
  <c r="O39" i="62"/>
  <c r="N39" i="62"/>
  <c r="O35" i="62"/>
  <c r="N35" i="62"/>
  <c r="O20" i="62"/>
  <c r="N20" i="62"/>
  <c r="O16" i="62"/>
  <c r="N16" i="62"/>
  <c r="P16" i="62" s="1"/>
  <c r="N45" i="62" l="1"/>
  <c r="P35" i="62"/>
  <c r="N27" i="62"/>
  <c r="N29" i="62" s="1"/>
  <c r="N64" i="62" s="1"/>
  <c r="O45" i="62"/>
  <c r="N62" i="62"/>
  <c r="O27" i="62"/>
  <c r="O29" i="62" s="1"/>
  <c r="O91" i="62"/>
  <c r="O60" i="62"/>
  <c r="O62" i="62" s="1"/>
  <c r="O64" i="62" s="1"/>
  <c r="L79" i="62" l="1"/>
  <c r="L91" i="62" s="1"/>
  <c r="K79" i="62"/>
  <c r="K91" i="62" s="1"/>
  <c r="K45" i="62"/>
  <c r="K62" i="62" s="1"/>
  <c r="L39" i="62"/>
  <c r="L35" i="62"/>
  <c r="L27" i="62"/>
  <c r="L29" i="62" s="1"/>
  <c r="K27" i="62"/>
  <c r="K29" i="62" s="1"/>
  <c r="L40" i="65"/>
  <c r="K40" i="65"/>
  <c r="L29" i="65"/>
  <c r="K29" i="65"/>
  <c r="K21" i="65"/>
  <c r="L14" i="65"/>
  <c r="K14" i="65"/>
  <c r="K64" i="62" l="1"/>
  <c r="K34" i="65"/>
  <c r="K41" i="65" s="1"/>
  <c r="K43" i="65" s="1"/>
  <c r="K45" i="65" s="1"/>
  <c r="L34" i="65"/>
  <c r="L41" i="65" s="1"/>
  <c r="L43" i="65" s="1"/>
  <c r="L45" i="65" s="1"/>
  <c r="L45" i="62"/>
  <c r="L62" i="62" l="1"/>
  <c r="L64" i="62" s="1"/>
  <c r="AP8" i="62"/>
  <c r="AO8" i="62"/>
  <c r="AM8" i="62"/>
  <c r="AL8" i="62"/>
  <c r="AJ8" i="62"/>
  <c r="AI8" i="62"/>
  <c r="AG8" i="62"/>
  <c r="AF8" i="62"/>
  <c r="AD8" i="62"/>
  <c r="AC8" i="62"/>
  <c r="AA8" i="62"/>
  <c r="Z8" i="62"/>
  <c r="X8" i="62"/>
  <c r="W8" i="62"/>
  <c r="U8" i="62"/>
  <c r="T8" i="62"/>
  <c r="R8" i="62"/>
  <c r="Q8" i="62"/>
  <c r="O8" i="62"/>
  <c r="N8" i="62"/>
  <c r="L8" i="62"/>
  <c r="K8" i="62"/>
  <c r="I8" i="62"/>
  <c r="H8" i="62"/>
  <c r="F8" i="62"/>
  <c r="E8" i="62"/>
  <c r="AJ8" i="75"/>
  <c r="AI8" i="75"/>
  <c r="AG8" i="75"/>
  <c r="AF8" i="75"/>
  <c r="AD8" i="75"/>
  <c r="AC8" i="75"/>
  <c r="AA8" i="75"/>
  <c r="Z8" i="75"/>
  <c r="X8" i="75"/>
  <c r="W8" i="75"/>
  <c r="U8" i="75"/>
  <c r="T8" i="75"/>
  <c r="R8" i="75"/>
  <c r="Q8" i="75"/>
  <c r="O8" i="75"/>
  <c r="N8" i="75"/>
  <c r="L8" i="75"/>
  <c r="K8" i="75"/>
  <c r="I8" i="75"/>
  <c r="H8" i="75"/>
  <c r="AS8" i="65"/>
  <c r="AR8" i="65"/>
  <c r="AP8" i="65"/>
  <c r="AO8" i="65"/>
  <c r="AM8" i="65"/>
  <c r="AL8" i="65"/>
  <c r="AJ8" i="65"/>
  <c r="AI8" i="65"/>
  <c r="AG8" i="65"/>
  <c r="AF8" i="65"/>
  <c r="AD8" i="65"/>
  <c r="AC8" i="65"/>
  <c r="AA8" i="65"/>
  <c r="Z8" i="65"/>
  <c r="X8" i="65"/>
  <c r="W8" i="65"/>
  <c r="U8" i="65"/>
  <c r="T8" i="65"/>
  <c r="R8" i="65"/>
  <c r="Q8" i="65"/>
  <c r="O8" i="65"/>
  <c r="N8" i="65"/>
  <c r="L8" i="65"/>
  <c r="K8" i="65"/>
  <c r="I8" i="65"/>
  <c r="H8" i="65"/>
  <c r="F8" i="65"/>
  <c r="E8" i="65"/>
  <c r="L101" i="33" l="1"/>
  <c r="J101" i="29"/>
  <c r="L101" i="29" s="1"/>
  <c r="J101" i="23"/>
  <c r="L101" i="23" s="1"/>
  <c r="H101" i="33"/>
  <c r="H101" i="29"/>
  <c r="H101" i="23"/>
  <c r="K101" i="33"/>
  <c r="K101" i="29"/>
  <c r="K101" i="23"/>
  <c r="J101" i="13"/>
  <c r="L101" i="13" s="1"/>
  <c r="L101" i="37"/>
  <c r="K101" i="37"/>
  <c r="K101" i="13"/>
  <c r="H101" i="4"/>
  <c r="J101" i="4" s="1"/>
  <c r="H101" i="37"/>
  <c r="H101" i="13"/>
  <c r="D52" i="76"/>
  <c r="I101" i="4" l="1"/>
  <c r="D54" i="76"/>
  <c r="D54" i="77"/>
  <c r="D55" i="77"/>
  <c r="D57" i="76"/>
  <c r="D48" i="76"/>
  <c r="H14" i="9"/>
  <c r="D50" i="76"/>
  <c r="D48" i="77"/>
  <c r="G14" i="9"/>
  <c r="D53" i="77"/>
  <c r="D53" i="76"/>
  <c r="D51" i="76"/>
  <c r="D56" i="76"/>
  <c r="M64" i="8" l="1"/>
  <c r="G56" i="9"/>
  <c r="H56" i="9"/>
  <c r="N64" i="8"/>
  <c r="D49" i="77"/>
  <c r="C14" i="9"/>
  <c r="H9" i="9"/>
  <c r="G9" i="9"/>
  <c r="C56" i="9" l="1"/>
  <c r="N13" i="8"/>
  <c r="B14" i="9"/>
  <c r="M13" i="8" s="1"/>
  <c r="H51" i="9"/>
  <c r="N59" i="8"/>
  <c r="C9" i="9"/>
  <c r="D47" i="76"/>
  <c r="B9" i="9"/>
  <c r="G51" i="9"/>
  <c r="M59" i="8"/>
  <c r="D47" i="77"/>
  <c r="C51" i="9" l="1"/>
  <c r="N8" i="8"/>
  <c r="M8" i="8"/>
  <c r="D9" i="9"/>
  <c r="B51" i="9"/>
  <c r="D51" i="9" s="1"/>
  <c r="D14" i="9"/>
  <c r="B56" i="9"/>
  <c r="D56" i="9" s="1"/>
  <c r="N136" i="8" l="1"/>
  <c r="M136" i="8"/>
  <c r="N112" i="8"/>
  <c r="M112" i="8"/>
  <c r="N86" i="8"/>
  <c r="M86" i="8"/>
  <c r="N80" i="8"/>
  <c r="M80" i="8"/>
  <c r="N58" i="8"/>
  <c r="M58" i="8"/>
  <c r="N37" i="8"/>
  <c r="M37" i="8"/>
  <c r="G75" i="9" l="1"/>
  <c r="H75" i="9"/>
  <c r="O76" i="9"/>
  <c r="N76" i="9"/>
  <c r="L76" i="9"/>
  <c r="M76" i="9"/>
  <c r="J18" i="75" l="1"/>
  <c r="J16" i="75"/>
  <c r="D16" i="75"/>
  <c r="AH14" i="75"/>
  <c r="AE14" i="75"/>
  <c r="AB14" i="75"/>
  <c r="Y14" i="75"/>
  <c r="V14" i="75"/>
  <c r="S14" i="75"/>
  <c r="P14" i="75"/>
  <c r="M14" i="75"/>
  <c r="J14" i="75"/>
  <c r="J12" i="75"/>
  <c r="D12" i="75"/>
  <c r="J11" i="75"/>
  <c r="D11" i="75"/>
  <c r="AK16" i="75" l="1"/>
  <c r="AK18" i="75"/>
  <c r="AP89" i="62"/>
  <c r="AP88" i="62"/>
  <c r="AP87" i="62"/>
  <c r="AP84" i="62"/>
  <c r="AP83" i="62"/>
  <c r="AP82" i="62"/>
  <c r="AP81" i="62"/>
  <c r="AP78" i="62"/>
  <c r="AP76" i="62"/>
  <c r="AP75" i="62"/>
  <c r="AP74" i="62"/>
  <c r="AP73" i="62"/>
  <c r="AP71" i="62"/>
  <c r="AP70" i="62"/>
  <c r="AP68" i="62"/>
  <c r="AP61" i="62"/>
  <c r="AP58" i="62"/>
  <c r="AP57" i="62"/>
  <c r="AP56" i="62"/>
  <c r="AP53" i="62"/>
  <c r="AP52" i="62"/>
  <c r="AP51" i="62"/>
  <c r="AP49" i="62"/>
  <c r="AP48" i="62"/>
  <c r="AP46" i="62"/>
  <c r="AP43" i="62"/>
  <c r="AP42" i="62"/>
  <c r="AP41" i="62"/>
  <c r="AP40" i="62"/>
  <c r="AP37" i="62"/>
  <c r="AP36" i="62"/>
  <c r="AP34" i="62"/>
  <c r="AP33" i="62"/>
  <c r="AP26" i="62"/>
  <c r="AP25" i="62"/>
  <c r="AP24" i="62"/>
  <c r="AP23" i="62"/>
  <c r="AP22" i="62"/>
  <c r="AP21" i="62"/>
  <c r="AP18" i="62"/>
  <c r="AP17" i="62"/>
  <c r="AP15" i="62"/>
  <c r="AP14" i="62"/>
  <c r="AO89" i="62"/>
  <c r="AO88" i="62"/>
  <c r="AO87" i="62"/>
  <c r="AO86" i="62"/>
  <c r="AO84" i="62"/>
  <c r="AO83" i="62"/>
  <c r="AO82" i="62"/>
  <c r="AO81" i="62"/>
  <c r="AO78" i="62"/>
  <c r="AO77" i="62"/>
  <c r="AO76" i="62"/>
  <c r="AO75" i="62"/>
  <c r="AO74" i="62"/>
  <c r="AO73" i="62"/>
  <c r="AO71" i="62"/>
  <c r="AO70" i="62"/>
  <c r="AO69" i="62"/>
  <c r="AO68" i="62"/>
  <c r="AO61" i="62"/>
  <c r="AO58" i="62"/>
  <c r="AO57" i="62"/>
  <c r="AO56" i="62"/>
  <c r="AO53" i="62"/>
  <c r="AO52" i="62"/>
  <c r="AO51" i="62"/>
  <c r="AO49" i="62"/>
  <c r="AO48" i="62"/>
  <c r="AO46" i="62"/>
  <c r="AO44" i="62"/>
  <c r="AO43" i="62"/>
  <c r="AO42" i="62"/>
  <c r="AO41" i="62"/>
  <c r="AO40" i="62"/>
  <c r="AO37" i="62"/>
  <c r="AO36" i="62"/>
  <c r="AO33" i="62"/>
  <c r="AO26" i="62"/>
  <c r="AO25" i="62"/>
  <c r="AO24" i="62"/>
  <c r="AO23" i="62"/>
  <c r="AO22" i="62"/>
  <c r="AO21" i="62"/>
  <c r="AO18" i="62"/>
  <c r="AO17" i="62"/>
  <c r="AO15" i="62"/>
  <c r="AO14" i="62"/>
  <c r="M89" i="62"/>
  <c r="M86" i="62"/>
  <c r="M79" i="62"/>
  <c r="M73" i="62"/>
  <c r="M69" i="62"/>
  <c r="M68" i="62"/>
  <c r="M46" i="62"/>
  <c r="M44" i="62"/>
  <c r="M41" i="62"/>
  <c r="M39" i="62"/>
  <c r="M28" i="62"/>
  <c r="M25" i="62"/>
  <c r="M22" i="62"/>
  <c r="M20" i="62"/>
  <c r="AS20" i="65"/>
  <c r="AS17" i="65"/>
  <c r="AS16" i="65"/>
  <c r="AS15" i="65"/>
  <c r="AS13" i="65"/>
  <c r="AS12" i="65"/>
  <c r="AR20" i="65"/>
  <c r="AR17" i="65"/>
  <c r="AR16" i="65"/>
  <c r="AR15" i="65"/>
  <c r="AR13" i="65"/>
  <c r="AR12" i="65"/>
  <c r="AP44" i="65"/>
  <c r="AP42" i="65"/>
  <c r="AP39" i="65"/>
  <c r="AP38" i="65"/>
  <c r="AP37" i="65"/>
  <c r="AP33" i="65"/>
  <c r="AP32" i="65"/>
  <c r="AP31" i="65"/>
  <c r="AP30" i="65"/>
  <c r="AP28" i="65"/>
  <c r="AP27" i="65"/>
  <c r="AP26" i="65"/>
  <c r="AP25" i="65"/>
  <c r="AP24" i="65"/>
  <c r="AP20" i="65"/>
  <c r="AP17" i="65"/>
  <c r="AP16" i="65"/>
  <c r="AP15" i="65"/>
  <c r="AP13" i="65"/>
  <c r="AP12" i="65"/>
  <c r="AO44" i="65"/>
  <c r="AO42" i="65"/>
  <c r="AO39" i="65"/>
  <c r="AO38" i="65"/>
  <c r="AO37" i="65"/>
  <c r="AO33" i="65"/>
  <c r="AO32" i="65"/>
  <c r="AO31" i="65"/>
  <c r="AO30" i="65"/>
  <c r="AO28" i="65"/>
  <c r="AO27" i="65"/>
  <c r="AO26" i="65"/>
  <c r="AO25" i="65"/>
  <c r="AO24" i="65"/>
  <c r="AO20" i="65"/>
  <c r="AO17" i="65"/>
  <c r="AO16" i="65"/>
  <c r="AO15" i="65"/>
  <c r="AO13" i="65"/>
  <c r="AO12" i="65"/>
  <c r="M42" i="65"/>
  <c r="M40" i="65"/>
  <c r="M39" i="65"/>
  <c r="M37" i="65"/>
  <c r="M32" i="65"/>
  <c r="M29" i="65"/>
  <c r="M23" i="65"/>
  <c r="M21" i="65"/>
  <c r="M20" i="65"/>
  <c r="M19" i="65"/>
  <c r="M17" i="65"/>
  <c r="M15" i="65"/>
  <c r="M12" i="65"/>
  <c r="M11" i="65"/>
  <c r="K8" i="74"/>
  <c r="H33" i="9" l="1"/>
  <c r="G33" i="9"/>
  <c r="M81" i="8" s="1"/>
  <c r="D8" i="74"/>
  <c r="J8" i="74"/>
  <c r="L8" i="74" s="1"/>
  <c r="M45" i="62"/>
  <c r="M91" i="62"/>
  <c r="M27" i="62"/>
  <c r="M14" i="65"/>
  <c r="K7" i="74"/>
  <c r="J7" i="74"/>
  <c r="D48" i="74"/>
  <c r="D7" i="74"/>
  <c r="L7" i="74" l="1"/>
  <c r="D47" i="74"/>
  <c r="H76" i="9"/>
  <c r="N81" i="8"/>
  <c r="B33" i="9"/>
  <c r="M32" i="8" s="1"/>
  <c r="G76" i="9"/>
  <c r="M29" i="62"/>
  <c r="M62" i="62"/>
  <c r="M34" i="65"/>
  <c r="B76" i="9" l="1"/>
  <c r="AS11" i="65"/>
  <c r="AP11" i="65"/>
  <c r="AP59" i="62"/>
  <c r="AR11" i="65"/>
  <c r="AO11" i="65"/>
  <c r="AO59" i="62"/>
  <c r="AO23" i="65"/>
  <c r="AP23" i="65"/>
  <c r="M64" i="62"/>
  <c r="M41" i="65"/>
  <c r="M43" i="65" l="1"/>
  <c r="AP77" i="62" l="1"/>
  <c r="AO34" i="62"/>
  <c r="AP86" i="62"/>
  <c r="M45" i="65"/>
  <c r="AO55" i="62" l="1"/>
  <c r="AP55" i="62"/>
  <c r="AO19" i="62" l="1"/>
  <c r="AP19" i="62"/>
  <c r="AO50" i="62"/>
  <c r="AO28" i="62"/>
  <c r="AO38" i="62"/>
  <c r="AP19" i="65"/>
  <c r="AS19" i="65"/>
  <c r="AP38" i="62"/>
  <c r="AP69" i="62" l="1"/>
  <c r="AO16" i="62" l="1"/>
  <c r="AP40" i="65" l="1"/>
  <c r="AO40" i="65"/>
  <c r="AP29" i="65"/>
  <c r="AO29" i="65"/>
  <c r="AS14" i="65" l="1"/>
  <c r="AP14" i="65"/>
  <c r="AR14" i="65"/>
  <c r="AO14" i="65"/>
  <c r="AP50" i="62"/>
  <c r="AO20" i="62"/>
  <c r="AR19" i="65"/>
  <c r="AO19" i="65"/>
  <c r="AO79" i="62"/>
  <c r="AO35" i="62"/>
  <c r="AP79" i="62"/>
  <c r="AP35" i="62"/>
  <c r="AO54" i="62"/>
  <c r="AP20" i="62"/>
  <c r="AP28" i="62"/>
  <c r="AO39" i="62"/>
  <c r="AP85" i="62"/>
  <c r="AP16" i="62"/>
  <c r="AP54" i="62"/>
  <c r="AS21" i="65"/>
  <c r="AP21" i="65"/>
  <c r="AO85" i="62"/>
  <c r="AP44" i="62"/>
  <c r="AP91" i="62" l="1"/>
  <c r="AO60" i="62"/>
  <c r="AO45" i="62"/>
  <c r="AO34" i="65"/>
  <c r="AP34" i="65"/>
  <c r="AP60" i="62"/>
  <c r="AO91" i="62"/>
  <c r="AO21" i="65"/>
  <c r="AR21" i="65"/>
  <c r="AP45" i="62"/>
  <c r="AO27" i="62"/>
  <c r="AP27" i="62"/>
  <c r="AP39" i="62"/>
  <c r="AP62" i="62" l="1"/>
  <c r="AO62" i="62"/>
  <c r="AP29" i="62"/>
  <c r="AO41" i="65"/>
  <c r="AO29" i="62"/>
  <c r="AP41" i="65"/>
  <c r="V73" i="62"/>
  <c r="V25" i="62"/>
  <c r="AH25" i="62"/>
  <c r="AH20" i="62"/>
  <c r="AO64" i="62" l="1"/>
  <c r="AP45" i="65"/>
  <c r="AP43" i="65"/>
  <c r="AO45" i="65"/>
  <c r="AO43" i="65"/>
  <c r="AP64" i="62"/>
  <c r="AH27" i="62"/>
  <c r="J76" i="62" l="1"/>
  <c r="K32" i="13" l="1"/>
  <c r="D23" i="29"/>
  <c r="H23" i="33" l="1"/>
  <c r="D30" i="33"/>
  <c r="D25" i="29"/>
  <c r="D23" i="16"/>
  <c r="H24" i="18"/>
  <c r="D26" i="16"/>
  <c r="D30" i="16"/>
  <c r="D25" i="20"/>
  <c r="D25" i="13"/>
  <c r="D31" i="37"/>
  <c r="D32" i="29"/>
  <c r="D31" i="24"/>
  <c r="H30" i="18"/>
  <c r="H30" i="37"/>
  <c r="H30" i="33"/>
  <c r="H30" i="35"/>
  <c r="H30" i="29"/>
  <c r="H30" i="23"/>
  <c r="H30" i="13"/>
  <c r="D23" i="37"/>
  <c r="D23" i="20"/>
  <c r="D30" i="37"/>
  <c r="D30" i="20"/>
  <c r="H23" i="37"/>
  <c r="H23" i="20"/>
  <c r="D27" i="16"/>
  <c r="D31" i="16"/>
  <c r="H24" i="13"/>
  <c r="D32" i="20"/>
  <c r="H31" i="18"/>
  <c r="H31" i="37"/>
  <c r="H31" i="29"/>
  <c r="H31" i="23"/>
  <c r="H31" i="13"/>
  <c r="H25" i="20"/>
  <c r="H25" i="13"/>
  <c r="D31" i="13"/>
  <c r="H32" i="18"/>
  <c r="H32" i="37"/>
  <c r="H32" i="33"/>
  <c r="H32" i="29"/>
  <c r="H32" i="23"/>
  <c r="H33" i="37"/>
  <c r="H33" i="33"/>
  <c r="H33" i="35"/>
  <c r="H33" i="29"/>
  <c r="H33" i="23"/>
  <c r="H23" i="35"/>
  <c r="H23" i="13"/>
  <c r="D30" i="13"/>
  <c r="D31" i="33"/>
  <c r="D31" i="29"/>
  <c r="D32" i="13"/>
  <c r="H33" i="18"/>
  <c r="H24" i="33"/>
  <c r="H31" i="33"/>
  <c r="H31" i="35"/>
  <c r="D24" i="16"/>
  <c r="D32" i="16"/>
  <c r="H25" i="18"/>
  <c r="H25" i="37"/>
  <c r="H25" i="33"/>
  <c r="H25" i="29"/>
  <c r="H32" i="20"/>
  <c r="H32" i="13"/>
  <c r="D25" i="16"/>
  <c r="D33" i="16"/>
  <c r="D24" i="37"/>
  <c r="D24" i="33"/>
  <c r="D24" i="29"/>
  <c r="D24" i="24"/>
  <c r="D24" i="13"/>
  <c r="H26" i="18"/>
  <c r="H26" i="37"/>
  <c r="H26" i="33"/>
  <c r="H26" i="35"/>
  <c r="H26" i="29"/>
  <c r="H26" i="23"/>
  <c r="H33" i="20"/>
  <c r="J30" i="29"/>
  <c r="D30" i="29"/>
  <c r="J30" i="23"/>
  <c r="D23" i="33"/>
  <c r="H23" i="18"/>
  <c r="H23" i="29"/>
  <c r="D23" i="13"/>
  <c r="J30" i="18"/>
  <c r="J33" i="35"/>
  <c r="K33" i="20"/>
  <c r="J32" i="16"/>
  <c r="K33" i="16"/>
  <c r="J33" i="23"/>
  <c r="J33" i="20"/>
  <c r="J33" i="33"/>
  <c r="J33" i="29"/>
  <c r="J31" i="16"/>
  <c r="J25" i="29"/>
  <c r="J25" i="20"/>
  <c r="J25" i="13"/>
  <c r="J32" i="18"/>
  <c r="J32" i="33"/>
  <c r="J32" i="29"/>
  <c r="J32" i="23"/>
  <c r="J26" i="18"/>
  <c r="J26" i="37"/>
  <c r="J26" i="33"/>
  <c r="J26" i="35"/>
  <c r="J26" i="29"/>
  <c r="J26" i="23"/>
  <c r="K23" i="33"/>
  <c r="J33" i="18"/>
  <c r="J33" i="37"/>
  <c r="K31" i="16"/>
  <c r="K31" i="23"/>
  <c r="K30" i="16"/>
  <c r="K25" i="18"/>
  <c r="K25" i="37"/>
  <c r="K25" i="33"/>
  <c r="K25" i="29"/>
  <c r="K25" i="20"/>
  <c r="K25" i="13"/>
  <c r="K23" i="37"/>
  <c r="K23" i="20"/>
  <c r="K32" i="18"/>
  <c r="K32" i="33"/>
  <c r="K32" i="29"/>
  <c r="K32" i="23"/>
  <c r="J30" i="16"/>
  <c r="K33" i="23"/>
  <c r="K32" i="20"/>
  <c r="K26" i="18"/>
  <c r="K26" i="33"/>
  <c r="K26" i="29"/>
  <c r="K23" i="35"/>
  <c r="K23" i="13"/>
  <c r="K33" i="18"/>
  <c r="K33" i="33"/>
  <c r="K33" i="29"/>
  <c r="J23" i="20"/>
  <c r="K26" i="35"/>
  <c r="J23" i="37"/>
  <c r="K26" i="37"/>
  <c r="K26" i="23"/>
  <c r="K31" i="13"/>
  <c r="J23" i="18"/>
  <c r="J23" i="29"/>
  <c r="J25" i="18"/>
  <c r="J25" i="37"/>
  <c r="J25" i="33"/>
  <c r="J33" i="16"/>
  <c r="K24" i="24"/>
  <c r="K24" i="13"/>
  <c r="K31" i="18"/>
  <c r="K31" i="33"/>
  <c r="K31" i="29"/>
  <c r="J23" i="16"/>
  <c r="J23" i="35"/>
  <c r="J23" i="13"/>
  <c r="K30" i="20"/>
  <c r="K30" i="13"/>
  <c r="K24" i="18"/>
  <c r="K24" i="33"/>
  <c r="K24" i="29"/>
  <c r="J31" i="37"/>
  <c r="J31" i="24"/>
  <c r="J31" i="35"/>
  <c r="J31" i="13"/>
  <c r="J24" i="18"/>
  <c r="J24" i="37"/>
  <c r="J24" i="33"/>
  <c r="J24" i="29"/>
  <c r="J24" i="24"/>
  <c r="K23" i="18"/>
  <c r="K23" i="29"/>
  <c r="J31" i="18"/>
  <c r="J31" i="33"/>
  <c r="J31" i="29"/>
  <c r="J31" i="23"/>
  <c r="K24" i="37"/>
  <c r="K30" i="37"/>
  <c r="J30" i="13"/>
  <c r="K32" i="16"/>
  <c r="K23" i="16"/>
  <c r="J23" i="33"/>
  <c r="J30" i="33"/>
  <c r="J30" i="35"/>
  <c r="J32" i="20"/>
  <c r="J32" i="13"/>
  <c r="L32" i="13" s="1"/>
  <c r="J30" i="37"/>
  <c r="J30" i="20"/>
  <c r="K26" i="16"/>
  <c r="J32" i="37"/>
  <c r="J25" i="16"/>
  <c r="K30" i="18"/>
  <c r="K30" i="33"/>
  <c r="K30" i="29"/>
  <c r="K30" i="23"/>
  <c r="J27" i="16"/>
  <c r="K32" i="37"/>
  <c r="K30" i="35"/>
  <c r="J26" i="16"/>
  <c r="K25" i="16"/>
  <c r="J24" i="16"/>
  <c r="K24" i="16"/>
  <c r="K31" i="37"/>
  <c r="K33" i="37"/>
  <c r="K31" i="35"/>
  <c r="K33" i="35"/>
  <c r="K31" i="24"/>
  <c r="K27" i="16"/>
  <c r="L31" i="23" l="1"/>
  <c r="L24" i="18"/>
  <c r="L23" i="33"/>
  <c r="L30" i="37"/>
  <c r="L24" i="29"/>
  <c r="L23" i="35"/>
  <c r="L23" i="20"/>
  <c r="L33" i="16"/>
  <c r="L25" i="18"/>
  <c r="L31" i="29"/>
  <c r="L25" i="29"/>
  <c r="L24" i="33"/>
  <c r="L26" i="33"/>
  <c r="L33" i="23"/>
  <c r="L30" i="35"/>
  <c r="L31" i="18"/>
  <c r="L33" i="18"/>
  <c r="L30" i="20"/>
  <c r="L31" i="13"/>
  <c r="L24" i="13"/>
  <c r="L26" i="35"/>
  <c r="L24" i="37"/>
  <c r="L31" i="37"/>
  <c r="L26" i="37"/>
  <c r="L26" i="29"/>
  <c r="L30" i="29"/>
  <c r="L32" i="37"/>
  <c r="L31" i="33"/>
  <c r="L23" i="13"/>
  <c r="L23" i="29"/>
  <c r="L33" i="37"/>
  <c r="L32" i="23"/>
  <c r="L25" i="13"/>
  <c r="L30" i="18"/>
  <c r="L31" i="35"/>
  <c r="L23" i="18"/>
  <c r="L33" i="29"/>
  <c r="L32" i="20"/>
  <c r="L25" i="33"/>
  <c r="L30" i="16"/>
  <c r="L26" i="23"/>
  <c r="L26" i="18"/>
  <c r="L32" i="29"/>
  <c r="L25" i="20"/>
  <c r="L33" i="33"/>
  <c r="L32" i="16"/>
  <c r="L30" i="13"/>
  <c r="L30" i="33"/>
  <c r="L24" i="24"/>
  <c r="L23" i="16"/>
  <c r="L25" i="37"/>
  <c r="L23" i="37"/>
  <c r="L32" i="33"/>
  <c r="L33" i="20"/>
  <c r="L31" i="24"/>
  <c r="L32" i="18"/>
  <c r="L33" i="35"/>
  <c r="L30" i="23"/>
  <c r="L31" i="16"/>
  <c r="L25" i="16"/>
  <c r="L27" i="16"/>
  <c r="L24" i="16"/>
  <c r="L26" i="16"/>
  <c r="J9" i="72"/>
  <c r="E31" i="13" l="1"/>
  <c r="E31" i="37"/>
  <c r="E31" i="33"/>
  <c r="E31" i="24"/>
  <c r="E31" i="29"/>
  <c r="E23" i="13"/>
  <c r="E23" i="20"/>
  <c r="E23" i="37"/>
  <c r="E23" i="33"/>
  <c r="E23" i="29"/>
  <c r="E23" i="16"/>
  <c r="E25" i="29"/>
  <c r="E25" i="16"/>
  <c r="E25" i="20"/>
  <c r="E25" i="13"/>
  <c r="E27" i="16"/>
  <c r="E30" i="13"/>
  <c r="E30" i="20"/>
  <c r="E30" i="37"/>
  <c r="E30" i="29"/>
  <c r="E30" i="33"/>
  <c r="E32" i="20"/>
  <c r="E32" i="13"/>
  <c r="E32" i="29"/>
  <c r="E24" i="24"/>
  <c r="E24" i="13"/>
  <c r="E24" i="29"/>
  <c r="E24" i="33"/>
  <c r="E24" i="16"/>
  <c r="E24" i="37"/>
  <c r="E26" i="16"/>
  <c r="K7" i="72"/>
  <c r="K9" i="72"/>
  <c r="L9" i="72" s="1"/>
  <c r="J7" i="72"/>
  <c r="D48" i="72"/>
  <c r="D7" i="72"/>
  <c r="D9" i="72"/>
  <c r="AN44" i="65"/>
  <c r="AB44" i="65"/>
  <c r="G44" i="65"/>
  <c r="Y44" i="65"/>
  <c r="J44" i="65"/>
  <c r="AN42" i="65"/>
  <c r="AK42" i="65"/>
  <c r="AE42" i="65"/>
  <c r="AB42" i="65"/>
  <c r="V42" i="65"/>
  <c r="S42" i="65"/>
  <c r="P42" i="65"/>
  <c r="J42" i="65"/>
  <c r="D42" i="65"/>
  <c r="AN40" i="65"/>
  <c r="AK40" i="65"/>
  <c r="AE40" i="65"/>
  <c r="AB40" i="65"/>
  <c r="G40" i="65"/>
  <c r="Y40" i="65"/>
  <c r="V40" i="65"/>
  <c r="S40" i="65"/>
  <c r="P40" i="65"/>
  <c r="J40" i="65"/>
  <c r="D40" i="65"/>
  <c r="AN39" i="65"/>
  <c r="AK39" i="65"/>
  <c r="AE39" i="65"/>
  <c r="AB39" i="65"/>
  <c r="G39" i="65"/>
  <c r="Y39" i="65"/>
  <c r="S39" i="65"/>
  <c r="J39" i="65"/>
  <c r="AN38" i="65"/>
  <c r="AK38" i="65"/>
  <c r="AE38" i="65"/>
  <c r="AB38" i="65"/>
  <c r="G38" i="65"/>
  <c r="Y38" i="65"/>
  <c r="P38" i="65"/>
  <c r="J38" i="65"/>
  <c r="AN37" i="65"/>
  <c r="AK37" i="65"/>
  <c r="AE37" i="65"/>
  <c r="AB37" i="65"/>
  <c r="G37" i="65"/>
  <c r="Y37" i="65"/>
  <c r="V37" i="65"/>
  <c r="S37" i="65"/>
  <c r="P37" i="65"/>
  <c r="J37" i="65"/>
  <c r="D37" i="65"/>
  <c r="AN33" i="65"/>
  <c r="AK33" i="65"/>
  <c r="AB33" i="65"/>
  <c r="G33" i="65"/>
  <c r="Y33" i="65"/>
  <c r="J33" i="65"/>
  <c r="AN32" i="65"/>
  <c r="AK32" i="65"/>
  <c r="AH32" i="65"/>
  <c r="AB32" i="65"/>
  <c r="G32" i="65"/>
  <c r="Y32" i="65"/>
  <c r="V32" i="65"/>
  <c r="S32" i="65"/>
  <c r="P32" i="65"/>
  <c r="J32" i="65"/>
  <c r="D32" i="65"/>
  <c r="AN31" i="65"/>
  <c r="AK31" i="65"/>
  <c r="AE31" i="65"/>
  <c r="AB31" i="65"/>
  <c r="Y31" i="65"/>
  <c r="S31" i="65"/>
  <c r="J31" i="65"/>
  <c r="AN30" i="65"/>
  <c r="AK30" i="65"/>
  <c r="AH30" i="65"/>
  <c r="AB30" i="65"/>
  <c r="G30" i="65"/>
  <c r="Y30" i="65"/>
  <c r="S30" i="65"/>
  <c r="J30" i="65"/>
  <c r="D30" i="65"/>
  <c r="AB29" i="65"/>
  <c r="AN28" i="65"/>
  <c r="AK28" i="65"/>
  <c r="AB28" i="65"/>
  <c r="G28" i="65"/>
  <c r="Y28" i="65"/>
  <c r="J28" i="65"/>
  <c r="AN27" i="65"/>
  <c r="AB27" i="65"/>
  <c r="P27" i="65"/>
  <c r="J27" i="65"/>
  <c r="D27" i="65"/>
  <c r="AN26" i="65"/>
  <c r="AK26" i="65"/>
  <c r="AE26" i="65"/>
  <c r="AB26" i="65"/>
  <c r="G26" i="65"/>
  <c r="Y26" i="65"/>
  <c r="J26" i="65"/>
  <c r="AN25" i="65"/>
  <c r="AK25" i="65"/>
  <c r="AE25" i="65"/>
  <c r="AB25" i="65"/>
  <c r="G25" i="65"/>
  <c r="Y25" i="65"/>
  <c r="S25" i="65"/>
  <c r="J25" i="65"/>
  <c r="D25" i="65"/>
  <c r="AN24" i="65"/>
  <c r="AK24" i="65"/>
  <c r="AB24" i="65"/>
  <c r="G24" i="65"/>
  <c r="Y24" i="65"/>
  <c r="S24" i="65"/>
  <c r="J24" i="65"/>
  <c r="AN23" i="65"/>
  <c r="AK23" i="65"/>
  <c r="AE23" i="65"/>
  <c r="AB23" i="65"/>
  <c r="G23" i="65"/>
  <c r="Y23" i="65"/>
  <c r="S23" i="65"/>
  <c r="P23" i="65"/>
  <c r="J23" i="65"/>
  <c r="D23" i="65"/>
  <c r="AE21" i="65"/>
  <c r="AN20" i="65"/>
  <c r="AK20" i="65"/>
  <c r="AH20" i="65"/>
  <c r="AB20" i="65"/>
  <c r="G20" i="65"/>
  <c r="Y20" i="65"/>
  <c r="S20" i="65"/>
  <c r="P20" i="65"/>
  <c r="J20" i="65"/>
  <c r="D20" i="65"/>
  <c r="AN19" i="65"/>
  <c r="AK19" i="65"/>
  <c r="AH19" i="65"/>
  <c r="AE19" i="65"/>
  <c r="AB19" i="65"/>
  <c r="G19" i="65"/>
  <c r="Y19" i="65"/>
  <c r="V19" i="65"/>
  <c r="S19" i="65"/>
  <c r="P19" i="65"/>
  <c r="J19" i="65"/>
  <c r="D19" i="65"/>
  <c r="AN17" i="65"/>
  <c r="AK17" i="65"/>
  <c r="AE17" i="65"/>
  <c r="AB17" i="65"/>
  <c r="G17" i="65"/>
  <c r="Y17" i="65"/>
  <c r="P17" i="65"/>
  <c r="J17" i="65"/>
  <c r="AN16" i="65"/>
  <c r="AK16" i="65"/>
  <c r="AH16" i="65"/>
  <c r="AB16" i="65"/>
  <c r="G16" i="65"/>
  <c r="Y16" i="65"/>
  <c r="S16" i="65"/>
  <c r="P16" i="65"/>
  <c r="J16" i="65"/>
  <c r="D16" i="65"/>
  <c r="AN15" i="65"/>
  <c r="AK15" i="65"/>
  <c r="AE15" i="65"/>
  <c r="AB15" i="65"/>
  <c r="G15" i="65"/>
  <c r="Y15" i="65"/>
  <c r="S15" i="65"/>
  <c r="P15" i="65"/>
  <c r="J15" i="65"/>
  <c r="D15" i="65"/>
  <c r="AN14" i="65"/>
  <c r="AB14" i="65"/>
  <c r="AN13" i="65"/>
  <c r="AK13" i="65"/>
  <c r="AH13" i="65"/>
  <c r="AB13" i="65"/>
  <c r="G13" i="65"/>
  <c r="Y13" i="65"/>
  <c r="S13" i="65"/>
  <c r="P13" i="65"/>
  <c r="J13" i="65"/>
  <c r="D13" i="65"/>
  <c r="AN12" i="65"/>
  <c r="AK12" i="65"/>
  <c r="AB12" i="65"/>
  <c r="Y12" i="65"/>
  <c r="S12" i="65"/>
  <c r="P12" i="65"/>
  <c r="J12" i="65"/>
  <c r="D12" i="65"/>
  <c r="AN11" i="65"/>
  <c r="AK11" i="65"/>
  <c r="AH11" i="65"/>
  <c r="AE11" i="65"/>
  <c r="AB11" i="65"/>
  <c r="G11" i="65"/>
  <c r="Y11" i="65"/>
  <c r="V11" i="65"/>
  <c r="S11" i="65"/>
  <c r="P11" i="65"/>
  <c r="J11" i="65"/>
  <c r="D11" i="65"/>
  <c r="AN89" i="62"/>
  <c r="AK89" i="62"/>
  <c r="AB89" i="62"/>
  <c r="G89" i="62"/>
  <c r="Y89" i="62"/>
  <c r="V89" i="62"/>
  <c r="S89" i="62"/>
  <c r="P89" i="62"/>
  <c r="J89" i="62"/>
  <c r="D89" i="62"/>
  <c r="AN88" i="62"/>
  <c r="AK88" i="62"/>
  <c r="AH88" i="62"/>
  <c r="AE88" i="62"/>
  <c r="AB88" i="62"/>
  <c r="G88" i="62"/>
  <c r="Y88" i="62"/>
  <c r="V88" i="62"/>
  <c r="S88" i="62"/>
  <c r="J88" i="62"/>
  <c r="D88" i="62"/>
  <c r="AK87" i="62"/>
  <c r="AN86" i="62"/>
  <c r="AK86" i="62"/>
  <c r="AB86" i="62"/>
  <c r="G86" i="62"/>
  <c r="Y86" i="62"/>
  <c r="S86" i="62"/>
  <c r="P86" i="62"/>
  <c r="J86" i="62"/>
  <c r="D86" i="62"/>
  <c r="AK83" i="62"/>
  <c r="G83" i="62"/>
  <c r="Y83" i="62"/>
  <c r="S83" i="62"/>
  <c r="J83" i="62"/>
  <c r="D83" i="62"/>
  <c r="AK82" i="62"/>
  <c r="AB82" i="62"/>
  <c r="AN81" i="62"/>
  <c r="AK81" i="62"/>
  <c r="AH81" i="62"/>
  <c r="AB81" i="62"/>
  <c r="G81" i="62"/>
  <c r="Y81" i="62"/>
  <c r="S81" i="62"/>
  <c r="P81" i="62"/>
  <c r="J81" i="62"/>
  <c r="D81" i="62"/>
  <c r="AN77" i="62"/>
  <c r="AB77" i="62"/>
  <c r="P77" i="62"/>
  <c r="J77" i="62"/>
  <c r="D77" i="62"/>
  <c r="AN76" i="62"/>
  <c r="AK76" i="62"/>
  <c r="AB76" i="62"/>
  <c r="G76" i="62"/>
  <c r="Y76" i="62"/>
  <c r="D76" i="62"/>
  <c r="AN75" i="62"/>
  <c r="AK75" i="62"/>
  <c r="AE75" i="62"/>
  <c r="AB75" i="62"/>
  <c r="G75" i="62"/>
  <c r="Y75" i="62"/>
  <c r="S75" i="62"/>
  <c r="J75" i="62"/>
  <c r="D75" i="62"/>
  <c r="AN74" i="62"/>
  <c r="AK74" i="62"/>
  <c r="AE74" i="62"/>
  <c r="AB74" i="62"/>
  <c r="G74" i="62"/>
  <c r="Y74" i="62"/>
  <c r="S74" i="62"/>
  <c r="P74" i="62"/>
  <c r="J74" i="62"/>
  <c r="D74" i="62"/>
  <c r="AN73" i="62"/>
  <c r="AK73" i="62"/>
  <c r="AE73" i="62"/>
  <c r="AB73" i="62"/>
  <c r="G73" i="62"/>
  <c r="Y73" i="62"/>
  <c r="S73" i="62"/>
  <c r="P73" i="62"/>
  <c r="J73" i="62"/>
  <c r="D73" i="62"/>
  <c r="AN71" i="62"/>
  <c r="AK71" i="62"/>
  <c r="AE71" i="62"/>
  <c r="AB71" i="62"/>
  <c r="Y71" i="62"/>
  <c r="J71" i="62"/>
  <c r="AN70" i="62"/>
  <c r="AK70" i="62"/>
  <c r="AB70" i="62"/>
  <c r="G70" i="62"/>
  <c r="Y70" i="62"/>
  <c r="S70" i="62"/>
  <c r="J70" i="62"/>
  <c r="AN69" i="62"/>
  <c r="AK69" i="62"/>
  <c r="AH69" i="62"/>
  <c r="AE69" i="62"/>
  <c r="AB69" i="62"/>
  <c r="G69" i="62"/>
  <c r="Y69" i="62"/>
  <c r="V69" i="62"/>
  <c r="S69" i="62"/>
  <c r="P69" i="62"/>
  <c r="J69" i="62"/>
  <c r="D69" i="62"/>
  <c r="AN68" i="62"/>
  <c r="AK68" i="62"/>
  <c r="AH68" i="62"/>
  <c r="AE68" i="62"/>
  <c r="AB68" i="62"/>
  <c r="G68" i="62"/>
  <c r="Y68" i="62"/>
  <c r="V68" i="62"/>
  <c r="S68" i="62"/>
  <c r="P68" i="62"/>
  <c r="J68" i="62"/>
  <c r="D68" i="62"/>
  <c r="AK59" i="62"/>
  <c r="AB59" i="62"/>
  <c r="Y59" i="62"/>
  <c r="S59" i="62"/>
  <c r="P59" i="62"/>
  <c r="D59" i="62"/>
  <c r="AN58" i="62"/>
  <c r="Y58" i="62"/>
  <c r="AN57" i="62"/>
  <c r="G57" i="62"/>
  <c r="Y57" i="62"/>
  <c r="J57" i="62"/>
  <c r="AN56" i="62"/>
  <c r="AK56" i="62"/>
  <c r="Y56" i="62"/>
  <c r="S56" i="62"/>
  <c r="J56" i="62"/>
  <c r="D56" i="62"/>
  <c r="AN55" i="62"/>
  <c r="AK55" i="62"/>
  <c r="AH55" i="62"/>
  <c r="AB55" i="62"/>
  <c r="G55" i="62"/>
  <c r="Y55" i="62"/>
  <c r="S55" i="62"/>
  <c r="P55" i="62"/>
  <c r="J55" i="62"/>
  <c r="D55" i="62"/>
  <c r="Y53" i="62"/>
  <c r="Y51" i="62"/>
  <c r="AN49" i="62"/>
  <c r="Y49" i="62"/>
  <c r="AQ48" i="62"/>
  <c r="AK46" i="62"/>
  <c r="AB46" i="62"/>
  <c r="P46" i="62"/>
  <c r="D46" i="62"/>
  <c r="AK44" i="62"/>
  <c r="AE44" i="62"/>
  <c r="AB44" i="62"/>
  <c r="Y44" i="62"/>
  <c r="S44" i="62"/>
  <c r="P44" i="62"/>
  <c r="J44" i="62"/>
  <c r="D44" i="62"/>
  <c r="AN43" i="62"/>
  <c r="AK43" i="62"/>
  <c r="AE43" i="62"/>
  <c r="AB43" i="62"/>
  <c r="Y43" i="62"/>
  <c r="J43" i="62"/>
  <c r="D43" i="62"/>
  <c r="AN42" i="62"/>
  <c r="G42" i="62"/>
  <c r="Y42" i="62"/>
  <c r="J42" i="62"/>
  <c r="AN41" i="62"/>
  <c r="AK41" i="62"/>
  <c r="AE41" i="62"/>
  <c r="AB41" i="62"/>
  <c r="Y41" i="62"/>
  <c r="S41" i="62"/>
  <c r="P41" i="62"/>
  <c r="J41" i="62"/>
  <c r="D41" i="62"/>
  <c r="AN40" i="62"/>
  <c r="AK40" i="62"/>
  <c r="AE40" i="62"/>
  <c r="AB40" i="62"/>
  <c r="G40" i="62"/>
  <c r="Y40" i="62"/>
  <c r="P40" i="62"/>
  <c r="J40" i="62"/>
  <c r="D40" i="62"/>
  <c r="AN38" i="62"/>
  <c r="AK38" i="62"/>
  <c r="AE38" i="62"/>
  <c r="AB38" i="62"/>
  <c r="G38" i="62"/>
  <c r="Y38" i="62"/>
  <c r="S38" i="62"/>
  <c r="AN37" i="62"/>
  <c r="AK37" i="62"/>
  <c r="AB37" i="62"/>
  <c r="Y37" i="62"/>
  <c r="J37" i="62"/>
  <c r="AN36" i="62"/>
  <c r="AK36" i="62"/>
  <c r="AB36" i="62"/>
  <c r="G36" i="62"/>
  <c r="Y36" i="62"/>
  <c r="J36" i="62"/>
  <c r="J35" i="62"/>
  <c r="AN34" i="62"/>
  <c r="AK34" i="62"/>
  <c r="AE34" i="62"/>
  <c r="AB34" i="62"/>
  <c r="G34" i="62"/>
  <c r="Y34" i="62"/>
  <c r="J34" i="62"/>
  <c r="J33" i="62"/>
  <c r="AN28" i="62"/>
  <c r="AK28" i="62"/>
  <c r="AE28" i="62"/>
  <c r="AB28" i="62"/>
  <c r="G28" i="62"/>
  <c r="Y28" i="62"/>
  <c r="S28" i="62"/>
  <c r="P28" i="62"/>
  <c r="J28" i="62"/>
  <c r="D28" i="62"/>
  <c r="V27" i="62"/>
  <c r="AQ26" i="62"/>
  <c r="AK25" i="62"/>
  <c r="Y25" i="62"/>
  <c r="P25" i="62"/>
  <c r="J25" i="62"/>
  <c r="AN24" i="62"/>
  <c r="AE24" i="62"/>
  <c r="Y24" i="62"/>
  <c r="J24" i="62"/>
  <c r="AK23" i="62"/>
  <c r="AB23" i="62"/>
  <c r="G23" i="62"/>
  <c r="Y23" i="62"/>
  <c r="S23" i="62"/>
  <c r="J23" i="62"/>
  <c r="AN22" i="62"/>
  <c r="AK22" i="62"/>
  <c r="AE22" i="62"/>
  <c r="AB22" i="62"/>
  <c r="Y22" i="62"/>
  <c r="S22" i="62"/>
  <c r="P22" i="62"/>
  <c r="J22" i="62"/>
  <c r="D22" i="62"/>
  <c r="AN21" i="62"/>
  <c r="AK21" i="62"/>
  <c r="AB21" i="62"/>
  <c r="G21" i="62"/>
  <c r="Y21" i="62"/>
  <c r="S21" i="62"/>
  <c r="P21" i="62"/>
  <c r="J21" i="62"/>
  <c r="D21" i="62"/>
  <c r="AN20" i="62"/>
  <c r="AK20" i="62"/>
  <c r="AE20" i="62"/>
  <c r="AB20" i="62"/>
  <c r="G20" i="62"/>
  <c r="Y20" i="62"/>
  <c r="V20" i="62"/>
  <c r="S20" i="62"/>
  <c r="P20" i="62"/>
  <c r="J20" i="62"/>
  <c r="AN19" i="62"/>
  <c r="AK19" i="62"/>
  <c r="AE19" i="62"/>
  <c r="Y19" i="62"/>
  <c r="AK18" i="62"/>
  <c r="Y18" i="62"/>
  <c r="AK17" i="62"/>
  <c r="AE17" i="62"/>
  <c r="Y17" i="62"/>
  <c r="AN27" i="62"/>
  <c r="AN15" i="62"/>
  <c r="AK15" i="62"/>
  <c r="AE15" i="62"/>
  <c r="Y15" i="62"/>
  <c r="J15" i="62"/>
  <c r="Y14" i="62"/>
  <c r="L7" i="72" l="1"/>
  <c r="AQ61" i="62"/>
  <c r="AQ84" i="62"/>
  <c r="AQ22" i="62"/>
  <c r="AQ14" i="62"/>
  <c r="AQ37" i="62"/>
  <c r="AQ41" i="62"/>
  <c r="AQ52" i="62"/>
  <c r="AH54" i="62"/>
  <c r="AK54" i="62"/>
  <c r="G27" i="62"/>
  <c r="AQ40" i="62"/>
  <c r="AQ46" i="62"/>
  <c r="P14" i="65"/>
  <c r="AQ15" i="65"/>
  <c r="AT16" i="65"/>
  <c r="AQ19" i="65"/>
  <c r="AQ28" i="65"/>
  <c r="AQ71" i="62"/>
  <c r="AQ75" i="62"/>
  <c r="AQ81" i="62"/>
  <c r="AQ87" i="62"/>
  <c r="AQ89" i="62"/>
  <c r="H28" i="9"/>
  <c r="D47" i="72"/>
  <c r="G28" i="9"/>
  <c r="G70" i="9" s="1"/>
  <c r="B28" i="9"/>
  <c r="M27" i="8" s="1"/>
  <c r="AB27" i="62"/>
  <c r="AQ55" i="62"/>
  <c r="AQ57" i="62"/>
  <c r="AQ68" i="62"/>
  <c r="AQ17" i="65"/>
  <c r="AQ20" i="65"/>
  <c r="Y16" i="62"/>
  <c r="AQ28" i="62"/>
  <c r="AQ42" i="62"/>
  <c r="AQ69" i="62"/>
  <c r="AQ76" i="62"/>
  <c r="AQ82" i="62"/>
  <c r="AT12" i="65"/>
  <c r="AQ13" i="65"/>
  <c r="AQ27" i="65"/>
  <c r="AQ33" i="65"/>
  <c r="AQ44" i="65"/>
  <c r="AQ15" i="62"/>
  <c r="AQ17" i="62"/>
  <c r="AQ19" i="62"/>
  <c r="AQ21" i="62"/>
  <c r="AQ23" i="62"/>
  <c r="AQ33" i="62"/>
  <c r="AQ53" i="62"/>
  <c r="AQ86" i="62"/>
  <c r="AT19" i="65"/>
  <c r="AK35" i="62"/>
  <c r="AB39" i="62"/>
  <c r="AQ38" i="62"/>
  <c r="Y39" i="62"/>
  <c r="AQ43" i="62"/>
  <c r="AQ49" i="62"/>
  <c r="AQ51" i="62"/>
  <c r="AQ56" i="62"/>
  <c r="AQ58" i="62"/>
  <c r="AQ59" i="62"/>
  <c r="AQ70" i="62"/>
  <c r="AQ74" i="62"/>
  <c r="AQ77" i="62"/>
  <c r="AQ78" i="62"/>
  <c r="AT15" i="65"/>
  <c r="AT20" i="65"/>
  <c r="J21" i="65"/>
  <c r="AK21" i="65"/>
  <c r="AQ38" i="65"/>
  <c r="AQ39" i="65"/>
  <c r="P29" i="65"/>
  <c r="S54" i="62"/>
  <c r="AN79" i="62"/>
  <c r="AE16" i="62"/>
  <c r="J54" i="62"/>
  <c r="AE14" i="65"/>
  <c r="Y29" i="65"/>
  <c r="AQ40" i="65"/>
  <c r="G85" i="62"/>
  <c r="AK16" i="62"/>
  <c r="D14" i="65"/>
  <c r="AK29" i="65"/>
  <c r="AQ18" i="62"/>
  <c r="AQ88" i="62"/>
  <c r="AQ12" i="65"/>
  <c r="AQ26" i="65"/>
  <c r="S35" i="62"/>
  <c r="AN35" i="62"/>
  <c r="G39" i="62"/>
  <c r="AE39" i="62"/>
  <c r="AN54" i="62"/>
  <c r="AQ73" i="62"/>
  <c r="AN16" i="62"/>
  <c r="AQ24" i="62"/>
  <c r="AQ34" i="62"/>
  <c r="AQ36" i="62"/>
  <c r="AQ44" i="62"/>
  <c r="D54" i="62"/>
  <c r="P54" i="62"/>
  <c r="AK79" i="62"/>
  <c r="AQ83" i="62"/>
  <c r="Y85" i="62"/>
  <c r="AB85" i="62"/>
  <c r="AQ11" i="65"/>
  <c r="AT13" i="65"/>
  <c r="V14" i="65"/>
  <c r="AQ16" i="65"/>
  <c r="AT17" i="65"/>
  <c r="S21" i="65"/>
  <c r="AQ23" i="65"/>
  <c r="AQ24" i="65"/>
  <c r="AQ25" i="65"/>
  <c r="J29" i="65"/>
  <c r="AQ32" i="65"/>
  <c r="AQ25" i="62"/>
  <c r="AT11" i="65"/>
  <c r="G14" i="65"/>
  <c r="AH34" i="65"/>
  <c r="Y21" i="65"/>
  <c r="AN21" i="65"/>
  <c r="D29" i="65"/>
  <c r="S29" i="65"/>
  <c r="AQ37" i="65"/>
  <c r="J34" i="65"/>
  <c r="Y14" i="65"/>
  <c r="P21" i="65"/>
  <c r="G21" i="65"/>
  <c r="AH21" i="65"/>
  <c r="AN29" i="65"/>
  <c r="AE34" i="65"/>
  <c r="AE29" i="65"/>
  <c r="AQ30" i="65"/>
  <c r="G29" i="65"/>
  <c r="J14" i="65"/>
  <c r="S14" i="65"/>
  <c r="AH14" i="65"/>
  <c r="D21" i="65"/>
  <c r="V21" i="65"/>
  <c r="AK14" i="65"/>
  <c r="AB21" i="65"/>
  <c r="AQ31" i="65"/>
  <c r="AQ42" i="65"/>
  <c r="Y27" i="62"/>
  <c r="V29" i="62"/>
  <c r="J27" i="62"/>
  <c r="P27" i="62"/>
  <c r="D27" i="62"/>
  <c r="S27" i="62"/>
  <c r="AH29" i="62"/>
  <c r="G35" i="62"/>
  <c r="Y35" i="62"/>
  <c r="S39" i="62"/>
  <c r="AK39" i="62"/>
  <c r="AQ16" i="62"/>
  <c r="D20" i="62"/>
  <c r="AQ20" i="62"/>
  <c r="AB35" i="62"/>
  <c r="J39" i="62"/>
  <c r="AN39" i="62"/>
  <c r="D39" i="62"/>
  <c r="AE35" i="62"/>
  <c r="P39" i="62"/>
  <c r="G54" i="62"/>
  <c r="J79" i="62"/>
  <c r="S79" i="62"/>
  <c r="Y79" i="62"/>
  <c r="AB79" i="62"/>
  <c r="J85" i="62"/>
  <c r="S85" i="62"/>
  <c r="AN85" i="62"/>
  <c r="Y91" i="62"/>
  <c r="Y50" i="62"/>
  <c r="Y54" i="62"/>
  <c r="AB54" i="62"/>
  <c r="D79" i="62"/>
  <c r="P79" i="62"/>
  <c r="V79" i="62"/>
  <c r="G79" i="62"/>
  <c r="AE79" i="62"/>
  <c r="D85" i="62"/>
  <c r="P85" i="62"/>
  <c r="AH85" i="62"/>
  <c r="AK85" i="62"/>
  <c r="C28" i="9" l="1"/>
  <c r="AQ39" i="62"/>
  <c r="B70" i="9"/>
  <c r="AK27" i="62"/>
  <c r="AQ27" i="62"/>
  <c r="AE27" i="62"/>
  <c r="AT14" i="65"/>
  <c r="AT21" i="65"/>
  <c r="V91" i="62"/>
  <c r="AQ79" i="62"/>
  <c r="V34" i="65"/>
  <c r="P34" i="65"/>
  <c r="J41" i="65"/>
  <c r="AQ29" i="65"/>
  <c r="AQ14" i="65"/>
  <c r="AK34" i="65"/>
  <c r="AQ21" i="65"/>
  <c r="S34" i="65"/>
  <c r="AE41" i="65"/>
  <c r="AN34" i="65"/>
  <c r="G34" i="65"/>
  <c r="D34" i="65"/>
  <c r="AB34" i="65"/>
  <c r="Y34" i="65"/>
  <c r="G60" i="62"/>
  <c r="AK29" i="62"/>
  <c r="AE29" i="62"/>
  <c r="AN60" i="62"/>
  <c r="G91" i="62"/>
  <c r="AQ85" i="62"/>
  <c r="AQ54" i="62"/>
  <c r="AB91" i="62"/>
  <c r="AQ50" i="62"/>
  <c r="AE45" i="62"/>
  <c r="G45" i="62"/>
  <c r="P29" i="62"/>
  <c r="AB29" i="62"/>
  <c r="P91" i="62"/>
  <c r="D91" i="62"/>
  <c r="D45" i="62"/>
  <c r="AH60" i="62"/>
  <c r="AH91" i="62"/>
  <c r="AN45" i="62"/>
  <c r="AN91" i="62"/>
  <c r="P60" i="62"/>
  <c r="S45" i="62"/>
  <c r="AB45" i="62"/>
  <c r="Y45" i="62"/>
  <c r="AN29" i="62"/>
  <c r="S29" i="62"/>
  <c r="D29" i="62"/>
  <c r="AQ29" i="62"/>
  <c r="J29" i="62"/>
  <c r="Y29" i="62"/>
  <c r="J60" i="62"/>
  <c r="AE91" i="62"/>
  <c r="Y60" i="62"/>
  <c r="S60" i="62"/>
  <c r="S91" i="62"/>
  <c r="AB60" i="62"/>
  <c r="AK45" i="62"/>
  <c r="AK60" i="62"/>
  <c r="D60" i="62"/>
  <c r="AK91" i="62"/>
  <c r="J91" i="62"/>
  <c r="AQ35" i="62"/>
  <c r="J45" i="62"/>
  <c r="P45" i="62"/>
  <c r="G29" i="62"/>
  <c r="C70" i="9" l="1"/>
  <c r="D70" i="9" s="1"/>
  <c r="N27" i="8"/>
  <c r="AH41" i="65"/>
  <c r="AQ34" i="65"/>
  <c r="G41" i="65"/>
  <c r="AE43" i="65"/>
  <c r="S41" i="65"/>
  <c r="J43" i="65"/>
  <c r="P41" i="65"/>
  <c r="Y41" i="65"/>
  <c r="AB41" i="65"/>
  <c r="D41" i="65"/>
  <c r="AQ41" i="65"/>
  <c r="AK41" i="65"/>
  <c r="V41" i="65"/>
  <c r="AN41" i="65"/>
  <c r="AH43" i="65"/>
  <c r="AK64" i="62"/>
  <c r="P64" i="62"/>
  <c r="D62" i="62"/>
  <c r="J62" i="62"/>
  <c r="AN64" i="62"/>
  <c r="S62" i="62"/>
  <c r="AN62" i="62"/>
  <c r="AE62" i="62"/>
  <c r="G64" i="62"/>
  <c r="AH62" i="62"/>
  <c r="AK62" i="62"/>
  <c r="AQ91" i="62"/>
  <c r="G62" i="62"/>
  <c r="P62" i="62"/>
  <c r="AQ60" i="62"/>
  <c r="Y64" i="62"/>
  <c r="S64" i="62"/>
  <c r="Y62" i="62"/>
  <c r="AB62" i="62"/>
  <c r="AQ45" i="62"/>
  <c r="G33" i="4"/>
  <c r="I33" i="4" l="1"/>
  <c r="H33" i="4"/>
  <c r="AN43" i="65"/>
  <c r="V43" i="65"/>
  <c r="AQ43" i="65"/>
  <c r="D43" i="65"/>
  <c r="Y43" i="65"/>
  <c r="J45" i="65"/>
  <c r="S43" i="65"/>
  <c r="P43" i="65"/>
  <c r="AE45" i="65"/>
  <c r="G43" i="65"/>
  <c r="AH45" i="65"/>
  <c r="AK43" i="65"/>
  <c r="AB43" i="65"/>
  <c r="D64" i="62"/>
  <c r="AB64" i="62"/>
  <c r="AH64" i="62"/>
  <c r="J64" i="62"/>
  <c r="AE64" i="62"/>
  <c r="V64" i="62"/>
  <c r="AQ62" i="62"/>
  <c r="J33" i="4" l="1"/>
  <c r="AB45" i="65"/>
  <c r="S45" i="65"/>
  <c r="Y45" i="65"/>
  <c r="V45" i="65"/>
  <c r="G45" i="65"/>
  <c r="AK45" i="65"/>
  <c r="P45" i="65"/>
  <c r="D45" i="65"/>
  <c r="AN45" i="65"/>
  <c r="AQ64" i="62"/>
  <c r="K9" i="18"/>
  <c r="K8" i="18"/>
  <c r="AQ45" i="65" l="1"/>
  <c r="G10" i="9"/>
  <c r="D22" i="18"/>
  <c r="H10" i="9"/>
  <c r="D29" i="18"/>
  <c r="H10" i="18"/>
  <c r="D7" i="18"/>
  <c r="D10" i="18"/>
  <c r="H118" i="18"/>
  <c r="H122" i="18"/>
  <c r="K7" i="18"/>
  <c r="J88" i="18"/>
  <c r="H110" i="18"/>
  <c r="H114" i="18"/>
  <c r="H126" i="18"/>
  <c r="K114" i="18"/>
  <c r="K99" i="18"/>
  <c r="H7" i="18"/>
  <c r="K11" i="18"/>
  <c r="J67" i="18"/>
  <c r="D99" i="18"/>
  <c r="J110" i="18"/>
  <c r="J113" i="18"/>
  <c r="J122" i="18"/>
  <c r="D28" i="18"/>
  <c r="H34" i="18"/>
  <c r="H35" i="18"/>
  <c r="K78" i="18"/>
  <c r="K109" i="18"/>
  <c r="J114" i="18"/>
  <c r="K121" i="18"/>
  <c r="H109" i="18"/>
  <c r="J35" i="18"/>
  <c r="H11" i="18"/>
  <c r="K110" i="18"/>
  <c r="J118" i="18"/>
  <c r="K12" i="18"/>
  <c r="K113" i="18"/>
  <c r="K118" i="18"/>
  <c r="H12" i="18"/>
  <c r="K35" i="18"/>
  <c r="K10" i="18"/>
  <c r="J34" i="18"/>
  <c r="D67" i="18"/>
  <c r="D88" i="18"/>
  <c r="J99" i="18"/>
  <c r="J121" i="18"/>
  <c r="K122" i="18"/>
  <c r="K28" i="18"/>
  <c r="K34" i="18"/>
  <c r="D48" i="18"/>
  <c r="K67" i="18"/>
  <c r="D121" i="18"/>
  <c r="J11" i="18"/>
  <c r="J109" i="18"/>
  <c r="D113" i="18"/>
  <c r="H22" i="18"/>
  <c r="D78" i="18"/>
  <c r="D109" i="18"/>
  <c r="J126" i="18"/>
  <c r="J9" i="18"/>
  <c r="L9" i="18" s="1"/>
  <c r="D9" i="18"/>
  <c r="J28" i="18"/>
  <c r="J12" i="18"/>
  <c r="J7" i="18"/>
  <c r="J10" i="18"/>
  <c r="J8" i="18"/>
  <c r="L8" i="18" s="1"/>
  <c r="D8" i="18"/>
  <c r="J78" i="18"/>
  <c r="K126" i="18"/>
  <c r="K88" i="18"/>
  <c r="N60" i="8" l="1"/>
  <c r="M60" i="8"/>
  <c r="K98" i="18"/>
  <c r="I10" i="9"/>
  <c r="D87" i="18"/>
  <c r="H29" i="18"/>
  <c r="D66" i="18"/>
  <c r="K29" i="18"/>
  <c r="K22" i="18"/>
  <c r="J29" i="18"/>
  <c r="H120" i="18"/>
  <c r="J22" i="18"/>
  <c r="K120" i="18"/>
  <c r="L114" i="18"/>
  <c r="L12" i="18"/>
  <c r="L28" i="18"/>
  <c r="L88" i="18"/>
  <c r="L122" i="18"/>
  <c r="L110" i="18"/>
  <c r="L121" i="18"/>
  <c r="L99" i="18"/>
  <c r="L35" i="18"/>
  <c r="J112" i="18"/>
  <c r="H112" i="18"/>
  <c r="L118" i="18"/>
  <c r="L78" i="18"/>
  <c r="L7" i="18"/>
  <c r="L109" i="18"/>
  <c r="L11" i="18"/>
  <c r="L67" i="18"/>
  <c r="K112" i="18"/>
  <c r="L113" i="18"/>
  <c r="D98" i="18"/>
  <c r="L10" i="18"/>
  <c r="J120" i="18"/>
  <c r="D120" i="18"/>
  <c r="L34" i="18"/>
  <c r="L126" i="18"/>
  <c r="D112"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K8" i="37"/>
  <c r="J9" i="37"/>
  <c r="K9" i="37"/>
  <c r="J36" i="37"/>
  <c r="J37" i="37"/>
  <c r="K100" i="18" l="1"/>
  <c r="L8" i="37"/>
  <c r="L9" i="37"/>
  <c r="D47" i="18"/>
  <c r="B10" i="9"/>
  <c r="L76" i="33"/>
  <c r="L120" i="18"/>
  <c r="L97" i="33"/>
  <c r="L97" i="29"/>
  <c r="L76" i="29"/>
  <c r="D77" i="18"/>
  <c r="H68" i="18"/>
  <c r="J68" i="18"/>
  <c r="J66" i="18"/>
  <c r="L29" i="18"/>
  <c r="K79" i="18"/>
  <c r="K77" i="18"/>
  <c r="L22" i="18"/>
  <c r="L76" i="13"/>
  <c r="D97" i="4"/>
  <c r="D76" i="4"/>
  <c r="L97" i="37"/>
  <c r="K68" i="18"/>
  <c r="L76" i="37"/>
  <c r="K87" i="18"/>
  <c r="K89" i="18"/>
  <c r="L97" i="13"/>
  <c r="H100" i="18"/>
  <c r="J100" i="18"/>
  <c r="J89" i="18"/>
  <c r="H89" i="18"/>
  <c r="H79" i="18"/>
  <c r="J79" i="18"/>
  <c r="I97" i="4"/>
  <c r="I76" i="4"/>
  <c r="L112" i="18"/>
  <c r="H34" i="37"/>
  <c r="H117" i="37"/>
  <c r="D115" i="37"/>
  <c r="D117" i="37"/>
  <c r="J125" i="37"/>
  <c r="H76" i="4"/>
  <c r="H97" i="4"/>
  <c r="K12" i="37"/>
  <c r="K7" i="37"/>
  <c r="H114" i="37"/>
  <c r="H118" i="37"/>
  <c r="J88" i="37"/>
  <c r="K75" i="37"/>
  <c r="K109" i="37"/>
  <c r="K96" i="37"/>
  <c r="K67" i="37"/>
  <c r="J35" i="37"/>
  <c r="J10" i="37"/>
  <c r="D7" i="37"/>
  <c r="K136" i="37"/>
  <c r="K135" i="37"/>
  <c r="K123" i="37"/>
  <c r="D123" i="37"/>
  <c r="H115" i="37"/>
  <c r="H113" i="37"/>
  <c r="J122" i="37"/>
  <c r="H122" i="37"/>
  <c r="K115" i="37"/>
  <c r="K108" i="37"/>
  <c r="K99" i="37"/>
  <c r="J126" i="37"/>
  <c r="K117" i="37"/>
  <c r="K78" i="37"/>
  <c r="D8" i="37"/>
  <c r="H109" i="37"/>
  <c r="D67" i="37"/>
  <c r="K111" i="37"/>
  <c r="J86" i="37"/>
  <c r="K28" i="37"/>
  <c r="H7" i="37"/>
  <c r="D136" i="37"/>
  <c r="H125" i="37"/>
  <c r="J111" i="37"/>
  <c r="D109" i="37"/>
  <c r="D28" i="37"/>
  <c r="D126" i="37"/>
  <c r="K114" i="37"/>
  <c r="J109" i="37"/>
  <c r="D34" i="37"/>
  <c r="K10" i="37"/>
  <c r="K126" i="37"/>
  <c r="J118" i="37"/>
  <c r="J114" i="37"/>
  <c r="D111" i="37"/>
  <c r="K137" i="37"/>
  <c r="J135" i="37"/>
  <c r="H35" i="37"/>
  <c r="J28" i="37"/>
  <c r="K11" i="37"/>
  <c r="J123" i="37"/>
  <c r="J117" i="37"/>
  <c r="K110" i="37"/>
  <c r="D35" i="37"/>
  <c r="J12" i="37"/>
  <c r="J7" i="37"/>
  <c r="H75" i="37"/>
  <c r="D48" i="37"/>
  <c r="K122" i="37"/>
  <c r="J67" i="37"/>
  <c r="H126" i="37"/>
  <c r="D125" i="37"/>
  <c r="D110" i="37"/>
  <c r="H96" i="37"/>
  <c r="K88" i="37"/>
  <c r="D55" i="37"/>
  <c r="J34" i="37"/>
  <c r="D9" i="37"/>
  <c r="J108" i="37"/>
  <c r="D108" i="37"/>
  <c r="K125" i="37"/>
  <c r="D99" i="37"/>
  <c r="D135" i="37"/>
  <c r="D121" i="37"/>
  <c r="J78" i="37"/>
  <c r="D78" i="37"/>
  <c r="J75" i="37"/>
  <c r="D75" i="37"/>
  <c r="J113" i="37"/>
  <c r="D113" i="37"/>
  <c r="J110" i="37"/>
  <c r="J136" i="37"/>
  <c r="D137" i="37"/>
  <c r="K121" i="37"/>
  <c r="J99" i="37"/>
  <c r="J96" i="37"/>
  <c r="D96" i="37"/>
  <c r="K86" i="37"/>
  <c r="J137" i="37"/>
  <c r="J121" i="37"/>
  <c r="J115" i="37"/>
  <c r="H110" i="37"/>
  <c r="D86" i="37"/>
  <c r="K118" i="37"/>
  <c r="K113" i="37"/>
  <c r="D88" i="37"/>
  <c r="H11" i="37"/>
  <c r="D10" i="37"/>
  <c r="K35" i="37"/>
  <c r="D57" i="37"/>
  <c r="D54" i="37"/>
  <c r="K34" i="37"/>
  <c r="H12" i="37"/>
  <c r="K37" i="37"/>
  <c r="D37" i="37"/>
  <c r="H10" i="37"/>
  <c r="K36" i="37"/>
  <c r="D36" i="37"/>
  <c r="J11" i="37"/>
  <c r="M9" i="8" l="1"/>
  <c r="L123" i="37"/>
  <c r="J76" i="4"/>
  <c r="L100" i="18"/>
  <c r="L115" i="37"/>
  <c r="L79" i="18"/>
  <c r="D77" i="37"/>
  <c r="H29" i="37"/>
  <c r="J29" i="37"/>
  <c r="D100" i="37"/>
  <c r="L68" i="18"/>
  <c r="L89" i="18"/>
  <c r="K98" i="37"/>
  <c r="H66" i="18"/>
  <c r="K66" i="18"/>
  <c r="L66" i="18" s="1"/>
  <c r="K77" i="37"/>
  <c r="J79" i="37"/>
  <c r="L111" i="37"/>
  <c r="J97" i="4"/>
  <c r="J100" i="37"/>
  <c r="J66" i="37"/>
  <c r="H87" i="18"/>
  <c r="J87" i="18"/>
  <c r="L87" i="18" s="1"/>
  <c r="H77" i="18"/>
  <c r="J77" i="18"/>
  <c r="L77" i="18" s="1"/>
  <c r="J98" i="18"/>
  <c r="L98" i="18" s="1"/>
  <c r="H98" i="18"/>
  <c r="L117" i="37"/>
  <c r="D89" i="37"/>
  <c r="K22" i="37"/>
  <c r="D49" i="37"/>
  <c r="J22" i="37"/>
  <c r="H22" i="37"/>
  <c r="K29" i="37"/>
  <c r="D29" i="37"/>
  <c r="D22" i="37"/>
  <c r="D87" i="37"/>
  <c r="D56" i="37"/>
  <c r="L88" i="37"/>
  <c r="L125" i="37"/>
  <c r="L12" i="37"/>
  <c r="L78" i="37"/>
  <c r="K112" i="37"/>
  <c r="L7" i="37"/>
  <c r="L136" i="37"/>
  <c r="D53" i="37"/>
  <c r="L28" i="37"/>
  <c r="L137" i="37"/>
  <c r="L96" i="37"/>
  <c r="L34" i="37"/>
  <c r="L110" i="37"/>
  <c r="L67" i="37"/>
  <c r="L99" i="37"/>
  <c r="L109" i="37"/>
  <c r="L135" i="37"/>
  <c r="L10" i="37"/>
  <c r="D47" i="37"/>
  <c r="L108" i="37"/>
  <c r="L75" i="37"/>
  <c r="K120" i="37"/>
  <c r="H112" i="37"/>
  <c r="L86" i="37"/>
  <c r="L122" i="37"/>
  <c r="H120" i="37"/>
  <c r="L35" i="37"/>
  <c r="L121" i="37"/>
  <c r="L11" i="37"/>
  <c r="D120" i="37"/>
  <c r="L118" i="37"/>
  <c r="L126" i="37"/>
  <c r="L114" i="37"/>
  <c r="J112" i="37"/>
  <c r="D112" i="37"/>
  <c r="D66" i="37"/>
  <c r="D98" i="37"/>
  <c r="J120" i="37"/>
  <c r="L113" i="37"/>
  <c r="L29" i="37" l="1"/>
  <c r="K79" i="37"/>
  <c r="L79" i="37" s="1"/>
  <c r="K100" i="37"/>
  <c r="L100" i="37" s="1"/>
  <c r="K87" i="37"/>
  <c r="K89" i="37"/>
  <c r="H68" i="37"/>
  <c r="H79" i="37"/>
  <c r="H100" i="37"/>
  <c r="H77" i="37"/>
  <c r="H98" i="37"/>
  <c r="L22" i="37"/>
  <c r="J68" i="37"/>
  <c r="K68" i="37"/>
  <c r="H89" i="37"/>
  <c r="J89" i="37"/>
  <c r="L112" i="37"/>
  <c r="L120" i="37"/>
  <c r="H87" i="37" l="1"/>
  <c r="L89" i="37"/>
  <c r="J98" i="37"/>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D124" i="33" l="1"/>
  <c r="G31" i="4"/>
  <c r="G23" i="4" l="1"/>
  <c r="G24" i="4"/>
  <c r="G30" i="4"/>
  <c r="G25" i="4"/>
  <c r="G32" i="4"/>
  <c r="D32" i="4"/>
  <c r="D24" i="4"/>
  <c r="I23" i="37"/>
  <c r="I25" i="37"/>
  <c r="I25" i="18"/>
  <c r="I30" i="37"/>
  <c r="I30" i="18"/>
  <c r="I31" i="37"/>
  <c r="I31" i="18"/>
  <c r="G26" i="4"/>
  <c r="D25" i="4"/>
  <c r="I24" i="18"/>
  <c r="I32" i="37"/>
  <c r="I32" i="18"/>
  <c r="D30" i="4"/>
  <c r="D31" i="4"/>
  <c r="E29" i="18" l="1"/>
  <c r="E29" i="23"/>
  <c r="E29" i="29"/>
  <c r="E29" i="33"/>
  <c r="E29" i="20"/>
  <c r="E29" i="24"/>
  <c r="E29" i="51"/>
  <c r="E29" i="37"/>
  <c r="E29" i="13"/>
  <c r="I23" i="18"/>
  <c r="D23" i="4"/>
  <c r="I26" i="4"/>
  <c r="H26" i="4"/>
  <c r="E124" i="33"/>
  <c r="F26" i="10"/>
  <c r="F16" i="10"/>
  <c r="F34" i="10"/>
  <c r="I26" i="29"/>
  <c r="I26" i="23"/>
  <c r="I26" i="33"/>
  <c r="I26" i="37"/>
  <c r="I26" i="35"/>
  <c r="I26" i="18"/>
  <c r="G16" i="10"/>
  <c r="G26" i="10"/>
  <c r="G34" i="10"/>
  <c r="I101" i="13" l="1"/>
  <c r="I101" i="33"/>
  <c r="I101" i="23"/>
  <c r="I101" i="37"/>
  <c r="I101" i="29"/>
  <c r="M26" i="29"/>
  <c r="J26" i="4"/>
  <c r="M26" i="23"/>
  <c r="M26" i="16"/>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D51" i="16" l="1"/>
  <c r="D50" i="16"/>
  <c r="D52" i="16"/>
  <c r="E50" i="76" l="1"/>
  <c r="E51" i="76"/>
  <c r="E52" i="76"/>
  <c r="L51" i="10" l="1"/>
  <c r="G56" i="10"/>
  <c r="G60" i="10"/>
  <c r="F60" i="10" l="1"/>
  <c r="F56" i="10"/>
  <c r="K28" i="10" l="1"/>
  <c r="J28" i="10"/>
  <c r="K9" i="33" l="1"/>
  <c r="K9" i="29"/>
  <c r="K8" i="51"/>
  <c r="K8" i="29"/>
  <c r="K9" i="41"/>
  <c r="K8" i="33"/>
  <c r="K8" i="41"/>
  <c r="K9" i="51"/>
  <c r="K8" i="25"/>
  <c r="K8" i="24"/>
  <c r="K9" i="25"/>
  <c r="K9" i="24"/>
  <c r="K8" i="22"/>
  <c r="K9" i="22"/>
  <c r="K9" i="20"/>
  <c r="K8" i="20"/>
  <c r="K8" i="19"/>
  <c r="J36" i="13"/>
  <c r="K9" i="19"/>
  <c r="K39" i="13"/>
  <c r="K37" i="13"/>
  <c r="J39" i="13"/>
  <c r="J37" i="13"/>
  <c r="K36" i="13"/>
  <c r="K8" i="13"/>
  <c r="K9" i="13"/>
  <c r="D22" i="16"/>
  <c r="B20" i="10" l="1"/>
  <c r="F20" i="10"/>
  <c r="G110" i="4"/>
  <c r="D127" i="4"/>
  <c r="B16" i="10"/>
  <c r="B23" i="10"/>
  <c r="B44" i="10"/>
  <c r="F31" i="10"/>
  <c r="F30" i="10"/>
  <c r="F41" i="10"/>
  <c r="F15" i="10"/>
  <c r="B30" i="10"/>
  <c r="B26" i="10"/>
  <c r="B13" i="10"/>
  <c r="F42" i="10"/>
  <c r="F23" i="10"/>
  <c r="F25" i="10"/>
  <c r="B33" i="10"/>
  <c r="B15" i="10"/>
  <c r="F13" i="10"/>
  <c r="B9" i="10"/>
  <c r="B41" i="10"/>
  <c r="B25" i="10"/>
  <c r="G18" i="9"/>
  <c r="G60" i="9" s="1"/>
  <c r="H43" i="9"/>
  <c r="C41" i="9"/>
  <c r="H42" i="9"/>
  <c r="G11" i="9"/>
  <c r="G41" i="9"/>
  <c r="H21" i="9"/>
  <c r="N70" i="8" s="1"/>
  <c r="G19" i="9"/>
  <c r="M68" i="8" s="1"/>
  <c r="H11" i="9"/>
  <c r="H15" i="9"/>
  <c r="N65" i="8" s="1"/>
  <c r="G16" i="9"/>
  <c r="M66" i="8" s="1"/>
  <c r="G17" i="9"/>
  <c r="H22" i="9"/>
  <c r="N71" i="8" s="1"/>
  <c r="C39" i="9"/>
  <c r="G20" i="9"/>
  <c r="M69" i="8" s="1"/>
  <c r="B44" i="9"/>
  <c r="B45" i="9"/>
  <c r="C45" i="9"/>
  <c r="C38" i="9"/>
  <c r="G24" i="9"/>
  <c r="M73" i="8" s="1"/>
  <c r="C43" i="9"/>
  <c r="H44" i="9"/>
  <c r="H16" i="9"/>
  <c r="N66" i="8" s="1"/>
  <c r="H40" i="9"/>
  <c r="G13" i="9"/>
  <c r="C40" i="9"/>
  <c r="G23" i="9"/>
  <c r="M72" i="8" s="1"/>
  <c r="H23" i="9"/>
  <c r="G26" i="9"/>
  <c r="M75" i="8" s="1"/>
  <c r="G15" i="9"/>
  <c r="H39" i="9"/>
  <c r="H12" i="9"/>
  <c r="N62" i="8" s="1"/>
  <c r="H41" i="9"/>
  <c r="H38" i="9"/>
  <c r="C44" i="9"/>
  <c r="G12" i="9"/>
  <c r="M62" i="8" s="1"/>
  <c r="H13" i="9"/>
  <c r="N63" i="8" s="1"/>
  <c r="C42" i="9"/>
  <c r="G25" i="9"/>
  <c r="G21" i="9"/>
  <c r="G27" i="9"/>
  <c r="H45" i="9"/>
  <c r="G29" i="9"/>
  <c r="M77" i="8" s="1"/>
  <c r="G31" i="9"/>
  <c r="M79" i="8" s="1"/>
  <c r="G39" i="9"/>
  <c r="H25" i="9"/>
  <c r="N74" i="8" s="1"/>
  <c r="G22" i="9"/>
  <c r="B39" i="9"/>
  <c r="B43" i="9"/>
  <c r="B40" i="9"/>
  <c r="K36" i="16"/>
  <c r="J38" i="16"/>
  <c r="J39" i="16"/>
  <c r="J37" i="16"/>
  <c r="K37" i="16"/>
  <c r="K38" i="16"/>
  <c r="J36" i="16"/>
  <c r="K39" i="16"/>
  <c r="K7" i="35"/>
  <c r="H29" i="29"/>
  <c r="K122" i="13"/>
  <c r="H122" i="33"/>
  <c r="H29" i="20"/>
  <c r="H126" i="33"/>
  <c r="H68" i="29"/>
  <c r="K114" i="33"/>
  <c r="H68" i="35"/>
  <c r="H29" i="13"/>
  <c r="K68" i="20"/>
  <c r="K12" i="29"/>
  <c r="J86" i="29"/>
  <c r="K109" i="33"/>
  <c r="H22" i="33"/>
  <c r="K68" i="33"/>
  <c r="H35" i="29"/>
  <c r="H34" i="13"/>
  <c r="D37" i="16"/>
  <c r="H122" i="27"/>
  <c r="K89" i="27"/>
  <c r="K109" i="27"/>
  <c r="H122" i="35"/>
  <c r="K22" i="51"/>
  <c r="K136" i="34"/>
  <c r="K114" i="29"/>
  <c r="H100" i="29"/>
  <c r="J79" i="29"/>
  <c r="K28" i="51"/>
  <c r="H89" i="29"/>
  <c r="K12" i="33"/>
  <c r="K117" i="33"/>
  <c r="K29" i="51"/>
  <c r="H34" i="33"/>
  <c r="H12" i="33"/>
  <c r="H79" i="27"/>
  <c r="H126" i="29"/>
  <c r="K110" i="20"/>
  <c r="K109" i="23"/>
  <c r="K22" i="23"/>
  <c r="K100" i="27"/>
  <c r="K108" i="33"/>
  <c r="K100" i="33"/>
  <c r="K75" i="33"/>
  <c r="K123" i="33"/>
  <c r="H86" i="35"/>
  <c r="K115" i="33"/>
  <c r="H29" i="33"/>
  <c r="D58" i="39"/>
  <c r="H75" i="33"/>
  <c r="D36" i="16"/>
  <c r="D37" i="13"/>
  <c r="K89" i="20"/>
  <c r="H100" i="20"/>
  <c r="K89" i="23"/>
  <c r="K68" i="23"/>
  <c r="K28" i="24"/>
  <c r="H22" i="29"/>
  <c r="K114" i="35"/>
  <c r="K12" i="35"/>
  <c r="K110" i="35"/>
  <c r="H12" i="35"/>
  <c r="H96" i="33"/>
  <c r="H118" i="33"/>
  <c r="K100" i="20"/>
  <c r="K28" i="25"/>
  <c r="K137" i="34"/>
  <c r="K96" i="33"/>
  <c r="H35" i="33"/>
  <c r="K118" i="33"/>
  <c r="H100" i="27"/>
  <c r="H110" i="35"/>
  <c r="K28" i="23"/>
  <c r="H115" i="33"/>
  <c r="K114" i="20"/>
  <c r="K110" i="27"/>
  <c r="K89" i="33"/>
  <c r="K11" i="35"/>
  <c r="H114" i="35"/>
  <c r="D57" i="16"/>
  <c r="D35" i="16"/>
  <c r="D28" i="16"/>
  <c r="D29" i="16"/>
  <c r="D9" i="16"/>
  <c r="D10" i="16"/>
  <c r="D39" i="16"/>
  <c r="D58" i="16"/>
  <c r="D54" i="16"/>
  <c r="D8" i="16"/>
  <c r="D49" i="16"/>
  <c r="D7" i="16"/>
  <c r="D55" i="16"/>
  <c r="D34" i="16"/>
  <c r="D38" i="16"/>
  <c r="D48" i="16"/>
  <c r="H100" i="23"/>
  <c r="B21" i="10"/>
  <c r="K110" i="23"/>
  <c r="H110" i="27"/>
  <c r="K10" i="35"/>
  <c r="K34" i="13"/>
  <c r="K108" i="13"/>
  <c r="K122" i="23"/>
  <c r="H110" i="23"/>
  <c r="H22" i="23"/>
  <c r="H89" i="35"/>
  <c r="H100" i="33"/>
  <c r="H68" i="33"/>
  <c r="K126" i="33"/>
  <c r="D49" i="39"/>
  <c r="K7" i="13"/>
  <c r="K7" i="19"/>
  <c r="K10" i="29"/>
  <c r="H7" i="23"/>
  <c r="H7" i="29"/>
  <c r="H7" i="33"/>
  <c r="K10" i="33"/>
  <c r="H10" i="13"/>
  <c r="K7" i="23"/>
  <c r="K11" i="33"/>
  <c r="K7" i="29"/>
  <c r="H10" i="35"/>
  <c r="H11" i="13"/>
  <c r="H89" i="20"/>
  <c r="K22" i="13"/>
  <c r="K29" i="13"/>
  <c r="H79" i="13"/>
  <c r="K100" i="13"/>
  <c r="K117" i="13"/>
  <c r="K10" i="13"/>
  <c r="H122" i="13"/>
  <c r="K7" i="20"/>
  <c r="K10" i="20"/>
  <c r="K22" i="24"/>
  <c r="D49" i="26"/>
  <c r="K11" i="29"/>
  <c r="H22" i="35"/>
  <c r="H114" i="29"/>
  <c r="H7" i="35"/>
  <c r="H11" i="35"/>
  <c r="K7" i="33"/>
  <c r="H89" i="33"/>
  <c r="H108" i="33"/>
  <c r="K122" i="33"/>
  <c r="H89" i="13"/>
  <c r="K110" i="13"/>
  <c r="K67" i="13"/>
  <c r="K11" i="13"/>
  <c r="H22" i="20"/>
  <c r="H114" i="33"/>
  <c r="H108" i="35"/>
  <c r="H12" i="23"/>
  <c r="H89" i="27"/>
  <c r="K28" i="29"/>
  <c r="K34" i="29"/>
  <c r="K118" i="29"/>
  <c r="H110" i="20"/>
  <c r="H35" i="35"/>
  <c r="H79" i="23"/>
  <c r="H89" i="23"/>
  <c r="H118" i="23"/>
  <c r="K35" i="29"/>
  <c r="H118" i="29"/>
  <c r="H46" i="9"/>
  <c r="D39" i="13"/>
  <c r="H22" i="13"/>
  <c r="H114" i="20"/>
  <c r="H7" i="13"/>
  <c r="K35" i="13"/>
  <c r="K109" i="13"/>
  <c r="K12" i="13"/>
  <c r="H108" i="13"/>
  <c r="C46" i="9"/>
  <c r="D48" i="13"/>
  <c r="J10" i="13"/>
  <c r="D10" i="13"/>
  <c r="K28" i="13"/>
  <c r="K68" i="13"/>
  <c r="K113" i="13"/>
  <c r="K118" i="13"/>
  <c r="H35" i="13"/>
  <c r="H110" i="13"/>
  <c r="J89" i="13"/>
  <c r="D89" i="13"/>
  <c r="D11" i="13"/>
  <c r="J11" i="13"/>
  <c r="J9" i="19"/>
  <c r="L9" i="19" s="1"/>
  <c r="D9" i="19"/>
  <c r="B37" i="9"/>
  <c r="K114" i="13"/>
  <c r="J9" i="13"/>
  <c r="L9" i="13" s="1"/>
  <c r="D9" i="13"/>
  <c r="H68" i="13"/>
  <c r="J88" i="13"/>
  <c r="D88" i="13"/>
  <c r="H100" i="13"/>
  <c r="H12" i="13"/>
  <c r="C37" i="9"/>
  <c r="H37" i="9"/>
  <c r="H52" i="9" s="1"/>
  <c r="G37" i="9"/>
  <c r="G52" i="9" s="1"/>
  <c r="D78" i="13"/>
  <c r="J78" i="13"/>
  <c r="J12" i="13"/>
  <c r="D12" i="13"/>
  <c r="K121" i="13"/>
  <c r="J110" i="20"/>
  <c r="K88" i="13"/>
  <c r="H118" i="13"/>
  <c r="D35" i="13"/>
  <c r="J35" i="13"/>
  <c r="J68" i="13"/>
  <c r="K86" i="13"/>
  <c r="K89" i="13"/>
  <c r="J108" i="13"/>
  <c r="D108" i="13"/>
  <c r="D113" i="13"/>
  <c r="J113" i="13"/>
  <c r="J118" i="13"/>
  <c r="D86" i="13"/>
  <c r="J86" i="13"/>
  <c r="J126" i="13"/>
  <c r="D8" i="20"/>
  <c r="J8" i="20"/>
  <c r="L8" i="20" s="1"/>
  <c r="J79" i="13"/>
  <c r="D99" i="13"/>
  <c r="J99" i="13"/>
  <c r="J125" i="13"/>
  <c r="D125" i="13"/>
  <c r="H109" i="13"/>
  <c r="H114" i="13"/>
  <c r="J68" i="20"/>
  <c r="D68" i="20"/>
  <c r="J100" i="20"/>
  <c r="D100" i="20"/>
  <c r="D36" i="13"/>
  <c r="D54" i="13"/>
  <c r="D109" i="13"/>
  <c r="J109" i="13"/>
  <c r="J114" i="13"/>
  <c r="K125" i="13"/>
  <c r="J7" i="20"/>
  <c r="D7" i="20"/>
  <c r="J7" i="13"/>
  <c r="D7" i="13"/>
  <c r="D22" i="13"/>
  <c r="J22" i="13"/>
  <c r="J29" i="13"/>
  <c r="D29" i="13"/>
  <c r="D57" i="13"/>
  <c r="K78" i="13"/>
  <c r="K99" i="13"/>
  <c r="D110" i="13"/>
  <c r="J110" i="13"/>
  <c r="J121" i="13"/>
  <c r="D121" i="13"/>
  <c r="H126" i="13"/>
  <c r="J10" i="20"/>
  <c r="D10" i="20"/>
  <c r="J7" i="19"/>
  <c r="D7" i="19"/>
  <c r="J28" i="20"/>
  <c r="D28" i="20"/>
  <c r="K79" i="20"/>
  <c r="K122" i="20"/>
  <c r="D54" i="22"/>
  <c r="D22" i="23"/>
  <c r="J22" i="23"/>
  <c r="D28" i="24"/>
  <c r="J28" i="24"/>
  <c r="D28" i="25"/>
  <c r="J28" i="25"/>
  <c r="J100" i="27"/>
  <c r="J113" i="23"/>
  <c r="D113" i="23"/>
  <c r="J22" i="24"/>
  <c r="D22" i="24"/>
  <c r="J88" i="27"/>
  <c r="D88" i="27"/>
  <c r="D8" i="22"/>
  <c r="J8" i="22"/>
  <c r="L8" i="22" s="1"/>
  <c r="D29" i="23"/>
  <c r="J29" i="23"/>
  <c r="H88" i="23"/>
  <c r="K113" i="23"/>
  <c r="D7" i="24"/>
  <c r="J7" i="24"/>
  <c r="J22" i="51"/>
  <c r="D22" i="51"/>
  <c r="K11" i="23"/>
  <c r="K35" i="23"/>
  <c r="D108" i="23"/>
  <c r="J108" i="23"/>
  <c r="J118" i="23"/>
  <c r="K29" i="24"/>
  <c r="D48" i="25"/>
  <c r="D9" i="22"/>
  <c r="J9" i="22"/>
  <c r="L9" i="22" s="1"/>
  <c r="K12" i="23"/>
  <c r="K67" i="23"/>
  <c r="D78" i="23"/>
  <c r="K78" i="23"/>
  <c r="J109" i="23"/>
  <c r="D109" i="23"/>
  <c r="H114" i="23"/>
  <c r="J68" i="27"/>
  <c r="K88" i="27"/>
  <c r="D67" i="29"/>
  <c r="K67" i="29"/>
  <c r="J75" i="33"/>
  <c r="D75" i="33"/>
  <c r="D48" i="26"/>
  <c r="K67" i="27"/>
  <c r="J79" i="27"/>
  <c r="J122" i="27"/>
  <c r="D48" i="51"/>
  <c r="D54" i="40"/>
  <c r="J28" i="29"/>
  <c r="D28" i="29"/>
  <c r="H68" i="27"/>
  <c r="H118" i="27"/>
  <c r="D7" i="29"/>
  <c r="J7" i="29"/>
  <c r="J10" i="35"/>
  <c r="J8" i="41"/>
  <c r="L8" i="41" s="1"/>
  <c r="D8" i="41"/>
  <c r="J12" i="29"/>
  <c r="D9" i="41"/>
  <c r="J9" i="41"/>
  <c r="L9" i="41" s="1"/>
  <c r="H12" i="29"/>
  <c r="J110" i="29"/>
  <c r="D110" i="29"/>
  <c r="K121" i="29"/>
  <c r="D68" i="29"/>
  <c r="J68" i="29"/>
  <c r="D86" i="29"/>
  <c r="K86" i="29"/>
  <c r="K89" i="29"/>
  <c r="K108" i="29"/>
  <c r="J113" i="29"/>
  <c r="D113" i="29"/>
  <c r="H122" i="29"/>
  <c r="J7" i="35"/>
  <c r="K22" i="35"/>
  <c r="K29" i="35"/>
  <c r="J10" i="33"/>
  <c r="D10" i="33"/>
  <c r="J68" i="33"/>
  <c r="D68" i="33"/>
  <c r="J126" i="35"/>
  <c r="J86" i="35"/>
  <c r="J89" i="35"/>
  <c r="J108" i="35"/>
  <c r="K78" i="33"/>
  <c r="K77" i="33"/>
  <c r="K113" i="33"/>
  <c r="K122" i="35"/>
  <c r="J8" i="33"/>
  <c r="L8" i="33" s="1"/>
  <c r="D8" i="33"/>
  <c r="H11" i="33"/>
  <c r="K35" i="33"/>
  <c r="D96" i="33"/>
  <c r="J96" i="33"/>
  <c r="J109" i="33"/>
  <c r="D109" i="33"/>
  <c r="K111" i="33"/>
  <c r="D117" i="33"/>
  <c r="J117" i="33"/>
  <c r="D54" i="39"/>
  <c r="J8" i="13"/>
  <c r="L8" i="13" s="1"/>
  <c r="D8" i="13"/>
  <c r="J28" i="13"/>
  <c r="D28" i="13"/>
  <c r="J34" i="13"/>
  <c r="D34" i="13"/>
  <c r="D67" i="13"/>
  <c r="J67" i="13"/>
  <c r="K79" i="13"/>
  <c r="D100" i="13"/>
  <c r="J100" i="13"/>
  <c r="J117" i="13"/>
  <c r="D117" i="13"/>
  <c r="J122" i="13"/>
  <c r="D114" i="20"/>
  <c r="J114" i="20"/>
  <c r="K126" i="13"/>
  <c r="J8" i="19"/>
  <c r="L8" i="19" s="1"/>
  <c r="D8" i="19"/>
  <c r="D79" i="20"/>
  <c r="J79" i="20"/>
  <c r="J122" i="20"/>
  <c r="D122" i="20"/>
  <c r="D57" i="22"/>
  <c r="J9" i="20"/>
  <c r="L9" i="20" s="1"/>
  <c r="D9" i="20"/>
  <c r="H68" i="20"/>
  <c r="K22" i="20"/>
  <c r="K29" i="20"/>
  <c r="H79" i="20"/>
  <c r="H122" i="20"/>
  <c r="J114" i="23"/>
  <c r="J126" i="27"/>
  <c r="K7" i="22"/>
  <c r="J12" i="35"/>
  <c r="D49" i="22"/>
  <c r="J10" i="23"/>
  <c r="J34" i="23"/>
  <c r="K114" i="23"/>
  <c r="J126" i="23"/>
  <c r="J8" i="24"/>
  <c r="L8" i="24" s="1"/>
  <c r="D8" i="24"/>
  <c r="J7" i="25"/>
  <c r="D7" i="25"/>
  <c r="D29" i="51"/>
  <c r="J12" i="23"/>
  <c r="J78" i="23"/>
  <c r="K7" i="24"/>
  <c r="D10" i="24"/>
  <c r="J10" i="24"/>
  <c r="H29" i="23"/>
  <c r="J68" i="23"/>
  <c r="K79" i="23"/>
  <c r="J88" i="23"/>
  <c r="D88" i="23"/>
  <c r="K99" i="23"/>
  <c r="J110" i="23"/>
  <c r="K121" i="23"/>
  <c r="K10" i="24"/>
  <c r="D48" i="40"/>
  <c r="J29" i="29"/>
  <c r="D29" i="29"/>
  <c r="D113" i="27"/>
  <c r="J113" i="27"/>
  <c r="J118" i="27"/>
  <c r="D48" i="41"/>
  <c r="K68" i="27"/>
  <c r="K113" i="27"/>
  <c r="K118" i="27"/>
  <c r="J138" i="34"/>
  <c r="D138" i="34"/>
  <c r="H114" i="27"/>
  <c r="K7" i="51"/>
  <c r="K10" i="51"/>
  <c r="J78" i="29"/>
  <c r="D78" i="29"/>
  <c r="J22" i="29"/>
  <c r="D22" i="29"/>
  <c r="K68" i="29"/>
  <c r="J88" i="29"/>
  <c r="D88" i="29"/>
  <c r="J11" i="33"/>
  <c r="J122" i="29"/>
  <c r="J135" i="34"/>
  <c r="D135" i="34"/>
  <c r="H29" i="35"/>
  <c r="K109" i="29"/>
  <c r="D48" i="34"/>
  <c r="J22" i="35"/>
  <c r="J29" i="35"/>
  <c r="H77" i="29"/>
  <c r="H108" i="29"/>
  <c r="K113" i="29"/>
  <c r="J118" i="29"/>
  <c r="J136" i="34"/>
  <c r="D136" i="34"/>
  <c r="K34" i="35"/>
  <c r="J118" i="35"/>
  <c r="J9" i="33"/>
  <c r="L9" i="33" s="1"/>
  <c r="D9" i="33"/>
  <c r="J78" i="33"/>
  <c r="D78" i="33"/>
  <c r="J22" i="33"/>
  <c r="D22" i="33"/>
  <c r="J29" i="33"/>
  <c r="D29" i="33"/>
  <c r="J67" i="33"/>
  <c r="K79" i="33"/>
  <c r="K86" i="35"/>
  <c r="K89" i="35"/>
  <c r="K108" i="35"/>
  <c r="H118" i="35"/>
  <c r="J99" i="33"/>
  <c r="D99" i="33"/>
  <c r="D110" i="33"/>
  <c r="J110" i="33"/>
  <c r="D48" i="38"/>
  <c r="G46" i="9"/>
  <c r="J113" i="33"/>
  <c r="D113" i="33"/>
  <c r="J118" i="33"/>
  <c r="D48" i="39"/>
  <c r="D56" i="21"/>
  <c r="D57" i="21"/>
  <c r="K28" i="20"/>
  <c r="J89" i="20"/>
  <c r="D89" i="20"/>
  <c r="J28" i="23"/>
  <c r="D28" i="23"/>
  <c r="D48" i="21"/>
  <c r="D57" i="25"/>
  <c r="J11" i="23"/>
  <c r="J35" i="23"/>
  <c r="J8" i="25"/>
  <c r="L8" i="25" s="1"/>
  <c r="D8" i="25"/>
  <c r="J9" i="51"/>
  <c r="L9" i="51" s="1"/>
  <c r="D9" i="51"/>
  <c r="K29" i="23"/>
  <c r="J67" i="23"/>
  <c r="D67" i="23"/>
  <c r="J79" i="23"/>
  <c r="J99" i="23"/>
  <c r="D99" i="23"/>
  <c r="J121" i="23"/>
  <c r="D121" i="23"/>
  <c r="K126" i="23"/>
  <c r="K7" i="25"/>
  <c r="D48" i="22"/>
  <c r="H10" i="23"/>
  <c r="H34" i="23"/>
  <c r="K86" i="23"/>
  <c r="J89" i="23"/>
  <c r="K100" i="23"/>
  <c r="K117" i="23"/>
  <c r="J122" i="23"/>
  <c r="H126" i="23"/>
  <c r="J9" i="24"/>
  <c r="L9" i="24" s="1"/>
  <c r="D9" i="24"/>
  <c r="D54" i="25"/>
  <c r="D99" i="27"/>
  <c r="J99" i="27"/>
  <c r="J114" i="27"/>
  <c r="D57" i="41"/>
  <c r="K114" i="27"/>
  <c r="J7" i="51"/>
  <c r="D7" i="51"/>
  <c r="D10" i="51"/>
  <c r="J10" i="51"/>
  <c r="J34" i="29"/>
  <c r="K78" i="27"/>
  <c r="K77" i="27"/>
  <c r="H126" i="27"/>
  <c r="K7" i="41"/>
  <c r="D10" i="29"/>
  <c r="J10" i="29"/>
  <c r="J89" i="29"/>
  <c r="D89" i="29"/>
  <c r="J11" i="35"/>
  <c r="H10" i="29"/>
  <c r="K22" i="29"/>
  <c r="K29" i="29"/>
  <c r="J121" i="29"/>
  <c r="D121" i="29"/>
  <c r="J108" i="29"/>
  <c r="D108" i="29"/>
  <c r="K138" i="34"/>
  <c r="H34" i="35"/>
  <c r="K78" i="29"/>
  <c r="K99" i="29"/>
  <c r="K110" i="29"/>
  <c r="J126" i="29"/>
  <c r="K135" i="34"/>
  <c r="J34" i="35"/>
  <c r="J68" i="35"/>
  <c r="H30" i="9"/>
  <c r="N78" i="8" s="1"/>
  <c r="H79" i="29"/>
  <c r="J114" i="29"/>
  <c r="K126" i="29"/>
  <c r="K35" i="35"/>
  <c r="K68" i="35"/>
  <c r="K118" i="35"/>
  <c r="D67" i="33"/>
  <c r="K67" i="33"/>
  <c r="J79" i="33"/>
  <c r="D79" i="33"/>
  <c r="K126" i="35"/>
  <c r="J34" i="33"/>
  <c r="K86" i="33"/>
  <c r="D123" i="33"/>
  <c r="J123" i="33"/>
  <c r="J114" i="35"/>
  <c r="K22" i="33"/>
  <c r="K29" i="33"/>
  <c r="H79" i="33"/>
  <c r="J88" i="33"/>
  <c r="D88" i="33"/>
  <c r="J100" i="33"/>
  <c r="D100" i="33"/>
  <c r="K121" i="33"/>
  <c r="D114" i="33"/>
  <c r="J114" i="33"/>
  <c r="D57" i="39"/>
  <c r="D54" i="21"/>
  <c r="J22" i="20"/>
  <c r="D22" i="20"/>
  <c r="J29" i="20"/>
  <c r="D29" i="20"/>
  <c r="J7" i="23"/>
  <c r="K88" i="23"/>
  <c r="J35" i="29"/>
  <c r="D7" i="22"/>
  <c r="J7" i="22"/>
  <c r="H122" i="23"/>
  <c r="J29" i="24"/>
  <c r="D29" i="24"/>
  <c r="J89" i="27"/>
  <c r="K10" i="23"/>
  <c r="K34" i="23"/>
  <c r="H68" i="23"/>
  <c r="D86" i="23"/>
  <c r="J86" i="23"/>
  <c r="J100" i="23"/>
  <c r="D117" i="23"/>
  <c r="J117" i="23"/>
  <c r="J109" i="27"/>
  <c r="D109" i="27"/>
  <c r="J28" i="51"/>
  <c r="D28" i="51"/>
  <c r="H11" i="23"/>
  <c r="H35" i="23"/>
  <c r="K108" i="23"/>
  <c r="K118" i="23"/>
  <c r="J9" i="25"/>
  <c r="L9" i="25" s="1"/>
  <c r="D9" i="25"/>
  <c r="J110" i="27"/>
  <c r="D67" i="27"/>
  <c r="J67" i="27"/>
  <c r="K99" i="27"/>
  <c r="K126" i="27"/>
  <c r="J78" i="27"/>
  <c r="D78" i="27"/>
  <c r="J8" i="51"/>
  <c r="L8" i="51" s="1"/>
  <c r="D8" i="51"/>
  <c r="K79" i="27"/>
  <c r="K122" i="27"/>
  <c r="D57" i="40"/>
  <c r="D54" i="41"/>
  <c r="D53" i="41"/>
  <c r="J7" i="41"/>
  <c r="D7" i="41"/>
  <c r="J8" i="29"/>
  <c r="L8" i="29" s="1"/>
  <c r="D8" i="29"/>
  <c r="J11" i="29"/>
  <c r="J99" i="29"/>
  <c r="D99" i="29"/>
  <c r="D121" i="33"/>
  <c r="J121" i="33"/>
  <c r="D9" i="29"/>
  <c r="J9" i="29"/>
  <c r="L9" i="29" s="1"/>
  <c r="H11" i="29"/>
  <c r="H34" i="29"/>
  <c r="J100" i="29"/>
  <c r="D100" i="29"/>
  <c r="J137" i="34"/>
  <c r="D137" i="34"/>
  <c r="J109" i="29"/>
  <c r="D109" i="29"/>
  <c r="J12" i="33"/>
  <c r="D126" i="33"/>
  <c r="J126" i="33"/>
  <c r="J67" i="29"/>
  <c r="D79" i="29"/>
  <c r="K79" i="29"/>
  <c r="K88" i="29"/>
  <c r="K100" i="29"/>
  <c r="K122" i="29"/>
  <c r="J35" i="35"/>
  <c r="K99" i="33"/>
  <c r="H86" i="29"/>
  <c r="H110" i="29"/>
  <c r="K88" i="33"/>
  <c r="J86" i="33"/>
  <c r="D122" i="33"/>
  <c r="J122" i="33"/>
  <c r="J122" i="35"/>
  <c r="J35" i="33"/>
  <c r="D35" i="33"/>
  <c r="J110" i="35"/>
  <c r="H126" i="35"/>
  <c r="J7" i="33"/>
  <c r="D7" i="33"/>
  <c r="H10" i="33"/>
  <c r="K34" i="33"/>
  <c r="H86" i="33"/>
  <c r="J89" i="33"/>
  <c r="D89" i="33"/>
  <c r="J108" i="33"/>
  <c r="J111" i="33"/>
  <c r="D111" i="33"/>
  <c r="K110" i="33"/>
  <c r="H110" i="33"/>
  <c r="J115" i="33"/>
  <c r="D115" i="33"/>
  <c r="G30" i="9"/>
  <c r="M78" i="8" s="1"/>
  <c r="B10" i="10"/>
  <c r="F9" i="10"/>
  <c r="F21" i="10"/>
  <c r="F10" i="10"/>
  <c r="K9" i="16"/>
  <c r="K8" i="16"/>
  <c r="K22" i="16"/>
  <c r="K7" i="16"/>
  <c r="J8" i="16"/>
  <c r="J35" i="16"/>
  <c r="J9" i="16"/>
  <c r="J22" i="16"/>
  <c r="J28" i="16"/>
  <c r="J34" i="16"/>
  <c r="J29" i="16"/>
  <c r="K10" i="16"/>
  <c r="K29" i="16"/>
  <c r="K34" i="16"/>
  <c r="K35" i="16"/>
  <c r="J10" i="16"/>
  <c r="J7" i="16"/>
  <c r="K28" i="16"/>
  <c r="M61" i="8" l="1"/>
  <c r="G34" i="9"/>
  <c r="L7" i="24"/>
  <c r="N61" i="8"/>
  <c r="L86" i="23"/>
  <c r="D28" i="4"/>
  <c r="L138" i="34"/>
  <c r="D34" i="4"/>
  <c r="E48" i="77"/>
  <c r="E48" i="76"/>
  <c r="E55" i="77"/>
  <c r="E57" i="76"/>
  <c r="E49" i="77"/>
  <c r="E54" i="76"/>
  <c r="E54" i="77"/>
  <c r="K77" i="20"/>
  <c r="L7" i="35"/>
  <c r="L108" i="23"/>
  <c r="B15" i="9"/>
  <c r="M14" i="8" s="1"/>
  <c r="H77" i="33"/>
  <c r="L29" i="51"/>
  <c r="H77" i="20"/>
  <c r="H77" i="27"/>
  <c r="N142" i="8"/>
  <c r="G64" i="9"/>
  <c r="M71" i="8"/>
  <c r="H65" i="9"/>
  <c r="N72" i="8"/>
  <c r="E28" i="51"/>
  <c r="G69" i="9"/>
  <c r="M76" i="8"/>
  <c r="G63" i="9"/>
  <c r="M70" i="8"/>
  <c r="E28" i="29"/>
  <c r="E28" i="24"/>
  <c r="G67" i="9"/>
  <c r="M74" i="8"/>
  <c r="E28" i="23"/>
  <c r="E28" i="20"/>
  <c r="G55" i="9"/>
  <c r="M63" i="8"/>
  <c r="E28" i="25"/>
  <c r="G57" i="9"/>
  <c r="M65" i="8"/>
  <c r="G59" i="9"/>
  <c r="M67" i="8"/>
  <c r="M142" i="8"/>
  <c r="H53" i="9"/>
  <c r="G73" i="9"/>
  <c r="I12" i="9"/>
  <c r="G54" i="9"/>
  <c r="G61" i="9"/>
  <c r="G74" i="9"/>
  <c r="G66" i="9"/>
  <c r="G62" i="9"/>
  <c r="K98" i="33"/>
  <c r="C15" i="9"/>
  <c r="L22" i="51"/>
  <c r="H57" i="9"/>
  <c r="I15" i="9"/>
  <c r="L110" i="20"/>
  <c r="D47" i="39"/>
  <c r="L7" i="51"/>
  <c r="E34" i="37"/>
  <c r="E34" i="13"/>
  <c r="L7" i="41"/>
  <c r="L111" i="33"/>
  <c r="B32" i="10"/>
  <c r="F32" i="10"/>
  <c r="B22" i="10"/>
  <c r="B43" i="10"/>
  <c r="B11" i="10"/>
  <c r="B49" i="10"/>
  <c r="B38" i="10"/>
  <c r="F43" i="10"/>
  <c r="E8" i="74"/>
  <c r="E28" i="18"/>
  <c r="E7" i="72"/>
  <c r="E7" i="74"/>
  <c r="E48" i="72"/>
  <c r="E48" i="74"/>
  <c r="E28" i="37"/>
  <c r="E28" i="13"/>
  <c r="D35" i="4"/>
  <c r="C32" i="9"/>
  <c r="N31" i="8" s="1"/>
  <c r="D53" i="40"/>
  <c r="D53" i="21"/>
  <c r="L28" i="51"/>
  <c r="L126" i="35"/>
  <c r="L10" i="51"/>
  <c r="E35" i="13"/>
  <c r="E35" i="37"/>
  <c r="E35" i="33"/>
  <c r="B34" i="10"/>
  <c r="H77" i="13"/>
  <c r="L38" i="16"/>
  <c r="L39" i="16"/>
  <c r="B42" i="10"/>
  <c r="E99" i="18"/>
  <c r="D29" i="4"/>
  <c r="E88" i="18"/>
  <c r="E9" i="18"/>
  <c r="E9" i="72"/>
  <c r="E67" i="18"/>
  <c r="E8" i="18"/>
  <c r="E113" i="18"/>
  <c r="E109" i="18"/>
  <c r="E121" i="18"/>
  <c r="E78" i="18"/>
  <c r="L36" i="16"/>
  <c r="L37" i="16"/>
  <c r="D37" i="4"/>
  <c r="D36" i="4"/>
  <c r="D39" i="4"/>
  <c r="I33" i="18"/>
  <c r="I33" i="37"/>
  <c r="I33" i="33"/>
  <c r="I33" i="35"/>
  <c r="I33" i="29"/>
  <c r="I33" i="23"/>
  <c r="I33" i="20"/>
  <c r="B31" i="10"/>
  <c r="H120" i="20"/>
  <c r="D111" i="4"/>
  <c r="L118" i="35"/>
  <c r="L123" i="33"/>
  <c r="E39" i="13"/>
  <c r="H112" i="35"/>
  <c r="L114" i="35"/>
  <c r="D123" i="4"/>
  <c r="H120" i="35"/>
  <c r="D47" i="34"/>
  <c r="L122" i="13"/>
  <c r="L109" i="33"/>
  <c r="L122" i="35"/>
  <c r="E48" i="37"/>
  <c r="E48" i="18"/>
  <c r="I11" i="37"/>
  <c r="I11" i="18"/>
  <c r="E54" i="37"/>
  <c r="I34" i="37"/>
  <c r="I34" i="18"/>
  <c r="I118" i="37"/>
  <c r="I118" i="18"/>
  <c r="E22" i="37"/>
  <c r="E22" i="18"/>
  <c r="I110" i="37"/>
  <c r="I110" i="18"/>
  <c r="E7" i="37"/>
  <c r="E7" i="18"/>
  <c r="E135" i="37"/>
  <c r="E55" i="37"/>
  <c r="I89" i="37"/>
  <c r="I89" i="18"/>
  <c r="I10" i="37"/>
  <c r="I10" i="18"/>
  <c r="I126" i="37"/>
  <c r="I126" i="18"/>
  <c r="I125" i="37"/>
  <c r="I114" i="37"/>
  <c r="I114" i="18"/>
  <c r="I68" i="37"/>
  <c r="I68" i="18"/>
  <c r="I115" i="37"/>
  <c r="I96" i="37"/>
  <c r="E75" i="37"/>
  <c r="E36" i="37"/>
  <c r="E49" i="37"/>
  <c r="I100" i="37"/>
  <c r="I100" i="18"/>
  <c r="E89" i="37"/>
  <c r="D115" i="4"/>
  <c r="I12" i="37"/>
  <c r="I12" i="18"/>
  <c r="E37" i="37"/>
  <c r="I22" i="37"/>
  <c r="I22" i="18"/>
  <c r="I122" i="37"/>
  <c r="I122" i="18"/>
  <c r="I29" i="37"/>
  <c r="I29" i="18"/>
  <c r="I79" i="37"/>
  <c r="I79" i="18"/>
  <c r="I117" i="37"/>
  <c r="I35" i="37"/>
  <c r="I35" i="18"/>
  <c r="I75" i="37"/>
  <c r="E136" i="37"/>
  <c r="I113" i="37"/>
  <c r="I109" i="37"/>
  <c r="I109" i="18"/>
  <c r="E10" i="37"/>
  <c r="E10" i="18"/>
  <c r="E57" i="37"/>
  <c r="I7" i="37"/>
  <c r="I7" i="18"/>
  <c r="E96" i="37"/>
  <c r="E137" i="37"/>
  <c r="L115" i="33"/>
  <c r="H77" i="23"/>
  <c r="K77" i="23"/>
  <c r="D47" i="21"/>
  <c r="L108" i="29"/>
  <c r="L110" i="23"/>
  <c r="L114" i="33"/>
  <c r="L12" i="33"/>
  <c r="D56" i="22"/>
  <c r="H112" i="20"/>
  <c r="D56" i="41"/>
  <c r="E100" i="37"/>
  <c r="E123" i="37"/>
  <c r="E78" i="37"/>
  <c r="E115" i="37"/>
  <c r="E9" i="37"/>
  <c r="E125" i="37"/>
  <c r="E8" i="37"/>
  <c r="E67" i="37"/>
  <c r="E110" i="37"/>
  <c r="E117" i="37"/>
  <c r="E126" i="37"/>
  <c r="E99" i="37"/>
  <c r="E113" i="37"/>
  <c r="E111" i="37"/>
  <c r="E108" i="37"/>
  <c r="E88" i="37"/>
  <c r="E86" i="37"/>
  <c r="E109" i="37"/>
  <c r="E121" i="37"/>
  <c r="H66" i="27"/>
  <c r="D47" i="38"/>
  <c r="L96" i="33"/>
  <c r="L114" i="29"/>
  <c r="L89" i="23"/>
  <c r="L75" i="33"/>
  <c r="L68" i="20"/>
  <c r="L137" i="34"/>
  <c r="H98" i="20"/>
  <c r="L68" i="33"/>
  <c r="L68" i="23"/>
  <c r="L28" i="24"/>
  <c r="H98" i="29"/>
  <c r="K98" i="29"/>
  <c r="L89" i="20"/>
  <c r="L22" i="23"/>
  <c r="K98" i="20"/>
  <c r="L121" i="33"/>
  <c r="K87" i="29"/>
  <c r="D47" i="40"/>
  <c r="L89" i="27"/>
  <c r="K66" i="27"/>
  <c r="L114" i="20"/>
  <c r="L28" i="23"/>
  <c r="L12" i="29"/>
  <c r="D53" i="13"/>
  <c r="K87" i="33"/>
  <c r="K87" i="23"/>
  <c r="L89" i="33"/>
  <c r="H87" i="29"/>
  <c r="L136" i="34"/>
  <c r="L110" i="27"/>
  <c r="L10" i="29"/>
  <c r="L7" i="33"/>
  <c r="H98" i="27"/>
  <c r="H66" i="23"/>
  <c r="L35" i="29"/>
  <c r="D56" i="39"/>
  <c r="L11" i="35"/>
  <c r="H87" i="35"/>
  <c r="L11" i="29"/>
  <c r="D47" i="41"/>
  <c r="H112" i="13"/>
  <c r="L109" i="27"/>
  <c r="L35" i="23"/>
  <c r="N141" i="8"/>
  <c r="C13" i="9"/>
  <c r="N12" i="8" s="1"/>
  <c r="N117" i="8"/>
  <c r="C26" i="9"/>
  <c r="N25" i="8" s="1"/>
  <c r="C16" i="9"/>
  <c r="N15" i="8" s="1"/>
  <c r="C25" i="9"/>
  <c r="N23" i="8" s="1"/>
  <c r="C29" i="9"/>
  <c r="N28" i="8" s="1"/>
  <c r="K120" i="20"/>
  <c r="K112" i="13"/>
  <c r="L108" i="33"/>
  <c r="L100" i="33"/>
  <c r="L100" i="20"/>
  <c r="N144" i="8"/>
  <c r="M117" i="8"/>
  <c r="L109" i="13"/>
  <c r="D56" i="40"/>
  <c r="N145" i="8"/>
  <c r="L110" i="35"/>
  <c r="H120" i="23"/>
  <c r="L117" i="33"/>
  <c r="L100" i="27"/>
  <c r="C23" i="9"/>
  <c r="N21" i="8" s="1"/>
  <c r="D53" i="22"/>
  <c r="L35" i="33"/>
  <c r="L8" i="16"/>
  <c r="L67" i="29"/>
  <c r="L29" i="20"/>
  <c r="L117" i="23"/>
  <c r="L12" i="35"/>
  <c r="H87" i="27"/>
  <c r="L109" i="23"/>
  <c r="L28" i="25"/>
  <c r="L9" i="16"/>
  <c r="H98" i="13"/>
  <c r="K112" i="29"/>
  <c r="L7" i="16"/>
  <c r="D53" i="16"/>
  <c r="D56" i="25"/>
  <c r="L118" i="33"/>
  <c r="L10" i="35"/>
  <c r="L12" i="13"/>
  <c r="K66" i="35"/>
  <c r="D56" i="16"/>
  <c r="N139" i="8"/>
  <c r="L99" i="23"/>
  <c r="L7" i="20"/>
  <c r="K120" i="13"/>
  <c r="M118" i="8"/>
  <c r="K66" i="23"/>
  <c r="K87" i="35"/>
  <c r="M113" i="8"/>
  <c r="L11" i="33"/>
  <c r="H120" i="13"/>
  <c r="L22" i="16"/>
  <c r="C17" i="9"/>
  <c r="N16" i="8" s="1"/>
  <c r="L35" i="16"/>
  <c r="L10" i="16"/>
  <c r="D47" i="16"/>
  <c r="L28" i="16"/>
  <c r="L34" i="16"/>
  <c r="N143" i="8"/>
  <c r="L7" i="13"/>
  <c r="M138" i="8"/>
  <c r="N137" i="8"/>
  <c r="B30" i="9"/>
  <c r="M29" i="8" s="1"/>
  <c r="M119" i="8"/>
  <c r="M143" i="8"/>
  <c r="N116" i="8"/>
  <c r="N140" i="8"/>
  <c r="N146" i="8"/>
  <c r="C30" i="9"/>
  <c r="N29" i="8" s="1"/>
  <c r="C24" i="9"/>
  <c r="N22" i="8" s="1"/>
  <c r="C20" i="9"/>
  <c r="N19" i="8" s="1"/>
  <c r="M116" i="8"/>
  <c r="B12" i="9"/>
  <c r="M11" i="8" s="1"/>
  <c r="B18" i="9"/>
  <c r="M17" i="8" s="1"/>
  <c r="M120" i="8"/>
  <c r="H120" i="33"/>
  <c r="L126" i="33"/>
  <c r="L122" i="23"/>
  <c r="M114" i="8"/>
  <c r="M141" i="8"/>
  <c r="L117" i="13"/>
  <c r="N119" i="8"/>
  <c r="L10" i="33"/>
  <c r="C21" i="9"/>
  <c r="N20" i="8" s="1"/>
  <c r="B21" i="9"/>
  <c r="M20" i="8" s="1"/>
  <c r="L22" i="13"/>
  <c r="L108" i="13"/>
  <c r="L10" i="13"/>
  <c r="L122" i="33"/>
  <c r="C27" i="9"/>
  <c r="N26" i="8" s="1"/>
  <c r="K98" i="27"/>
  <c r="H87" i="23"/>
  <c r="L29" i="24"/>
  <c r="L7" i="23"/>
  <c r="H87" i="33"/>
  <c r="L121" i="29"/>
  <c r="D47" i="22"/>
  <c r="L11" i="23"/>
  <c r="L118" i="29"/>
  <c r="B22" i="9"/>
  <c r="M24" i="8" s="1"/>
  <c r="N114" i="8"/>
  <c r="K120" i="23"/>
  <c r="L34" i="13"/>
  <c r="M145" i="8"/>
  <c r="B24" i="9"/>
  <c r="M22" i="8" s="1"/>
  <c r="B23" i="9"/>
  <c r="M21" i="8" s="1"/>
  <c r="N138" i="8"/>
  <c r="L22" i="24"/>
  <c r="L7" i="19"/>
  <c r="N113" i="8"/>
  <c r="M115" i="8"/>
  <c r="C10" i="9"/>
  <c r="L11" i="13"/>
  <c r="C12" i="9"/>
  <c r="N11" i="8" s="1"/>
  <c r="M137" i="8"/>
  <c r="C31" i="9"/>
  <c r="N30" i="8" s="1"/>
  <c r="F14" i="10"/>
  <c r="E48" i="39"/>
  <c r="E48" i="16"/>
  <c r="I89" i="20"/>
  <c r="I89" i="13"/>
  <c r="I89" i="29"/>
  <c r="I89" i="35"/>
  <c r="I89" i="33"/>
  <c r="I89" i="27"/>
  <c r="I89" i="23"/>
  <c r="G23" i="10"/>
  <c r="I35" i="23"/>
  <c r="I35" i="29"/>
  <c r="I35" i="35"/>
  <c r="I35" i="33"/>
  <c r="I35" i="13"/>
  <c r="G42" i="10"/>
  <c r="G15" i="10"/>
  <c r="I10" i="23"/>
  <c r="I10" i="35"/>
  <c r="I10" i="29"/>
  <c r="I10" i="33"/>
  <c r="I10" i="13"/>
  <c r="G20" i="10"/>
  <c r="E49" i="39"/>
  <c r="E49" i="16"/>
  <c r="I23" i="33"/>
  <c r="I23" i="13"/>
  <c r="I23" i="29"/>
  <c r="I23" i="35"/>
  <c r="I23" i="20"/>
  <c r="E54" i="39"/>
  <c r="E54" i="16"/>
  <c r="I115" i="33"/>
  <c r="C25" i="10"/>
  <c r="C31" i="10"/>
  <c r="C9" i="10"/>
  <c r="C23" i="10"/>
  <c r="G44" i="10"/>
  <c r="C41" i="10"/>
  <c r="I86" i="29"/>
  <c r="I86" i="33"/>
  <c r="I86" i="35"/>
  <c r="C21" i="10"/>
  <c r="C33" i="10"/>
  <c r="C16" i="10"/>
  <c r="H19" i="9"/>
  <c r="N68" i="8" s="1"/>
  <c r="B17" i="9"/>
  <c r="M16" i="8" s="1"/>
  <c r="M146" i="8"/>
  <c r="B13" i="9"/>
  <c r="M12" i="8" s="1"/>
  <c r="H70" i="9"/>
  <c r="H20" i="9"/>
  <c r="N69" i="8" s="1"/>
  <c r="M140" i="8"/>
  <c r="N115" i="8"/>
  <c r="G38" i="9"/>
  <c r="G53" i="9" s="1"/>
  <c r="I29" i="33"/>
  <c r="I29" i="20"/>
  <c r="I29" i="23"/>
  <c r="I29" i="29"/>
  <c r="I29" i="13"/>
  <c r="I29" i="35"/>
  <c r="G21" i="10"/>
  <c r="I25" i="20"/>
  <c r="I25" i="29"/>
  <c r="I25" i="33"/>
  <c r="I25" i="13"/>
  <c r="I30" i="23"/>
  <c r="I30" i="29"/>
  <c r="I30" i="35"/>
  <c r="I30" i="33"/>
  <c r="I30" i="13"/>
  <c r="C30" i="10"/>
  <c r="I108" i="13"/>
  <c r="I108" i="29"/>
  <c r="I108" i="35"/>
  <c r="I108" i="33"/>
  <c r="C44" i="10"/>
  <c r="I75" i="33"/>
  <c r="G14" i="10"/>
  <c r="I32" i="13"/>
  <c r="I32" i="20"/>
  <c r="I32" i="23"/>
  <c r="I32" i="29"/>
  <c r="I32" i="33"/>
  <c r="I100" i="13"/>
  <c r="I100" i="20"/>
  <c r="I100" i="23"/>
  <c r="I100" i="27"/>
  <c r="I100" i="29"/>
  <c r="I100" i="33"/>
  <c r="I22" i="23"/>
  <c r="I22" i="29"/>
  <c r="I22" i="35"/>
  <c r="I22" i="33"/>
  <c r="I22" i="20"/>
  <c r="I22" i="13"/>
  <c r="G10" i="10"/>
  <c r="C34" i="10"/>
  <c r="I122" i="20"/>
  <c r="I122" i="13"/>
  <c r="I122" i="23"/>
  <c r="I122" i="35"/>
  <c r="I122" i="27"/>
  <c r="I122" i="33"/>
  <c r="I122" i="29"/>
  <c r="I114" i="20"/>
  <c r="I114" i="23"/>
  <c r="I114" i="13"/>
  <c r="I114" i="27"/>
  <c r="I114" i="35"/>
  <c r="I114" i="33"/>
  <c r="I114" i="29"/>
  <c r="I109" i="13"/>
  <c r="M144" i="8"/>
  <c r="N118" i="8"/>
  <c r="B42" i="9"/>
  <c r="B16" i="9"/>
  <c r="M15" i="8" s="1"/>
  <c r="B32" i="9"/>
  <c r="M31" i="8" s="1"/>
  <c r="G45" i="9"/>
  <c r="G72" i="9" s="1"/>
  <c r="B38" i="9"/>
  <c r="H24" i="9"/>
  <c r="N73" i="8" s="1"/>
  <c r="C18" i="9"/>
  <c r="N17" i="8" s="1"/>
  <c r="B31" i="9"/>
  <c r="M30" i="8" s="1"/>
  <c r="H29" i="9"/>
  <c r="N77" i="8" s="1"/>
  <c r="B41" i="9"/>
  <c r="B20" i="9"/>
  <c r="M19" i="8" s="1"/>
  <c r="G33" i="10"/>
  <c r="I7" i="29"/>
  <c r="I7" i="33"/>
  <c r="I7" i="23"/>
  <c r="I7" i="35"/>
  <c r="I7" i="13"/>
  <c r="G9" i="10"/>
  <c r="B45" i="10"/>
  <c r="I31" i="35"/>
  <c r="I31" i="13"/>
  <c r="I31" i="33"/>
  <c r="I31" i="23"/>
  <c r="I31" i="29"/>
  <c r="C45" i="10"/>
  <c r="C42" i="10"/>
  <c r="I24" i="13"/>
  <c r="I24" i="33"/>
  <c r="C15" i="10"/>
  <c r="B29" i="9"/>
  <c r="M28" i="8" s="1"/>
  <c r="B11" i="9"/>
  <c r="H18" i="9"/>
  <c r="M139" i="8"/>
  <c r="B46" i="9"/>
  <c r="G44" i="9"/>
  <c r="G71" i="9" s="1"/>
  <c r="C22" i="9"/>
  <c r="N24" i="8" s="1"/>
  <c r="N120" i="8"/>
  <c r="C19" i="9"/>
  <c r="N18" i="8" s="1"/>
  <c r="H31" i="9"/>
  <c r="N79" i="8" s="1"/>
  <c r="C13" i="10"/>
  <c r="F44" i="10"/>
  <c r="G25" i="10"/>
  <c r="E58" i="39"/>
  <c r="E58" i="16"/>
  <c r="I96" i="33"/>
  <c r="G24" i="10"/>
  <c r="E55" i="16"/>
  <c r="C14" i="10"/>
  <c r="I68" i="20"/>
  <c r="I68" i="23"/>
  <c r="I68" i="27"/>
  <c r="I68" i="29"/>
  <c r="I68" i="35"/>
  <c r="I68" i="33"/>
  <c r="I68" i="13"/>
  <c r="G13" i="10"/>
  <c r="G137" i="4"/>
  <c r="F33" i="10"/>
  <c r="I79" i="13"/>
  <c r="I79" i="20"/>
  <c r="I79" i="23"/>
  <c r="I79" i="33"/>
  <c r="I79" i="27"/>
  <c r="I79" i="29"/>
  <c r="I110" i="20"/>
  <c r="I110" i="13"/>
  <c r="I110" i="27"/>
  <c r="I110" i="35"/>
  <c r="I110" i="29"/>
  <c r="I110" i="23"/>
  <c r="I110" i="33"/>
  <c r="I12" i="29"/>
  <c r="I12" i="33"/>
  <c r="I12" i="35"/>
  <c r="I12" i="23"/>
  <c r="I12" i="13"/>
  <c r="G41" i="10"/>
  <c r="I11" i="13"/>
  <c r="I11" i="23"/>
  <c r="I11" i="35"/>
  <c r="I11" i="33"/>
  <c r="G30" i="10"/>
  <c r="I11" i="29"/>
  <c r="F24" i="10"/>
  <c r="I126" i="13"/>
  <c r="I126" i="27"/>
  <c r="I126" i="23"/>
  <c r="I126" i="35"/>
  <c r="I126" i="29"/>
  <c r="I126" i="33"/>
  <c r="C26" i="10"/>
  <c r="I88" i="23"/>
  <c r="I34" i="13"/>
  <c r="I34" i="35"/>
  <c r="I34" i="23"/>
  <c r="I34" i="29"/>
  <c r="I34" i="33"/>
  <c r="G31" i="10"/>
  <c r="D96" i="4"/>
  <c r="B24" i="10"/>
  <c r="C24" i="10"/>
  <c r="I118" i="13"/>
  <c r="I118" i="23"/>
  <c r="I118" i="35"/>
  <c r="I118" i="29"/>
  <c r="I118" i="33"/>
  <c r="I118" i="27"/>
  <c r="C10" i="10"/>
  <c r="C20" i="10"/>
  <c r="D75" i="4"/>
  <c r="B14" i="10"/>
  <c r="E57" i="39"/>
  <c r="E57" i="16"/>
  <c r="K120" i="27"/>
  <c r="L121" i="23"/>
  <c r="L67" i="23"/>
  <c r="H98" i="33"/>
  <c r="L22" i="35"/>
  <c r="H87" i="20"/>
  <c r="L100" i="13"/>
  <c r="D53" i="39"/>
  <c r="L110" i="29"/>
  <c r="L7" i="29"/>
  <c r="L28" i="29"/>
  <c r="L118" i="23"/>
  <c r="H98" i="23"/>
  <c r="L10" i="20"/>
  <c r="K98" i="13"/>
  <c r="L29" i="13"/>
  <c r="G42" i="9"/>
  <c r="G65" i="9" s="1"/>
  <c r="B19" i="9"/>
  <c r="M18" i="8" s="1"/>
  <c r="G43" i="9"/>
  <c r="G68" i="9" s="1"/>
  <c r="B25" i="9"/>
  <c r="M23" i="8" s="1"/>
  <c r="H17" i="9"/>
  <c r="N67" i="8" s="1"/>
  <c r="B27" i="9"/>
  <c r="M26" i="8" s="1"/>
  <c r="C11" i="9"/>
  <c r="N10" i="8" s="1"/>
  <c r="G40" i="9"/>
  <c r="G58" i="9" s="1"/>
  <c r="H27" i="9"/>
  <c r="N76" i="8" s="1"/>
  <c r="B26" i="9"/>
  <c r="M25" i="8" s="1"/>
  <c r="H26" i="9"/>
  <c r="N75" i="8" s="1"/>
  <c r="L22" i="20"/>
  <c r="L110" i="33"/>
  <c r="L99" i="33"/>
  <c r="H112" i="29"/>
  <c r="L10" i="23"/>
  <c r="L28" i="13"/>
  <c r="L89" i="35"/>
  <c r="D56" i="13"/>
  <c r="L35" i="35"/>
  <c r="L99" i="29"/>
  <c r="K120" i="33"/>
  <c r="L88" i="33"/>
  <c r="L79" i="33"/>
  <c r="L34" i="29"/>
  <c r="H66" i="33"/>
  <c r="L78" i="33"/>
  <c r="L67" i="13"/>
  <c r="H66" i="35"/>
  <c r="K87" i="27"/>
  <c r="L110" i="13"/>
  <c r="L113" i="13"/>
  <c r="L35" i="13"/>
  <c r="L79" i="29"/>
  <c r="L86" i="29"/>
  <c r="L7" i="22"/>
  <c r="L78" i="27"/>
  <c r="K66" i="33"/>
  <c r="L89" i="29"/>
  <c r="L113" i="27"/>
  <c r="L12" i="23"/>
  <c r="H87" i="13"/>
  <c r="L121" i="13"/>
  <c r="L68" i="13"/>
  <c r="L7" i="25"/>
  <c r="K66" i="20"/>
  <c r="L135" i="34"/>
  <c r="L126" i="27"/>
  <c r="L109" i="29"/>
  <c r="L67" i="27"/>
  <c r="L34" i="35"/>
  <c r="D53" i="25"/>
  <c r="L113" i="33"/>
  <c r="L29" i="33"/>
  <c r="L122" i="29"/>
  <c r="L29" i="29"/>
  <c r="H112" i="23"/>
  <c r="L86" i="35"/>
  <c r="L113" i="29"/>
  <c r="L68" i="29"/>
  <c r="L79" i="27"/>
  <c r="D47" i="25"/>
  <c r="L88" i="27"/>
  <c r="L113" i="23"/>
  <c r="H66" i="20"/>
  <c r="L114" i="13"/>
  <c r="L118" i="13"/>
  <c r="K87" i="20"/>
  <c r="L68" i="35"/>
  <c r="L86" i="33"/>
  <c r="H120" i="29"/>
  <c r="L100" i="29"/>
  <c r="L34" i="33"/>
  <c r="L126" i="29"/>
  <c r="L99" i="27"/>
  <c r="L29" i="35"/>
  <c r="L88" i="29"/>
  <c r="L78" i="29"/>
  <c r="K112" i="27"/>
  <c r="L88" i="23"/>
  <c r="L126" i="23"/>
  <c r="L114" i="23"/>
  <c r="L79" i="20"/>
  <c r="H112" i="33"/>
  <c r="L108" i="35"/>
  <c r="D47" i="51"/>
  <c r="D47" i="26"/>
  <c r="L29" i="23"/>
  <c r="L28" i="20"/>
  <c r="L122" i="27"/>
  <c r="K120" i="35"/>
  <c r="L100" i="23"/>
  <c r="L114" i="27"/>
  <c r="L79" i="23"/>
  <c r="L67" i="33"/>
  <c r="L22" i="33"/>
  <c r="L22" i="29"/>
  <c r="J77" i="29"/>
  <c r="L118" i="27"/>
  <c r="K98" i="23"/>
  <c r="L10" i="24"/>
  <c r="L78" i="23"/>
  <c r="L34" i="23"/>
  <c r="L122" i="20"/>
  <c r="H112" i="27"/>
  <c r="L68" i="27"/>
  <c r="K112" i="20"/>
  <c r="L125" i="13"/>
  <c r="L79" i="13"/>
  <c r="L89" i="13"/>
  <c r="L99" i="13"/>
  <c r="L126" i="13"/>
  <c r="L78" i="13"/>
  <c r="K66" i="13"/>
  <c r="L86" i="13"/>
  <c r="K87" i="13"/>
  <c r="J77" i="13"/>
  <c r="L88" i="13"/>
  <c r="H66" i="13"/>
  <c r="D47" i="13"/>
  <c r="J87" i="35"/>
  <c r="D66" i="33"/>
  <c r="J66" i="33"/>
  <c r="D77" i="27"/>
  <c r="J77" i="27"/>
  <c r="L77" i="27" s="1"/>
  <c r="J98" i="23"/>
  <c r="D98" i="23"/>
  <c r="D112" i="33"/>
  <c r="J112" i="33"/>
  <c r="J112" i="35"/>
  <c r="D87" i="20"/>
  <c r="J87" i="20"/>
  <c r="D66" i="13"/>
  <c r="J66" i="13"/>
  <c r="K112" i="33"/>
  <c r="K112" i="35"/>
  <c r="J112" i="29"/>
  <c r="D112" i="29"/>
  <c r="J112" i="23"/>
  <c r="D112" i="23"/>
  <c r="J77" i="20"/>
  <c r="D77" i="20"/>
  <c r="J87" i="13"/>
  <c r="D87" i="13"/>
  <c r="J120" i="33"/>
  <c r="D120" i="33"/>
  <c r="J120" i="27"/>
  <c r="J66" i="27"/>
  <c r="D66" i="27"/>
  <c r="D77" i="29"/>
  <c r="K77" i="29"/>
  <c r="D98" i="27"/>
  <c r="J98" i="27"/>
  <c r="J66" i="35"/>
  <c r="D77" i="13"/>
  <c r="K77" i="13"/>
  <c r="D98" i="20"/>
  <c r="J98" i="20"/>
  <c r="J66" i="29"/>
  <c r="J87" i="33"/>
  <c r="D87" i="33"/>
  <c r="D120" i="29"/>
  <c r="J120" i="29"/>
  <c r="D98" i="33"/>
  <c r="J98" i="33"/>
  <c r="J87" i="29"/>
  <c r="D87" i="29"/>
  <c r="J112" i="27"/>
  <c r="D112" i="27"/>
  <c r="J87" i="23"/>
  <c r="D87" i="23"/>
  <c r="K120" i="29"/>
  <c r="H120" i="27"/>
  <c r="K112" i="23"/>
  <c r="D120" i="13"/>
  <c r="J120" i="13"/>
  <c r="D98" i="13"/>
  <c r="J98" i="13"/>
  <c r="D112" i="13"/>
  <c r="J112" i="13"/>
  <c r="J98" i="29"/>
  <c r="D98" i="29"/>
  <c r="J120" i="35"/>
  <c r="H66" i="29"/>
  <c r="D120" i="23"/>
  <c r="J120" i="23"/>
  <c r="J66" i="23"/>
  <c r="D66" i="23"/>
  <c r="D77" i="33"/>
  <c r="J77" i="33"/>
  <c r="L77" i="33" s="1"/>
  <c r="J77" i="23"/>
  <c r="D77" i="23"/>
  <c r="D66" i="29"/>
  <c r="K66" i="29"/>
  <c r="D87" i="27"/>
  <c r="J87" i="27"/>
  <c r="D120" i="20"/>
  <c r="J120" i="20"/>
  <c r="J112" i="20"/>
  <c r="D112" i="20"/>
  <c r="D66" i="20"/>
  <c r="J66" i="20"/>
  <c r="E48" i="38"/>
  <c r="E88" i="33"/>
  <c r="E109" i="33"/>
  <c r="E22" i="33"/>
  <c r="E99" i="33"/>
  <c r="E9" i="33"/>
  <c r="E111" i="33"/>
  <c r="E123" i="33"/>
  <c r="E75" i="33"/>
  <c r="E117" i="33"/>
  <c r="E10" i="33"/>
  <c r="E79" i="33"/>
  <c r="E7" i="33"/>
  <c r="E89" i="33"/>
  <c r="E100" i="33"/>
  <c r="E126" i="33"/>
  <c r="E68" i="33"/>
  <c r="E96" i="33"/>
  <c r="E8" i="33"/>
  <c r="E78" i="33"/>
  <c r="E67" i="33"/>
  <c r="E113" i="33"/>
  <c r="E110" i="33"/>
  <c r="E115" i="33"/>
  <c r="E122" i="33"/>
  <c r="E121" i="33"/>
  <c r="E114" i="33"/>
  <c r="E99" i="29"/>
  <c r="E9" i="29"/>
  <c r="E48" i="34"/>
  <c r="E86" i="29"/>
  <c r="E135" i="34"/>
  <c r="E68" i="29"/>
  <c r="E88" i="29"/>
  <c r="E109" i="29"/>
  <c r="E22" i="29"/>
  <c r="E10" i="29"/>
  <c r="E79" i="29"/>
  <c r="E138" i="34"/>
  <c r="E136" i="34"/>
  <c r="E7" i="29"/>
  <c r="E89" i="29"/>
  <c r="E100" i="29"/>
  <c r="E108" i="29"/>
  <c r="E137" i="34"/>
  <c r="E8" i="29"/>
  <c r="E78" i="29"/>
  <c r="E67" i="29"/>
  <c r="E113" i="29"/>
  <c r="E110" i="29"/>
  <c r="E121" i="29"/>
  <c r="E9" i="41"/>
  <c r="E48" i="40"/>
  <c r="E48" i="41"/>
  <c r="E57" i="40"/>
  <c r="E57" i="41"/>
  <c r="E54" i="40"/>
  <c r="E54" i="41"/>
  <c r="E7" i="41"/>
  <c r="E8" i="41"/>
  <c r="E99" i="27"/>
  <c r="E9" i="51"/>
  <c r="E48" i="51"/>
  <c r="E88" i="27"/>
  <c r="E109" i="27"/>
  <c r="E22" i="51"/>
  <c r="E10" i="51"/>
  <c r="E7" i="51"/>
  <c r="E8" i="51"/>
  <c r="E78" i="27"/>
  <c r="E67" i="27"/>
  <c r="E113" i="27"/>
  <c r="E9" i="25"/>
  <c r="E57" i="25"/>
  <c r="E48" i="25"/>
  <c r="E48" i="26"/>
  <c r="E49" i="26"/>
  <c r="E54" i="25"/>
  <c r="E7" i="25"/>
  <c r="E8" i="25"/>
  <c r="E99" i="23"/>
  <c r="E9" i="24"/>
  <c r="E86" i="23"/>
  <c r="E88" i="23"/>
  <c r="E109" i="23"/>
  <c r="E117" i="23"/>
  <c r="E22" i="23"/>
  <c r="E22" i="24"/>
  <c r="E10" i="24"/>
  <c r="E7" i="24"/>
  <c r="E108" i="23"/>
  <c r="E8" i="24"/>
  <c r="E78" i="23"/>
  <c r="E67" i="23"/>
  <c r="E113" i="23"/>
  <c r="E121" i="23"/>
  <c r="E9" i="22"/>
  <c r="E48" i="21"/>
  <c r="E48" i="22"/>
  <c r="E57" i="21"/>
  <c r="E57" i="22"/>
  <c r="E49" i="22"/>
  <c r="E54" i="21"/>
  <c r="E54" i="22"/>
  <c r="E7" i="22"/>
  <c r="E8" i="22"/>
  <c r="E68" i="20"/>
  <c r="E22" i="20"/>
  <c r="E10" i="20"/>
  <c r="E79" i="20"/>
  <c r="E7" i="19"/>
  <c r="E7" i="20"/>
  <c r="E89" i="20"/>
  <c r="E100" i="20"/>
  <c r="E9" i="19"/>
  <c r="E9" i="20"/>
  <c r="E8" i="19"/>
  <c r="E8" i="20"/>
  <c r="E122" i="20"/>
  <c r="E114" i="20"/>
  <c r="E99" i="13"/>
  <c r="E9" i="13"/>
  <c r="E48" i="13"/>
  <c r="E86" i="13"/>
  <c r="E88" i="13"/>
  <c r="E125" i="13"/>
  <c r="E37" i="13"/>
  <c r="E109" i="13"/>
  <c r="E117" i="13"/>
  <c r="E22" i="13"/>
  <c r="E10" i="13"/>
  <c r="E57" i="13"/>
  <c r="E11" i="13"/>
  <c r="E54" i="13"/>
  <c r="E7" i="13"/>
  <c r="E89" i="13"/>
  <c r="E100" i="13"/>
  <c r="E108" i="13"/>
  <c r="E12" i="13"/>
  <c r="E36" i="13"/>
  <c r="E8" i="13"/>
  <c r="E78" i="13"/>
  <c r="E67" i="13"/>
  <c r="E113" i="13"/>
  <c r="E110" i="13"/>
  <c r="E121" i="13"/>
  <c r="D117" i="4"/>
  <c r="D109" i="4"/>
  <c r="D125" i="4"/>
  <c r="D126" i="4"/>
  <c r="D110" i="4"/>
  <c r="E9" i="16"/>
  <c r="D22" i="4"/>
  <c r="D137" i="4"/>
  <c r="D57" i="4"/>
  <c r="E10" i="16"/>
  <c r="G22" i="4"/>
  <c r="D114" i="4"/>
  <c r="D138" i="4"/>
  <c r="D10" i="4"/>
  <c r="D113" i="4"/>
  <c r="D55" i="4"/>
  <c r="D121" i="4"/>
  <c r="D7" i="4"/>
  <c r="E7" i="16"/>
  <c r="D68" i="4"/>
  <c r="D8" i="4"/>
  <c r="E8" i="16"/>
  <c r="D135" i="4"/>
  <c r="G7" i="4"/>
  <c r="D48" i="4"/>
  <c r="D54" i="4"/>
  <c r="D49" i="4"/>
  <c r="D12" i="4"/>
  <c r="D11" i="4"/>
  <c r="G12" i="4"/>
  <c r="G34" i="4"/>
  <c r="D122" i="4"/>
  <c r="G11" i="4"/>
  <c r="H22" i="4"/>
  <c r="G29" i="4"/>
  <c r="D67" i="4"/>
  <c r="D100" i="4"/>
  <c r="D58" i="4"/>
  <c r="G10" i="4"/>
  <c r="D89" i="4"/>
  <c r="G35" i="4"/>
  <c r="D99" i="4"/>
  <c r="D86" i="4"/>
  <c r="D108" i="4"/>
  <c r="D136" i="4"/>
  <c r="G136" i="4"/>
  <c r="G135" i="4"/>
  <c r="D78" i="4"/>
  <c r="D88" i="4"/>
  <c r="D79" i="4"/>
  <c r="D9" i="4"/>
  <c r="L77" i="20" l="1"/>
  <c r="N9" i="8"/>
  <c r="H34" i="9"/>
  <c r="M10" i="8"/>
  <c r="B34" i="9"/>
  <c r="I57" i="9"/>
  <c r="E56" i="76"/>
  <c r="E47" i="76"/>
  <c r="E47" i="77"/>
  <c r="E53" i="76"/>
  <c r="E53" i="77"/>
  <c r="B57" i="9"/>
  <c r="L98" i="33"/>
  <c r="C57" i="9"/>
  <c r="N14" i="8"/>
  <c r="D15" i="9"/>
  <c r="E47" i="72"/>
  <c r="E47" i="74"/>
  <c r="L120" i="35"/>
  <c r="E87" i="18"/>
  <c r="E66" i="18"/>
  <c r="L77" i="23"/>
  <c r="I77" i="27"/>
  <c r="I77" i="29"/>
  <c r="I77" i="20"/>
  <c r="I77" i="23"/>
  <c r="I77" i="13"/>
  <c r="I77" i="33"/>
  <c r="L112" i="35"/>
  <c r="E56" i="37"/>
  <c r="I112" i="37"/>
  <c r="I112" i="18"/>
  <c r="I98" i="18"/>
  <c r="E77" i="18"/>
  <c r="I77" i="18"/>
  <c r="E120" i="37"/>
  <c r="E120" i="18"/>
  <c r="I120" i="37"/>
  <c r="I120" i="18"/>
  <c r="E47" i="37"/>
  <c r="E47" i="18"/>
  <c r="E98" i="18"/>
  <c r="I87" i="37"/>
  <c r="I87" i="18"/>
  <c r="E112" i="37"/>
  <c r="E112" i="18"/>
  <c r="E53" i="37"/>
  <c r="I66" i="37"/>
  <c r="I66" i="18"/>
  <c r="I77" i="37"/>
  <c r="L98" i="27"/>
  <c r="L87" i="29"/>
  <c r="E97" i="33"/>
  <c r="E97" i="29"/>
  <c r="E97" i="37"/>
  <c r="E97" i="13"/>
  <c r="I98" i="37"/>
  <c r="L120" i="13"/>
  <c r="E76" i="33"/>
  <c r="E76" i="29"/>
  <c r="E76" i="37"/>
  <c r="E76" i="13"/>
  <c r="E66" i="37"/>
  <c r="E87" i="33"/>
  <c r="E87" i="37"/>
  <c r="E98" i="37"/>
  <c r="E77" i="37"/>
  <c r="L98" i="20"/>
  <c r="L112" i="29"/>
  <c r="L66" i="27"/>
  <c r="L112" i="13"/>
  <c r="L87" i="33"/>
  <c r="L98" i="29"/>
  <c r="L87" i="20"/>
  <c r="L120" i="23"/>
  <c r="L87" i="23"/>
  <c r="L98" i="23"/>
  <c r="L120" i="20"/>
  <c r="L112" i="27"/>
  <c r="E66" i="20"/>
  <c r="E87" i="13"/>
  <c r="E87" i="23"/>
  <c r="D98" i="4"/>
  <c r="L66" i="35"/>
  <c r="E98" i="29"/>
  <c r="E98" i="33"/>
  <c r="L87" i="27"/>
  <c r="L120" i="33"/>
  <c r="L98" i="13"/>
  <c r="L66" i="33"/>
  <c r="L87" i="35"/>
  <c r="L66" i="23"/>
  <c r="L66" i="13"/>
  <c r="E66" i="23"/>
  <c r="E66" i="13"/>
  <c r="E66" i="27"/>
  <c r="E66" i="29"/>
  <c r="E66" i="33"/>
  <c r="L112" i="33"/>
  <c r="D87" i="4"/>
  <c r="E98" i="20"/>
  <c r="E98" i="23"/>
  <c r="E87" i="27"/>
  <c r="E98" i="27"/>
  <c r="E87" i="29"/>
  <c r="L120" i="27"/>
  <c r="C43" i="10"/>
  <c r="I120" i="13"/>
  <c r="I120" i="20"/>
  <c r="I120" i="23"/>
  <c r="I120" i="27"/>
  <c r="I120" i="29"/>
  <c r="I120" i="35"/>
  <c r="I120" i="33"/>
  <c r="G43" i="10"/>
  <c r="F22" i="10"/>
  <c r="I98" i="20"/>
  <c r="I98" i="13"/>
  <c r="I98" i="23"/>
  <c r="I98" i="29"/>
  <c r="I98" i="27"/>
  <c r="I98" i="33"/>
  <c r="D66" i="4"/>
  <c r="B12" i="10"/>
  <c r="I66" i="13"/>
  <c r="I66" i="20"/>
  <c r="I66" i="27"/>
  <c r="I66" i="29"/>
  <c r="I66" i="35"/>
  <c r="I66" i="33"/>
  <c r="G12" i="10"/>
  <c r="I66" i="23"/>
  <c r="G66" i="4"/>
  <c r="F12" i="10"/>
  <c r="E53" i="39"/>
  <c r="C38" i="10"/>
  <c r="E53" i="16"/>
  <c r="I112" i="13"/>
  <c r="I112" i="20"/>
  <c r="I112" i="23"/>
  <c r="I112" i="27"/>
  <c r="I112" i="29"/>
  <c r="I112" i="35"/>
  <c r="I112" i="33"/>
  <c r="G32" i="10"/>
  <c r="E56" i="39"/>
  <c r="E56" i="16"/>
  <c r="C49" i="10"/>
  <c r="C32" i="10"/>
  <c r="C22" i="10"/>
  <c r="E47" i="39"/>
  <c r="C11" i="10"/>
  <c r="E47" i="16"/>
  <c r="C12" i="10"/>
  <c r="I87" i="13"/>
  <c r="I87" i="20"/>
  <c r="I87" i="27"/>
  <c r="I87" i="29"/>
  <c r="I87" i="23"/>
  <c r="I87" i="33"/>
  <c r="I87" i="35"/>
  <c r="G22" i="10"/>
  <c r="L66" i="20"/>
  <c r="L112" i="20"/>
  <c r="L87" i="13"/>
  <c r="L120" i="29"/>
  <c r="L66" i="29"/>
  <c r="L77" i="29"/>
  <c r="L112" i="23"/>
  <c r="E98" i="13"/>
  <c r="E87" i="20"/>
  <c r="L77" i="13"/>
  <c r="E47" i="38"/>
  <c r="E77" i="33"/>
  <c r="E112" i="33"/>
  <c r="E120" i="33"/>
  <c r="E47" i="34"/>
  <c r="E120" i="29"/>
  <c r="E77" i="29"/>
  <c r="E112" i="29"/>
  <c r="E53" i="40"/>
  <c r="E53" i="41"/>
  <c r="E56" i="40"/>
  <c r="E56" i="41"/>
  <c r="E47" i="40"/>
  <c r="E47" i="41"/>
  <c r="E77" i="27"/>
  <c r="E112" i="27"/>
  <c r="E47" i="51"/>
  <c r="E53" i="25"/>
  <c r="E47" i="25"/>
  <c r="E47" i="26"/>
  <c r="E56" i="25"/>
  <c r="E120" i="23"/>
  <c r="E77" i="23"/>
  <c r="E112" i="23"/>
  <c r="E56" i="21"/>
  <c r="E56" i="22"/>
  <c r="E47" i="21"/>
  <c r="E47" i="22"/>
  <c r="E53" i="21"/>
  <c r="E53" i="22"/>
  <c r="E120" i="20"/>
  <c r="E77" i="20"/>
  <c r="E112" i="20"/>
  <c r="E53" i="13"/>
  <c r="E77" i="13"/>
  <c r="E56" i="13"/>
  <c r="E112" i="13"/>
  <c r="E47" i="13"/>
  <c r="E120" i="13"/>
  <c r="D112" i="4"/>
  <c r="D77" i="4"/>
  <c r="D120" i="4"/>
  <c r="D53" i="4"/>
  <c r="D56" i="4"/>
  <c r="D47" i="4"/>
  <c r="J33" i="9" l="1"/>
  <c r="J25" i="9"/>
  <c r="J17" i="9"/>
  <c r="J32" i="9"/>
  <c r="J24" i="9"/>
  <c r="J16" i="9"/>
  <c r="J31" i="9"/>
  <c r="J23" i="9"/>
  <c r="J15" i="9"/>
  <c r="J30" i="9"/>
  <c r="J22" i="9"/>
  <c r="J14" i="9"/>
  <c r="J29" i="9"/>
  <c r="J21" i="9"/>
  <c r="J13" i="9"/>
  <c r="J18" i="9"/>
  <c r="J28" i="9"/>
  <c r="J20" i="9"/>
  <c r="J12" i="9"/>
  <c r="J26" i="9"/>
  <c r="J10" i="9"/>
  <c r="J27" i="9"/>
  <c r="J19" i="9"/>
  <c r="J11" i="9"/>
  <c r="D57" i="9"/>
  <c r="C60" i="10"/>
  <c r="H108" i="4"/>
  <c r="H115" i="4"/>
  <c r="H117" i="4"/>
  <c r="H28" i="4"/>
  <c r="J34" i="9" l="1"/>
  <c r="H98" i="4"/>
  <c r="H118" i="4"/>
  <c r="H99" i="4"/>
  <c r="H24" i="4"/>
  <c r="H119" i="4"/>
  <c r="H78" i="4"/>
  <c r="D9" i="10"/>
  <c r="H125" i="4"/>
  <c r="H113" i="4"/>
  <c r="H88" i="4"/>
  <c r="H9" i="4"/>
  <c r="H8" i="4"/>
  <c r="H79" i="4"/>
  <c r="H123" i="4"/>
  <c r="H14" i="10"/>
  <c r="H37" i="4"/>
  <c r="H122" i="4"/>
  <c r="I122" i="4"/>
  <c r="I113" i="4"/>
  <c r="I9" i="4"/>
  <c r="I110" i="4"/>
  <c r="K49" i="10"/>
  <c r="H114" i="4"/>
  <c r="I109" i="4"/>
  <c r="H11" i="4"/>
  <c r="I123" i="4"/>
  <c r="I79" i="4"/>
  <c r="I100" i="4"/>
  <c r="H111" i="4"/>
  <c r="H25" i="4"/>
  <c r="H126" i="4"/>
  <c r="H86" i="4"/>
  <c r="H42" i="10"/>
  <c r="H21" i="10"/>
  <c r="I121" i="4"/>
  <c r="I28" i="4"/>
  <c r="H110" i="4"/>
  <c r="I32" i="4"/>
  <c r="I67" i="4"/>
  <c r="K11" i="10"/>
  <c r="I23" i="4"/>
  <c r="H22" i="10"/>
  <c r="H109" i="4"/>
  <c r="H10" i="4"/>
  <c r="I127" i="4"/>
  <c r="I77" i="4"/>
  <c r="I88" i="4"/>
  <c r="I118" i="4"/>
  <c r="H67" i="4"/>
  <c r="H12" i="10"/>
  <c r="I117" i="4"/>
  <c r="I119" i="4"/>
  <c r="H121" i="4"/>
  <c r="I111" i="4"/>
  <c r="I114" i="4"/>
  <c r="I78" i="4"/>
  <c r="K26" i="10"/>
  <c r="I98" i="4"/>
  <c r="I99" i="4"/>
  <c r="K9" i="10"/>
  <c r="H77" i="4"/>
  <c r="H24" i="10"/>
  <c r="I31" i="4"/>
  <c r="I24" i="4"/>
  <c r="H127" i="4"/>
  <c r="J127" i="4" s="1"/>
  <c r="K16" i="10"/>
  <c r="I30" i="4"/>
  <c r="H36" i="4"/>
  <c r="K45" i="10"/>
  <c r="H39" i="4"/>
  <c r="I108" i="4"/>
  <c r="I8" i="4"/>
  <c r="I115" i="4"/>
  <c r="I86" i="4"/>
  <c r="H10" i="10"/>
  <c r="I125" i="4"/>
  <c r="H100" i="4"/>
  <c r="H7" i="4"/>
  <c r="H23" i="4"/>
  <c r="H15" i="10"/>
  <c r="I126" i="4"/>
  <c r="M101" i="23" l="1"/>
  <c r="M101" i="29"/>
  <c r="M101" i="33"/>
  <c r="M101" i="13"/>
  <c r="M101" i="37"/>
  <c r="M9" i="72"/>
  <c r="M8" i="74"/>
  <c r="J23" i="4"/>
  <c r="J24" i="4"/>
  <c r="J111" i="4"/>
  <c r="M67" i="37"/>
  <c r="M67" i="18"/>
  <c r="M108" i="37"/>
  <c r="M32" i="37"/>
  <c r="M32" i="18"/>
  <c r="M79" i="37"/>
  <c r="M79" i="18"/>
  <c r="M125" i="37"/>
  <c r="M88" i="37"/>
  <c r="M88" i="18"/>
  <c r="M78" i="37"/>
  <c r="M78" i="18"/>
  <c r="M100" i="37"/>
  <c r="M100" i="18"/>
  <c r="M86" i="37"/>
  <c r="M123" i="37"/>
  <c r="M110" i="37"/>
  <c r="M110" i="18"/>
  <c r="M99" i="37"/>
  <c r="M99" i="18"/>
  <c r="M114" i="37"/>
  <c r="M114" i="18"/>
  <c r="M118" i="37"/>
  <c r="M118" i="18"/>
  <c r="M28" i="37"/>
  <c r="M28" i="18"/>
  <c r="M115" i="37"/>
  <c r="M98" i="18"/>
  <c r="M111" i="37"/>
  <c r="M9" i="37"/>
  <c r="M9" i="18"/>
  <c r="M31" i="37"/>
  <c r="M31" i="18"/>
  <c r="M8" i="37"/>
  <c r="M8" i="18"/>
  <c r="M24" i="37"/>
  <c r="M24" i="18"/>
  <c r="M109" i="37"/>
  <c r="M109" i="18"/>
  <c r="M113" i="37"/>
  <c r="M113" i="18"/>
  <c r="J123" i="4"/>
  <c r="M23" i="37"/>
  <c r="M23" i="18"/>
  <c r="M122" i="37"/>
  <c r="M122" i="18"/>
  <c r="M126" i="37"/>
  <c r="M126" i="18"/>
  <c r="M30" i="37"/>
  <c r="M30" i="18"/>
  <c r="M117" i="37"/>
  <c r="M77" i="18"/>
  <c r="M121" i="37"/>
  <c r="M121" i="18"/>
  <c r="J115" i="4"/>
  <c r="M98" i="37"/>
  <c r="M97" i="37"/>
  <c r="M97" i="13"/>
  <c r="M97" i="29"/>
  <c r="M97" i="33"/>
  <c r="M77" i="37"/>
  <c r="M76" i="37"/>
  <c r="M76" i="33"/>
  <c r="M76" i="29"/>
  <c r="M76" i="13"/>
  <c r="M24" i="13"/>
  <c r="M24" i="24"/>
  <c r="M24" i="33"/>
  <c r="M24" i="29"/>
  <c r="M24" i="16"/>
  <c r="M88" i="13"/>
  <c r="M88" i="27"/>
  <c r="M88" i="29"/>
  <c r="M88" i="23"/>
  <c r="M88" i="33"/>
  <c r="J28" i="4"/>
  <c r="M28" i="20"/>
  <c r="M28" i="25"/>
  <c r="M28" i="23"/>
  <c r="M28" i="24"/>
  <c r="M28" i="51"/>
  <c r="M28" i="29"/>
  <c r="M28" i="16"/>
  <c r="M28" i="13"/>
  <c r="M122" i="23"/>
  <c r="M122" i="13"/>
  <c r="M122" i="27"/>
  <c r="M122" i="29"/>
  <c r="M122" i="33"/>
  <c r="M122" i="20"/>
  <c r="M122" i="35"/>
  <c r="M126" i="23"/>
  <c r="M126" i="27"/>
  <c r="M126" i="13"/>
  <c r="M126" i="29"/>
  <c r="M126" i="33"/>
  <c r="M126" i="35"/>
  <c r="M125" i="13"/>
  <c r="M115" i="33"/>
  <c r="M31" i="23"/>
  <c r="M31" i="13"/>
  <c r="M31" i="24"/>
  <c r="M31" i="35"/>
  <c r="M31" i="16"/>
  <c r="M31" i="29"/>
  <c r="M31" i="33"/>
  <c r="M78" i="23"/>
  <c r="M78" i="27"/>
  <c r="M78" i="13"/>
  <c r="M78" i="29"/>
  <c r="M78" i="33"/>
  <c r="M114" i="23"/>
  <c r="M114" i="13"/>
  <c r="M114" i="27"/>
  <c r="M114" i="20"/>
  <c r="M114" i="29"/>
  <c r="M114" i="33"/>
  <c r="M114" i="35"/>
  <c r="J117" i="4"/>
  <c r="M117" i="13"/>
  <c r="M117" i="23"/>
  <c r="M117" i="33"/>
  <c r="M118" i="23"/>
  <c r="M118" i="27"/>
  <c r="M118" i="13"/>
  <c r="M118" i="29"/>
  <c r="M118" i="33"/>
  <c r="M118" i="35"/>
  <c r="M23" i="20"/>
  <c r="M23" i="13"/>
  <c r="M23" i="35"/>
  <c r="M23" i="16"/>
  <c r="M23" i="29"/>
  <c r="M23" i="33"/>
  <c r="M32" i="13"/>
  <c r="M32" i="20"/>
  <c r="M32" i="33"/>
  <c r="M32" i="23"/>
  <c r="M32" i="29"/>
  <c r="M32" i="16"/>
  <c r="M79" i="13"/>
  <c r="M79" i="20"/>
  <c r="M79" i="23"/>
  <c r="M79" i="33"/>
  <c r="M79" i="29"/>
  <c r="M79" i="27"/>
  <c r="M8" i="20"/>
  <c r="M8" i="13"/>
  <c r="M8" i="22"/>
  <c r="M8" i="24"/>
  <c r="M8" i="51"/>
  <c r="M8" i="25"/>
  <c r="M8" i="41"/>
  <c r="M8" i="29"/>
  <c r="M8" i="33"/>
  <c r="M8" i="19"/>
  <c r="M8" i="16"/>
  <c r="M30" i="20"/>
  <c r="M30" i="13"/>
  <c r="M30" i="23"/>
  <c r="M30" i="33"/>
  <c r="M30" i="29"/>
  <c r="M30" i="35"/>
  <c r="M30" i="16"/>
  <c r="M99" i="23"/>
  <c r="M99" i="27"/>
  <c r="M99" i="29"/>
  <c r="M99" i="13"/>
  <c r="M99" i="33"/>
  <c r="M111" i="33"/>
  <c r="M121" i="13"/>
  <c r="M121" i="23"/>
  <c r="M121" i="29"/>
  <c r="M121" i="33"/>
  <c r="M100" i="13"/>
  <c r="M100" i="20"/>
  <c r="M100" i="29"/>
  <c r="M100" i="33"/>
  <c r="M100" i="27"/>
  <c r="M100" i="23"/>
  <c r="M123" i="33"/>
  <c r="M109" i="13"/>
  <c r="M109" i="23"/>
  <c r="M109" i="33"/>
  <c r="M109" i="29"/>
  <c r="M109" i="27"/>
  <c r="M9" i="19"/>
  <c r="M9" i="25"/>
  <c r="M9" i="20"/>
  <c r="M9" i="22"/>
  <c r="M9" i="51"/>
  <c r="M9" i="13"/>
  <c r="M9" i="16"/>
  <c r="M9" i="29"/>
  <c r="M9" i="24"/>
  <c r="M9" i="41"/>
  <c r="M9" i="33"/>
  <c r="M86" i="23"/>
  <c r="M86" i="35"/>
  <c r="M86" i="29"/>
  <c r="M86" i="13"/>
  <c r="M86" i="33"/>
  <c r="J108" i="4"/>
  <c r="M108" i="23"/>
  <c r="M108" i="13"/>
  <c r="M108" i="35"/>
  <c r="M108" i="29"/>
  <c r="M108" i="33"/>
  <c r="M98" i="20"/>
  <c r="M98" i="13"/>
  <c r="M98" i="23"/>
  <c r="M98" i="27"/>
  <c r="M98" i="29"/>
  <c r="M98" i="33"/>
  <c r="M77" i="20"/>
  <c r="M77" i="13"/>
  <c r="M77" i="27"/>
  <c r="M77" i="23"/>
  <c r="M77" i="29"/>
  <c r="M77" i="33"/>
  <c r="M67" i="13"/>
  <c r="M67" i="23"/>
  <c r="M67" i="27"/>
  <c r="M67" i="29"/>
  <c r="M67" i="33"/>
  <c r="M110" i="27"/>
  <c r="M110" i="13"/>
  <c r="M110" i="23"/>
  <c r="M110" i="20"/>
  <c r="M110" i="29"/>
  <c r="M110" i="35"/>
  <c r="M110" i="33"/>
  <c r="M113" i="13"/>
  <c r="M113" i="23"/>
  <c r="M113" i="27"/>
  <c r="M113" i="33"/>
  <c r="M113" i="29"/>
  <c r="J109" i="4"/>
  <c r="M44" i="8"/>
  <c r="D43" i="9"/>
  <c r="H69" i="9"/>
  <c r="B71" i="9"/>
  <c r="M45" i="8"/>
  <c r="D44" i="9"/>
  <c r="M41" i="8"/>
  <c r="D40" i="9"/>
  <c r="C58" i="9"/>
  <c r="H55" i="9"/>
  <c r="N47" i="8"/>
  <c r="B75" i="9"/>
  <c r="D32" i="9"/>
  <c r="D17" i="9"/>
  <c r="B59" i="9"/>
  <c r="D25" i="9"/>
  <c r="B67" i="9"/>
  <c r="M38" i="8"/>
  <c r="B47" i="9"/>
  <c r="D37" i="9"/>
  <c r="I26" i="9"/>
  <c r="H59" i="9"/>
  <c r="C52" i="9"/>
  <c r="B74" i="9"/>
  <c r="D31" i="9"/>
  <c r="M90" i="8"/>
  <c r="I40" i="9"/>
  <c r="G77" i="9"/>
  <c r="I23" i="9"/>
  <c r="N44" i="8"/>
  <c r="C55" i="9"/>
  <c r="C67" i="9"/>
  <c r="B65" i="9"/>
  <c r="D23" i="9"/>
  <c r="H60" i="9"/>
  <c r="N43" i="8"/>
  <c r="D38" i="9"/>
  <c r="M39" i="8"/>
  <c r="N42" i="8"/>
  <c r="C73" i="9"/>
  <c r="H58" i="9"/>
  <c r="N46" i="8"/>
  <c r="M47" i="8"/>
  <c r="D46" i="9"/>
  <c r="B73" i="9"/>
  <c r="I11" i="9"/>
  <c r="C54" i="9"/>
  <c r="M89" i="8"/>
  <c r="I39" i="9"/>
  <c r="H63" i="9"/>
  <c r="D45" i="9"/>
  <c r="M46" i="8"/>
  <c r="H67" i="9"/>
  <c r="I24" i="9"/>
  <c r="D16" i="9"/>
  <c r="B58" i="9"/>
  <c r="N90" i="8"/>
  <c r="B69" i="9"/>
  <c r="D27" i="9"/>
  <c r="C65" i="9"/>
  <c r="D11" i="9"/>
  <c r="B53" i="9"/>
  <c r="C53" i="9"/>
  <c r="D12" i="9"/>
  <c r="B54" i="9"/>
  <c r="M91" i="8"/>
  <c r="I41" i="9"/>
  <c r="H62" i="9"/>
  <c r="I29" i="9"/>
  <c r="H72" i="9"/>
  <c r="H73" i="9"/>
  <c r="N96" i="8"/>
  <c r="B52" i="9"/>
  <c r="D10" i="9"/>
  <c r="N45" i="8"/>
  <c r="C71" i="9"/>
  <c r="H68" i="9"/>
  <c r="N91" i="8"/>
  <c r="H54" i="9"/>
  <c r="C60" i="9"/>
  <c r="I43" i="9"/>
  <c r="M93" i="8"/>
  <c r="B62" i="9"/>
  <c r="D20" i="9"/>
  <c r="N93" i="8"/>
  <c r="C75" i="9"/>
  <c r="I44" i="9"/>
  <c r="M94" i="8"/>
  <c r="C72" i="9"/>
  <c r="N88" i="8"/>
  <c r="D24" i="9"/>
  <c r="B66" i="9"/>
  <c r="C61" i="9"/>
  <c r="N95" i="8"/>
  <c r="C47" i="9"/>
  <c r="N38" i="8"/>
  <c r="M43" i="8"/>
  <c r="D42" i="9"/>
  <c r="I27" i="9"/>
  <c r="N41" i="8"/>
  <c r="B68" i="9"/>
  <c r="D26" i="9"/>
  <c r="D39" i="9"/>
  <c r="M40" i="8"/>
  <c r="N92" i="8"/>
  <c r="D30" i="9"/>
  <c r="H47" i="9"/>
  <c r="N87" i="8"/>
  <c r="C69" i="9"/>
  <c r="N40" i="8"/>
  <c r="B61" i="9"/>
  <c r="D19" i="9"/>
  <c r="C66" i="9"/>
  <c r="N89" i="8"/>
  <c r="C64" i="9"/>
  <c r="C74" i="9"/>
  <c r="I42" i="9"/>
  <c r="M92" i="8"/>
  <c r="D13" i="9"/>
  <c r="B55" i="9"/>
  <c r="C59" i="9"/>
  <c r="I37" i="9"/>
  <c r="G47" i="9"/>
  <c r="F27" i="10" s="1"/>
  <c r="M87" i="8"/>
  <c r="C62" i="9"/>
  <c r="H71" i="9"/>
  <c r="N94" i="8"/>
  <c r="D29" i="9"/>
  <c r="B72" i="9"/>
  <c r="H61" i="9"/>
  <c r="M95" i="8"/>
  <c r="I45" i="9"/>
  <c r="H66" i="9"/>
  <c r="D21" i="9"/>
  <c r="B63" i="9"/>
  <c r="H74" i="9"/>
  <c r="C63" i="9"/>
  <c r="M96" i="8"/>
  <c r="I46" i="9"/>
  <c r="N39" i="8"/>
  <c r="M42" i="8"/>
  <c r="D41" i="9"/>
  <c r="D28" i="9"/>
  <c r="B60" i="9"/>
  <c r="D18" i="9"/>
  <c r="D22" i="9"/>
  <c r="B64" i="9"/>
  <c r="H64" i="9"/>
  <c r="I16" i="9"/>
  <c r="I30" i="9"/>
  <c r="I19" i="9"/>
  <c r="C68" i="9"/>
  <c r="I20" i="9"/>
  <c r="M88" i="8"/>
  <c r="I38" i="9"/>
  <c r="J110" i="4"/>
  <c r="J118" i="4"/>
  <c r="J126" i="4"/>
  <c r="J125" i="4"/>
  <c r="J121" i="4"/>
  <c r="J8" i="4"/>
  <c r="J113" i="4"/>
  <c r="J78" i="4"/>
  <c r="J9" i="4"/>
  <c r="J67" i="4"/>
  <c r="J86" i="4"/>
  <c r="J114" i="4"/>
  <c r="J88" i="4"/>
  <c r="J99" i="4"/>
  <c r="J100" i="4"/>
  <c r="J122" i="4"/>
  <c r="J77" i="4"/>
  <c r="J79" i="4"/>
  <c r="J98" i="4"/>
  <c r="K21" i="10"/>
  <c r="H75" i="4"/>
  <c r="H25" i="10"/>
  <c r="G55" i="10"/>
  <c r="H137" i="4"/>
  <c r="H96" i="4"/>
  <c r="K42" i="10"/>
  <c r="G53" i="10"/>
  <c r="H29" i="4"/>
  <c r="H89" i="4"/>
  <c r="K12" i="10"/>
  <c r="K14" i="10"/>
  <c r="K23" i="10"/>
  <c r="H87" i="4"/>
  <c r="H112" i="4"/>
  <c r="K44" i="10"/>
  <c r="K24" i="10"/>
  <c r="G46" i="10"/>
  <c r="H43" i="10"/>
  <c r="H31" i="4"/>
  <c r="J31" i="4" s="1"/>
  <c r="H32" i="4"/>
  <c r="J32" i="4" s="1"/>
  <c r="J10" i="10"/>
  <c r="D10" i="10"/>
  <c r="J24" i="10"/>
  <c r="D24" i="10"/>
  <c r="I25" i="4"/>
  <c r="B60" i="10"/>
  <c r="D38" i="10"/>
  <c r="J38" i="10"/>
  <c r="I37" i="4"/>
  <c r="F55" i="10"/>
  <c r="H33" i="10"/>
  <c r="D23" i="10"/>
  <c r="J23" i="10"/>
  <c r="H34" i="4"/>
  <c r="H135"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8" i="4"/>
  <c r="D22" i="10"/>
  <c r="J22" i="10"/>
  <c r="G54" i="10"/>
  <c r="J31" i="10"/>
  <c r="B53" i="10"/>
  <c r="D31" i="10"/>
  <c r="J15" i="10"/>
  <c r="D15" i="10"/>
  <c r="I96" i="4"/>
  <c r="H20" i="10"/>
  <c r="K22" i="10"/>
  <c r="K10" i="10"/>
  <c r="D44" i="10"/>
  <c r="J44" i="10"/>
  <c r="I112" i="4"/>
  <c r="C55" i="10"/>
  <c r="K33" i="10"/>
  <c r="J13" i="10"/>
  <c r="D13" i="10"/>
  <c r="K13" i="10"/>
  <c r="H35" i="4"/>
  <c r="C56" i="10"/>
  <c r="K56" i="10" s="1"/>
  <c r="K34" i="10"/>
  <c r="I120" i="4"/>
  <c r="F35" i="10"/>
  <c r="F52" i="10"/>
  <c r="H30" i="10"/>
  <c r="I136" i="4"/>
  <c r="I29" i="4"/>
  <c r="H31" i="10"/>
  <c r="F53" i="10"/>
  <c r="I89" i="4"/>
  <c r="J32" i="10"/>
  <c r="D32" i="10"/>
  <c r="B54" i="10"/>
  <c r="I66" i="4"/>
  <c r="J20" i="10"/>
  <c r="D20" i="10"/>
  <c r="B56" i="10"/>
  <c r="J34" i="10"/>
  <c r="H66" i="4"/>
  <c r="H32" i="10"/>
  <c r="F54" i="10"/>
  <c r="I22" i="4"/>
  <c r="K41" i="10"/>
  <c r="C46" i="10"/>
  <c r="H120" i="4"/>
  <c r="H138" i="4"/>
  <c r="I137" i="4"/>
  <c r="H68" i="4"/>
  <c r="I68" i="4"/>
  <c r="K43" i="10"/>
  <c r="I10" i="4"/>
  <c r="H136" i="4"/>
  <c r="H12" i="4"/>
  <c r="J26" i="10"/>
  <c r="L26" i="10" s="1"/>
  <c r="D26" i="10"/>
  <c r="I34" i="4"/>
  <c r="H9" i="10"/>
  <c r="J9" i="10"/>
  <c r="L9" i="10" s="1"/>
  <c r="J49" i="10"/>
  <c r="L49" i="10" s="1"/>
  <c r="D49" i="10"/>
  <c r="D21" i="10"/>
  <c r="J21" i="10"/>
  <c r="I39" i="4"/>
  <c r="I36" i="4"/>
  <c r="B35" i="10"/>
  <c r="J30" i="10"/>
  <c r="B52" i="10"/>
  <c r="D30" i="10"/>
  <c r="I7" i="4"/>
  <c r="K60" i="10"/>
  <c r="K38" i="10"/>
  <c r="H13" i="10"/>
  <c r="G35" i="10"/>
  <c r="G52" i="10"/>
  <c r="I35" i="4"/>
  <c r="D12" i="10"/>
  <c r="J12" i="10"/>
  <c r="I12" i="4"/>
  <c r="D43" i="10"/>
  <c r="J43" i="10"/>
  <c r="I135" i="4"/>
  <c r="I11" i="4"/>
  <c r="K20" i="10"/>
  <c r="D25" i="10"/>
  <c r="J25" i="10"/>
  <c r="D41" i="10"/>
  <c r="J41" i="10"/>
  <c r="B46" i="10"/>
  <c r="K31" i="10"/>
  <c r="C53" i="10"/>
  <c r="L42" i="9"/>
  <c r="D62" i="9" l="1"/>
  <c r="J9" i="9"/>
  <c r="B77" i="9"/>
  <c r="H77" i="9"/>
  <c r="J76" i="9"/>
  <c r="B17" i="10"/>
  <c r="L18" i="9"/>
  <c r="M39" i="9"/>
  <c r="M30" i="9"/>
  <c r="N37" i="9"/>
  <c r="N20" i="9"/>
  <c r="J51" i="9" l="1"/>
  <c r="J56" i="9"/>
  <c r="M7" i="72"/>
  <c r="M7" i="74"/>
  <c r="J42" i="9"/>
  <c r="E37" i="9"/>
  <c r="O42" i="9"/>
  <c r="O37" i="9"/>
  <c r="O10" i="9"/>
  <c r="N26" i="9"/>
  <c r="O43" i="9"/>
  <c r="O13" i="9"/>
  <c r="M18" i="9"/>
  <c r="L40" i="9"/>
  <c r="N19" i="9"/>
  <c r="L44" i="9"/>
  <c r="O44" i="9"/>
  <c r="L12" i="9"/>
  <c r="O26" i="9"/>
  <c r="O28" i="9"/>
  <c r="N30" i="9"/>
  <c r="O31" i="9"/>
  <c r="M11" i="9"/>
  <c r="L28" i="9"/>
  <c r="O38" i="9"/>
  <c r="L27" i="9"/>
  <c r="O20" i="9"/>
  <c r="O29" i="9"/>
  <c r="L38" i="9"/>
  <c r="M38" i="9"/>
  <c r="N39" i="9"/>
  <c r="L41" i="9"/>
  <c r="N17" i="9"/>
  <c r="O39" i="9"/>
  <c r="N42" i="9"/>
  <c r="N23" i="9"/>
  <c r="N21" i="9"/>
  <c r="M41" i="9"/>
  <c r="O45" i="9"/>
  <c r="O32" i="9"/>
  <c r="N41" i="9"/>
  <c r="N25" i="9"/>
  <c r="O23" i="9"/>
  <c r="N29" i="9"/>
  <c r="M21" i="9"/>
  <c r="M43" i="9"/>
  <c r="L45" i="9"/>
  <c r="M31" i="9"/>
  <c r="O33" i="9"/>
  <c r="N13" i="9"/>
  <c r="N28" i="9"/>
  <c r="L19" i="9"/>
  <c r="O21" i="9"/>
  <c r="M33" i="9"/>
  <c r="N31" i="9"/>
  <c r="L23" i="9"/>
  <c r="O19" i="9"/>
  <c r="N11" i="9"/>
  <c r="L39" i="9"/>
  <c r="L25" i="9"/>
  <c r="N27" i="9"/>
  <c r="N45" i="9"/>
  <c r="M15" i="9"/>
  <c r="O18" i="9"/>
  <c r="L26" i="9"/>
  <c r="M27" i="9"/>
  <c r="L29" i="9"/>
  <c r="L32" i="9"/>
  <c r="O24" i="9"/>
  <c r="M24" i="9"/>
  <c r="N32" i="9"/>
  <c r="L31" i="9"/>
  <c r="L11" i="9"/>
  <c r="O30" i="9"/>
  <c r="L43" i="9"/>
  <c r="M45" i="9"/>
  <c r="O41" i="9"/>
  <c r="L24" i="9"/>
  <c r="N46" i="9"/>
  <c r="L10" i="9"/>
  <c r="M42" i="9"/>
  <c r="L17" i="9"/>
  <c r="N10" i="9"/>
  <c r="M20" i="9"/>
  <c r="N15" i="9"/>
  <c r="M13" i="9"/>
  <c r="M29" i="9"/>
  <c r="N24" i="9"/>
  <c r="O12" i="9"/>
  <c r="O27" i="9"/>
  <c r="L13" i="9"/>
  <c r="O22" i="9"/>
  <c r="L22" i="9"/>
  <c r="O25" i="9"/>
  <c r="L15" i="9"/>
  <c r="N33" i="9"/>
  <c r="N44" i="9"/>
  <c r="N18" i="9"/>
  <c r="N40" i="9"/>
  <c r="M23" i="9"/>
  <c r="L21" i="9"/>
  <c r="M28" i="9"/>
  <c r="M22" i="9"/>
  <c r="M26" i="9"/>
  <c r="M32" i="9"/>
  <c r="O11" i="9"/>
  <c r="M25" i="9"/>
  <c r="M17" i="9"/>
  <c r="N12" i="9"/>
  <c r="L46" i="9"/>
  <c r="O40" i="9"/>
  <c r="M44" i="9"/>
  <c r="M40" i="9"/>
  <c r="N43" i="9"/>
  <c r="L37" i="9"/>
  <c r="M46" i="9"/>
  <c r="N38" i="9"/>
  <c r="O46" i="9"/>
  <c r="O17" i="9"/>
  <c r="M10" i="9"/>
  <c r="O15" i="9"/>
  <c r="M37" i="9"/>
  <c r="L30" i="9"/>
  <c r="M19" i="9"/>
  <c r="M12" i="9"/>
  <c r="J25" i="4" l="1"/>
  <c r="M33" i="18"/>
  <c r="M33" i="16"/>
  <c r="M33" i="35"/>
  <c r="M33" i="23"/>
  <c r="M33" i="33"/>
  <c r="M33" i="20"/>
  <c r="M33" i="37"/>
  <c r="M33" i="29"/>
  <c r="M35" i="37"/>
  <c r="M35" i="18"/>
  <c r="M22" i="37"/>
  <c r="M22" i="18"/>
  <c r="M29" i="37"/>
  <c r="M29" i="18"/>
  <c r="M136" i="37"/>
  <c r="M37" i="37"/>
  <c r="M66" i="37"/>
  <c r="M66" i="18"/>
  <c r="M112" i="37"/>
  <c r="M112" i="18"/>
  <c r="M10" i="37"/>
  <c r="M10" i="18"/>
  <c r="M137" i="37"/>
  <c r="M75" i="37"/>
  <c r="M135" i="37"/>
  <c r="M36" i="37"/>
  <c r="M12" i="37"/>
  <c r="M12" i="18"/>
  <c r="M89" i="37"/>
  <c r="M89" i="18"/>
  <c r="M87" i="37"/>
  <c r="M87" i="18"/>
  <c r="M25" i="37"/>
  <c r="M25" i="18"/>
  <c r="M11" i="37"/>
  <c r="M11" i="18"/>
  <c r="M7" i="37"/>
  <c r="M7" i="18"/>
  <c r="M34" i="37"/>
  <c r="M34" i="18"/>
  <c r="M120" i="37"/>
  <c r="M120" i="18"/>
  <c r="M68" i="37"/>
  <c r="M68" i="18"/>
  <c r="M96" i="37"/>
  <c r="L24" i="10"/>
  <c r="L14" i="10"/>
  <c r="J39" i="4"/>
  <c r="J75" i="4"/>
  <c r="J96" i="4"/>
  <c r="L15" i="10"/>
  <c r="L54" i="9"/>
  <c r="M47" i="9"/>
  <c r="M73" i="9"/>
  <c r="O72" i="9"/>
  <c r="L59" i="9"/>
  <c r="M54" i="9"/>
  <c r="M61" i="9"/>
  <c r="O61" i="9"/>
  <c r="N66" i="9"/>
  <c r="O75" i="9"/>
  <c r="O60" i="9"/>
  <c r="M66" i="9"/>
  <c r="N61" i="9"/>
  <c r="N58" i="9"/>
  <c r="O74" i="9"/>
  <c r="M72" i="9"/>
  <c r="L69" i="9"/>
  <c r="L63" i="9"/>
  <c r="L68" i="9"/>
  <c r="M53" i="9"/>
  <c r="L74" i="9"/>
  <c r="M51" i="9"/>
  <c r="M34" i="9"/>
  <c r="O59" i="9"/>
  <c r="L47" i="9"/>
  <c r="L58" i="9"/>
  <c r="O71" i="9"/>
  <c r="L52" i="9"/>
  <c r="N64" i="9"/>
  <c r="M75" i="9"/>
  <c r="N51" i="9"/>
  <c r="N34" i="9"/>
  <c r="M67" i="9"/>
  <c r="O47" i="9"/>
  <c r="N60" i="9"/>
  <c r="O54" i="9"/>
  <c r="O52" i="9"/>
  <c r="L66" i="9"/>
  <c r="M64" i="9"/>
  <c r="N71" i="9"/>
  <c r="N75" i="9"/>
  <c r="M68" i="9"/>
  <c r="O68" i="9"/>
  <c r="N73" i="9"/>
  <c r="O65" i="9"/>
  <c r="L67" i="9"/>
  <c r="L73" i="9"/>
  <c r="L62" i="9"/>
  <c r="N69" i="9"/>
  <c r="N59" i="9"/>
  <c r="L71" i="9"/>
  <c r="O66" i="9"/>
  <c r="O53" i="9"/>
  <c r="O73" i="9"/>
  <c r="L65" i="9"/>
  <c r="O69" i="9"/>
  <c r="N54" i="9"/>
  <c r="L53" i="9"/>
  <c r="N52" i="9"/>
  <c r="M74" i="9"/>
  <c r="N68" i="9"/>
  <c r="M59" i="9"/>
  <c r="M71" i="9"/>
  <c r="O51" i="9"/>
  <c r="O34" i="9"/>
  <c r="M63" i="9"/>
  <c r="M65" i="9"/>
  <c r="L64" i="9"/>
  <c r="M52" i="9"/>
  <c r="N74" i="9"/>
  <c r="O64" i="9"/>
  <c r="N55" i="9"/>
  <c r="O62" i="9"/>
  <c r="M62" i="9"/>
  <c r="L72" i="9"/>
  <c r="M58" i="9"/>
  <c r="M60" i="9"/>
  <c r="N47" i="9"/>
  <c r="N67" i="9"/>
  <c r="N62" i="9"/>
  <c r="M55" i="9"/>
  <c r="N53" i="9"/>
  <c r="N65" i="9"/>
  <c r="L34" i="9"/>
  <c r="L51" i="9"/>
  <c r="M69" i="9"/>
  <c r="L60" i="9"/>
  <c r="O63" i="9"/>
  <c r="O58" i="9"/>
  <c r="O55" i="9"/>
  <c r="N72" i="9"/>
  <c r="O67" i="9"/>
  <c r="L55" i="9"/>
  <c r="L42" i="10"/>
  <c r="J11" i="4"/>
  <c r="M11" i="13"/>
  <c r="M11" i="33"/>
  <c r="M11" i="23"/>
  <c r="M11" i="29"/>
  <c r="M11" i="35"/>
  <c r="M27" i="16"/>
  <c r="J10" i="4"/>
  <c r="M10" i="20"/>
  <c r="M10" i="23"/>
  <c r="M10" i="13"/>
  <c r="M10" i="24"/>
  <c r="M10" i="35"/>
  <c r="M10" i="51"/>
  <c r="M10" i="16"/>
  <c r="M10" i="29"/>
  <c r="M10" i="33"/>
  <c r="M68" i="20"/>
  <c r="M68" i="13"/>
  <c r="M68" i="27"/>
  <c r="M68" i="23"/>
  <c r="M68" i="29"/>
  <c r="M68" i="35"/>
  <c r="M68" i="33"/>
  <c r="M137" i="34"/>
  <c r="M120" i="23"/>
  <c r="M120" i="20"/>
  <c r="M120" i="27"/>
  <c r="M120" i="13"/>
  <c r="M120" i="35"/>
  <c r="M120" i="29"/>
  <c r="M120" i="33"/>
  <c r="M112" i="23"/>
  <c r="M112" i="20"/>
  <c r="M112" i="27"/>
  <c r="M112" i="35"/>
  <c r="M112" i="29"/>
  <c r="M112" i="13"/>
  <c r="M112" i="33"/>
  <c r="J7" i="4"/>
  <c r="M7" i="19"/>
  <c r="M7" i="13"/>
  <c r="M7" i="23"/>
  <c r="M7" i="22"/>
  <c r="M7" i="25"/>
  <c r="M7" i="20"/>
  <c r="M7" i="24"/>
  <c r="M7" i="29"/>
  <c r="M7" i="41"/>
  <c r="M7" i="16"/>
  <c r="M7" i="51"/>
  <c r="M7" i="35"/>
  <c r="M7" i="33"/>
  <c r="J22" i="4"/>
  <c r="M22" i="20"/>
  <c r="M22" i="13"/>
  <c r="M22" i="24"/>
  <c r="M22" i="51"/>
  <c r="M22" i="23"/>
  <c r="M22" i="29"/>
  <c r="M22" i="35"/>
  <c r="M22" i="33"/>
  <c r="M22" i="16"/>
  <c r="M29" i="23"/>
  <c r="M29" i="13"/>
  <c r="M29" i="29"/>
  <c r="M29" i="51"/>
  <c r="M29" i="35"/>
  <c r="M29" i="24"/>
  <c r="M29" i="16"/>
  <c r="M29" i="20"/>
  <c r="M29" i="33"/>
  <c r="M138" i="34"/>
  <c r="M87" i="13"/>
  <c r="M87" i="20"/>
  <c r="M87" i="23"/>
  <c r="M87" i="27"/>
  <c r="M87" i="33"/>
  <c r="M87" i="29"/>
  <c r="M87" i="35"/>
  <c r="M35" i="13"/>
  <c r="M35" i="23"/>
  <c r="M35" i="29"/>
  <c r="M35" i="35"/>
  <c r="M35" i="33"/>
  <c r="M35" i="16"/>
  <c r="M39" i="16"/>
  <c r="M39" i="13"/>
  <c r="M34" i="13"/>
  <c r="M34" i="23"/>
  <c r="M34" i="29"/>
  <c r="M34" i="35"/>
  <c r="M34" i="16"/>
  <c r="M34" i="33"/>
  <c r="M38" i="16"/>
  <c r="M66" i="13"/>
  <c r="M66" i="20"/>
  <c r="M66" i="27"/>
  <c r="M66" i="35"/>
  <c r="M66" i="33"/>
  <c r="M66" i="23"/>
  <c r="M66" i="29"/>
  <c r="M89" i="20"/>
  <c r="M89" i="13"/>
  <c r="M89" i="23"/>
  <c r="M89" i="27"/>
  <c r="M89" i="29"/>
  <c r="M89" i="35"/>
  <c r="M89" i="33"/>
  <c r="M96" i="33"/>
  <c r="M75" i="33"/>
  <c r="J37" i="4"/>
  <c r="M37" i="13"/>
  <c r="M37" i="16"/>
  <c r="I73" i="9"/>
  <c r="M135" i="34"/>
  <c r="M12" i="13"/>
  <c r="M12" i="23"/>
  <c r="M12" i="29"/>
  <c r="M12" i="35"/>
  <c r="M12" i="33"/>
  <c r="J36" i="4"/>
  <c r="M36" i="13"/>
  <c r="M36" i="16"/>
  <c r="L21" i="10"/>
  <c r="H53" i="10"/>
  <c r="M136" i="34"/>
  <c r="M25" i="13"/>
  <c r="M25" i="20"/>
  <c r="M25" i="29"/>
  <c r="M25" i="16"/>
  <c r="M25" i="33"/>
  <c r="L31" i="10"/>
  <c r="L22" i="10"/>
  <c r="L12" i="10"/>
  <c r="L10" i="10"/>
  <c r="I71" i="9"/>
  <c r="I68" i="9"/>
  <c r="I53" i="9"/>
  <c r="I61" i="9"/>
  <c r="I58" i="9"/>
  <c r="I34" i="9"/>
  <c r="I52" i="9"/>
  <c r="D71" i="9"/>
  <c r="D47" i="9"/>
  <c r="D52" i="9"/>
  <c r="G17" i="10"/>
  <c r="E41" i="9"/>
  <c r="E44" i="9"/>
  <c r="E39" i="9"/>
  <c r="E40" i="9"/>
  <c r="E46" i="9"/>
  <c r="E45" i="9"/>
  <c r="E43" i="9"/>
  <c r="F17" i="10"/>
  <c r="J17" i="10" s="1"/>
  <c r="E38" i="9"/>
  <c r="E42" i="9"/>
  <c r="B27" i="10"/>
  <c r="J27" i="10" s="1"/>
  <c r="J37" i="9"/>
  <c r="J43" i="9"/>
  <c r="G27" i="10"/>
  <c r="H27" i="10" s="1"/>
  <c r="J57" i="9"/>
  <c r="C27" i="10"/>
  <c r="J44" i="9"/>
  <c r="J45" i="9"/>
  <c r="J39" i="9"/>
  <c r="J40" i="9"/>
  <c r="J38" i="9"/>
  <c r="I47" i="9"/>
  <c r="J41" i="9"/>
  <c r="J46" i="9"/>
  <c r="J120" i="4"/>
  <c r="J138" i="4"/>
  <c r="J136" i="4"/>
  <c r="J112" i="4"/>
  <c r="J12" i="4"/>
  <c r="J66" i="4"/>
  <c r="J35" i="4"/>
  <c r="J135" i="4"/>
  <c r="J34" i="4"/>
  <c r="J137" i="4"/>
  <c r="J68" i="4"/>
  <c r="J89" i="4"/>
  <c r="J87" i="4"/>
  <c r="J29" i="4"/>
  <c r="K53" i="10"/>
  <c r="K55" i="10"/>
  <c r="L44" i="10"/>
  <c r="L23" i="10"/>
  <c r="H55" i="10"/>
  <c r="L30" i="10"/>
  <c r="G57" i="10"/>
  <c r="L32" i="10"/>
  <c r="H5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N22" i="9"/>
  <c r="L20" i="9"/>
  <c r="L33" i="9"/>
  <c r="N63" i="9" l="1"/>
  <c r="L61" i="9"/>
  <c r="L75" i="9"/>
  <c r="J75" i="9"/>
  <c r="J70" i="9"/>
  <c r="L55" i="10"/>
  <c r="M77" i="9"/>
  <c r="O77" i="9"/>
  <c r="L77" i="9"/>
  <c r="N77" i="9"/>
  <c r="L53" i="10"/>
  <c r="J47" i="9"/>
  <c r="I77" i="9"/>
  <c r="E47" i="9"/>
  <c r="H17" i="10"/>
  <c r="J61" i="9"/>
  <c r="J60" i="9"/>
  <c r="D27" i="10"/>
  <c r="K27" i="10"/>
  <c r="L27" i="10" s="1"/>
  <c r="J71" i="9"/>
  <c r="J64" i="9"/>
  <c r="J55" i="9"/>
  <c r="J65" i="9"/>
  <c r="I65" i="9" s="1"/>
  <c r="J67" i="9"/>
  <c r="J54" i="9"/>
  <c r="I54" i="9" s="1"/>
  <c r="J62" i="9"/>
  <c r="I62" i="9" s="1"/>
  <c r="J68" i="9"/>
  <c r="J63" i="9"/>
  <c r="J69" i="9"/>
  <c r="I69" i="9" s="1"/>
  <c r="J58" i="9"/>
  <c r="J53" i="9"/>
  <c r="J74" i="9"/>
  <c r="J52" i="9"/>
  <c r="J66" i="9"/>
  <c r="I66" i="9" s="1"/>
  <c r="J59" i="9"/>
  <c r="J72" i="9"/>
  <c r="I72" i="9" s="1"/>
  <c r="J73" i="9"/>
  <c r="K57" i="10"/>
  <c r="H57" i="10"/>
  <c r="L46" i="10"/>
  <c r="L35" i="10"/>
  <c r="L54" i="10"/>
  <c r="J57" i="10"/>
  <c r="D57" i="10"/>
  <c r="L52" i="10"/>
  <c r="J77" i="9" l="1"/>
  <c r="L57" i="10"/>
  <c r="D33" i="9" l="1"/>
  <c r="C34" i="9"/>
  <c r="N32" i="8"/>
  <c r="C76" i="9"/>
  <c r="D76" i="9" s="1"/>
  <c r="E26" i="9" l="1"/>
  <c r="E18" i="9"/>
  <c r="E10" i="9"/>
  <c r="E14" i="9"/>
  <c r="E19" i="9"/>
  <c r="E33" i="9"/>
  <c r="E25" i="9"/>
  <c r="E17" i="9"/>
  <c r="E21" i="9"/>
  <c r="E12" i="9"/>
  <c r="E32" i="9"/>
  <c r="E24" i="9"/>
  <c r="E16" i="9"/>
  <c r="E13" i="9"/>
  <c r="E20" i="9"/>
  <c r="E11" i="9"/>
  <c r="E31" i="9"/>
  <c r="E23" i="9"/>
  <c r="E15" i="9"/>
  <c r="E22" i="9"/>
  <c r="E29" i="9"/>
  <c r="E28" i="9"/>
  <c r="E30" i="9"/>
  <c r="E27" i="9"/>
  <c r="E9" i="9"/>
  <c r="D34" i="9"/>
  <c r="C17" i="10"/>
  <c r="K17" i="10" s="1"/>
  <c r="L17" i="10" s="1"/>
  <c r="E76" i="9"/>
  <c r="C77" i="9"/>
  <c r="E56" i="9" s="1"/>
  <c r="E34" i="9" l="1"/>
  <c r="D77" i="9"/>
  <c r="E51" i="9"/>
  <c r="D17" i="10"/>
  <c r="E57" i="9"/>
  <c r="E67" i="9"/>
  <c r="D67" i="9" s="1"/>
  <c r="E53" i="9"/>
  <c r="D53" i="9" s="1"/>
  <c r="E62" i="9"/>
  <c r="E69" i="9"/>
  <c r="D69" i="9" s="1"/>
  <c r="E72" i="9"/>
  <c r="D72" i="9" s="1"/>
  <c r="E60" i="9"/>
  <c r="D60" i="9" s="1"/>
  <c r="E64" i="9"/>
  <c r="D64" i="9" s="1"/>
  <c r="E65" i="9"/>
  <c r="D65" i="9" s="1"/>
  <c r="E55" i="9"/>
  <c r="D55" i="9" s="1"/>
  <c r="E66" i="9"/>
  <c r="D66" i="9" s="1"/>
  <c r="E54" i="9"/>
  <c r="D54" i="9" s="1"/>
  <c r="E61" i="9"/>
  <c r="D61" i="9" s="1"/>
  <c r="E52" i="9"/>
  <c r="E73" i="9"/>
  <c r="D73" i="9" s="1"/>
  <c r="E70" i="9"/>
  <c r="E58" i="9"/>
  <c r="D58" i="9" s="1"/>
  <c r="E75" i="9"/>
  <c r="D75" i="9" s="1"/>
  <c r="E63" i="9"/>
  <c r="D63" i="9" s="1"/>
  <c r="E74" i="9"/>
  <c r="D74" i="9" s="1"/>
  <c r="E59" i="9"/>
  <c r="D59" i="9" s="1"/>
  <c r="E68" i="9"/>
  <c r="D68" i="9" s="1"/>
  <c r="E71" i="9"/>
  <c r="E77"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<sst xmlns="http://schemas.openxmlformats.org/spreadsheetml/2006/main" count="6140" uniqueCount="444">
  <si>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</si>
  <si>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</si>
  <si>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</si>
  <si>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</si>
  <si>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</si>
  <si>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</si>
  <si>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</si>
  <si>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</si>
  <si>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</si>
  <si>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</si>
  <si>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</si>
  <si>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</si>
  <si>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</si>
  <si>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</si>
  <si>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</si>
  <si>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</si>
  <si>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</si>
  <si>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</si>
  <si>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</si>
  <si>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</si>
  <si>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</si>
  <si>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</si>
  <si>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</si>
  <si>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</si>
  <si>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</si>
  <si>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</si>
  <si>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</si>
  <si>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</si>
  <si>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</si>
  <si>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</si>
  <si>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</si>
  <si>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</si>
  <si>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</si>
  <si>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</si>
  <si>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</si>
  <si>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</si>
  <si>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</si>
  <si>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</si>
  <si>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</si>
  <si>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</si>
  <si>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</si>
  <si>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</si>
  <si>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</si>
  <si>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</si>
  <si>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</si>
  <si>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</si>
  <si>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</si>
  <si>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</si>
  <si>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</si>
  <si>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</si>
  <si>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</si>
  <si>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</si>
  <si>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</si>
  <si>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</si>
  <si>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</si>
  <si>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</si>
  <si>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</si>
  <si>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</si>
  <si>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</si>
  <si>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</si>
  <si>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</si>
  <si>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</si>
  <si>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</si>
  <si>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</si>
  <si>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Skadef</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</si>
  <si>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</si>
  <si>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</si>
  <si>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</si>
  <si>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</si>
  <si>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</si>
  <si>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</si>
  <si>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</si>
  <si>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</si>
  <si>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</si>
  <si>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</si>
  <si>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</si>
  <si>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</si>
  <si>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</si>
  <si>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</si>
  <si>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</si>
  <si>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</si>
  <si>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</si>
  <si>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</si>
  <si>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</si>
  <si>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</si>
  <si>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</si>
  <si>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</si>
  <si>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</si>
  <si>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</si>
  <si>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</si>
  <si>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</si>
  <si>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</si>
  <si>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</si>
  <si>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</si>
  <si>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</si>
  <si>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</si>
  <si>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</si>
  <si>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</si>
  <si>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</si>
  <si>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</si>
  <si>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</si>
  <si>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</si>
  <si>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</si>
  <si>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</si>
  <si>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</si>
  <si>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</si>
  <si>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</si>
  <si>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</si>
  <si>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</si>
  <si>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</si>
  <si>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</si>
  <si>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</si>
  <si>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</si>
  <si>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</si>
  <si>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</si>
  <si>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</si>
  <si>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</si>
  <si>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</si>
  <si>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</si>
  <si>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</si>
  <si>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</si>
  <si>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</si>
  <si>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</si>
  <si>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</si>
  <si>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</si>
  <si>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</si>
  <si>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</si>
  <si>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</si>
  <si>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</si>
  <si>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</si>
  <si>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</si>
  <si>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</si>
  <si>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</si>
  <si>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</si>
  <si>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</si>
  <si>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</si>
  <si>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</si>
  <si>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</si>
  <si>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</si>
  <si>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</si>
  <si>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</si>
  <si>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</si>
  <si>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</si>
  <si>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</si>
  <si>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</si>
  <si>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</si>
  <si>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</si>
  <si>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</si>
  <si>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</si>
  <si>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</si>
  <si>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</si>
  <si>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</si>
  <si>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</si>
  <si>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</si>
  <si>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</si>
  <si>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</si>
  <si>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</si>
  <si>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</si>
  <si>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</si>
  <si>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</si>
  <si>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</si>
  <si>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</si>
  <si>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</si>
  <si>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</si>
  <si>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</si>
  <si>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</si>
  <si>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</si>
  <si>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</si>
  <si>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</si>
  <si>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</si>
  <si>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</si>
  <si>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</si>
  <si>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</si>
  <si>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</si>
  <si>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</si>
  <si>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</si>
  <si>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</si>
  <si>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</si>
  <si>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</si>
  <si>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</si>
  <si>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</si>
  <si>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</si>
  <si>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</si>
  <si>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</si>
  <si>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</si>
  <si>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</si>
  <si>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</si>
  <si>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</si>
  <si>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</si>
  <si>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</si>
  <si>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</si>
  <si>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</si>
  <si>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</si>
  <si>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</si>
  <si>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</si>
  <si>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</si>
  <si>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</si>
  <si>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</si>
  <si>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</si>
  <si>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</si>
  <si>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</si>
  <si>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</si>
  <si>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</si>
  <si>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</si>
  <si>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</si>
  <si>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</si>
  <si>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</si>
  <si>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</si>
  <si>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</si>
  <si>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</si>
  <si>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</si>
  <si>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</si>
  <si>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</si>
  <si>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</si>
  <si>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</si>
  <si>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</si>
  <si>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</si>
  <si>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</si>
  <si>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</si>
  <si>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</si>
  <si>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</si>
  <si>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</si>
  <si>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</si>
  <si>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</si>
  <si>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</si>
  <si>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</si>
  <si>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</si>
  <si>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</si>
  <si>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</si>
  <si>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</si>
  <si>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</si>
  <si>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</si>
  <si>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</si>
  <si>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</si>
  <si>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</si>
  <si>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</si>
  <si>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</si>
  <si>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</si>
  <si>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</si>
  <si>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</si>
  <si>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</si>
  <si>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</si>
  <si>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</si>
  <si>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</si>
  <si>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</si>
  <si>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</si>
  <si>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</si>
  <si>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</si>
  <si>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</si>
  <si>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</si>
  <si>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</si>
  <si>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</si>
  <si>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</si>
  <si>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</si>
  <si>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</si>
  <si>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</si>
  <si>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</si>
  <si>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</si>
  <si>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</si>
  <si>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</si>
  <si>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</si>
  <si>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</si>
  <si>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</si>
  <si>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</si>
  <si>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</si>
  <si>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</si>
  <si>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</si>
  <si>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</si>
  <si>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</si>
  <si>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</si>
  <si>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</si>
  <si>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</si>
  <si>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</si>
  <si>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</si>
  <si>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</si>
  <si>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</si>
  <si>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</si>
  <si>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</si>
  <si>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</si>
  <si>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</si>
  <si>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</si>
  <si>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</si>
  <si>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</si>
  <si>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</si>
  <si>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</si>
  <si>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</si>
  <si>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</si>
  <si>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</si>
  <si>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</si>
  <si>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</si>
  <si>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</si>
  <si>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</si>
  <si>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</si>
  <si>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</si>
  <si>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</si>
  <si>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</si>
  <si>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</si>
  <si>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</si>
  <si>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</si>
  <si>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</si>
  <si>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</si>
  <si>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</si>
  <si>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</si>
  <si>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</si>
  <si>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</si>
  <si>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</si>
  <si>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</si>
  <si>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</si>
  <si>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</si>
  <si>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</si>
  <si>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</si>
  <si>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</si>
  <si>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</si>
  <si>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</si>
  <si>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</si>
  <si>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</si>
  <si>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</si>
  <si>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</si>
  <si>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</si>
  <si>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</si>
  <si>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</si>
  <si>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</si>
  <si>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</si>
  <si>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</si>
  <si>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</si>
  <si>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</si>
  <si>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</si>
  <si>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</si>
  <si>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</si>
  <si>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</si>
  <si>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</si>
  <si>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</si>
  <si>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</si>
  <si>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</si>
  <si>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</si>
  <si>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</si>
  <si>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</si>
  <si>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</si>
  <si>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</si>
  <si>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</si>
  <si>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</si>
  <si>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</si>
  <si>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</si>
  <si>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</si>
  <si>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</si>
  <si>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</si>
  <si>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</si>
  <si>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</si>
  <si>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</si>
  <si>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</si>
  <si>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</si>
  <si>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</si>
  <si>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</si>
  <si>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</si>
  <si>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</si>
  <si>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</si>
  <si>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</si>
  <si>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</si>
  <si>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</si>
  <si>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</si>
  <si>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</si>
  <si>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 xml:space="preserve">    13.5 Andre tekniske avsetninger for skadeforsikringsvirksomheten</t>
  </si>
  <si>
    <t xml:space="preserve">    5.2 Overføring av premieres., tilleggsavsetn. til andre selskap/kasser</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</si>
  <si>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</si>
  <si>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</si>
  <si>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</si>
  <si>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</si>
  <si>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</si>
  <si>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</si>
  <si>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</si>
  <si>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</si>
  <si>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</si>
  <si>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</si>
  <si>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</si>
  <si>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</si>
  <si>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</si>
  <si>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</si>
  <si>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</si>
  <si>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</si>
  <si>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</si>
  <si>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</si>
  <si>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</si>
  <si>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</si>
  <si>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</si>
  <si>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</si>
  <si>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</si>
  <si>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</si>
  <si>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</si>
  <si>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</si>
  <si>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</si>
  <si>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</si>
  <si>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</si>
  <si>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</si>
  <si>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</si>
  <si>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</si>
  <si>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</si>
  <si>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</si>
  <si>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</si>
  <si>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</si>
  <si>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</si>
  <si>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</si>
  <si>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Fremtind Livsforsikring</t>
  </si>
  <si>
    <t>WaterCircle Forsikring</t>
  </si>
  <si>
    <t>Fremtind</t>
  </si>
  <si>
    <t>Fremtind Livsfors</t>
  </si>
  <si>
    <t>Landkreditt Fors.</t>
  </si>
  <si>
    <t>Insr</t>
  </si>
  <si>
    <t>Fremtind Liv</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</si>
  <si>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</si>
  <si>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</si>
  <si>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</si>
  <si>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</si>
  <si>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</si>
  <si>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Landkreditt Forsikring</t>
  </si>
  <si>
    <t>WaterCircles Fors.</t>
  </si>
  <si>
    <t>WaterCicles Fors.</t>
  </si>
  <si>
    <t>30.06.</t>
  </si>
  <si>
    <t>DNB Bedriftspensjon</t>
  </si>
  <si>
    <t>WaterCircles Forsikring</t>
  </si>
  <si>
    <t>DNB Bedriftsp</t>
  </si>
  <si>
    <t>Landkreditt Fors</t>
  </si>
  <si>
    <t>Codan Forsikring</t>
  </si>
  <si>
    <t>Euro Accident</t>
  </si>
  <si>
    <t xml:space="preserve">   Innskuddsbasert (inkl. EPK)</t>
  </si>
  <si>
    <r>
      <t xml:space="preserve">   Innskuddsbasert (inkl. EPK)</t>
    </r>
    <r>
      <rPr>
        <vertAlign val="superscript"/>
        <sz val="10"/>
        <rFont val="Times New Roman"/>
        <family val="1"/>
      </rPr>
      <t>18)</t>
    </r>
  </si>
  <si>
    <r>
      <t xml:space="preserve">      Herav EPK med selvvalgt leverandør</t>
    </r>
    <r>
      <rPr>
        <vertAlign val="superscript"/>
        <sz val="10"/>
        <rFont val="Times New Roman"/>
        <family val="1"/>
      </rPr>
      <t>19)</t>
    </r>
  </si>
  <si>
    <r>
      <t xml:space="preserve">       Herav EPK med selvvalgt leverandør</t>
    </r>
    <r>
      <rPr>
        <vertAlign val="superscript"/>
        <sz val="10"/>
        <rFont val="Times New Roman"/>
        <family val="1"/>
      </rPr>
      <t>19)</t>
    </r>
  </si>
  <si>
    <t>Bedriftspensjon</t>
  </si>
  <si>
    <t>Alle forsikringsforpliktelser knyttet til aktive LOI</t>
  </si>
  <si>
    <t/>
  </si>
  <si>
    <t>30.6.</t>
  </si>
  <si>
    <t>Figur 1  Brutto forfalt premie livprodukter  -  produkter uten investeringsvalg pr. 30.06.</t>
  </si>
  <si>
    <t>Figur 2  Brutto forfalt premie livprodukter  -  produkter med investeringsvalg pr. 30.06.</t>
  </si>
  <si>
    <t>Figur 3  Forsikringsforpliktelser i livsforsikring  -  produkter uten investeringsvalg pr. 30.06.</t>
  </si>
  <si>
    <t>Figur 4  Forsikringsforpliktelser i livsforsikring -  produkter med investeringsvalg pr. 30.06.</t>
  </si>
  <si>
    <t>Figur 5  Netto tilflytting livprodukter  -  produkter uten investeringsvalg pr. 30.06.</t>
  </si>
  <si>
    <t>Figur 6  Netto tilflytting livprodukter  -  produkter med investeringsvalg pr. 30.06.</t>
  </si>
  <si>
    <t>Forsikringsforpliktelser knyttet til aktiv del av egen pensjonskonto med selvvalgt leverandør</t>
  </si>
  <si>
    <t>DNB Bedriftspensjon AS</t>
  </si>
  <si>
    <t>30.6.2020</t>
  </si>
  <si>
    <t>30.6.2021</t>
  </si>
  <si>
    <r>
      <t xml:space="preserve">  Herav pensjonskapitalbevis </t>
    </r>
    <r>
      <rPr>
        <vertAlign val="superscript"/>
        <sz val="10"/>
        <rFont val="Times New Roman"/>
        <family val="1"/>
      </rPr>
      <t xml:space="preserve">14) </t>
    </r>
    <r>
      <rPr>
        <sz val="10"/>
        <rFont val="Times New Roman"/>
        <family val="1"/>
      </rPr>
      <t xml:space="preserve"> innenfor og utenfor EPK</t>
    </r>
    <r>
      <rPr>
        <vertAlign val="superscript"/>
        <sz val="10"/>
        <rFont val="Times New Roman"/>
        <family val="1"/>
      </rPr>
      <t>20)</t>
    </r>
  </si>
  <si>
    <r>
      <t xml:space="preserve">  Herav pensjonskapitalbevis </t>
    </r>
    <r>
      <rPr>
        <vertAlign val="superscript"/>
        <sz val="10"/>
        <rFont val="Times New Roman"/>
        <family val="1"/>
      </rPr>
      <t>14)</t>
    </r>
    <r>
      <rPr>
        <sz val="10"/>
        <rFont val="Times New Roman"/>
        <family val="1"/>
      </rPr>
      <t xml:space="preserve"> innenfor og utenfor EPK</t>
    </r>
    <r>
      <rPr>
        <vertAlign val="superscript"/>
        <sz val="10"/>
        <rFont val="Times New Roman"/>
        <family val="1"/>
      </rPr>
      <t>20)</t>
    </r>
  </si>
  <si>
    <t>Forsikringsforpliktelser fra pensjonskapitalbevis både innenfor og utenfor EPK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</si>
</sst>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sz val="10"/>
      <color rgb="FFFF0000"/>
      <name val="Arial"/>
      <family val="2"/>
    </font>
    <font>
      <u/>
      <sz val="12"/>
      <name val="Times New Roman"/>
      <family val="1"/>
    </font>
    <font>
      <sz val="10"/>
      <color theme="0"/>
      <name val="Times New Roman"/>
      <family val="1"/>
    </font>
    <font>
      <b/>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1668">
    <xf numFmtId="0" fontId="0" fillId="0" borderId="0"/>
    <xf numFmtId="0" fontId="21" fillId="0" borderId="0"/>
    <xf numFmtId="164" fontId="27" fillId="0" borderId="0" applyFont="0" applyFill="0" applyBorder="0" applyAlignment="0" applyProtection="0"/>
    <xf numFmtId="0" fontId="45" fillId="0" borderId="0" applyNumberFormat="0" applyFill="0" applyBorder="0" applyAlignment="0" applyProtection="0">
      <alignment vertical="top"/>
      <protection locked="0"/>
    </xf>
    <xf numFmtId="0" fontId="14" fillId="0" borderId="0"/>
    <xf numFmtId="0" fontId="21" fillId="0" borderId="0"/>
    <xf numFmtId="0" fontId="13" fillId="0" borderId="0"/>
    <xf numFmtId="0" fontId="21" fillId="0" borderId="0"/>
    <xf numFmtId="0" fontId="12" fillId="0" borderId="0"/>
    <xf numFmtId="0" fontId="21" fillId="0" borderId="0"/>
    <xf numFmtId="0" fontId="27" fillId="0" borderId="0"/>
    <xf numFmtId="0" fontId="12" fillId="0" borderId="0"/>
    <xf numFmtId="0" fontId="2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2" fillId="0" borderId="0" applyFont="0" applyFill="0" applyBorder="0" applyAlignment="0" applyProtection="0"/>
    <xf numFmtId="164" fontId="21" fillId="0" borderId="0" applyFont="0" applyFill="0" applyBorder="0" applyAlignment="0" applyProtection="0"/>
    <xf numFmtId="0" fontId="12" fillId="0" borderId="0"/>
    <xf numFmtId="0" fontId="21" fillId="0" borderId="0"/>
    <xf numFmtId="0" fontId="21" fillId="0" borderId="0"/>
    <xf numFmtId="164" fontId="21"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21"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6" borderId="0" applyNumberFormat="0" applyBorder="0" applyAlignment="0" applyProtection="0"/>
    <xf numFmtId="0" fontId="21" fillId="0" borderId="0"/>
    <xf numFmtId="164" fontId="21"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21"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21" fillId="0" borderId="0"/>
    <xf numFmtId="164" fontId="21"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6" borderId="0" applyNumberFormat="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21" fillId="5" borderId="16" applyNumberFormat="0" applyFont="0" applyAlignment="0" applyProtection="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0" fontId="12" fillId="0" borderId="0"/>
    <xf numFmtId="0" fontId="12" fillId="0" borderId="0"/>
    <xf numFmtId="164" fontId="12" fillId="0" borderId="0" applyFont="0" applyFill="0" applyBorder="0" applyAlignment="0" applyProtection="0"/>
    <xf numFmtId="164" fontId="27" fillId="0" borderId="0" applyFont="0" applyFill="0" applyBorder="0" applyAlignment="0" applyProtection="0"/>
    <xf numFmtId="0" fontId="12" fillId="0" borderId="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4" fillId="0" borderId="0" applyFont="0" applyFill="0" applyBorder="0" applyAlignment="0" applyProtection="0"/>
    <xf numFmtId="164" fontId="21" fillId="0" borderId="0" applyFont="0" applyFill="0" applyBorder="0" applyAlignment="0" applyProtection="0"/>
    <xf numFmtId="0" fontId="4" fillId="0" borderId="0"/>
    <xf numFmtId="164" fontId="21"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164" fontId="21"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21"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7" borderId="0" applyNumberFormat="0" applyBorder="0" applyAlignment="0" applyProtection="0"/>
    <xf numFmtId="0" fontId="16" fillId="0" borderId="0"/>
    <xf numFmtId="171" fontId="17" fillId="0" borderId="7" applyFont="0" applyFill="0" applyBorder="0" applyAlignment="0" applyProtection="0">
      <alignment horizontal="right"/>
    </xf>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2" fillId="0" borderId="0"/>
    <xf numFmtId="0" fontId="1" fillId="0" borderId="0"/>
    <xf numFmtId="0" fontId="1" fillId="0" borderId="0"/>
    <xf numFmtId="0" fontId="1" fillId="0" borderId="0"/>
    <xf numFmtId="0" fontId="2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2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6"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7" borderId="0" applyNumberFormat="0" applyBorder="0" applyAlignment="0" applyProtection="0"/>
    <xf numFmtId="0" fontId="1" fillId="0" borderId="0"/>
  </cellStyleXfs>
  <cellXfs count="818">
    <xf numFmtId="0" fontId="0" fillId="0" borderId="0" xfId="0"/>
    <xf numFmtId="0" fontId="19" fillId="0" borderId="0" xfId="1" applyFont="1"/>
    <xf numFmtId="0" fontId="25" fillId="0" borderId="0" xfId="1" applyFont="1"/>
    <xf numFmtId="0" fontId="19" fillId="0" borderId="0" xfId="1" applyFont="1" applyFill="1"/>
    <xf numFmtId="0" fontId="19" fillId="0" borderId="0" xfId="1" applyFont="1" applyBorder="1"/>
    <xf numFmtId="49" fontId="19" fillId="0" borderId="0" xfId="1" applyNumberFormat="1" applyFont="1" applyFill="1" applyBorder="1" applyAlignment="1">
      <alignment horizontal="center"/>
    </xf>
    <xf numFmtId="165" fontId="19" fillId="0" borderId="0" xfId="1" applyNumberFormat="1" applyFont="1" applyFill="1" applyBorder="1"/>
    <xf numFmtId="0" fontId="19" fillId="0" borderId="0" xfId="1" applyFont="1" applyFill="1" applyBorder="1"/>
    <xf numFmtId="0" fontId="19" fillId="0" borderId="0" xfId="1" applyFont="1" applyFill="1" applyAlignment="1">
      <alignment horizontal="left"/>
    </xf>
    <xf numFmtId="165" fontId="17" fillId="3" borderId="5" xfId="1" applyNumberFormat="1" applyFont="1" applyFill="1" applyBorder="1" applyAlignment="1">
      <alignment horizontal="right"/>
    </xf>
    <xf numFmtId="0" fontId="19" fillId="0" borderId="6" xfId="1" applyFont="1" applyBorder="1"/>
    <xf numFmtId="165" fontId="17" fillId="3" borderId="2" xfId="1" applyNumberFormat="1" applyFont="1" applyFill="1" applyBorder="1" applyAlignment="1">
      <alignment horizontal="right"/>
    </xf>
    <xf numFmtId="0" fontId="17" fillId="0" borderId="4" xfId="1" applyFont="1" applyBorder="1"/>
    <xf numFmtId="0" fontId="17" fillId="0" borderId="3" xfId="1" applyFont="1" applyBorder="1"/>
    <xf numFmtId="0" fontId="17" fillId="0" borderId="7" xfId="1" applyFont="1" applyBorder="1"/>
    <xf numFmtId="0" fontId="17" fillId="0" borderId="6" xfId="1" applyFont="1" applyBorder="1" applyAlignment="1">
      <alignment horizontal="center"/>
    </xf>
    <xf numFmtId="0" fontId="17" fillId="0" borderId="11" xfId="1" applyFont="1" applyBorder="1" applyAlignment="1">
      <alignment horizontal="center"/>
    </xf>
    <xf numFmtId="0" fontId="17" fillId="0" borderId="5" xfId="1" applyFont="1" applyBorder="1" applyAlignment="1">
      <alignment horizontal="center"/>
    </xf>
    <xf numFmtId="0" fontId="17" fillId="0" borderId="11" xfId="1" applyFont="1" applyBorder="1"/>
    <xf numFmtId="0" fontId="17" fillId="0" borderId="7" xfId="1" applyFont="1" applyBorder="1" applyAlignment="1">
      <alignment horizontal="center"/>
    </xf>
    <xf numFmtId="0" fontId="19" fillId="0" borderId="3" xfId="1" applyFont="1" applyBorder="1"/>
    <xf numFmtId="165" fontId="19" fillId="3" borderId="6" xfId="1" applyNumberFormat="1" applyFont="1" applyFill="1" applyBorder="1" applyAlignment="1">
      <alignment horizontal="right"/>
    </xf>
    <xf numFmtId="165" fontId="19" fillId="3" borderId="3" xfId="1" applyNumberFormat="1" applyFont="1" applyFill="1" applyBorder="1" applyAlignment="1">
      <alignment horizontal="right"/>
    </xf>
    <xf numFmtId="165" fontId="17" fillId="3" borderId="3" xfId="1" applyNumberFormat="1" applyFont="1" applyFill="1" applyBorder="1" applyAlignment="1">
      <alignment horizontal="right"/>
    </xf>
    <xf numFmtId="165" fontId="19" fillId="0" borderId="0" xfId="1" applyNumberFormat="1" applyFont="1" applyBorder="1"/>
    <xf numFmtId="3" fontId="19" fillId="0" borderId="0" xfId="1" applyNumberFormat="1" applyFont="1" applyBorder="1"/>
    <xf numFmtId="165" fontId="19" fillId="3" borderId="2" xfId="1" applyNumberFormat="1" applyFont="1" applyFill="1" applyBorder="1" applyAlignment="1">
      <alignment horizontal="right"/>
    </xf>
    <xf numFmtId="0" fontId="16" fillId="0" borderId="0" xfId="1" applyFont="1"/>
    <xf numFmtId="0" fontId="23" fillId="0" borderId="0" xfId="1" applyFont="1"/>
    <xf numFmtId="0" fontId="16" fillId="0" borderId="0" xfId="1" applyFont="1" applyFill="1"/>
    <xf numFmtId="0" fontId="16" fillId="0" borderId="0" xfId="1" applyFont="1" applyFill="1" applyBorder="1"/>
    <xf numFmtId="165" fontId="17" fillId="0" borderId="0" xfId="1" applyNumberFormat="1" applyFont="1" applyFill="1" applyBorder="1" applyAlignment="1">
      <alignment horizontal="right"/>
    </xf>
    <xf numFmtId="3" fontId="19" fillId="0" borderId="0" xfId="1" applyNumberFormat="1" applyFont="1" applyFill="1" applyBorder="1" applyAlignment="1">
      <alignment horizontal="center"/>
    </xf>
    <xf numFmtId="165" fontId="19" fillId="0" borderId="0" xfId="1" applyNumberFormat="1" applyFont="1" applyFill="1" applyBorder="1" applyAlignment="1">
      <alignment horizontal="right"/>
    </xf>
    <xf numFmtId="49" fontId="19" fillId="0" borderId="0" xfId="1" applyNumberFormat="1" applyFont="1" applyFill="1" applyBorder="1" applyAlignment="1">
      <alignment horizontal="right"/>
    </xf>
    <xf numFmtId="165" fontId="17" fillId="3" borderId="6" xfId="1" applyNumberFormat="1" applyFont="1" applyFill="1" applyBorder="1" applyAlignment="1">
      <alignment horizontal="right"/>
    </xf>
    <xf numFmtId="3" fontId="19" fillId="0" borderId="0" xfId="1" quotePrefix="1" applyNumberFormat="1" applyFont="1" applyFill="1" applyBorder="1" applyAlignment="1">
      <alignment horizontal="center"/>
    </xf>
    <xf numFmtId="0" fontId="19" fillId="0" borderId="3" xfId="1" applyFont="1" applyFill="1" applyBorder="1"/>
    <xf numFmtId="0" fontId="17" fillId="0" borderId="3" xfId="1" applyFont="1" applyFill="1" applyBorder="1"/>
    <xf numFmtId="0" fontId="17" fillId="0" borderId="0" xfId="1" applyFont="1" applyFill="1" applyBorder="1" applyAlignment="1">
      <alignment horizontal="center"/>
    </xf>
    <xf numFmtId="0" fontId="17" fillId="0" borderId="6" xfId="1" applyFont="1" applyBorder="1"/>
    <xf numFmtId="14" fontId="18" fillId="0" borderId="0" xfId="1" applyNumberFormat="1" applyFont="1" applyFill="1" applyBorder="1" applyAlignment="1">
      <alignment horizontal="center"/>
    </xf>
    <xf numFmtId="0" fontId="17" fillId="0" borderId="0" xfId="1" applyFont="1"/>
    <xf numFmtId="3" fontId="19" fillId="0" borderId="3" xfId="1" applyNumberFormat="1" applyFont="1" applyFill="1" applyBorder="1" applyAlignment="1">
      <alignment horizontal="right"/>
    </xf>
    <xf numFmtId="3" fontId="19" fillId="0" borderId="6" xfId="1" applyNumberFormat="1" applyFont="1" applyFill="1" applyBorder="1" applyAlignment="1">
      <alignment horizontal="right"/>
    </xf>
    <xf numFmtId="0" fontId="19" fillId="0" borderId="6" xfId="1" applyFont="1" applyFill="1" applyBorder="1"/>
    <xf numFmtId="0" fontId="17" fillId="0" borderId="0" xfId="1" applyFont="1" applyBorder="1"/>
    <xf numFmtId="3" fontId="20" fillId="0" borderId="0" xfId="1" applyNumberFormat="1" applyFont="1" applyFill="1" applyBorder="1" applyAlignment="1">
      <alignment horizontal="right"/>
    </xf>
    <xf numFmtId="0" fontId="19" fillId="0" borderId="4" xfId="1" applyFont="1" applyFill="1" applyBorder="1"/>
    <xf numFmtId="0" fontId="19" fillId="0" borderId="0" xfId="1" applyFont="1" applyFill="1" applyAlignment="1">
      <alignment horizontal="right"/>
    </xf>
    <xf numFmtId="0" fontId="21" fillId="0" borderId="0" xfId="1"/>
    <xf numFmtId="0" fontId="28" fillId="0" borderId="0" xfId="1" applyFont="1"/>
    <xf numFmtId="0" fontId="0" fillId="0" borderId="0" xfId="1" applyFont="1"/>
    <xf numFmtId="0" fontId="29" fillId="0" borderId="0" xfId="1" applyFont="1" applyAlignment="1">
      <alignment horizontal="righ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left"/>
    </xf>
    <xf numFmtId="0" fontId="33" fillId="0" borderId="0" xfId="1" applyFont="1" applyAlignment="1">
      <alignment horizontal="right"/>
    </xf>
    <xf numFmtId="0" fontId="21" fillId="0" borderId="0" xfId="1" applyAlignment="1">
      <alignment horizontal="right"/>
    </xf>
    <xf numFmtId="0" fontId="34" fillId="0" borderId="0" xfId="1" applyFont="1" applyAlignment="1">
      <alignment horizontal="left"/>
    </xf>
    <xf numFmtId="14" fontId="35" fillId="0" borderId="0" xfId="1" applyNumberFormat="1" applyFont="1" applyAlignment="1">
      <alignment horizontal="left"/>
    </xf>
    <xf numFmtId="0" fontId="35" fillId="0" borderId="0" xfId="1" applyFont="1" applyAlignment="1">
      <alignment horizontal="left"/>
    </xf>
    <xf numFmtId="0" fontId="36" fillId="0" borderId="0" xfId="1" applyFont="1" applyAlignment="1">
      <alignment vertical="center"/>
    </xf>
    <xf numFmtId="0" fontId="37" fillId="0" borderId="0" xfId="1" applyFont="1" applyAlignment="1">
      <alignment vertical="center"/>
    </xf>
    <xf numFmtId="0" fontId="38" fillId="0" borderId="0" xfId="1" applyFont="1"/>
    <xf numFmtId="14" fontId="39" fillId="0" borderId="0" xfId="1" applyNumberFormat="1" applyFont="1"/>
    <xf numFmtId="0" fontId="40" fillId="0" borderId="0" xfId="0" applyFont="1"/>
    <xf numFmtId="0" fontId="41" fillId="0" borderId="0" xfId="0" applyFont="1"/>
    <xf numFmtId="0" fontId="42" fillId="0" borderId="0" xfId="0" applyFont="1"/>
    <xf numFmtId="0" fontId="44" fillId="0" borderId="0" xfId="0" applyFont="1"/>
    <xf numFmtId="0" fontId="44" fillId="0" borderId="0" xfId="3" applyFont="1" applyAlignment="1" applyProtection="1"/>
    <xf numFmtId="0" fontId="46" fillId="0" borderId="0" xfId="0" applyFont="1"/>
    <xf numFmtId="0" fontId="19" fillId="0" borderId="0" xfId="3" applyFont="1" applyFill="1" applyAlignment="1" applyProtection="1"/>
    <xf numFmtId="0" fontId="32" fillId="0" borderId="0" xfId="0" applyFont="1"/>
    <xf numFmtId="0" fontId="47" fillId="0" borderId="0" xfId="0" applyFont="1"/>
    <xf numFmtId="0" fontId="48" fillId="0" borderId="0" xfId="0" applyFont="1"/>
    <xf numFmtId="3" fontId="32" fillId="0" borderId="0" xfId="0" applyNumberFormat="1" applyFont="1"/>
    <xf numFmtId="3" fontId="32" fillId="0" borderId="0" xfId="0" applyNumberFormat="1" applyFont="1" applyFill="1"/>
    <xf numFmtId="0" fontId="32" fillId="0" borderId="0" xfId="0" applyFont="1" applyFill="1"/>
    <xf numFmtId="0" fontId="43" fillId="0" borderId="0" xfId="0" applyFont="1"/>
    <xf numFmtId="0" fontId="38" fillId="0" borderId="0" xfId="0" applyFont="1"/>
    <xf numFmtId="14" fontId="15" fillId="0" borderId="13" xfId="0" applyNumberFormat="1" applyFont="1" applyFill="1" applyBorder="1" applyAlignment="1">
      <alignment horizontal="left"/>
    </xf>
    <xf numFmtId="0" fontId="32" fillId="0" borderId="10" xfId="0" applyFont="1" applyBorder="1"/>
    <xf numFmtId="0" fontId="32" fillId="0" borderId="8" xfId="0" applyFont="1" applyBorder="1"/>
    <xf numFmtId="0" fontId="32" fillId="0" borderId="9" xfId="0" applyFont="1" applyBorder="1"/>
    <xf numFmtId="0" fontId="32" fillId="0" borderId="3" xfId="0" applyFont="1" applyBorder="1"/>
    <xf numFmtId="0" fontId="19" fillId="0" borderId="0" xfId="0" applyFont="1"/>
    <xf numFmtId="3" fontId="47" fillId="0" borderId="7" xfId="0" applyNumberFormat="1" applyFont="1" applyFill="1" applyBorder="1"/>
    <xf numFmtId="0" fontId="47" fillId="0" borderId="0" xfId="0" applyFont="1" applyBorder="1" applyAlignment="1">
      <alignment horizontal="center"/>
    </xf>
    <xf numFmtId="0" fontId="47" fillId="0" borderId="3" xfId="0" applyFont="1" applyBorder="1" applyAlignment="1">
      <alignment horizontal="center"/>
    </xf>
    <xf numFmtId="3" fontId="47" fillId="0" borderId="3" xfId="0" applyNumberFormat="1" applyFont="1" applyFill="1" applyBorder="1"/>
    <xf numFmtId="0" fontId="17" fillId="0" borderId="4" xfId="0" applyFont="1" applyBorder="1" applyAlignment="1">
      <alignment horizontal="center"/>
    </xf>
    <xf numFmtId="0" fontId="17" fillId="0" borderId="1" xfId="0" applyFont="1" applyBorder="1" applyAlignment="1">
      <alignment horizontal="center"/>
    </xf>
    <xf numFmtId="0" fontId="17" fillId="0" borderId="7" xfId="0" applyFont="1" applyBorder="1" applyAlignment="1">
      <alignment horizontal="center"/>
    </xf>
    <xf numFmtId="0" fontId="17" fillId="0" borderId="3" xfId="0" applyFont="1" applyBorder="1" applyAlignment="1">
      <alignment horizontal="center"/>
    </xf>
    <xf numFmtId="3" fontId="50" fillId="4" borderId="6" xfId="0" applyNumberFormat="1" applyFont="1" applyFill="1" applyBorder="1"/>
    <xf numFmtId="0" fontId="15" fillId="0" borderId="11" xfId="0" applyFont="1" applyBorder="1" applyAlignment="1">
      <alignment horizontal="center"/>
    </xf>
    <xf numFmtId="0" fontId="17" fillId="0" borderId="11" xfId="0" applyFont="1" applyBorder="1" applyAlignment="1">
      <alignment horizontal="center"/>
    </xf>
    <xf numFmtId="0" fontId="17" fillId="0" borderId="6" xfId="0" applyFont="1" applyBorder="1" applyAlignment="1">
      <alignment horizontal="center"/>
    </xf>
    <xf numFmtId="0" fontId="17" fillId="0" borderId="0" xfId="0" applyFont="1" applyBorder="1" applyAlignment="1">
      <alignment horizontal="center"/>
    </xf>
    <xf numFmtId="0" fontId="47" fillId="0" borderId="3" xfId="0" applyFont="1" applyBorder="1"/>
    <xf numFmtId="0" fontId="32" fillId="0" borderId="1" xfId="0" applyFont="1" applyBorder="1"/>
    <xf numFmtId="3" fontId="32" fillId="0" borderId="4" xfId="0" applyNumberFormat="1" applyFont="1" applyBorder="1"/>
    <xf numFmtId="3" fontId="32" fillId="0" borderId="4" xfId="0" applyNumberFormat="1" applyFont="1" applyBorder="1" applyAlignment="1">
      <alignment horizontal="right"/>
    </xf>
    <xf numFmtId="3" fontId="32" fillId="0" borderId="4" xfId="0" applyNumberFormat="1" applyFont="1" applyFill="1" applyBorder="1"/>
    <xf numFmtId="3" fontId="32" fillId="0" borderId="4" xfId="0" applyNumberFormat="1" applyFont="1" applyFill="1" applyBorder="1" applyAlignment="1">
      <alignment horizontal="right"/>
    </xf>
    <xf numFmtId="0" fontId="32" fillId="0" borderId="3" xfId="0" applyFont="1" applyFill="1" applyBorder="1"/>
    <xf numFmtId="0" fontId="32" fillId="0" borderId="4" xfId="0" applyFont="1" applyFill="1" applyBorder="1"/>
    <xf numFmtId="3" fontId="47" fillId="0" borderId="4" xfId="0" applyNumberFormat="1" applyFont="1" applyBorder="1"/>
    <xf numFmtId="3" fontId="47" fillId="0" borderId="4" xfId="0" applyNumberFormat="1" applyFont="1" applyBorder="1" applyAlignment="1">
      <alignment horizontal="right"/>
    </xf>
    <xf numFmtId="0" fontId="17" fillId="0" borderId="0" xfId="0" applyFont="1"/>
    <xf numFmtId="0" fontId="32" fillId="0" borderId="0" xfId="0" applyFont="1" applyBorder="1"/>
    <xf numFmtId="0" fontId="47" fillId="0" borderId="6" xfId="0" applyFont="1" applyBorder="1"/>
    <xf numFmtId="3" fontId="47" fillId="0" borderId="11" xfId="0" applyNumberFormat="1" applyFont="1" applyBorder="1"/>
    <xf numFmtId="3" fontId="47" fillId="0" borderId="11" xfId="0" applyNumberFormat="1" applyFont="1" applyBorder="1" applyAlignment="1">
      <alignment horizontal="right"/>
    </xf>
    <xf numFmtId="0" fontId="32" fillId="0" borderId="0" xfId="0" applyFont="1" applyAlignment="1">
      <alignment horizontal="left"/>
    </xf>
    <xf numFmtId="0" fontId="47" fillId="0" borderId="0" xfId="0" applyFont="1" applyAlignment="1">
      <alignment horizontal="left"/>
    </xf>
    <xf numFmtId="0" fontId="32" fillId="0" borderId="14" xfId="0" applyFont="1" applyBorder="1"/>
    <xf numFmtId="0" fontId="32" fillId="0" borderId="15" xfId="0" applyFont="1" applyBorder="1"/>
    <xf numFmtId="167" fontId="47" fillId="0" borderId="7" xfId="0" applyNumberFormat="1" applyFont="1" applyBorder="1" applyAlignment="1">
      <alignment horizontal="left"/>
    </xf>
    <xf numFmtId="0" fontId="47" fillId="0" borderId="2" xfId="0" applyFont="1" applyBorder="1" applyAlignment="1">
      <alignment horizontal="center"/>
    </xf>
    <xf numFmtId="167" fontId="47" fillId="0" borderId="3" xfId="0" applyNumberFormat="1" applyFont="1" applyBorder="1" applyAlignment="1">
      <alignment horizontal="left"/>
    </xf>
    <xf numFmtId="0" fontId="47" fillId="0" borderId="4" xfId="0" applyFont="1" applyBorder="1" applyAlignment="1">
      <alignment horizontal="center"/>
    </xf>
    <xf numFmtId="0" fontId="47" fillId="0" borderId="1" xfId="0" applyFont="1" applyBorder="1" applyAlignment="1">
      <alignment horizontal="center"/>
    </xf>
    <xf numFmtId="0" fontId="17" fillId="0" borderId="2" xfId="0" applyFont="1" applyBorder="1" applyAlignment="1">
      <alignment horizontal="center"/>
    </xf>
    <xf numFmtId="167" fontId="52" fillId="0" borderId="6" xfId="0" applyNumberFormat="1" applyFont="1" applyBorder="1" applyAlignment="1">
      <alignment horizontal="left"/>
    </xf>
    <xf numFmtId="0" fontId="15" fillId="0" borderId="6" xfId="0" applyFont="1" applyBorder="1" applyAlignment="1">
      <alignment horizontal="center"/>
    </xf>
    <xf numFmtId="0" fontId="17" fillId="0" borderId="12" xfId="0" applyFont="1" applyBorder="1" applyAlignment="1">
      <alignment horizontal="center"/>
    </xf>
    <xf numFmtId="3" fontId="32" fillId="0" borderId="1" xfId="0" applyNumberFormat="1" applyFont="1" applyBorder="1"/>
    <xf numFmtId="3" fontId="32" fillId="0" borderId="2" xfId="0" applyNumberFormat="1" applyFont="1" applyBorder="1"/>
    <xf numFmtId="3" fontId="53" fillId="0" borderId="4" xfId="0" applyNumberFormat="1" applyFont="1" applyFill="1" applyBorder="1" applyAlignment="1">
      <alignment horizontal="right"/>
    </xf>
    <xf numFmtId="0" fontId="48" fillId="0" borderId="0" xfId="0" applyFont="1" applyFill="1"/>
    <xf numFmtId="0" fontId="54" fillId="0" borderId="0" xfId="0" applyFont="1" applyFill="1"/>
    <xf numFmtId="3" fontId="55" fillId="0" borderId="0" xfId="0" applyNumberFormat="1" applyFont="1"/>
    <xf numFmtId="0" fontId="55" fillId="0" borderId="0" xfId="0" applyFont="1"/>
    <xf numFmtId="0" fontId="55" fillId="0" borderId="0" xfId="0" applyFont="1" applyFill="1"/>
    <xf numFmtId="0" fontId="47" fillId="0" borderId="4" xfId="0" applyFont="1" applyBorder="1"/>
    <xf numFmtId="3" fontId="47" fillId="0" borderId="0" xfId="0" applyNumberFormat="1" applyFont="1" applyBorder="1" applyAlignment="1">
      <alignment horizontal="right"/>
    </xf>
    <xf numFmtId="3" fontId="32" fillId="0" borderId="0" xfId="0" applyNumberFormat="1" applyFont="1" applyBorder="1"/>
    <xf numFmtId="3" fontId="17" fillId="0" borderId="4" xfId="1" applyNumberFormat="1" applyFont="1" applyBorder="1"/>
    <xf numFmtId="0" fontId="0" fillId="0" borderId="0" xfId="0"/>
    <xf numFmtId="3" fontId="16" fillId="0" borderId="0" xfId="1" applyNumberFormat="1" applyFont="1" applyFill="1" applyBorder="1"/>
    <xf numFmtId="3" fontId="17" fillId="0" borderId="0" xfId="1" applyNumberFormat="1" applyFont="1"/>
    <xf numFmtId="3" fontId="17" fillId="0" borderId="1" xfId="1" applyNumberFormat="1" applyFont="1" applyBorder="1"/>
    <xf numFmtId="3" fontId="19" fillId="0" borderId="0" xfId="1" applyNumberFormat="1" applyFont="1" applyFill="1" applyBorder="1" applyAlignment="1">
      <alignment horizontal="right"/>
    </xf>
    <xf numFmtId="3" fontId="19" fillId="0" borderId="0" xfId="1" applyNumberFormat="1" applyFont="1" applyFill="1" applyBorder="1"/>
    <xf numFmtId="3" fontId="15" fillId="0" borderId="0" xfId="1" applyNumberFormat="1" applyFont="1"/>
    <xf numFmtId="3" fontId="19" fillId="0" borderId="0" xfId="1" applyNumberFormat="1" applyFont="1" applyFill="1"/>
    <xf numFmtId="3" fontId="19" fillId="0" borderId="0" xfId="1" applyNumberFormat="1" applyFont="1"/>
    <xf numFmtId="3" fontId="17" fillId="0" borderId="5" xfId="1" applyNumberFormat="1" applyFont="1" applyBorder="1" applyAlignment="1">
      <alignment horizontal="center"/>
    </xf>
    <xf numFmtId="3" fontId="23" fillId="0" borderId="0" xfId="1" applyNumberFormat="1" applyFont="1"/>
    <xf numFmtId="3" fontId="18" fillId="0" borderId="4" xfId="1" applyNumberFormat="1" applyFont="1" applyBorder="1" applyAlignment="1">
      <alignment horizontal="center"/>
    </xf>
    <xf numFmtId="3" fontId="19" fillId="0" borderId="4" xfId="1" applyNumberFormat="1" applyFont="1" applyFill="1" applyBorder="1"/>
    <xf numFmtId="3" fontId="16" fillId="0" borderId="0" xfId="1" applyNumberFormat="1" applyFont="1" applyFill="1"/>
    <xf numFmtId="3" fontId="19" fillId="0" borderId="0" xfId="1" applyNumberFormat="1" applyFont="1" applyAlignment="1">
      <alignment horizontal="left"/>
    </xf>
    <xf numFmtId="3" fontId="17" fillId="0" borderId="6" xfId="1" applyNumberFormat="1" applyFont="1" applyBorder="1" applyAlignment="1">
      <alignment horizontal="center"/>
    </xf>
    <xf numFmtId="3" fontId="16" fillId="0" borderId="0" xfId="1" applyNumberFormat="1" applyFont="1"/>
    <xf numFmtId="3" fontId="17" fillId="0" borderId="3" xfId="1" applyNumberFormat="1" applyFont="1" applyBorder="1"/>
    <xf numFmtId="3" fontId="17" fillId="0" borderId="0" xfId="1" applyNumberFormat="1" applyFont="1" applyFill="1" applyBorder="1" applyAlignment="1">
      <alignment horizontal="right"/>
    </xf>
    <xf numFmtId="3" fontId="17" fillId="3" borderId="2" xfId="1" applyNumberFormat="1" applyFont="1" applyFill="1" applyBorder="1" applyAlignment="1">
      <alignment horizontal="right"/>
    </xf>
    <xf numFmtId="3" fontId="17" fillId="0" borderId="11" xfId="1" applyNumberFormat="1" applyFont="1" applyBorder="1" applyAlignment="1">
      <alignment horizontal="center"/>
    </xf>
    <xf numFmtId="3" fontId="17" fillId="0" borderId="7" xfId="1" applyNumberFormat="1" applyFont="1" applyBorder="1" applyAlignment="1">
      <alignment horizontal="center"/>
    </xf>
    <xf numFmtId="3" fontId="15" fillId="0" borderId="12" xfId="1" applyNumberFormat="1" applyFont="1" applyBorder="1"/>
    <xf numFmtId="3" fontId="19" fillId="0" borderId="0" xfId="1" applyNumberFormat="1" applyFont="1" applyFill="1" applyAlignment="1">
      <alignment horizontal="left"/>
    </xf>
    <xf numFmtId="3" fontId="15" fillId="0" borderId="0" xfId="1" applyNumberFormat="1" applyFont="1" applyBorder="1"/>
    <xf numFmtId="3" fontId="19" fillId="3" borderId="3" xfId="1" applyNumberFormat="1" applyFont="1" applyFill="1" applyBorder="1" applyAlignment="1">
      <alignment horizontal="right"/>
    </xf>
    <xf numFmtId="3" fontId="19" fillId="3" borderId="6" xfId="1" applyNumberFormat="1" applyFont="1" applyFill="1" applyBorder="1" applyAlignment="1">
      <alignment horizontal="right"/>
    </xf>
    <xf numFmtId="3" fontId="17" fillId="0" borderId="0" xfId="1" applyNumberFormat="1" applyFont="1" applyBorder="1"/>
    <xf numFmtId="3" fontId="17" fillId="3" borderId="6" xfId="1" applyNumberFormat="1" applyFont="1" applyFill="1" applyBorder="1" applyAlignment="1">
      <alignment horizontal="right"/>
    </xf>
    <xf numFmtId="3" fontId="17" fillId="3" borderId="5" xfId="1" applyNumberFormat="1" applyFont="1" applyFill="1" applyBorder="1" applyAlignment="1">
      <alignment horizontal="right"/>
    </xf>
    <xf numFmtId="3" fontId="17" fillId="3" borderId="3" xfId="1" applyNumberFormat="1" applyFont="1" applyFill="1" applyBorder="1" applyAlignment="1">
      <alignment horizontal="right"/>
    </xf>
    <xf numFmtId="3" fontId="19" fillId="0" borderId="10" xfId="1" applyNumberFormat="1" applyFont="1" applyBorder="1" applyAlignment="1">
      <alignment horizontal="left"/>
    </xf>
    <xf numFmtId="3" fontId="17" fillId="0" borderId="0" xfId="1" applyNumberFormat="1" applyFont="1" applyFill="1" applyBorder="1" applyAlignment="1">
      <alignment horizontal="center"/>
    </xf>
    <xf numFmtId="3" fontId="18" fillId="0" borderId="0" xfId="1" applyNumberFormat="1" applyFont="1" applyFill="1" applyBorder="1" applyAlignment="1">
      <alignment horizontal="center"/>
    </xf>
    <xf numFmtId="3" fontId="19" fillId="3" borderId="2" xfId="1" applyNumberFormat="1" applyFont="1" applyFill="1" applyBorder="1" applyAlignment="1">
      <alignment horizontal="right"/>
    </xf>
    <xf numFmtId="3" fontId="32" fillId="0" borderId="3" xfId="0" applyNumberFormat="1" applyFont="1" applyBorder="1"/>
    <xf numFmtId="3" fontId="32" fillId="0" borderId="3" xfId="0" applyNumberFormat="1" applyFont="1" applyFill="1" applyBorder="1"/>
    <xf numFmtId="3" fontId="47" fillId="0" borderId="3" xfId="0" applyNumberFormat="1" applyFont="1" applyBorder="1"/>
    <xf numFmtId="3" fontId="47" fillId="0" borderId="0" xfId="0" applyNumberFormat="1" applyFont="1" applyBorder="1"/>
    <xf numFmtId="3" fontId="47" fillId="0" borderId="6" xfId="0" applyNumberFormat="1" applyFont="1" applyBorder="1"/>
    <xf numFmtId="3" fontId="32" fillId="0" borderId="0" xfId="0" applyNumberFormat="1" applyFont="1" applyBorder="1" applyAlignment="1">
      <alignment horizontal="right"/>
    </xf>
    <xf numFmtId="3" fontId="53" fillId="0" borderId="0" xfId="0" applyNumberFormat="1" applyFont="1" applyFill="1" applyBorder="1" applyAlignment="1">
      <alignment horizontal="right"/>
    </xf>
    <xf numFmtId="0" fontId="15" fillId="0" borderId="4" xfId="0" applyFont="1" applyBorder="1" applyAlignment="1">
      <alignment horizontal="center"/>
    </xf>
    <xf numFmtId="0" fontId="15" fillId="0" borderId="3" xfId="0" applyFont="1" applyBorder="1" applyAlignment="1">
      <alignment horizontal="center"/>
    </xf>
    <xf numFmtId="0" fontId="32" fillId="0" borderId="0" xfId="0" applyFont="1" applyFill="1" applyBorder="1"/>
    <xf numFmtId="3" fontId="19" fillId="2" borderId="3" xfId="1" applyNumberFormat="1" applyFont="1" applyFill="1" applyBorder="1" applyAlignment="1">
      <alignment horizontal="right"/>
    </xf>
    <xf numFmtId="0" fontId="19" fillId="0" borderId="0" xfId="0" applyFont="1" applyFill="1" applyBorder="1"/>
    <xf numFmtId="3" fontId="24" fillId="0" borderId="4" xfId="1" applyNumberFormat="1" applyFont="1" applyFill="1" applyBorder="1" applyAlignment="1">
      <alignment horizontal="right"/>
    </xf>
    <xf numFmtId="3" fontId="24" fillId="0" borderId="3" xfId="1" applyNumberFormat="1" applyFont="1" applyFill="1" applyBorder="1" applyAlignment="1">
      <alignment horizontal="right"/>
    </xf>
    <xf numFmtId="3" fontId="19" fillId="0" borderId="4" xfId="1" quotePrefix="1" applyNumberFormat="1" applyFont="1" applyFill="1" applyBorder="1" applyAlignment="1">
      <alignment horizontal="right"/>
    </xf>
    <xf numFmtId="167" fontId="47" fillId="0" borderId="4" xfId="0" applyNumberFormat="1" applyFont="1" applyBorder="1" applyAlignment="1">
      <alignment horizontal="left"/>
    </xf>
    <xf numFmtId="0" fontId="32" fillId="0" borderId="4" xfId="0" applyFont="1" applyBorder="1"/>
    <xf numFmtId="0" fontId="53" fillId="0" borderId="4" xfId="0" applyFont="1" applyFill="1" applyBorder="1"/>
    <xf numFmtId="0" fontId="47" fillId="0" borderId="11" xfId="0" applyFont="1" applyBorder="1"/>
    <xf numFmtId="3" fontId="32" fillId="0" borderId="3" xfId="0" applyNumberFormat="1" applyFont="1" applyBorder="1" applyAlignment="1">
      <alignment horizontal="right"/>
    </xf>
    <xf numFmtId="3" fontId="53" fillId="0" borderId="3" xfId="0" applyNumberFormat="1" applyFont="1" applyFill="1" applyBorder="1" applyAlignment="1">
      <alignment horizontal="right"/>
    </xf>
    <xf numFmtId="3" fontId="47" fillId="0" borderId="3" xfId="0" applyNumberFormat="1" applyFont="1" applyBorder="1" applyAlignment="1">
      <alignment horizontal="right"/>
    </xf>
    <xf numFmtId="3" fontId="47" fillId="0" borderId="6" xfId="0" applyNumberFormat="1" applyFont="1" applyBorder="1" applyAlignment="1">
      <alignment horizontal="right"/>
    </xf>
    <xf numFmtId="0" fontId="38" fillId="0" borderId="4" xfId="0" applyFont="1" applyBorder="1" applyAlignment="1">
      <alignment horizontal="right"/>
    </xf>
    <xf numFmtId="3" fontId="32" fillId="0" borderId="7" xfId="0" applyNumberFormat="1" applyFont="1" applyBorder="1" applyAlignment="1">
      <alignment horizontal="right"/>
    </xf>
    <xf numFmtId="3" fontId="32" fillId="0" borderId="14" xfId="0" applyNumberFormat="1" applyFont="1" applyBorder="1" applyAlignment="1">
      <alignment horizontal="right"/>
    </xf>
    <xf numFmtId="0" fontId="38" fillId="0" borderId="3" xfId="0" applyFont="1" applyBorder="1" applyAlignment="1">
      <alignment horizontal="right"/>
    </xf>
    <xf numFmtId="3" fontId="32" fillId="0" borderId="6" xfId="0" applyNumberFormat="1" applyFont="1" applyBorder="1" applyAlignment="1">
      <alignment horizontal="right"/>
    </xf>
    <xf numFmtId="3" fontId="17" fillId="0" borderId="0" xfId="0" applyNumberFormat="1" applyFont="1"/>
    <xf numFmtId="3" fontId="17" fillId="0" borderId="4" xfId="1" applyNumberFormat="1" applyFont="1" applyBorder="1" applyAlignment="1">
      <alignment horizontal="center"/>
    </xf>
    <xf numFmtId="3" fontId="19" fillId="0" borderId="0" xfId="0" applyNumberFormat="1" applyFont="1" applyBorder="1"/>
    <xf numFmtId="3" fontId="19" fillId="0" borderId="0" xfId="0" applyNumberFormat="1" applyFont="1"/>
    <xf numFmtId="3" fontId="17" fillId="0" borderId="0" xfId="0" applyNumberFormat="1" applyFont="1" applyBorder="1"/>
    <xf numFmtId="3" fontId="19" fillId="0" borderId="0" xfId="0" applyNumberFormat="1" applyFont="1" applyFill="1" applyBorder="1"/>
    <xf numFmtId="0" fontId="19" fillId="8" borderId="1" xfId="0" applyFont="1" applyFill="1" applyBorder="1"/>
    <xf numFmtId="0" fontId="19" fillId="8" borderId="15" xfId="0" applyFont="1" applyFill="1" applyBorder="1"/>
    <xf numFmtId="0" fontId="19" fillId="8" borderId="14" xfId="0" applyFont="1" applyFill="1" applyBorder="1"/>
    <xf numFmtId="0" fontId="17" fillId="8" borderId="1" xfId="0" applyFont="1" applyFill="1" applyBorder="1" applyAlignment="1">
      <alignment horizontal="center"/>
    </xf>
    <xf numFmtId="0" fontId="17" fillId="8" borderId="15" xfId="0" applyFont="1" applyFill="1" applyBorder="1" applyAlignment="1">
      <alignment horizontal="center"/>
    </xf>
    <xf numFmtId="0" fontId="17" fillId="8" borderId="14" xfId="0" applyFont="1" applyFill="1" applyBorder="1" applyAlignment="1">
      <alignment horizontal="center"/>
    </xf>
    <xf numFmtId="0" fontId="17" fillId="8" borderId="11" xfId="0" applyFont="1" applyFill="1" applyBorder="1" applyAlignment="1">
      <alignment horizontal="center"/>
    </xf>
    <xf numFmtId="0" fontId="17" fillId="8" borderId="5" xfId="0" applyFont="1" applyFill="1" applyBorder="1" applyAlignment="1">
      <alignment horizontal="center"/>
    </xf>
    <xf numFmtId="0" fontId="17" fillId="8" borderId="12" xfId="0" applyFont="1" applyFill="1" applyBorder="1" applyAlignment="1">
      <alignment horizontal="center"/>
    </xf>
    <xf numFmtId="0" fontId="17" fillId="8" borderId="3" xfId="0" applyFont="1" applyFill="1" applyBorder="1"/>
    <xf numFmtId="3" fontId="19" fillId="8" borderId="2" xfId="0" applyNumberFormat="1" applyFont="1" applyFill="1" applyBorder="1"/>
    <xf numFmtId="3" fontId="19" fillId="8" borderId="7" xfId="0" applyNumberFormat="1" applyFont="1" applyFill="1" applyBorder="1"/>
    <xf numFmtId="3" fontId="19" fillId="8" borderId="3" xfId="0" applyNumberFormat="1" applyFont="1" applyFill="1" applyBorder="1"/>
    <xf numFmtId="0" fontId="17" fillId="8" borderId="3" xfId="0" applyFont="1" applyFill="1" applyBorder="1" applyAlignment="1">
      <alignment horizontal="center"/>
    </xf>
    <xf numFmtId="0" fontId="17" fillId="8" borderId="2" xfId="0" applyFont="1" applyFill="1" applyBorder="1" applyAlignment="1">
      <alignment horizontal="center"/>
    </xf>
    <xf numFmtId="0" fontId="19" fillId="8" borderId="2" xfId="0" applyFont="1" applyFill="1" applyBorder="1"/>
    <xf numFmtId="0" fontId="19" fillId="8" borderId="3" xfId="0" applyFont="1" applyFill="1" applyBorder="1"/>
    <xf numFmtId="3" fontId="19" fillId="8" borderId="2" xfId="2" applyNumberFormat="1" applyFont="1" applyFill="1" applyBorder="1"/>
    <xf numFmtId="3" fontId="17" fillId="8" borderId="6" xfId="0" applyNumberFormat="1" applyFont="1" applyFill="1" applyBorder="1"/>
    <xf numFmtId="3" fontId="17" fillId="8" borderId="5" xfId="0" applyNumberFormat="1" applyFont="1" applyFill="1" applyBorder="1"/>
    <xf numFmtId="3" fontId="32" fillId="0" borderId="2" xfId="0" quotePrefix="1" applyNumberFormat="1" applyFont="1" applyBorder="1" applyAlignment="1">
      <alignment horizontal="right"/>
    </xf>
    <xf numFmtId="0" fontId="38" fillId="0" borderId="1" xfId="0" applyFont="1" applyBorder="1" applyAlignment="1">
      <alignment horizontal="right"/>
    </xf>
    <xf numFmtId="3" fontId="32" fillId="0" borderId="3" xfId="0" quotePrefix="1" applyNumberFormat="1" applyFont="1" applyBorder="1" applyAlignment="1">
      <alignment horizontal="right"/>
    </xf>
    <xf numFmtId="3" fontId="19" fillId="0" borderId="2" xfId="1" applyNumberFormat="1" applyFont="1" applyFill="1" applyBorder="1" applyAlignment="1">
      <alignment horizontal="right"/>
    </xf>
    <xf numFmtId="3" fontId="19" fillId="2" borderId="2" xfId="1" applyNumberFormat="1" applyFont="1" applyFill="1" applyBorder="1" applyAlignment="1">
      <alignment horizontal="right"/>
    </xf>
    <xf numFmtId="3" fontId="17" fillId="0" borderId="3" xfId="1" applyNumberFormat="1" applyFont="1" applyFill="1" applyBorder="1" applyAlignment="1">
      <alignment horizontal="right"/>
    </xf>
    <xf numFmtId="3" fontId="19" fillId="0" borderId="2" xfId="1" quotePrefix="1" applyNumberFormat="1" applyFont="1" applyFill="1" applyBorder="1" applyAlignment="1">
      <alignment horizontal="right"/>
    </xf>
    <xf numFmtId="3" fontId="19" fillId="0" borderId="6" xfId="1" quotePrefix="1" applyNumberFormat="1" applyFont="1" applyFill="1" applyBorder="1" applyAlignment="1">
      <alignment horizontal="right"/>
    </xf>
    <xf numFmtId="3" fontId="19" fillId="0" borderId="5" xfId="1" quotePrefix="1" applyNumberFormat="1" applyFont="1" applyFill="1" applyBorder="1" applyAlignment="1">
      <alignment horizontal="right"/>
    </xf>
    <xf numFmtId="3" fontId="19" fillId="3" borderId="0" xfId="1" applyNumberFormat="1" applyFont="1" applyFill="1" applyBorder="1" applyAlignment="1">
      <alignment horizontal="right"/>
    </xf>
    <xf numFmtId="165" fontId="57" fillId="7" borderId="3" xfId="844" applyNumberFormat="1" applyFont="1" applyBorder="1" applyAlignment="1">
      <alignment horizontal="right"/>
    </xf>
    <xf numFmtId="3" fontId="47" fillId="0" borderId="2" xfId="0" applyNumberFormat="1" applyFont="1" applyBorder="1"/>
    <xf numFmtId="3" fontId="15" fillId="0" borderId="9" xfId="1" applyNumberFormat="1" applyFont="1" applyBorder="1" applyAlignment="1">
      <alignment horizontal="center"/>
    </xf>
    <xf numFmtId="3" fontId="18" fillId="0" borderId="6" xfId="1" applyNumberFormat="1" applyFont="1" applyBorder="1" applyAlignment="1">
      <alignment horizontal="center"/>
    </xf>
    <xf numFmtId="3" fontId="17" fillId="0" borderId="3" xfId="1" applyNumberFormat="1" applyFont="1" applyBorder="1" applyAlignment="1">
      <alignment horizontal="center"/>
    </xf>
    <xf numFmtId="3" fontId="17" fillId="0" borderId="2" xfId="1" applyNumberFormat="1" applyFont="1" applyBorder="1" applyAlignment="1">
      <alignment horizontal="center"/>
    </xf>
    <xf numFmtId="3" fontId="15" fillId="0" borderId="1" xfId="1" applyNumberFormat="1" applyFont="1" applyBorder="1"/>
    <xf numFmtId="0" fontId="19" fillId="0" borderId="6" xfId="0" applyFont="1" applyBorder="1"/>
    <xf numFmtId="0" fontId="17" fillId="0" borderId="3" xfId="1" applyFont="1" applyBorder="1" applyAlignment="1">
      <alignment horizontal="center"/>
    </xf>
    <xf numFmtId="0" fontId="17" fillId="0" borderId="15" xfId="1" applyFont="1" applyBorder="1" applyAlignment="1">
      <alignment horizontal="center"/>
    </xf>
    <xf numFmtId="0" fontId="19" fillId="0" borderId="5" xfId="1" applyFont="1" applyFill="1" applyBorder="1"/>
    <xf numFmtId="0" fontId="19" fillId="0" borderId="9" xfId="1" applyFont="1" applyFill="1" applyBorder="1"/>
    <xf numFmtId="168" fontId="19" fillId="0" borderId="0" xfId="1" applyNumberFormat="1" applyFont="1" applyFill="1" applyBorder="1" applyAlignment="1">
      <alignment horizontal="center"/>
    </xf>
    <xf numFmtId="168" fontId="19" fillId="3" borderId="3" xfId="1" applyNumberFormat="1" applyFont="1" applyFill="1" applyBorder="1" applyAlignment="1">
      <alignment horizontal="right"/>
    </xf>
    <xf numFmtId="168" fontId="19" fillId="3" borderId="6" xfId="1" applyNumberFormat="1" applyFont="1" applyFill="1" applyBorder="1" applyAlignment="1">
      <alignment horizontal="right"/>
    </xf>
    <xf numFmtId="0" fontId="47" fillId="0" borderId="0" xfId="0" applyFont="1" applyBorder="1"/>
    <xf numFmtId="0" fontId="47" fillId="0" borderId="7" xfId="0" applyFont="1" applyBorder="1"/>
    <xf numFmtId="14" fontId="15" fillId="0" borderId="6" xfId="0" applyNumberFormat="1" applyFont="1" applyFill="1" applyBorder="1" applyAlignment="1">
      <alignment horizontal="left"/>
    </xf>
    <xf numFmtId="14" fontId="15" fillId="0" borderId="3" xfId="0" applyNumberFormat="1" applyFont="1" applyFill="1" applyBorder="1" applyAlignment="1">
      <alignment horizontal="center"/>
    </xf>
    <xf numFmtId="167" fontId="17" fillId="0" borderId="4" xfId="0" applyNumberFormat="1" applyFont="1" applyBorder="1" applyAlignment="1">
      <alignment horizontal="center"/>
    </xf>
    <xf numFmtId="167" fontId="17" fillId="0" borderId="11" xfId="0" applyNumberFormat="1" applyFont="1" applyBorder="1" applyAlignment="1">
      <alignment horizontal="center"/>
    </xf>
    <xf numFmtId="0" fontId="17" fillId="0" borderId="5" xfId="0" applyFont="1" applyBorder="1" applyAlignment="1">
      <alignment horizontal="center"/>
    </xf>
    <xf numFmtId="165" fontId="47" fillId="0" borderId="4" xfId="0" applyNumberFormat="1" applyFont="1" applyBorder="1" applyAlignment="1">
      <alignment horizontal="right"/>
    </xf>
    <xf numFmtId="165" fontId="47" fillId="0" borderId="3" xfId="0" applyNumberFormat="1" applyFont="1" applyBorder="1" applyAlignment="1">
      <alignment horizontal="right"/>
    </xf>
    <xf numFmtId="165" fontId="32" fillId="0" borderId="4" xfId="0" applyNumberFormat="1" applyFont="1" applyBorder="1" applyAlignment="1">
      <alignment horizontal="right"/>
    </xf>
    <xf numFmtId="165" fontId="32" fillId="0" borderId="3" xfId="0" applyNumberFormat="1" applyFont="1" applyBorder="1" applyAlignment="1">
      <alignment horizontal="right"/>
    </xf>
    <xf numFmtId="165" fontId="32" fillId="0" borderId="4" xfId="0" applyNumberFormat="1" applyFont="1" applyFill="1" applyBorder="1" applyAlignment="1">
      <alignment horizontal="right"/>
    </xf>
    <xf numFmtId="0" fontId="32" fillId="0" borderId="11" xfId="0" applyFont="1" applyBorder="1"/>
    <xf numFmtId="3" fontId="32" fillId="0" borderId="11" xfId="0" applyNumberFormat="1" applyFont="1" applyBorder="1"/>
    <xf numFmtId="165" fontId="32" fillId="0" borderId="11" xfId="0" applyNumberFormat="1" applyFont="1" applyBorder="1" applyAlignment="1">
      <alignment horizontal="right"/>
    </xf>
    <xf numFmtId="165" fontId="32" fillId="0" borderId="6" xfId="0" applyNumberFormat="1" applyFont="1" applyBorder="1" applyAlignment="1">
      <alignment horizontal="right"/>
    </xf>
    <xf numFmtId="3" fontId="47" fillId="0" borderId="3" xfId="0" applyNumberFormat="1" applyFont="1" applyFill="1" applyBorder="1" applyAlignment="1">
      <alignment horizontal="right"/>
    </xf>
    <xf numFmtId="0" fontId="44" fillId="9" borderId="0" xfId="0" applyFont="1" applyFill="1"/>
    <xf numFmtId="0" fontId="68" fillId="0" borderId="0" xfId="3" applyFont="1" applyAlignment="1" applyProtection="1"/>
    <xf numFmtId="0" fontId="43" fillId="0" borderId="0" xfId="0" applyFont="1" applyFill="1" applyAlignment="1">
      <alignment horizontal="center"/>
    </xf>
    <xf numFmtId="3" fontId="17" fillId="0" borderId="6" xfId="1" applyNumberFormat="1" applyFont="1" applyFill="1" applyBorder="1" applyAlignment="1">
      <alignment horizontal="right"/>
    </xf>
    <xf numFmtId="3" fontId="69" fillId="0" borderId="4" xfId="1" applyNumberFormat="1" applyFont="1" applyFill="1" applyBorder="1" applyAlignment="1">
      <alignment horizontal="right"/>
    </xf>
    <xf numFmtId="3" fontId="69" fillId="0" borderId="3" xfId="1" applyNumberFormat="1" applyFont="1" applyFill="1" applyBorder="1" applyAlignment="1">
      <alignment horizontal="right"/>
    </xf>
    <xf numFmtId="3" fontId="69" fillId="0" borderId="11" xfId="1" applyNumberFormat="1" applyFont="1" applyFill="1" applyBorder="1" applyAlignment="1">
      <alignment horizontal="right"/>
    </xf>
    <xf numFmtId="3" fontId="69" fillId="0" borderId="6" xfId="1" applyNumberFormat="1" applyFont="1" applyFill="1" applyBorder="1" applyAlignment="1">
      <alignment horizontal="right"/>
    </xf>
    <xf numFmtId="3" fontId="19" fillId="0" borderId="3" xfId="2" applyNumberFormat="1" applyFont="1" applyFill="1" applyBorder="1" applyAlignment="1">
      <alignment horizontal="right"/>
    </xf>
    <xf numFmtId="3" fontId="19" fillId="0" borderId="4" xfId="2" applyNumberFormat="1" applyFont="1" applyFill="1" applyBorder="1" applyAlignment="1">
      <alignment horizontal="right"/>
    </xf>
    <xf numFmtId="3" fontId="19" fillId="0" borderId="6" xfId="2" applyNumberFormat="1" applyFont="1" applyFill="1" applyBorder="1" applyAlignment="1">
      <alignment horizontal="right"/>
    </xf>
    <xf numFmtId="3" fontId="19" fillId="0" borderId="11" xfId="2" applyNumberFormat="1" applyFont="1" applyFill="1" applyBorder="1" applyAlignment="1">
      <alignment horizontal="right"/>
    </xf>
    <xf numFmtId="3" fontId="19" fillId="2" borderId="3" xfId="2" applyNumberFormat="1" applyFont="1" applyFill="1" applyBorder="1" applyAlignment="1">
      <alignment horizontal="right"/>
    </xf>
    <xf numFmtId="3" fontId="19" fillId="2" borderId="4" xfId="2" applyNumberFormat="1" applyFont="1" applyFill="1" applyBorder="1" applyAlignment="1">
      <alignment horizontal="right"/>
    </xf>
    <xf numFmtId="3" fontId="19" fillId="0" borderId="4" xfId="1" applyNumberFormat="1" applyFont="1" applyFill="1" applyBorder="1" applyAlignment="1">
      <alignment horizontal="right"/>
    </xf>
    <xf numFmtId="3" fontId="19" fillId="0" borderId="11" xfId="1" applyNumberFormat="1" applyFont="1" applyFill="1" applyBorder="1" applyAlignment="1">
      <alignment horizontal="right"/>
    </xf>
    <xf numFmtId="3" fontId="19" fillId="2" borderId="0" xfId="1" applyNumberFormat="1" applyFont="1" applyFill="1" applyBorder="1" applyAlignment="1">
      <alignment horizontal="right"/>
    </xf>
    <xf numFmtId="3" fontId="19" fillId="0" borderId="3" xfId="2" applyNumberFormat="1" applyFont="1" applyBorder="1" applyAlignment="1">
      <alignment horizontal="right"/>
    </xf>
    <xf numFmtId="3" fontId="19" fillId="0" borderId="4" xfId="2" applyNumberFormat="1" applyFont="1" applyBorder="1" applyAlignment="1">
      <alignment horizontal="right"/>
    </xf>
    <xf numFmtId="3" fontId="24" fillId="0" borderId="2" xfId="1" applyNumberFormat="1" applyFont="1" applyFill="1" applyBorder="1" applyAlignment="1">
      <alignment horizontal="right"/>
    </xf>
    <xf numFmtId="3" fontId="24" fillId="0" borderId="0" xfId="1" applyNumberFormat="1" applyFont="1" applyFill="1" applyBorder="1" applyAlignment="1">
      <alignment horizontal="right"/>
    </xf>
    <xf numFmtId="3" fontId="20" fillId="2" borderId="2" xfId="1" applyNumberFormat="1" applyFont="1" applyFill="1" applyBorder="1" applyAlignment="1">
      <alignment horizontal="right"/>
    </xf>
    <xf numFmtId="3" fontId="20" fillId="2" borderId="0" xfId="1" applyNumberFormat="1" applyFont="1" applyFill="1" applyBorder="1" applyAlignment="1">
      <alignment horizontal="right"/>
    </xf>
    <xf numFmtId="3" fontId="19" fillId="0" borderId="3" xfId="2" applyNumberFormat="1" applyFont="1" applyBorder="1" applyAlignment="1">
      <alignment horizontal="left"/>
    </xf>
    <xf numFmtId="0" fontId="15" fillId="0" borderId="0" xfId="1" applyFont="1" applyBorder="1" applyAlignment="1">
      <alignment horizontal="center"/>
    </xf>
    <xf numFmtId="0" fontId="15" fillId="0" borderId="0" xfId="1" applyFont="1" applyFill="1" applyBorder="1" applyAlignment="1">
      <alignment horizontal="center"/>
    </xf>
    <xf numFmtId="3" fontId="15" fillId="0" borderId="0" xfId="1" applyNumberFormat="1" applyFont="1" applyBorder="1" applyAlignment="1">
      <alignment horizontal="center"/>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5" fillId="0" borderId="0" xfId="1" applyNumberFormat="1" applyFont="1" applyFill="1" applyBorder="1" applyAlignment="1">
      <alignment horizontal="center"/>
    </xf>
    <xf numFmtId="3" fontId="15" fillId="0" borderId="12" xfId="1" applyNumberFormat="1" applyFont="1" applyBorder="1" applyAlignment="1">
      <alignment horizontal="center"/>
    </xf>
    <xf numFmtId="3" fontId="17" fillId="0" borderId="9" xfId="1" applyNumberFormat="1" applyFont="1" applyBorder="1" applyAlignment="1">
      <alignment horizontal="center"/>
    </xf>
    <xf numFmtId="3" fontId="17" fillId="0" borderId="1" xfId="1" applyNumberFormat="1" applyFont="1" applyBorder="1" applyAlignment="1">
      <alignment horizontal="center"/>
    </xf>
    <xf numFmtId="3" fontId="17" fillId="0" borderId="7" xfId="2" applyNumberFormat="1" applyFont="1" applyFill="1" applyBorder="1" applyAlignment="1">
      <alignment horizontal="right"/>
    </xf>
    <xf numFmtId="3" fontId="17" fillId="0" borderId="1" xfId="2" applyNumberFormat="1" applyFont="1" applyFill="1" applyBorder="1" applyAlignment="1">
      <alignment horizontal="right"/>
    </xf>
    <xf numFmtId="3" fontId="17" fillId="0" borderId="2" xfId="1"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0" borderId="5"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0" borderId="7" xfId="1" applyNumberFormat="1" applyFont="1" applyFill="1" applyBorder="1" applyAlignment="1">
      <alignment horizontal="right"/>
    </xf>
    <xf numFmtId="3" fontId="17" fillId="0" borderId="1" xfId="1" applyNumberFormat="1" applyFont="1" applyFill="1" applyBorder="1" applyAlignment="1">
      <alignment horizontal="right"/>
    </xf>
    <xf numFmtId="3" fontId="17" fillId="0" borderId="15" xfId="1" applyNumberFormat="1" applyFont="1" applyFill="1" applyBorder="1" applyAlignment="1">
      <alignment horizontal="right"/>
    </xf>
    <xf numFmtId="3" fontId="17" fillId="2" borderId="2" xfId="1" applyNumberFormat="1" applyFont="1" applyFill="1" applyBorder="1" applyAlignment="1">
      <alignment horizontal="right"/>
    </xf>
    <xf numFmtId="3" fontId="17" fillId="2" borderId="0" xfId="1" applyNumberFormat="1" applyFont="1" applyFill="1" applyBorder="1" applyAlignment="1">
      <alignment horizontal="right"/>
    </xf>
    <xf numFmtId="3" fontId="17" fillId="2" borderId="4" xfId="1" applyNumberFormat="1" applyFont="1" applyFill="1" applyBorder="1" applyAlignment="1">
      <alignment horizontal="right"/>
    </xf>
    <xf numFmtId="3" fontId="17" fillId="2" borderId="5" xfId="1" applyNumberFormat="1" applyFont="1" applyFill="1" applyBorder="1" applyAlignment="1">
      <alignment horizontal="right"/>
    </xf>
    <xf numFmtId="3" fontId="17" fillId="2" borderId="11" xfId="1" applyNumberFormat="1" applyFont="1" applyFill="1" applyBorder="1" applyAlignment="1">
      <alignment horizontal="right"/>
    </xf>
    <xf numFmtId="3" fontId="17" fillId="2" borderId="3" xfId="1" applyNumberFormat="1" applyFont="1" applyFill="1" applyBorder="1" applyAlignment="1">
      <alignment horizontal="right"/>
    </xf>
    <xf numFmtId="3" fontId="17" fillId="2" borderId="2" xfId="1" quotePrefix="1" applyNumberFormat="1" applyFont="1" applyFill="1" applyBorder="1" applyAlignment="1">
      <alignment horizontal="right"/>
    </xf>
    <xf numFmtId="3" fontId="17" fillId="2" borderId="6" xfId="1" applyNumberFormat="1" applyFont="1" applyFill="1" applyBorder="1" applyAlignment="1">
      <alignment horizontal="right"/>
    </xf>
    <xf numFmtId="14" fontId="18" fillId="0" borderId="10" xfId="1" applyNumberFormat="1" applyFont="1" applyBorder="1" applyAlignment="1"/>
    <xf numFmtId="0" fontId="0" fillId="0" borderId="8" xfId="0" applyBorder="1" applyAlignment="1"/>
    <xf numFmtId="3" fontId="17" fillId="0" borderId="2" xfId="1" quotePrefix="1" applyNumberFormat="1" applyFont="1" applyFill="1" applyBorder="1" applyAlignment="1">
      <alignment horizontal="right"/>
    </xf>
    <xf numFmtId="0" fontId="58" fillId="0" borderId="0" xfId="1" applyFont="1" applyFill="1"/>
    <xf numFmtId="0" fontId="16" fillId="0" borderId="0" xfId="1" applyFont="1" applyFill="1" applyAlignment="1">
      <alignment horizontal="right" vertical="top"/>
    </xf>
    <xf numFmtId="0" fontId="16" fillId="0" borderId="0" xfId="1" applyFont="1" applyAlignment="1">
      <alignment vertical="top" wrapText="1"/>
    </xf>
    <xf numFmtId="0" fontId="16" fillId="0" borderId="0" xfId="1" applyFont="1" applyFill="1" applyAlignment="1">
      <alignment horizontal="right"/>
    </xf>
    <xf numFmtId="0" fontId="16" fillId="0" borderId="0" xfId="1" applyFont="1" applyFill="1" applyAlignment="1">
      <alignment vertical="top" wrapText="1"/>
    </xf>
    <xf numFmtId="0" fontId="25" fillId="0" borderId="0" xfId="1" applyFont="1" applyFill="1"/>
    <xf numFmtId="0" fontId="16" fillId="0" borderId="0" xfId="1" applyFont="1" applyFill="1" applyAlignment="1">
      <alignment wrapText="1"/>
    </xf>
    <xf numFmtId="0" fontId="15" fillId="0" borderId="0" xfId="1" applyFont="1" applyFill="1" applyAlignment="1">
      <alignment horizontal="left"/>
    </xf>
    <xf numFmtId="3" fontId="32" fillId="4" borderId="3" xfId="0" applyNumberFormat="1" applyFont="1" applyFill="1" applyBorder="1" applyAlignment="1" applyProtection="1">
      <alignment horizontal="right"/>
      <protection locked="0"/>
    </xf>
    <xf numFmtId="0" fontId="70" fillId="0" borderId="0" xfId="0" applyFont="1" applyAlignment="1">
      <alignment horizontal="left" vertical="center" readingOrder="1"/>
    </xf>
    <xf numFmtId="0" fontId="19" fillId="0" borderId="0" xfId="1" applyFont="1" applyFill="1" applyBorder="1" applyAlignment="1">
      <alignment horizontal="left"/>
    </xf>
    <xf numFmtId="0" fontId="73" fillId="0" borderId="0" xfId="1" applyFont="1" applyFill="1" applyAlignment="1">
      <alignment horizontal="left"/>
    </xf>
    <xf numFmtId="0" fontId="20" fillId="0" borderId="0" xfId="1" applyFont="1" applyFill="1"/>
    <xf numFmtId="0" fontId="44" fillId="9" borderId="0" xfId="3" applyFont="1" applyFill="1" applyAlignment="1" applyProtection="1"/>
    <xf numFmtId="0" fontId="66" fillId="0" borderId="0" xfId="0" applyFont="1" applyFill="1"/>
    <xf numFmtId="0" fontId="67" fillId="0" borderId="0" xfId="0" applyFont="1" applyFill="1"/>
    <xf numFmtId="0" fontId="44" fillId="0" borderId="0" xfId="0" applyFont="1" applyFill="1"/>
    <xf numFmtId="0" fontId="42" fillId="0" borderId="0" xfId="0" applyFont="1" applyFill="1"/>
    <xf numFmtId="0" fontId="40" fillId="0" borderId="0" xfId="0" applyFont="1" applyFill="1"/>
    <xf numFmtId="0" fontId="44" fillId="0" borderId="0" xfId="3" applyFont="1" applyFill="1" applyAlignment="1" applyProtection="1"/>
    <xf numFmtId="3" fontId="17" fillId="3" borderId="7" xfId="1" applyNumberFormat="1" applyFont="1" applyFill="1" applyBorder="1" applyAlignment="1">
      <alignment horizontal="right"/>
    </xf>
    <xf numFmtId="0" fontId="74" fillId="0" borderId="0" xfId="1" applyFont="1" applyBorder="1" applyAlignment="1">
      <alignment horizontal="left"/>
    </xf>
    <xf numFmtId="3" fontId="69" fillId="0" borderId="2" xfId="1" applyNumberFormat="1" applyFont="1" applyFill="1" applyBorder="1" applyAlignment="1">
      <alignment horizontal="right"/>
    </xf>
    <xf numFmtId="3" fontId="61" fillId="0" borderId="2" xfId="1" applyNumberFormat="1" applyFont="1" applyFill="1" applyBorder="1" applyAlignment="1">
      <alignment horizontal="right"/>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7" fillId="0" borderId="9" xfId="1" applyNumberFormat="1" applyFont="1" applyBorder="1" applyAlignment="1">
      <alignment horizontal="center"/>
    </xf>
    <xf numFmtId="3" fontId="15" fillId="0" borderId="12" xfId="1" applyNumberFormat="1" applyFont="1" applyBorder="1" applyAlignment="1">
      <alignment horizontal="center"/>
    </xf>
    <xf numFmtId="3" fontId="15" fillId="0" borderId="0" xfId="1" applyNumberFormat="1" applyFont="1" applyBorder="1" applyAlignment="1">
      <alignment horizontal="center"/>
    </xf>
    <xf numFmtId="3" fontId="15" fillId="0" borderId="0" xfId="1" applyNumberFormat="1" applyFont="1" applyFill="1" applyBorder="1" applyAlignment="1">
      <alignment horizontal="center"/>
    </xf>
    <xf numFmtId="3" fontId="15" fillId="0" borderId="14" xfId="1" applyNumberFormat="1" applyFont="1" applyFill="1" applyBorder="1" applyAlignment="1">
      <alignment horizontal="center"/>
    </xf>
    <xf numFmtId="171" fontId="17" fillId="0" borderId="7" xfId="846" applyFont="1" applyFill="1" applyBorder="1" applyAlignment="1">
      <alignment horizontal="right"/>
    </xf>
    <xf numFmtId="171" fontId="17" fillId="0" borderId="1" xfId="846" applyFont="1" applyFill="1" applyBorder="1" applyAlignment="1">
      <alignment horizontal="right"/>
    </xf>
    <xf numFmtId="171" fontId="19" fillId="0" borderId="3" xfId="846" applyFont="1" applyBorder="1" applyAlignment="1">
      <alignment horizontal="right"/>
    </xf>
    <xf numFmtId="171" fontId="19" fillId="0" borderId="3" xfId="846" applyFont="1" applyFill="1" applyBorder="1" applyAlignment="1">
      <alignment horizontal="right"/>
    </xf>
    <xf numFmtId="171" fontId="19" fillId="0" borderId="4" xfId="846" applyFont="1" applyFill="1" applyBorder="1" applyAlignment="1">
      <alignment horizontal="right"/>
    </xf>
    <xf numFmtId="171" fontId="17" fillId="0" borderId="3" xfId="846" applyFont="1" applyFill="1" applyBorder="1" applyAlignment="1">
      <alignment horizontal="right"/>
    </xf>
    <xf numFmtId="171" fontId="17" fillId="0" borderId="4" xfId="846" applyFont="1" applyFill="1" applyBorder="1" applyAlignment="1">
      <alignment horizontal="right"/>
    </xf>
    <xf numFmtId="171" fontId="17" fillId="0" borderId="6" xfId="846" applyFont="1" applyFill="1" applyBorder="1" applyAlignment="1">
      <alignment horizontal="right"/>
    </xf>
    <xf numFmtId="171" fontId="17" fillId="0" borderId="11" xfId="846" applyFont="1" applyFill="1" applyBorder="1" applyAlignment="1">
      <alignment horizontal="right"/>
    </xf>
    <xf numFmtId="171" fontId="19" fillId="3" borderId="7" xfId="846" applyFont="1" applyFill="1" applyBorder="1" applyAlignment="1">
      <alignment horizontal="right"/>
    </xf>
    <xf numFmtId="171" fontId="19" fillId="3" borderId="2" xfId="846" applyFont="1" applyFill="1" applyBorder="1" applyAlignment="1">
      <alignment horizontal="right"/>
    </xf>
    <xf numFmtId="171" fontId="17" fillId="0" borderId="2" xfId="846" applyFont="1" applyFill="1" applyBorder="1" applyAlignment="1">
      <alignment horizontal="right"/>
    </xf>
    <xf numFmtId="171" fontId="19" fillId="3" borderId="3" xfId="846" applyFont="1" applyFill="1" applyBorder="1" applyAlignment="1">
      <alignment horizontal="right"/>
    </xf>
    <xf numFmtId="171" fontId="19" fillId="2" borderId="3" xfId="846" applyFont="1" applyFill="1" applyBorder="1" applyAlignment="1">
      <alignment horizontal="right"/>
    </xf>
    <xf numFmtId="171" fontId="19" fillId="2" borderId="4" xfId="846" applyFont="1" applyFill="1" applyBorder="1" applyAlignment="1">
      <alignment horizontal="right"/>
    </xf>
    <xf numFmtId="171" fontId="19" fillId="0" borderId="2" xfId="846" applyFont="1" applyFill="1" applyBorder="1" applyAlignment="1">
      <alignment horizontal="right"/>
    </xf>
    <xf numFmtId="171" fontId="19" fillId="3" borderId="6" xfId="846" applyFont="1" applyFill="1" applyBorder="1" applyAlignment="1">
      <alignment horizontal="right"/>
    </xf>
    <xf numFmtId="171" fontId="17" fillId="0" borderId="5" xfId="846" applyFont="1" applyFill="1" applyBorder="1" applyAlignment="1">
      <alignment horizontal="right"/>
    </xf>
    <xf numFmtId="171" fontId="17" fillId="0" borderId="15" xfId="846" applyFont="1" applyFill="1" applyBorder="1" applyAlignment="1">
      <alignment horizontal="right"/>
    </xf>
    <xf numFmtId="171" fontId="17" fillId="2" borderId="2" xfId="846" applyFont="1" applyFill="1" applyBorder="1" applyAlignment="1">
      <alignment horizontal="right"/>
    </xf>
    <xf numFmtId="171" fontId="17" fillId="2" borderId="0" xfId="846" applyFont="1" applyFill="1" applyBorder="1" applyAlignment="1">
      <alignment horizontal="right"/>
    </xf>
    <xf numFmtId="171" fontId="17" fillId="2" borderId="4" xfId="846" applyFont="1" applyFill="1" applyBorder="1" applyAlignment="1">
      <alignment horizontal="right"/>
    </xf>
    <xf numFmtId="171" fontId="17" fillId="2" borderId="5" xfId="846" applyFont="1" applyFill="1" applyBorder="1" applyAlignment="1">
      <alignment horizontal="right"/>
    </xf>
    <xf numFmtId="171" fontId="17" fillId="2" borderId="11" xfId="846" applyFont="1" applyFill="1" applyBorder="1" applyAlignment="1">
      <alignment horizontal="right"/>
    </xf>
    <xf numFmtId="171" fontId="19" fillId="0" borderId="4" xfId="846" applyFont="1" applyBorder="1" applyAlignment="1">
      <alignment horizontal="right"/>
    </xf>
    <xf numFmtId="171" fontId="19" fillId="0" borderId="6" xfId="846" applyFont="1" applyFill="1" applyBorder="1" applyAlignment="1">
      <alignment horizontal="right"/>
    </xf>
    <xf numFmtId="171" fontId="19" fillId="0" borderId="11" xfId="846" applyFont="1" applyFill="1" applyBorder="1" applyAlignment="1">
      <alignment horizontal="right"/>
    </xf>
    <xf numFmtId="171" fontId="69" fillId="0" borderId="2" xfId="846" applyFont="1" applyFill="1" applyBorder="1" applyAlignment="1">
      <alignment horizontal="right"/>
    </xf>
    <xf numFmtId="171" fontId="19" fillId="0" borderId="0" xfId="846" applyFont="1" applyFill="1" applyBorder="1" applyAlignment="1">
      <alignment horizontal="right"/>
    </xf>
    <xf numFmtId="171" fontId="24" fillId="0" borderId="2" xfId="846" applyFont="1" applyFill="1" applyBorder="1" applyAlignment="1">
      <alignment horizontal="right"/>
    </xf>
    <xf numFmtId="171" fontId="24" fillId="0" borderId="0" xfId="846" applyFont="1" applyFill="1" applyBorder="1" applyAlignment="1">
      <alignment horizontal="right"/>
    </xf>
    <xf numFmtId="171" fontId="20" fillId="2" borderId="2" xfId="846" applyFont="1" applyFill="1" applyBorder="1" applyAlignment="1">
      <alignment horizontal="right"/>
    </xf>
    <xf numFmtId="171" fontId="20" fillId="2" borderId="0" xfId="846" applyFont="1" applyFill="1" applyBorder="1" applyAlignment="1">
      <alignment horizontal="right"/>
    </xf>
    <xf numFmtId="171" fontId="19" fillId="2" borderId="2" xfId="846" applyFont="1" applyFill="1" applyBorder="1" applyAlignment="1">
      <alignment horizontal="right"/>
    </xf>
    <xf numFmtId="171" fontId="19" fillId="2" borderId="0" xfId="846" applyFont="1" applyFill="1" applyBorder="1" applyAlignment="1">
      <alignment horizontal="right"/>
    </xf>
    <xf numFmtId="171" fontId="17" fillId="0" borderId="0" xfId="846" applyFont="1" applyFill="1" applyBorder="1" applyAlignment="1">
      <alignment horizontal="right"/>
    </xf>
    <xf numFmtId="171" fontId="19" fillId="3" borderId="5" xfId="846" applyFont="1" applyFill="1" applyBorder="1" applyAlignment="1">
      <alignment horizontal="right"/>
    </xf>
    <xf numFmtId="171" fontId="19" fillId="3" borderId="0" xfId="846" applyFont="1" applyFill="1" applyBorder="1" applyAlignment="1">
      <alignment horizontal="right"/>
    </xf>
    <xf numFmtId="171" fontId="19" fillId="3" borderId="1" xfId="846" applyFont="1" applyFill="1" applyBorder="1" applyAlignment="1">
      <alignment horizontal="right"/>
    </xf>
    <xf numFmtId="171" fontId="19" fillId="3" borderId="4" xfId="846" applyFont="1" applyFill="1" applyBorder="1" applyAlignment="1">
      <alignment horizontal="right"/>
    </xf>
    <xf numFmtId="171" fontId="19" fillId="3" borderId="11" xfId="846" applyFont="1" applyFill="1" applyBorder="1" applyAlignment="1">
      <alignment horizontal="right"/>
    </xf>
    <xf numFmtId="3" fontId="15" fillId="0" borderId="12" xfId="1" applyNumberFormat="1" applyFont="1" applyBorder="1" applyAlignment="1">
      <alignment horizontal="center"/>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5" fillId="0" borderId="0" xfId="1" applyNumberFormat="1" applyFont="1" applyBorder="1" applyAlignment="1">
      <alignment horizontal="center"/>
    </xf>
    <xf numFmtId="3" fontId="15" fillId="0" borderId="0" xfId="1" applyNumberFormat="1" applyFont="1" applyFill="1" applyBorder="1" applyAlignment="1">
      <alignment horizontal="center"/>
    </xf>
    <xf numFmtId="3" fontId="17" fillId="0" borderId="9" xfId="1" applyNumberFormat="1" applyFont="1" applyBorder="1" applyAlignment="1">
      <alignment horizontal="center"/>
    </xf>
    <xf numFmtId="165" fontId="32" fillId="0" borderId="3" xfId="0" applyNumberFormat="1" applyFont="1" applyBorder="1"/>
    <xf numFmtId="165" fontId="47" fillId="0" borderId="3" xfId="0" applyNumberFormat="1" applyFont="1" applyBorder="1"/>
    <xf numFmtId="165" fontId="32" fillId="0" borderId="3" xfId="0" applyNumberFormat="1" applyFont="1" applyFill="1" applyBorder="1"/>
    <xf numFmtId="165" fontId="47" fillId="0" borderId="6" xfId="0" applyNumberFormat="1" applyFont="1" applyBorder="1"/>
    <xf numFmtId="172" fontId="19" fillId="3" borderId="2" xfId="846" applyNumberFormat="1" applyFont="1" applyFill="1" applyBorder="1" applyAlignment="1">
      <alignment horizontal="right"/>
    </xf>
    <xf numFmtId="172" fontId="19" fillId="3" borderId="3" xfId="846" applyNumberFormat="1" applyFont="1" applyFill="1" applyBorder="1" applyAlignment="1">
      <alignment horizontal="right"/>
    </xf>
    <xf numFmtId="172" fontId="19" fillId="3" borderId="6" xfId="846" applyNumberFormat="1" applyFont="1" applyFill="1" applyBorder="1" applyAlignment="1">
      <alignment horizontal="right"/>
    </xf>
    <xf numFmtId="165" fontId="17" fillId="0" borderId="6" xfId="1" applyNumberFormat="1" applyFont="1" applyBorder="1" applyAlignment="1">
      <alignment horizontal="center"/>
    </xf>
    <xf numFmtId="165" fontId="19" fillId="3" borderId="0" xfId="1" applyNumberFormat="1" applyFont="1" applyFill="1" applyBorder="1" applyAlignment="1">
      <alignment horizontal="right"/>
    </xf>
    <xf numFmtId="165" fontId="19" fillId="3" borderId="5" xfId="1" applyNumberFormat="1" applyFont="1" applyFill="1" applyBorder="1" applyAlignment="1">
      <alignment horizontal="right"/>
    </xf>
    <xf numFmtId="0" fontId="19" fillId="0" borderId="4" xfId="1" applyFont="1" applyBorder="1"/>
    <xf numFmtId="0" fontId="17" fillId="0" borderId="0" xfId="1" applyFont="1" applyFill="1"/>
    <xf numFmtId="49" fontId="17" fillId="0" borderId="0" xfId="1" applyNumberFormat="1" applyFont="1" applyFill="1" applyBorder="1" applyAlignment="1">
      <alignment horizontal="right"/>
    </xf>
    <xf numFmtId="49" fontId="17" fillId="0" borderId="0" xfId="1" applyNumberFormat="1" applyFont="1" applyFill="1" applyBorder="1" applyAlignment="1">
      <alignment horizontal="center"/>
    </xf>
    <xf numFmtId="3" fontId="17" fillId="0" borderId="0" xfId="1" quotePrefix="1" applyNumberFormat="1" applyFont="1" applyFill="1" applyBorder="1" applyAlignment="1">
      <alignment horizontal="center"/>
    </xf>
    <xf numFmtId="171" fontId="17" fillId="3" borderId="7" xfId="846" applyFont="1" applyFill="1" applyBorder="1" applyAlignment="1">
      <alignment horizontal="right"/>
    </xf>
    <xf numFmtId="172" fontId="17" fillId="3" borderId="2" xfId="846" applyNumberFormat="1" applyFont="1" applyFill="1" applyBorder="1" applyAlignment="1">
      <alignment horizontal="right"/>
    </xf>
    <xf numFmtId="3" fontId="17" fillId="0" borderId="0" xfId="1" applyNumberFormat="1" applyFont="1" applyFill="1"/>
    <xf numFmtId="168" fontId="17" fillId="3" borderId="7" xfId="1" applyNumberFormat="1" applyFont="1" applyFill="1" applyBorder="1" applyAlignment="1">
      <alignment horizontal="right"/>
    </xf>
    <xf numFmtId="168" fontId="17" fillId="3" borderId="3" xfId="1" applyNumberFormat="1" applyFont="1" applyFill="1" applyBorder="1" applyAlignment="1">
      <alignment horizontal="right"/>
    </xf>
    <xf numFmtId="168" fontId="17" fillId="3" borderId="6" xfId="1" applyNumberFormat="1" applyFont="1" applyFill="1" applyBorder="1" applyAlignment="1">
      <alignment horizontal="right"/>
    </xf>
    <xf numFmtId="3" fontId="17" fillId="3" borderId="0" xfId="1" applyNumberFormat="1" applyFont="1" applyFill="1" applyBorder="1" applyAlignment="1">
      <alignment horizontal="right"/>
    </xf>
    <xf numFmtId="3" fontId="17" fillId="3" borderId="1" xfId="1" applyNumberFormat="1" applyFont="1" applyFill="1" applyBorder="1" applyAlignment="1">
      <alignment horizontal="right"/>
    </xf>
    <xf numFmtId="3" fontId="17" fillId="3" borderId="4" xfId="1" applyNumberFormat="1" applyFont="1" applyFill="1" applyBorder="1" applyAlignment="1">
      <alignment horizontal="right"/>
    </xf>
    <xf numFmtId="3" fontId="17" fillId="3" borderId="11" xfId="1" applyNumberFormat="1" applyFont="1" applyFill="1" applyBorder="1" applyAlignment="1">
      <alignment horizontal="right"/>
    </xf>
    <xf numFmtId="165" fontId="17" fillId="3" borderId="0" xfId="1" applyNumberFormat="1" applyFont="1" applyFill="1" applyBorder="1" applyAlignment="1">
      <alignment horizontal="right"/>
    </xf>
    <xf numFmtId="0" fontId="15" fillId="0" borderId="0" xfId="1" applyFont="1" applyBorder="1" applyAlignment="1">
      <alignment horizontal="center"/>
    </xf>
    <xf numFmtId="3" fontId="62" fillId="4" borderId="3" xfId="0" applyNumberFormat="1" applyFont="1" applyFill="1" applyBorder="1" applyAlignment="1" applyProtection="1">
      <alignment horizontal="right"/>
      <protection locked="0"/>
    </xf>
    <xf numFmtId="3" fontId="32" fillId="4" borderId="4" xfId="0" applyNumberFormat="1" applyFont="1" applyFill="1" applyBorder="1" applyAlignment="1" applyProtection="1">
      <alignment horizontal="right"/>
      <protection locked="0"/>
    </xf>
    <xf numFmtId="3" fontId="32" fillId="4" borderId="4" xfId="847" applyNumberFormat="1" applyFont="1" applyFill="1" applyBorder="1" applyAlignment="1" applyProtection="1">
      <alignment horizontal="right"/>
      <protection locked="0"/>
    </xf>
    <xf numFmtId="3" fontId="32" fillId="4" borderId="4" xfId="0" applyNumberFormat="1" applyFont="1" applyFill="1" applyBorder="1" applyAlignment="1" applyProtection="1">
      <alignment horizontal="right"/>
    </xf>
    <xf numFmtId="3" fontId="47" fillId="4" borderId="3" xfId="0" applyNumberFormat="1" applyFont="1" applyFill="1" applyBorder="1" applyAlignment="1" applyProtection="1">
      <alignment horizontal="right"/>
      <protection locked="0"/>
    </xf>
    <xf numFmtId="3" fontId="47" fillId="0" borderId="3" xfId="0" applyNumberFormat="1" applyFont="1" applyBorder="1" applyAlignment="1" applyProtection="1">
      <alignment horizontal="right"/>
      <protection locked="0"/>
    </xf>
    <xf numFmtId="3" fontId="47" fillId="0" borderId="3" xfId="0" applyNumberFormat="1" applyFont="1" applyFill="1" applyBorder="1" applyAlignment="1" applyProtection="1">
      <alignment horizontal="right"/>
      <protection locked="0"/>
    </xf>
    <xf numFmtId="3" fontId="32" fillId="0" borderId="4" xfId="0" applyNumberFormat="1" applyFont="1" applyFill="1" applyBorder="1" applyAlignment="1" applyProtection="1">
      <alignment horizontal="right"/>
      <protection locked="0"/>
    </xf>
    <xf numFmtId="3" fontId="32" fillId="0" borderId="3" xfId="0" applyNumberFormat="1" applyFont="1" applyFill="1" applyBorder="1" applyAlignment="1" applyProtection="1">
      <alignment horizontal="right"/>
      <protection locked="0"/>
    </xf>
    <xf numFmtId="3" fontId="32" fillId="0" borderId="4" xfId="0" applyNumberFormat="1" applyFont="1" applyFill="1" applyBorder="1" applyAlignment="1" applyProtection="1">
      <alignment horizontal="right"/>
    </xf>
    <xf numFmtId="3" fontId="32" fillId="0" borderId="3" xfId="845" applyNumberFormat="1" applyFont="1" applyFill="1" applyBorder="1" applyAlignment="1" applyProtection="1">
      <alignment horizontal="right"/>
      <protection locked="0"/>
    </xf>
    <xf numFmtId="3" fontId="32" fillId="0" borderId="3" xfId="0" applyNumberFormat="1" applyFont="1" applyBorder="1" applyAlignment="1" applyProtection="1">
      <alignment horizontal="right"/>
      <protection locked="0"/>
    </xf>
    <xf numFmtId="3" fontId="32" fillId="4" borderId="3" xfId="845" applyNumberFormat="1" applyFont="1" applyFill="1" applyBorder="1" applyAlignment="1" applyProtection="1">
      <alignment horizontal="right"/>
      <protection locked="0"/>
    </xf>
    <xf numFmtId="3" fontId="47" fillId="4" borderId="4" xfId="0" applyNumberFormat="1" applyFont="1" applyFill="1" applyBorder="1" applyAlignment="1" applyProtection="1">
      <alignment horizontal="right"/>
      <protection locked="0"/>
    </xf>
    <xf numFmtId="3" fontId="47" fillId="4" borderId="4" xfId="0" applyNumberFormat="1" applyFont="1" applyFill="1" applyBorder="1" applyAlignment="1" applyProtection="1">
      <alignment horizontal="right"/>
    </xf>
    <xf numFmtId="3" fontId="47" fillId="4" borderId="3" xfId="845" applyNumberFormat="1" applyFont="1" applyFill="1" applyBorder="1" applyAlignment="1" applyProtection="1">
      <alignment horizontal="right"/>
      <protection locked="0"/>
    </xf>
    <xf numFmtId="3" fontId="47" fillId="0" borderId="4" xfId="0" applyNumberFormat="1" applyFont="1" applyFill="1" applyBorder="1" applyAlignment="1" applyProtection="1">
      <alignment horizontal="right"/>
    </xf>
    <xf numFmtId="3" fontId="47" fillId="0" borderId="6" xfId="0" applyNumberFormat="1" applyFont="1" applyBorder="1" applyAlignment="1" applyProtection="1">
      <alignment horizontal="right"/>
      <protection locked="0"/>
    </xf>
    <xf numFmtId="3" fontId="47" fillId="4" borderId="6" xfId="0" applyNumberFormat="1" applyFont="1" applyFill="1" applyBorder="1" applyAlignment="1" applyProtection="1">
      <alignment horizontal="right"/>
      <protection locked="0"/>
    </xf>
    <xf numFmtId="3" fontId="47" fillId="4" borderId="6" xfId="845" applyNumberFormat="1" applyFont="1" applyFill="1" applyBorder="1" applyAlignment="1" applyProtection="1">
      <alignment horizontal="right"/>
      <protection locked="0"/>
    </xf>
    <xf numFmtId="3" fontId="52" fillId="4" borderId="11" xfId="0" applyNumberFormat="1" applyFont="1" applyFill="1" applyBorder="1" applyProtection="1">
      <protection locked="0"/>
    </xf>
    <xf numFmtId="169" fontId="17" fillId="0" borderId="6" xfId="0" applyNumberFormat="1" applyFont="1" applyFill="1" applyBorder="1" applyAlignment="1" applyProtection="1">
      <alignment horizontal="center"/>
      <protection locked="0"/>
    </xf>
    <xf numFmtId="3" fontId="62" fillId="4" borderId="4" xfId="0" applyNumberFormat="1" applyFont="1" applyFill="1" applyBorder="1" applyProtection="1">
      <protection locked="0"/>
    </xf>
    <xf numFmtId="0" fontId="47" fillId="0" borderId="4" xfId="0" applyFont="1" applyFill="1" applyBorder="1" applyProtection="1">
      <protection locked="0"/>
    </xf>
    <xf numFmtId="3" fontId="47" fillId="4" borderId="4" xfId="0" applyNumberFormat="1" applyFont="1" applyFill="1" applyBorder="1" applyProtection="1">
      <protection locked="0"/>
    </xf>
    <xf numFmtId="0" fontId="32" fillId="0" borderId="4" xfId="0" applyFont="1" applyFill="1" applyBorder="1" applyProtection="1">
      <protection locked="0"/>
    </xf>
    <xf numFmtId="0" fontId="32" fillId="0" borderId="3" xfId="0" applyFont="1" applyFill="1" applyBorder="1" applyProtection="1">
      <protection locked="0"/>
    </xf>
    <xf numFmtId="0" fontId="21" fillId="0" borderId="3" xfId="0" applyFont="1" applyFill="1" applyBorder="1" applyProtection="1">
      <protection locked="0"/>
    </xf>
    <xf numFmtId="0" fontId="47" fillId="0" borderId="11" xfId="0" applyFont="1" applyFill="1" applyBorder="1" applyProtection="1">
      <protection locked="0"/>
    </xf>
    <xf numFmtId="0" fontId="32" fillId="0" borderId="0" xfId="0" applyFont="1" applyProtection="1">
      <protection locked="0"/>
    </xf>
    <xf numFmtId="0" fontId="0" fillId="0" borderId="0" xfId="0" applyProtection="1">
      <protection locked="0"/>
    </xf>
    <xf numFmtId="0" fontId="21" fillId="0" borderId="0" xfId="0" applyFont="1" applyProtection="1">
      <protection locked="0"/>
    </xf>
    <xf numFmtId="3" fontId="32" fillId="0" borderId="0" xfId="0" applyNumberFormat="1" applyFont="1" applyBorder="1" applyProtection="1">
      <protection locked="0"/>
    </xf>
    <xf numFmtId="0" fontId="63" fillId="0" borderId="0" xfId="0" applyFont="1" applyProtection="1">
      <protection locked="0"/>
    </xf>
    <xf numFmtId="3" fontId="64" fillId="0" borderId="0" xfId="0" applyNumberFormat="1" applyFont="1" applyBorder="1" applyProtection="1">
      <protection locked="0"/>
    </xf>
    <xf numFmtId="0" fontId="43" fillId="0" borderId="0" xfId="0" applyFont="1" applyProtection="1">
      <protection locked="0"/>
    </xf>
    <xf numFmtId="0" fontId="19" fillId="0" borderId="0" xfId="3" applyFont="1" applyFill="1" applyAlignment="1" applyProtection="1">
      <protection locked="0"/>
    </xf>
    <xf numFmtId="0" fontId="59" fillId="0" borderId="0" xfId="0" applyFont="1" applyProtection="1">
      <protection locked="0"/>
    </xf>
    <xf numFmtId="165" fontId="0" fillId="0" borderId="0" xfId="0" applyNumberFormat="1" applyProtection="1">
      <protection locked="0"/>
    </xf>
    <xf numFmtId="3" fontId="60" fillId="4" borderId="12" xfId="0" applyNumberFormat="1" applyFont="1" applyFill="1" applyBorder="1" applyProtection="1">
      <protection locked="0"/>
    </xf>
    <xf numFmtId="3" fontId="61" fillId="4" borderId="0" xfId="0" applyNumberFormat="1" applyFont="1" applyFill="1" applyBorder="1" applyProtection="1">
      <protection locked="0"/>
    </xf>
    <xf numFmtId="165" fontId="0" fillId="0" borderId="0" xfId="0" applyNumberFormat="1" applyBorder="1" applyProtection="1">
      <protection locked="0"/>
    </xf>
    <xf numFmtId="14" fontId="15" fillId="0" borderId="7" xfId="0" applyNumberFormat="1" applyFont="1" applyFill="1" applyBorder="1" applyAlignment="1" applyProtection="1">
      <alignment horizontal="left"/>
      <protection locked="0"/>
    </xf>
    <xf numFmtId="3" fontId="15" fillId="0" borderId="8" xfId="0" quotePrefix="1" applyNumberFormat="1" applyFont="1" applyFill="1" applyBorder="1" applyProtection="1">
      <protection locked="0"/>
    </xf>
    <xf numFmtId="3" fontId="15" fillId="0" borderId="9" xfId="0" quotePrefix="1" applyNumberFormat="1" applyFont="1" applyFill="1" applyBorder="1" applyProtection="1">
      <protection locked="0"/>
    </xf>
    <xf numFmtId="3" fontId="15" fillId="0" borderId="10" xfId="0" quotePrefix="1" applyNumberFormat="1" applyFont="1" applyFill="1" applyBorder="1" applyProtection="1">
      <protection locked="0"/>
    </xf>
    <xf numFmtId="0" fontId="19" fillId="0" borderId="8" xfId="0" applyFont="1" applyBorder="1" applyProtection="1">
      <protection locked="0"/>
    </xf>
    <xf numFmtId="0" fontId="19" fillId="0" borderId="10" xfId="0" applyFont="1" applyBorder="1" applyProtection="1">
      <protection locked="0"/>
    </xf>
    <xf numFmtId="0" fontId="19" fillId="0" borderId="9" xfId="0" applyFont="1" applyBorder="1" applyProtection="1">
      <protection locked="0"/>
    </xf>
    <xf numFmtId="165" fontId="19" fillId="4" borderId="0" xfId="0" applyNumberFormat="1" applyFont="1" applyFill="1" applyBorder="1" applyProtection="1">
      <protection locked="0"/>
    </xf>
    <xf numFmtId="0" fontId="19" fillId="4" borderId="0" xfId="0" applyFont="1" applyFill="1" applyBorder="1" applyProtection="1">
      <protection locked="0"/>
    </xf>
    <xf numFmtId="3" fontId="47" fillId="0" borderId="1" xfId="0" applyNumberFormat="1" applyFont="1" applyFill="1" applyBorder="1" applyProtection="1">
      <protection locked="0"/>
    </xf>
    <xf numFmtId="0" fontId="0" fillId="0" borderId="0" xfId="0" applyBorder="1" applyProtection="1">
      <protection locked="0"/>
    </xf>
    <xf numFmtId="0" fontId="47" fillId="4" borderId="0" xfId="0" applyNumberFormat="1" applyFont="1" applyFill="1" applyBorder="1" applyAlignment="1" applyProtection="1">
      <alignment horizontal="center"/>
      <protection locked="0"/>
    </xf>
    <xf numFmtId="3" fontId="47" fillId="0" borderId="4" xfId="0" applyNumberFormat="1" applyFont="1" applyFill="1" applyBorder="1" applyProtection="1">
      <protection locked="0"/>
    </xf>
    <xf numFmtId="0" fontId="17" fillId="0" borderId="7" xfId="0" applyNumberFormat="1" applyFont="1" applyFill="1" applyBorder="1" applyAlignment="1" applyProtection="1">
      <alignment horizontal="center"/>
      <protection locked="0"/>
    </xf>
    <xf numFmtId="169" fontId="15" fillId="4" borderId="0" xfId="0" applyNumberFormat="1" applyFont="1" applyFill="1" applyBorder="1" applyAlignment="1" applyProtection="1">
      <alignment horizontal="center"/>
      <protection locked="0"/>
    </xf>
    <xf numFmtId="0" fontId="15" fillId="4" borderId="0" xfId="0" applyNumberFormat="1" applyFont="1" applyFill="1" applyBorder="1" applyAlignment="1" applyProtection="1">
      <alignment horizontal="center"/>
      <protection locked="0"/>
    </xf>
    <xf numFmtId="0" fontId="21" fillId="0" borderId="0" xfId="0" applyFont="1" applyBorder="1" applyProtection="1">
      <protection locked="0"/>
    </xf>
    <xf numFmtId="0" fontId="21" fillId="0" borderId="0" xfId="0" applyFont="1" applyFill="1" applyBorder="1" applyProtection="1">
      <protection locked="0"/>
    </xf>
    <xf numFmtId="0" fontId="21" fillId="0" borderId="0" xfId="0" applyFont="1" applyFill="1" applyProtection="1">
      <protection locked="0"/>
    </xf>
    <xf numFmtId="3" fontId="21" fillId="0" borderId="0" xfId="0" applyNumberFormat="1" applyFont="1" applyFill="1" applyProtection="1">
      <protection locked="0"/>
    </xf>
    <xf numFmtId="3" fontId="21" fillId="0" borderId="0" xfId="0" applyNumberFormat="1" applyFont="1" applyProtection="1">
      <protection locked="0"/>
    </xf>
    <xf numFmtId="3" fontId="21" fillId="0" borderId="0" xfId="0" applyNumberFormat="1" applyFont="1" applyBorder="1" applyProtection="1">
      <protection locked="0"/>
    </xf>
    <xf numFmtId="0" fontId="51" fillId="0" borderId="0" xfId="0" applyFont="1" applyBorder="1" applyProtection="1">
      <protection locked="0"/>
    </xf>
    <xf numFmtId="3" fontId="51" fillId="0" borderId="0" xfId="0" applyNumberFormat="1" applyFont="1" applyProtection="1">
      <protection locked="0"/>
    </xf>
    <xf numFmtId="0" fontId="51" fillId="0" borderId="0" xfId="0" applyFont="1" applyProtection="1">
      <protection locked="0"/>
    </xf>
    <xf numFmtId="0" fontId="63" fillId="0" borderId="0" xfId="0" applyFont="1" applyBorder="1" applyProtection="1">
      <protection locked="0"/>
    </xf>
    <xf numFmtId="0" fontId="16" fillId="0" borderId="0" xfId="0" applyFont="1" applyProtection="1">
      <protection locked="0"/>
    </xf>
    <xf numFmtId="0" fontId="65" fillId="0" borderId="0" xfId="0" applyFont="1" applyProtection="1">
      <protection locked="0"/>
    </xf>
    <xf numFmtId="0" fontId="43" fillId="0" borderId="0" xfId="1" applyFont="1" applyProtection="1">
      <protection locked="0"/>
    </xf>
    <xf numFmtId="0" fontId="59" fillId="0" borderId="0" xfId="1" applyFont="1" applyProtection="1">
      <protection locked="0"/>
    </xf>
    <xf numFmtId="0" fontId="21" fillId="0" borderId="0" xfId="1" applyProtection="1">
      <protection locked="0"/>
    </xf>
    <xf numFmtId="0" fontId="21" fillId="0" borderId="0" xfId="1" applyFont="1" applyProtection="1">
      <protection locked="0"/>
    </xf>
    <xf numFmtId="3" fontId="47" fillId="4" borderId="0" xfId="1" applyNumberFormat="1" applyFont="1" applyFill="1" applyProtection="1">
      <protection locked="0"/>
    </xf>
    <xf numFmtId="3" fontId="17" fillId="4" borderId="0" xfId="1" applyNumberFormat="1" applyFont="1" applyFill="1" applyProtection="1">
      <protection locked="0"/>
    </xf>
    <xf numFmtId="3" fontId="15" fillId="0" borderId="8" xfId="1" quotePrefix="1" applyNumberFormat="1" applyFont="1" applyFill="1" applyBorder="1" applyAlignment="1" applyProtection="1">
      <alignment horizontal="center"/>
      <protection locked="0"/>
    </xf>
    <xf numFmtId="3" fontId="15" fillId="0" borderId="9" xfId="1" quotePrefix="1" applyNumberFormat="1" applyFont="1" applyFill="1" applyBorder="1" applyAlignment="1" applyProtection="1">
      <alignment horizontal="center"/>
      <protection locked="0"/>
    </xf>
    <xf numFmtId="3" fontId="15" fillId="0" borderId="10" xfId="1" quotePrefix="1" applyNumberFormat="1" applyFont="1" applyFill="1" applyBorder="1" applyAlignment="1" applyProtection="1">
      <alignment horizontal="center"/>
      <protection locked="0"/>
    </xf>
    <xf numFmtId="0" fontId="19" fillId="0" borderId="8" xfId="1" applyFont="1" applyBorder="1" applyProtection="1">
      <protection locked="0"/>
    </xf>
    <xf numFmtId="0" fontId="19" fillId="0" borderId="10" xfId="1" applyFont="1" applyBorder="1" applyProtection="1">
      <protection locked="0"/>
    </xf>
    <xf numFmtId="0" fontId="19" fillId="0" borderId="9" xfId="1" applyFont="1" applyBorder="1" applyProtection="1">
      <protection locked="0"/>
    </xf>
    <xf numFmtId="0" fontId="19" fillId="4" borderId="10" xfId="1" applyFont="1" applyFill="1" applyBorder="1" applyProtection="1">
      <protection locked="0"/>
    </xf>
    <xf numFmtId="0" fontId="19" fillId="4" borderId="8" xfId="1" applyFont="1" applyFill="1" applyBorder="1" applyProtection="1">
      <protection locked="0"/>
    </xf>
    <xf numFmtId="0" fontId="19" fillId="4" borderId="9" xfId="1" applyFont="1" applyFill="1" applyBorder="1" applyProtection="1">
      <protection locked="0"/>
    </xf>
    <xf numFmtId="0" fontId="21" fillId="0" borderId="9" xfId="1" applyFont="1" applyBorder="1" applyProtection="1">
      <protection locked="0"/>
    </xf>
    <xf numFmtId="3" fontId="47" fillId="0" borderId="1" xfId="1" applyNumberFormat="1" applyFont="1" applyFill="1" applyBorder="1" applyProtection="1">
      <protection locked="0"/>
    </xf>
    <xf numFmtId="3" fontId="47" fillId="0" borderId="4" xfId="1" applyNumberFormat="1" applyFont="1" applyFill="1" applyBorder="1" applyProtection="1">
      <protection locked="0"/>
    </xf>
    <xf numFmtId="0" fontId="17" fillId="0" borderId="7" xfId="1" applyNumberFormat="1" applyFont="1" applyFill="1" applyBorder="1" applyAlignment="1" applyProtection="1">
      <alignment horizontal="center"/>
      <protection locked="0"/>
    </xf>
    <xf numFmtId="3" fontId="52" fillId="4" borderId="6" xfId="1" applyNumberFormat="1" applyFont="1" applyFill="1" applyBorder="1" applyProtection="1">
      <protection locked="0"/>
    </xf>
    <xf numFmtId="169" fontId="17" fillId="0" borderId="6" xfId="1" applyNumberFormat="1" applyFont="1" applyFill="1" applyBorder="1" applyAlignment="1" applyProtection="1">
      <alignment horizontal="center"/>
      <protection locked="0"/>
    </xf>
    <xf numFmtId="3" fontId="32" fillId="4" borderId="1" xfId="1" applyNumberFormat="1" applyFont="1" applyFill="1" applyBorder="1" applyAlignment="1" applyProtection="1">
      <alignment horizontal="right"/>
      <protection locked="0"/>
    </xf>
    <xf numFmtId="3" fontId="32" fillId="4" borderId="7" xfId="1" applyNumberFormat="1" applyFont="1" applyFill="1" applyBorder="1" applyAlignment="1" applyProtection="1">
      <alignment horizontal="right"/>
      <protection locked="0"/>
    </xf>
    <xf numFmtId="3" fontId="32" fillId="4" borderId="1" xfId="15" applyNumberFormat="1" applyFont="1" applyFill="1" applyBorder="1" applyAlignment="1" applyProtection="1">
      <alignment horizontal="right"/>
      <protection locked="0"/>
    </xf>
    <xf numFmtId="0" fontId="32" fillId="4" borderId="7" xfId="1" applyFont="1" applyFill="1" applyBorder="1" applyAlignment="1" applyProtection="1">
      <alignment horizontal="right"/>
      <protection locked="0"/>
    </xf>
    <xf numFmtId="0" fontId="32" fillId="0" borderId="4" xfId="1" applyFont="1" applyFill="1" applyBorder="1" applyProtection="1">
      <protection locked="0"/>
    </xf>
    <xf numFmtId="3" fontId="32" fillId="4" borderId="4" xfId="1" applyNumberFormat="1" applyFont="1" applyFill="1" applyBorder="1" applyAlignment="1" applyProtection="1">
      <alignment horizontal="right"/>
      <protection locked="0"/>
    </xf>
    <xf numFmtId="3" fontId="32" fillId="4" borderId="3" xfId="1" applyNumberFormat="1" applyFont="1" applyFill="1" applyBorder="1" applyAlignment="1" applyProtection="1">
      <alignment horizontal="right"/>
      <protection locked="0"/>
    </xf>
    <xf numFmtId="3" fontId="32" fillId="4" borderId="4" xfId="15" applyNumberFormat="1" applyFont="1" applyFill="1" applyBorder="1" applyAlignment="1" applyProtection="1">
      <alignment horizontal="right"/>
      <protection locked="0"/>
    </xf>
    <xf numFmtId="0" fontId="32" fillId="4" borderId="3" xfId="1" applyFont="1" applyFill="1" applyBorder="1" applyAlignment="1" applyProtection="1">
      <alignment horizontal="right"/>
      <protection locked="0"/>
    </xf>
    <xf numFmtId="3" fontId="32" fillId="0" borderId="3" xfId="1" applyNumberFormat="1" applyFont="1" applyFill="1" applyBorder="1" applyAlignment="1" applyProtection="1">
      <alignment horizontal="right"/>
      <protection locked="0"/>
    </xf>
    <xf numFmtId="0" fontId="32" fillId="0" borderId="3" xfId="1" applyFont="1" applyBorder="1" applyAlignment="1" applyProtection="1">
      <alignment horizontal="right"/>
      <protection locked="0"/>
    </xf>
    <xf numFmtId="166" fontId="32" fillId="0" borderId="3" xfId="847" applyNumberFormat="1" applyFont="1" applyBorder="1" applyAlignment="1" applyProtection="1">
      <alignment horizontal="right"/>
      <protection locked="0"/>
    </xf>
    <xf numFmtId="3" fontId="32" fillId="10" borderId="3" xfId="1" applyNumberFormat="1" applyFont="1" applyFill="1" applyBorder="1" applyAlignment="1" applyProtection="1">
      <alignment horizontal="right"/>
      <protection locked="0"/>
    </xf>
    <xf numFmtId="170" fontId="32" fillId="0" borderId="3" xfId="847" applyNumberFormat="1" applyFont="1" applyBorder="1" applyAlignment="1" applyProtection="1">
      <alignment horizontal="right"/>
      <protection locked="0"/>
    </xf>
    <xf numFmtId="0" fontId="32" fillId="0" borderId="3" xfId="1" applyFont="1" applyFill="1" applyBorder="1" applyAlignment="1" applyProtection="1">
      <alignment horizontal="right"/>
      <protection locked="0"/>
    </xf>
    <xf numFmtId="166" fontId="32" fillId="4" borderId="4" xfId="847" applyNumberFormat="1" applyFont="1" applyFill="1" applyBorder="1" applyAlignment="1" applyProtection="1">
      <alignment horizontal="right"/>
      <protection locked="0"/>
    </xf>
    <xf numFmtId="166" fontId="32" fillId="4" borderId="3" xfId="847" applyNumberFormat="1" applyFont="1" applyFill="1" applyBorder="1" applyAlignment="1" applyProtection="1">
      <alignment horizontal="right"/>
      <protection locked="0"/>
    </xf>
    <xf numFmtId="0" fontId="21" fillId="0" borderId="0" xfId="1" applyFont="1" applyFill="1" applyProtection="1">
      <protection locked="0"/>
    </xf>
    <xf numFmtId="0" fontId="47" fillId="0" borderId="11" xfId="1" applyFont="1" applyFill="1" applyBorder="1" applyProtection="1">
      <protection locked="0"/>
    </xf>
    <xf numFmtId="3" fontId="47" fillId="4" borderId="6" xfId="1" applyNumberFormat="1" applyFont="1" applyFill="1" applyBorder="1" applyAlignment="1" applyProtection="1">
      <alignment horizontal="right"/>
      <protection locked="0"/>
    </xf>
    <xf numFmtId="0" fontId="51" fillId="0" borderId="0" xfId="1" applyFont="1" applyProtection="1">
      <protection locked="0"/>
    </xf>
    <xf numFmtId="0" fontId="47" fillId="0" borderId="4" xfId="1" applyFont="1" applyFill="1" applyBorder="1" applyProtection="1">
      <protection locked="0"/>
    </xf>
    <xf numFmtId="3" fontId="47" fillId="4" borderId="4" xfId="15" applyNumberFormat="1" applyFont="1" applyFill="1" applyBorder="1" applyAlignment="1" applyProtection="1">
      <alignment horizontal="right"/>
      <protection locked="0"/>
    </xf>
    <xf numFmtId="3" fontId="47" fillId="4" borderId="3" xfId="1" applyNumberFormat="1" applyFont="1" applyFill="1" applyBorder="1" applyAlignment="1" applyProtection="1">
      <alignment horizontal="right"/>
      <protection locked="0"/>
    </xf>
    <xf numFmtId="3" fontId="47" fillId="4" borderId="7" xfId="1" applyNumberFormat="1" applyFont="1" applyFill="1" applyBorder="1" applyAlignment="1" applyProtection="1">
      <alignment horizontal="right"/>
      <protection locked="0"/>
    </xf>
    <xf numFmtId="0" fontId="47" fillId="4" borderId="7" xfId="1" applyFont="1" applyFill="1" applyBorder="1" applyAlignment="1" applyProtection="1">
      <alignment horizontal="right"/>
      <protection locked="0"/>
    </xf>
    <xf numFmtId="0" fontId="47" fillId="4" borderId="15" xfId="1" applyFont="1" applyFill="1" applyBorder="1" applyAlignment="1" applyProtection="1">
      <alignment horizontal="right"/>
      <protection locked="0"/>
    </xf>
    <xf numFmtId="0" fontId="51" fillId="0" borderId="7" xfId="1" applyFont="1" applyBorder="1" applyAlignment="1" applyProtection="1">
      <alignment horizontal="right"/>
      <protection locked="0"/>
    </xf>
    <xf numFmtId="0" fontId="47" fillId="4" borderId="3" xfId="1" applyFont="1" applyFill="1" applyBorder="1" applyAlignment="1" applyProtection="1">
      <alignment horizontal="right"/>
      <protection locked="0"/>
    </xf>
    <xf numFmtId="0" fontId="47" fillId="4" borderId="2" xfId="1" applyFont="1" applyFill="1" applyBorder="1" applyAlignment="1" applyProtection="1">
      <alignment horizontal="right"/>
      <protection locked="0"/>
    </xf>
    <xf numFmtId="0" fontId="51" fillId="0" borderId="3" xfId="1" applyFont="1" applyBorder="1" applyAlignment="1" applyProtection="1">
      <alignment horizontal="right"/>
      <protection locked="0"/>
    </xf>
    <xf numFmtId="0" fontId="32" fillId="4" borderId="2" xfId="1" applyFont="1" applyFill="1" applyBorder="1" applyAlignment="1" applyProtection="1">
      <alignment horizontal="right"/>
      <protection locked="0"/>
    </xf>
    <xf numFmtId="0" fontId="32" fillId="0" borderId="0" xfId="1" applyFont="1" applyProtection="1">
      <protection locked="0"/>
    </xf>
    <xf numFmtId="3" fontId="32" fillId="4" borderId="2" xfId="1" applyNumberFormat="1" applyFont="1" applyFill="1" applyBorder="1" applyAlignment="1" applyProtection="1">
      <alignment horizontal="right"/>
      <protection locked="0"/>
    </xf>
    <xf numFmtId="3" fontId="47" fillId="4" borderId="2" xfId="1" applyNumberFormat="1" applyFont="1" applyFill="1" applyBorder="1" applyAlignment="1" applyProtection="1">
      <alignment horizontal="right"/>
      <protection locked="0"/>
    </xf>
    <xf numFmtId="0" fontId="47" fillId="0" borderId="0" xfId="1" applyFont="1" applyProtection="1">
      <protection locked="0"/>
    </xf>
    <xf numFmtId="3" fontId="47" fillId="4" borderId="11" xfId="15" applyNumberFormat="1" applyFont="1" applyFill="1" applyBorder="1" applyAlignment="1" applyProtection="1">
      <alignment horizontal="right"/>
      <protection locked="0"/>
    </xf>
    <xf numFmtId="0" fontId="47" fillId="4" borderId="6" xfId="1" applyFont="1" applyFill="1" applyBorder="1" applyAlignment="1" applyProtection="1">
      <alignment horizontal="right"/>
      <protection locked="0"/>
    </xf>
    <xf numFmtId="0" fontId="47" fillId="4" borderId="5" xfId="1" applyFont="1" applyFill="1" applyBorder="1" applyAlignment="1" applyProtection="1">
      <alignment horizontal="right"/>
      <protection locked="0"/>
    </xf>
    <xf numFmtId="0" fontId="47" fillId="0" borderId="6" xfId="1" applyFont="1" applyBorder="1" applyAlignment="1" applyProtection="1">
      <alignment horizontal="right"/>
      <protection locked="0"/>
    </xf>
    <xf numFmtId="0" fontId="47" fillId="0" borderId="7" xfId="1" applyFont="1" applyFill="1" applyBorder="1" applyProtection="1">
      <protection locked="0"/>
    </xf>
    <xf numFmtId="3" fontId="47" fillId="4" borderId="1" xfId="14" applyNumberFormat="1" applyFont="1" applyFill="1" applyBorder="1" applyAlignment="1" applyProtection="1">
      <alignment horizontal="right"/>
      <protection locked="0"/>
    </xf>
    <xf numFmtId="3" fontId="47" fillId="4" borderId="1" xfId="1" applyNumberFormat="1" applyFont="1" applyFill="1" applyBorder="1" applyAlignment="1" applyProtection="1">
      <alignment horizontal="right"/>
      <protection locked="0"/>
    </xf>
    <xf numFmtId="0" fontId="47" fillId="4" borderId="1" xfId="1" applyFont="1" applyFill="1" applyBorder="1" applyAlignment="1" applyProtection="1">
      <alignment horizontal="right"/>
      <protection locked="0"/>
    </xf>
    <xf numFmtId="0" fontId="47" fillId="0" borderId="7" xfId="1" applyFont="1" applyBorder="1" applyAlignment="1" applyProtection="1">
      <alignment horizontal="right"/>
      <protection locked="0"/>
    </xf>
    <xf numFmtId="0" fontId="47" fillId="0" borderId="0" xfId="1" applyFont="1" applyFill="1" applyProtection="1">
      <protection locked="0"/>
    </xf>
    <xf numFmtId="0" fontId="32" fillId="0" borderId="0" xfId="1" applyFont="1" applyFill="1" applyProtection="1">
      <protection locked="0"/>
    </xf>
    <xf numFmtId="0" fontId="63" fillId="0" borderId="0" xfId="1" applyFont="1" applyBorder="1" applyProtection="1">
      <protection locked="0"/>
    </xf>
    <xf numFmtId="0" fontId="63" fillId="0" borderId="0" xfId="1" applyFont="1" applyProtection="1">
      <protection locked="0"/>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7" fillId="0" borderId="9" xfId="1" applyNumberFormat="1" applyFont="1" applyBorder="1" applyAlignment="1">
      <alignment horizontal="center"/>
    </xf>
    <xf numFmtId="3" fontId="15" fillId="0" borderId="0" xfId="1" applyNumberFormat="1" applyFont="1" applyBorder="1" applyAlignment="1">
      <alignment horizontal="center"/>
    </xf>
    <xf numFmtId="3" fontId="15" fillId="0" borderId="12" xfId="1" applyNumberFormat="1" applyFont="1" applyBorder="1" applyAlignment="1">
      <alignment horizontal="center"/>
    </xf>
    <xf numFmtId="3" fontId="15" fillId="0" borderId="0" xfId="1" applyNumberFormat="1" applyFont="1" applyFill="1" applyBorder="1" applyAlignment="1">
      <alignment horizontal="center"/>
    </xf>
    <xf numFmtId="0" fontId="19" fillId="0" borderId="6" xfId="0" applyFont="1" applyFill="1" applyBorder="1"/>
    <xf numFmtId="3" fontId="19" fillId="0" borderId="3" xfId="847" applyNumberFormat="1" applyFont="1" applyBorder="1" applyAlignment="1">
      <alignment horizontal="left"/>
    </xf>
    <xf numFmtId="0" fontId="17" fillId="0" borderId="6" xfId="1" applyFont="1" applyFill="1" applyBorder="1"/>
    <xf numFmtId="3" fontId="19" fillId="0" borderId="3" xfId="847" applyNumberFormat="1" applyFont="1" applyFill="1" applyBorder="1" applyAlignment="1">
      <alignment horizontal="left"/>
    </xf>
    <xf numFmtId="0" fontId="17" fillId="0" borderId="4" xfId="1" applyFont="1" applyFill="1" applyBorder="1"/>
    <xf numFmtId="0" fontId="17" fillId="0" borderId="11" xfId="1" applyFont="1" applyFill="1" applyBorder="1"/>
    <xf numFmtId="0" fontId="47" fillId="2" borderId="3" xfId="0" applyFont="1" applyFill="1" applyBorder="1" applyProtection="1">
      <protection locked="0"/>
    </xf>
    <xf numFmtId="0" fontId="47" fillId="2" borderId="6" xfId="0" applyFont="1" applyFill="1" applyBorder="1" applyProtection="1">
      <protection locked="0"/>
    </xf>
    <xf numFmtId="3" fontId="32" fillId="4" borderId="1" xfId="0" applyNumberFormat="1" applyFont="1" applyFill="1" applyBorder="1" applyAlignment="1" applyProtection="1">
      <alignment horizontal="right"/>
      <protection locked="0"/>
    </xf>
    <xf numFmtId="0" fontId="32" fillId="0" borderId="3" xfId="0" applyFont="1" applyBorder="1" applyAlignment="1" applyProtection="1">
      <alignment horizontal="right"/>
      <protection locked="0"/>
    </xf>
    <xf numFmtId="3" fontId="32" fillId="4" borderId="7" xfId="0" applyNumberFormat="1" applyFont="1" applyFill="1" applyBorder="1" applyAlignment="1" applyProtection="1">
      <alignment horizontal="right"/>
      <protection locked="0"/>
    </xf>
    <xf numFmtId="1" fontId="32" fillId="0" borderId="3" xfId="0" applyNumberFormat="1" applyFont="1" applyBorder="1" applyAlignment="1" applyProtection="1">
      <alignment horizontal="right"/>
      <protection locked="0"/>
    </xf>
    <xf numFmtId="0" fontId="32" fillId="0" borderId="0" xfId="7" applyFont="1" applyProtection="1">
      <protection locked="0"/>
    </xf>
    <xf numFmtId="4" fontId="32" fillId="4" borderId="4" xfId="7" applyNumberFormat="1" applyFont="1" applyFill="1" applyBorder="1" applyAlignment="1" applyProtection="1">
      <alignment horizontal="right"/>
      <protection locked="0"/>
    </xf>
    <xf numFmtId="3" fontId="32" fillId="4" borderId="4" xfId="7" applyNumberFormat="1" applyFont="1" applyFill="1" applyBorder="1" applyAlignment="1" applyProtection="1">
      <alignment horizontal="right"/>
      <protection locked="0"/>
    </xf>
    <xf numFmtId="3" fontId="32" fillId="4" borderId="11" xfId="7" applyNumberFormat="1" applyFont="1" applyFill="1" applyBorder="1" applyAlignment="1" applyProtection="1">
      <alignment horizontal="right"/>
      <protection locked="0"/>
    </xf>
    <xf numFmtId="4" fontId="32" fillId="4" borderId="3" xfId="7" applyNumberFormat="1" applyFont="1" applyFill="1" applyBorder="1" applyAlignment="1" applyProtection="1">
      <alignment horizontal="right"/>
      <protection locked="0"/>
    </xf>
    <xf numFmtId="3" fontId="32" fillId="4" borderId="3" xfId="7" applyNumberFormat="1" applyFont="1" applyFill="1" applyBorder="1" applyAlignment="1" applyProtection="1">
      <alignment horizontal="right"/>
      <protection locked="0"/>
    </xf>
    <xf numFmtId="3" fontId="32" fillId="4" borderId="6" xfId="7" applyNumberFormat="1" applyFont="1" applyFill="1" applyBorder="1" applyAlignment="1" applyProtection="1">
      <alignment horizontal="right"/>
      <protection locked="0"/>
    </xf>
    <xf numFmtId="171" fontId="17" fillId="0" borderId="3" xfId="846" applyFont="1" applyBorder="1" applyAlignment="1">
      <alignment horizontal="right"/>
    </xf>
    <xf numFmtId="3" fontId="47" fillId="0" borderId="6" xfId="0" applyNumberFormat="1" applyFont="1" applyFill="1" applyBorder="1" applyAlignment="1" applyProtection="1">
      <alignment horizontal="right"/>
    </xf>
    <xf numFmtId="0" fontId="32" fillId="2" borderId="3" xfId="0" applyFont="1" applyFill="1" applyBorder="1" applyProtection="1">
      <protection locked="0"/>
    </xf>
    <xf numFmtId="0" fontId="32" fillId="2" borderId="6" xfId="0" applyFont="1" applyFill="1" applyBorder="1" applyProtection="1">
      <protection locked="0"/>
    </xf>
    <xf numFmtId="3" fontId="15" fillId="0" borderId="0" xfId="1" applyNumberFormat="1" applyFont="1" applyFill="1" applyBorder="1" applyAlignment="1">
      <alignment horizontal="center"/>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7" fillId="0" borderId="9" xfId="1" applyNumberFormat="1" applyFont="1" applyBorder="1" applyAlignment="1">
      <alignment horizontal="center"/>
    </xf>
    <xf numFmtId="3" fontId="15" fillId="0" borderId="12" xfId="1" applyNumberFormat="1" applyFont="1" applyBorder="1" applyAlignment="1">
      <alignment horizontal="center"/>
    </xf>
    <xf numFmtId="3" fontId="15" fillId="0" borderId="0" xfId="1" applyNumberFormat="1" applyFont="1" applyBorder="1" applyAlignment="1">
      <alignment horizontal="center"/>
    </xf>
    <xf numFmtId="3" fontId="15" fillId="0" borderId="0" xfId="1" applyNumberFormat="1" applyFont="1" applyFill="1" applyBorder="1" applyAlignment="1">
      <alignment horizontal="center"/>
    </xf>
    <xf numFmtId="3" fontId="15" fillId="0" borderId="12" xfId="1" applyNumberFormat="1" applyFont="1" applyFill="1" applyBorder="1"/>
    <xf numFmtId="3" fontId="16" fillId="0" borderId="0" xfId="1" applyNumberFormat="1" applyFont="1" applyFill="1" applyBorder="1" applyAlignment="1">
      <alignment horizontal="center"/>
    </xf>
    <xf numFmtId="3" fontId="32" fillId="4" borderId="1" xfId="0" applyNumberFormat="1" applyFont="1" applyFill="1" applyBorder="1" applyAlignment="1">
      <alignment horizontal="right"/>
    </xf>
    <xf numFmtId="3" fontId="32" fillId="4" borderId="4" xfId="0" applyNumberFormat="1" applyFont="1" applyFill="1" applyBorder="1" applyAlignment="1">
      <alignment horizontal="right"/>
    </xf>
    <xf numFmtId="3" fontId="32" fillId="4" borderId="3" xfId="0" applyNumberFormat="1" applyFont="1" applyFill="1" applyBorder="1" applyAlignment="1">
      <alignment horizontal="right"/>
    </xf>
    <xf numFmtId="3" fontId="32" fillId="0" borderId="4" xfId="0" applyNumberFormat="1" applyFont="1" applyBorder="1" applyAlignment="1" applyProtection="1">
      <alignment horizontal="right"/>
      <protection locked="0"/>
    </xf>
    <xf numFmtId="0" fontId="43" fillId="0" borderId="0" xfId="7" applyFont="1" applyProtection="1">
      <protection locked="0"/>
    </xf>
    <xf numFmtId="0" fontId="19" fillId="0" borderId="0" xfId="3" applyFont="1" applyAlignment="1">
      <protection locked="0"/>
    </xf>
    <xf numFmtId="0" fontId="21" fillId="0" borderId="0" xfId="7" applyProtection="1">
      <protection locked="0"/>
    </xf>
    <xf numFmtId="3" fontId="60" fillId="4" borderId="0" xfId="7" applyNumberFormat="1" applyFont="1" applyFill="1" applyProtection="1">
      <protection locked="0"/>
    </xf>
    <xf numFmtId="14" fontId="15" fillId="0" borderId="7" xfId="7" applyNumberFormat="1" applyFont="1" applyBorder="1" applyAlignment="1" applyProtection="1">
      <alignment horizontal="left"/>
      <protection locked="0"/>
    </xf>
    <xf numFmtId="0" fontId="19" fillId="0" borderId="10" xfId="7" applyFont="1" applyBorder="1" applyProtection="1">
      <protection locked="0"/>
    </xf>
    <xf numFmtId="0" fontId="19" fillId="0" borderId="8" xfId="7" applyFont="1" applyBorder="1" applyProtection="1">
      <protection locked="0"/>
    </xf>
    <xf numFmtId="0" fontId="19" fillId="0" borderId="9" xfId="7" applyFont="1" applyBorder="1" applyProtection="1">
      <protection locked="0"/>
    </xf>
    <xf numFmtId="0" fontId="71" fillId="0" borderId="8" xfId="7" applyFont="1" applyBorder="1" applyAlignment="1" applyProtection="1">
      <alignment horizontal="center"/>
      <protection locked="0"/>
    </xf>
    <xf numFmtId="0" fontId="19" fillId="4" borderId="0" xfId="7" applyFont="1" applyFill="1" applyProtection="1">
      <protection locked="0"/>
    </xf>
    <xf numFmtId="3" fontId="47" fillId="0" borderId="1" xfId="7" applyNumberFormat="1" applyFont="1" applyBorder="1" applyProtection="1">
      <protection locked="0"/>
    </xf>
    <xf numFmtId="0" fontId="47" fillId="4" borderId="0" xfId="7" applyFont="1" applyFill="1" applyAlignment="1" applyProtection="1">
      <alignment horizontal="center"/>
      <protection locked="0"/>
    </xf>
    <xf numFmtId="3" fontId="47" fillId="0" borderId="4" xfId="7" applyNumberFormat="1" applyFont="1" applyBorder="1" applyProtection="1">
      <protection locked="0"/>
    </xf>
    <xf numFmtId="0" fontId="17" fillId="0" borderId="1" xfId="7" applyFont="1" applyBorder="1" applyAlignment="1" applyProtection="1">
      <alignment horizontal="center"/>
      <protection locked="0"/>
    </xf>
    <xf numFmtId="0" fontId="17" fillId="0" borderId="7" xfId="7" applyFont="1" applyBorder="1" applyAlignment="1" applyProtection="1">
      <alignment horizontal="center"/>
      <protection locked="0"/>
    </xf>
    <xf numFmtId="3" fontId="52" fillId="4" borderId="11" xfId="7" applyNumberFormat="1" applyFont="1" applyFill="1" applyBorder="1" applyProtection="1">
      <protection locked="0"/>
    </xf>
    <xf numFmtId="0" fontId="15" fillId="0" borderId="6" xfId="7" applyFont="1" applyBorder="1" applyAlignment="1" applyProtection="1">
      <alignment horizontal="center"/>
      <protection locked="0"/>
    </xf>
    <xf numFmtId="169" fontId="17" fillId="0" borderId="6" xfId="7" applyNumberFormat="1" applyFont="1" applyBorder="1" applyAlignment="1" applyProtection="1">
      <alignment horizontal="center"/>
      <protection locked="0"/>
    </xf>
    <xf numFmtId="169" fontId="15" fillId="4" borderId="0" xfId="7" applyNumberFormat="1" applyFont="1" applyFill="1" applyAlignment="1" applyProtection="1">
      <alignment horizontal="center"/>
      <protection locked="0"/>
    </xf>
    <xf numFmtId="0" fontId="15" fillId="4" borderId="0" xfId="7" applyFont="1" applyFill="1" applyAlignment="1" applyProtection="1">
      <alignment horizontal="center"/>
      <protection locked="0"/>
    </xf>
    <xf numFmtId="0" fontId="47" fillId="0" borderId="7" xfId="7" applyFont="1" applyBorder="1" applyProtection="1">
      <protection locked="0"/>
    </xf>
    <xf numFmtId="4" fontId="32" fillId="4" borderId="7" xfId="7" applyNumberFormat="1" applyFont="1" applyFill="1" applyBorder="1" applyAlignment="1" applyProtection="1">
      <alignment horizontal="right"/>
      <protection locked="0"/>
    </xf>
    <xf numFmtId="0" fontId="32" fillId="0" borderId="3" xfId="7" applyFont="1" applyBorder="1" applyProtection="1">
      <protection locked="0"/>
    </xf>
    <xf numFmtId="0" fontId="32" fillId="0" borderId="6" xfId="7" applyFont="1" applyBorder="1" applyProtection="1">
      <protection locked="0"/>
    </xf>
    <xf numFmtId="0" fontId="32" fillId="0" borderId="3" xfId="0" applyFont="1" applyBorder="1" applyAlignment="1">
      <alignment horizontal="right"/>
    </xf>
    <xf numFmtId="0" fontId="15" fillId="0" borderId="6" xfId="0" applyFont="1" applyBorder="1" applyAlignment="1" applyProtection="1">
      <alignment horizontal="center"/>
      <protection locked="0"/>
    </xf>
    <xf numFmtId="0" fontId="15" fillId="0" borderId="11" xfId="0" applyFont="1" applyBorder="1" applyAlignment="1" applyProtection="1">
      <alignment horizontal="center"/>
      <protection locked="0"/>
    </xf>
    <xf numFmtId="3" fontId="32" fillId="4" borderId="0" xfId="0" applyNumberFormat="1" applyFont="1" applyFill="1" applyAlignment="1">
      <alignment horizontal="right"/>
    </xf>
    <xf numFmtId="3" fontId="32" fillId="4" borderId="0" xfId="0" applyNumberFormat="1" applyFont="1" applyFill="1" applyAlignment="1" applyProtection="1">
      <alignment horizontal="right"/>
      <protection locked="0"/>
    </xf>
    <xf numFmtId="3" fontId="62" fillId="4" borderId="3" xfId="0" applyNumberFormat="1" applyFont="1" applyFill="1" applyBorder="1" applyAlignment="1">
      <alignment horizontal="right"/>
    </xf>
    <xf numFmtId="3" fontId="47" fillId="4" borderId="3" xfId="0" applyNumberFormat="1" applyFont="1" applyFill="1" applyBorder="1" applyAlignment="1">
      <alignment horizontal="right"/>
    </xf>
    <xf numFmtId="3" fontId="32" fillId="4" borderId="7" xfId="0" applyNumberFormat="1" applyFont="1" applyFill="1" applyBorder="1" applyAlignment="1">
      <alignment horizontal="right"/>
    </xf>
    <xf numFmtId="1" fontId="32" fillId="0" borderId="3" xfId="0" applyNumberFormat="1" applyFont="1" applyBorder="1" applyAlignment="1">
      <alignment horizontal="right"/>
    </xf>
    <xf numFmtId="3" fontId="47" fillId="4" borderId="4" xfId="15" applyNumberFormat="1" applyFont="1" applyFill="1" applyBorder="1" applyAlignment="1" applyProtection="1">
      <alignment horizontal="right"/>
    </xf>
    <xf numFmtId="3" fontId="32" fillId="4" borderId="4" xfId="15" applyNumberFormat="1" applyFont="1" applyFill="1" applyBorder="1" applyAlignment="1" applyProtection="1">
      <alignment horizontal="right"/>
    </xf>
    <xf numFmtId="3" fontId="47" fillId="4" borderId="11" xfId="15" applyNumberFormat="1" applyFont="1" applyFill="1" applyBorder="1" applyAlignment="1" applyProtection="1">
      <alignment horizontal="right"/>
    </xf>
    <xf numFmtId="166" fontId="32" fillId="0" borderId="3" xfId="847" applyNumberFormat="1" applyFont="1" applyBorder="1" applyAlignment="1" applyProtection="1">
      <alignment horizontal="right"/>
    </xf>
    <xf numFmtId="166" fontId="32" fillId="4" borderId="4" xfId="847" applyNumberFormat="1" applyFont="1" applyFill="1" applyBorder="1" applyAlignment="1" applyProtection="1">
      <alignment horizontal="right"/>
    </xf>
    <xf numFmtId="166" fontId="32" fillId="4" borderId="3" xfId="847" applyNumberFormat="1" applyFont="1" applyFill="1" applyBorder="1" applyAlignment="1" applyProtection="1">
      <alignment horizontal="right"/>
    </xf>
    <xf numFmtId="170" fontId="32" fillId="0" borderId="3" xfId="847" applyNumberFormat="1" applyFont="1" applyBorder="1" applyAlignment="1" applyProtection="1">
      <alignment horizontal="right"/>
    </xf>
    <xf numFmtId="4" fontId="32" fillId="4" borderId="3" xfId="7" applyNumberFormat="1" applyFont="1" applyFill="1" applyBorder="1" applyAlignment="1" applyProtection="1">
      <alignment horizontal="right"/>
      <protection locked="0"/>
    </xf>
    <xf numFmtId="3" fontId="32" fillId="4" borderId="3" xfId="7" applyNumberFormat="1" applyFont="1" applyFill="1" applyBorder="1" applyAlignment="1" applyProtection="1">
      <alignment horizontal="right"/>
      <protection locked="0"/>
    </xf>
    <xf numFmtId="3" fontId="32" fillId="4" borderId="6" xfId="7" applyNumberFormat="1" applyFont="1" applyFill="1" applyBorder="1" applyAlignment="1" applyProtection="1">
      <alignment horizontal="right"/>
      <protection locked="0"/>
    </xf>
    <xf numFmtId="3" fontId="32" fillId="4" borderId="1" xfId="15" applyNumberFormat="1" applyFont="1" applyFill="1" applyBorder="1" applyAlignment="1" applyProtection="1">
      <alignment horizontal="right"/>
    </xf>
    <xf numFmtId="3" fontId="32" fillId="4" borderId="4" xfId="847" applyNumberFormat="1" applyFont="1" applyFill="1" applyBorder="1" applyAlignment="1" applyProtection="1">
      <alignment horizontal="right"/>
    </xf>
    <xf numFmtId="3" fontId="32" fillId="0" borderId="4" xfId="847" applyNumberFormat="1" applyFont="1" applyFill="1" applyBorder="1" applyAlignment="1" applyProtection="1">
      <alignment horizontal="right"/>
      <protection locked="0"/>
    </xf>
    <xf numFmtId="165" fontId="32" fillId="4" borderId="6" xfId="7" applyNumberFormat="1" applyFont="1" applyFill="1" applyBorder="1" applyAlignment="1" applyProtection="1">
      <alignment horizontal="right"/>
      <protection locked="0"/>
    </xf>
    <xf numFmtId="0" fontId="58" fillId="0" borderId="0" xfId="0" applyFont="1" applyFill="1"/>
    <xf numFmtId="3" fontId="32" fillId="0" borderId="6" xfId="7" applyNumberFormat="1" applyFont="1" applyBorder="1" applyAlignment="1" applyProtection="1">
      <alignment horizontal="right"/>
      <protection locked="0"/>
    </xf>
    <xf numFmtId="3" fontId="15" fillId="0" borderId="12" xfId="1" applyNumberFormat="1" applyFont="1" applyBorder="1" applyAlignment="1">
      <alignment horizontal="center"/>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7" fillId="0" borderId="9" xfId="1" applyNumberFormat="1" applyFont="1" applyBorder="1" applyAlignment="1">
      <alignment horizontal="center"/>
    </xf>
    <xf numFmtId="3" fontId="15" fillId="0" borderId="0" xfId="1" applyNumberFormat="1" applyFont="1" applyBorder="1" applyAlignment="1">
      <alignment horizontal="center"/>
    </xf>
    <xf numFmtId="3" fontId="15" fillId="0" borderId="0" xfId="1" applyNumberFormat="1" applyFont="1" applyFill="1" applyBorder="1" applyAlignment="1">
      <alignment horizontal="center"/>
    </xf>
    <xf numFmtId="0" fontId="47" fillId="4" borderId="0" xfId="7" applyFont="1" applyFill="1" applyAlignment="1" applyProtection="1">
      <alignment horizontal="center"/>
      <protection locked="0"/>
    </xf>
    <xf numFmtId="3" fontId="47" fillId="4" borderId="1" xfId="15" applyNumberFormat="1" applyFont="1" applyFill="1" applyBorder="1" applyAlignment="1" applyProtection="1">
      <alignment horizontal="right"/>
      <protection locked="0"/>
    </xf>
    <xf numFmtId="0" fontId="47" fillId="0" borderId="1" xfId="1" applyNumberFormat="1" applyFont="1" applyFill="1" applyBorder="1" applyAlignment="1" applyProtection="1">
      <alignment horizontal="center"/>
      <protection locked="0"/>
    </xf>
    <xf numFmtId="0" fontId="47" fillId="0" borderId="14" xfId="1" applyNumberFormat="1" applyFont="1" applyFill="1" applyBorder="1" applyAlignment="1" applyProtection="1">
      <alignment horizontal="center"/>
      <protection locked="0"/>
    </xf>
    <xf numFmtId="0" fontId="47" fillId="0" borderId="15" xfId="1" applyNumberFormat="1" applyFont="1" applyFill="1" applyBorder="1" applyAlignment="1" applyProtection="1">
      <alignment horizontal="center"/>
      <protection locked="0"/>
    </xf>
    <xf numFmtId="0" fontId="47" fillId="0" borderId="1" xfId="0" applyNumberFormat="1" applyFont="1" applyFill="1" applyBorder="1" applyAlignment="1" applyProtection="1">
      <alignment horizontal="center"/>
      <protection locked="0"/>
    </xf>
    <xf numFmtId="0" fontId="47" fillId="0" borderId="14" xfId="0" applyNumberFormat="1" applyFont="1" applyFill="1" applyBorder="1" applyAlignment="1" applyProtection="1">
      <alignment horizontal="center"/>
      <protection locked="0"/>
    </xf>
    <xf numFmtId="0" fontId="47" fillId="0" borderId="15" xfId="0" applyNumberFormat="1" applyFont="1" applyFill="1" applyBorder="1" applyAlignment="1" applyProtection="1">
      <alignment horizontal="center"/>
      <protection locked="0"/>
    </xf>
    <xf numFmtId="0" fontId="47" fillId="0" borderId="1" xfId="7" applyFont="1" applyFill="1" applyBorder="1" applyAlignment="1" applyProtection="1">
      <alignment horizontal="center"/>
      <protection locked="0"/>
    </xf>
    <xf numFmtId="0" fontId="47" fillId="0" borderId="14" xfId="7" applyFont="1" applyFill="1" applyBorder="1" applyAlignment="1" applyProtection="1">
      <alignment horizontal="center"/>
      <protection locked="0"/>
    </xf>
    <xf numFmtId="0" fontId="47" fillId="0" borderId="15" xfId="7" applyFont="1" applyFill="1" applyBorder="1" applyAlignment="1" applyProtection="1">
      <alignment horizontal="center"/>
      <protection locked="0"/>
    </xf>
    <xf numFmtId="0" fontId="47" fillId="0" borderId="1" xfId="1" applyNumberFormat="1" applyFont="1" applyFill="1" applyBorder="1" applyAlignment="1" applyProtection="1">
      <alignment horizontal="center"/>
      <protection locked="0"/>
    </xf>
    <xf numFmtId="0" fontId="47" fillId="0" borderId="14" xfId="1" applyNumberFormat="1" applyFont="1" applyFill="1" applyBorder="1" applyAlignment="1" applyProtection="1">
      <alignment horizontal="center"/>
      <protection locked="0"/>
    </xf>
    <xf numFmtId="0" fontId="47" fillId="0" borderId="15" xfId="1" applyNumberFormat="1" applyFont="1" applyFill="1" applyBorder="1" applyAlignment="1" applyProtection="1">
      <alignment horizontal="center"/>
      <protection locked="0"/>
    </xf>
    <xf numFmtId="0" fontId="47" fillId="0" borderId="1" xfId="0" applyNumberFormat="1" applyFont="1" applyFill="1" applyBorder="1" applyAlignment="1" applyProtection="1">
      <alignment horizontal="center"/>
      <protection locked="0"/>
    </xf>
    <xf numFmtId="0" fontId="47" fillId="0" borderId="14" xfId="0" applyNumberFormat="1" applyFont="1" applyFill="1" applyBorder="1" applyAlignment="1" applyProtection="1">
      <alignment horizontal="center"/>
      <protection locked="0"/>
    </xf>
    <xf numFmtId="0" fontId="47" fillId="0" borderId="15" xfId="0" applyNumberFormat="1" applyFont="1" applyFill="1" applyBorder="1" applyAlignment="1" applyProtection="1">
      <alignment horizontal="center"/>
      <protection locked="0"/>
    </xf>
    <xf numFmtId="0" fontId="47" fillId="0" borderId="1" xfId="7" applyFont="1" applyFill="1" applyBorder="1" applyAlignment="1" applyProtection="1">
      <alignment horizontal="center"/>
      <protection locked="0"/>
    </xf>
    <xf numFmtId="0" fontId="47" fillId="0" borderId="14" xfId="7" applyFont="1" applyFill="1" applyBorder="1" applyAlignment="1" applyProtection="1">
      <alignment horizontal="center"/>
      <protection locked="0"/>
    </xf>
    <xf numFmtId="0" fontId="47" fillId="0" borderId="15" xfId="7" applyFont="1" applyFill="1" applyBorder="1" applyAlignment="1" applyProtection="1">
      <alignment horizontal="center"/>
      <protection locked="0"/>
    </xf>
    <xf numFmtId="3" fontId="32" fillId="0" borderId="4" xfId="847" applyNumberFormat="1" applyFont="1" applyFill="1" applyBorder="1" applyAlignment="1" applyProtection="1">
      <alignment horizontal="right"/>
    </xf>
    <xf numFmtId="4" fontId="32" fillId="0" borderId="3" xfId="7" applyNumberFormat="1" applyFont="1" applyFill="1" applyBorder="1" applyAlignment="1" applyProtection="1">
      <alignment horizontal="right"/>
      <protection locked="0"/>
    </xf>
    <xf numFmtId="0" fontId="47" fillId="0" borderId="1" xfId="1" applyNumberFormat="1" applyFont="1" applyFill="1" applyBorder="1" applyAlignment="1" applyProtection="1">
      <alignment horizontal="center"/>
      <protection locked="0"/>
    </xf>
    <xf numFmtId="0" fontId="47" fillId="0" borderId="14" xfId="1" applyNumberFormat="1" applyFont="1" applyFill="1" applyBorder="1" applyAlignment="1" applyProtection="1">
      <alignment horizontal="center"/>
      <protection locked="0"/>
    </xf>
    <xf numFmtId="0" fontId="47" fillId="0" borderId="15" xfId="1" applyNumberFormat="1" applyFont="1" applyFill="1" applyBorder="1" applyAlignment="1" applyProtection="1">
      <alignment horizontal="center"/>
      <protection locked="0"/>
    </xf>
    <xf numFmtId="0" fontId="47" fillId="0" borderId="1" xfId="0" applyNumberFormat="1" applyFont="1" applyFill="1" applyBorder="1" applyAlignment="1" applyProtection="1">
      <alignment horizontal="center"/>
      <protection locked="0"/>
    </xf>
    <xf numFmtId="0" fontId="47" fillId="0" borderId="14" xfId="0" applyNumberFormat="1" applyFont="1" applyFill="1" applyBorder="1" applyAlignment="1" applyProtection="1">
      <alignment horizontal="center"/>
      <protection locked="0"/>
    </xf>
    <xf numFmtId="0" fontId="47" fillId="0" borderId="15" xfId="0" applyNumberFormat="1" applyFont="1" applyFill="1" applyBorder="1" applyAlignment="1" applyProtection="1">
      <alignment horizontal="center"/>
      <protection locked="0"/>
    </xf>
    <xf numFmtId="0" fontId="47" fillId="0" borderId="1" xfId="7" applyFont="1" applyFill="1" applyBorder="1" applyAlignment="1" applyProtection="1">
      <alignment horizontal="center"/>
      <protection locked="0"/>
    </xf>
    <xf numFmtId="0" fontId="47" fillId="0" borderId="14" xfId="7" applyFont="1" applyFill="1" applyBorder="1" applyAlignment="1" applyProtection="1">
      <alignment horizontal="center"/>
      <protection locked="0"/>
    </xf>
    <xf numFmtId="0" fontId="47" fillId="0" borderId="15" xfId="7" applyFont="1" applyFill="1" applyBorder="1" applyAlignment="1" applyProtection="1">
      <alignment horizontal="center"/>
      <protection locked="0"/>
    </xf>
    <xf numFmtId="0" fontId="16" fillId="0" borderId="0" xfId="7" applyFont="1" applyAlignment="1">
      <alignment horizontal="right"/>
    </xf>
    <xf numFmtId="0" fontId="16" fillId="0" borderId="0" xfId="7" applyFont="1" applyAlignment="1">
      <alignment wrapText="1"/>
    </xf>
    <xf numFmtId="3" fontId="17" fillId="0" borderId="3" xfId="1" applyNumberFormat="1" applyFont="1" applyBorder="1" applyAlignment="1">
      <alignment horizontal="right"/>
    </xf>
    <xf numFmtId="165" fontId="75" fillId="7" borderId="3" xfId="844" applyNumberFormat="1" applyFont="1" applyBorder="1" applyAlignment="1">
      <alignment horizontal="right"/>
    </xf>
    <xf numFmtId="165" fontId="57" fillId="7" borderId="6" xfId="844" applyNumberFormat="1" applyFont="1" applyBorder="1" applyAlignment="1">
      <alignment horizontal="right"/>
    </xf>
    <xf numFmtId="3" fontId="47" fillId="0" borderId="2" xfId="0" quotePrefix="1" applyNumberFormat="1" applyFont="1" applyBorder="1" applyAlignment="1">
      <alignment horizontal="right"/>
    </xf>
    <xf numFmtId="3" fontId="47" fillId="0" borderId="11" xfId="0" applyNumberFormat="1" applyFont="1" applyFill="1" applyBorder="1"/>
    <xf numFmtId="0" fontId="21" fillId="0" borderId="0" xfId="7" applyFill="1" applyProtection="1">
      <protection locked="0"/>
    </xf>
    <xf numFmtId="0" fontId="72" fillId="0" borderId="0" xfId="1" applyFont="1" applyFill="1" applyProtection="1">
      <protection locked="0"/>
    </xf>
    <xf numFmtId="3" fontId="19" fillId="0" borderId="0" xfId="1" applyNumberFormat="1" applyFont="1"/>
    <xf numFmtId="3" fontId="32" fillId="4" borderId="4" xfId="1" applyNumberFormat="1" applyFont="1" applyFill="1" applyBorder="1" applyAlignment="1" applyProtection="1">
      <alignment horizontal="right"/>
      <protection locked="0"/>
    </xf>
    <xf numFmtId="3" fontId="32" fillId="4" borderId="3" xfId="1" applyNumberFormat="1" applyFont="1" applyFill="1" applyBorder="1" applyAlignment="1" applyProtection="1">
      <alignment horizontal="right"/>
      <protection locked="0"/>
    </xf>
    <xf numFmtId="3" fontId="47" fillId="4" borderId="3" xfId="1" applyNumberFormat="1" applyFont="1" applyFill="1" applyBorder="1" applyAlignment="1" applyProtection="1">
      <alignment horizontal="right"/>
      <protection locked="0"/>
    </xf>
    <xf numFmtId="4" fontId="32" fillId="4" borderId="3" xfId="7" applyNumberFormat="1" applyFont="1" applyFill="1" applyBorder="1" applyAlignment="1" applyProtection="1">
      <alignment horizontal="right"/>
      <protection locked="0"/>
    </xf>
    <xf numFmtId="3" fontId="32" fillId="4" borderId="3" xfId="7" applyNumberFormat="1" applyFont="1" applyFill="1" applyBorder="1" applyAlignment="1" applyProtection="1">
      <alignment horizontal="right"/>
      <protection locked="0"/>
    </xf>
    <xf numFmtId="3" fontId="32" fillId="4" borderId="6" xfId="7" applyNumberFormat="1" applyFont="1" applyFill="1" applyBorder="1" applyAlignment="1" applyProtection="1">
      <alignment horizontal="right"/>
      <protection locked="0"/>
    </xf>
    <xf numFmtId="0" fontId="21" fillId="0" borderId="0" xfId="7" applyProtection="1">
      <protection locked="0"/>
    </xf>
    <xf numFmtId="0" fontId="19" fillId="0" borderId="8" xfId="7" applyFont="1" applyBorder="1" applyProtection="1">
      <protection locked="0"/>
    </xf>
    <xf numFmtId="0" fontId="17" fillId="0" borderId="1" xfId="7" applyFont="1" applyBorder="1" applyAlignment="1" applyProtection="1">
      <alignment horizontal="center"/>
      <protection locked="0"/>
    </xf>
    <xf numFmtId="0" fontId="17" fillId="0" borderId="7" xfId="7" applyFont="1" applyBorder="1" applyAlignment="1" applyProtection="1">
      <alignment horizontal="center"/>
      <protection locked="0"/>
    </xf>
    <xf numFmtId="0" fontId="15" fillId="0" borderId="6" xfId="7" applyFont="1" applyBorder="1" applyAlignment="1" applyProtection="1">
      <alignment horizontal="center"/>
      <protection locked="0"/>
    </xf>
    <xf numFmtId="169" fontId="17" fillId="0" borderId="6" xfId="7" applyNumberFormat="1" applyFont="1" applyBorder="1" applyAlignment="1" applyProtection="1">
      <alignment horizontal="center"/>
      <protection locked="0"/>
    </xf>
    <xf numFmtId="0" fontId="47" fillId="0" borderId="14" xfId="7" applyFont="1" applyFill="1" applyBorder="1" applyAlignment="1" applyProtection="1">
      <alignment horizontal="center"/>
      <protection locked="0"/>
    </xf>
    <xf numFmtId="0" fontId="47" fillId="0" borderId="12" xfId="7" applyFont="1" applyFill="1" applyBorder="1" applyAlignment="1" applyProtection="1">
      <alignment horizontal="center"/>
      <protection locked="0"/>
    </xf>
    <xf numFmtId="3" fontId="38" fillId="0" borderId="0" xfId="0" applyNumberFormat="1" applyFont="1"/>
    <xf numFmtId="0" fontId="16" fillId="0" borderId="0" xfId="7" applyFont="1" applyFill="1" applyAlignment="1">
      <alignment wrapText="1"/>
    </xf>
    <xf numFmtId="165" fontId="19" fillId="3" borderId="3" xfId="1" applyNumberFormat="1" applyFont="1" applyFill="1" applyBorder="1" applyAlignment="1">
      <alignment horizontal="right"/>
    </xf>
    <xf numFmtId="165" fontId="19" fillId="3" borderId="2" xfId="1" applyNumberFormat="1" applyFont="1" applyFill="1" applyBorder="1" applyAlignment="1">
      <alignment horizontal="right"/>
    </xf>
    <xf numFmtId="0" fontId="19" fillId="0" borderId="3" xfId="1" applyFont="1" applyFill="1" applyBorder="1"/>
    <xf numFmtId="3" fontId="19" fillId="0" borderId="3" xfId="1" applyNumberFormat="1" applyFont="1" applyFill="1" applyBorder="1" applyAlignment="1">
      <alignment horizontal="right"/>
    </xf>
    <xf numFmtId="3" fontId="18" fillId="0" borderId="4" xfId="1" applyNumberFormat="1" applyFont="1" applyBorder="1" applyAlignment="1">
      <alignment horizontal="center"/>
    </xf>
    <xf numFmtId="3" fontId="17" fillId="3" borderId="3" xfId="1" applyNumberFormat="1" applyFont="1" applyFill="1" applyBorder="1" applyAlignment="1">
      <alignment horizontal="right"/>
    </xf>
    <xf numFmtId="3" fontId="19" fillId="2" borderId="3" xfId="1" applyNumberFormat="1" applyFont="1" applyFill="1" applyBorder="1" applyAlignment="1">
      <alignment horizontal="right"/>
    </xf>
    <xf numFmtId="3" fontId="19" fillId="2" borderId="2" xfId="1" applyNumberFormat="1" applyFont="1" applyFill="1" applyBorder="1" applyAlignment="1">
      <alignment horizontal="right"/>
    </xf>
    <xf numFmtId="3" fontId="17" fillId="0" borderId="3" xfId="1" applyNumberFormat="1" applyFont="1" applyFill="1" applyBorder="1" applyAlignment="1">
      <alignment horizontal="right"/>
    </xf>
    <xf numFmtId="3" fontId="24" fillId="0" borderId="2" xfId="1" applyNumberFormat="1" applyFont="1" applyFill="1" applyBorder="1" applyAlignment="1">
      <alignment horizontal="right"/>
    </xf>
    <xf numFmtId="3" fontId="24" fillId="0" borderId="0" xfId="1" applyNumberFormat="1" applyFont="1" applyFill="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7" fillId="2" borderId="3" xfId="1" applyNumberFormat="1" applyFont="1" applyFill="1" applyBorder="1" applyAlignment="1">
      <alignment horizontal="right"/>
    </xf>
    <xf numFmtId="3" fontId="17" fillId="2" borderId="2" xfId="1" quotePrefix="1" applyNumberFormat="1" applyFont="1" applyFill="1" applyBorder="1" applyAlignment="1">
      <alignment horizontal="right"/>
    </xf>
    <xf numFmtId="3" fontId="17" fillId="2" borderId="6" xfId="1" applyNumberFormat="1" applyFont="1" applyFill="1" applyBorder="1" applyAlignment="1">
      <alignment horizontal="right"/>
    </xf>
    <xf numFmtId="0" fontId="15" fillId="0" borderId="0" xfId="1" applyFont="1" applyFill="1" applyAlignment="1">
      <alignment horizontal="left"/>
    </xf>
    <xf numFmtId="171" fontId="19" fillId="3" borderId="2" xfId="846" applyFont="1" applyFill="1" applyBorder="1" applyAlignment="1">
      <alignment horizontal="right"/>
    </xf>
    <xf numFmtId="171" fontId="19" fillId="3" borderId="3" xfId="846" applyFont="1" applyFill="1" applyBorder="1" applyAlignment="1">
      <alignment horizontal="right"/>
    </xf>
    <xf numFmtId="171" fontId="17" fillId="2" borderId="2" xfId="846" applyFont="1" applyFill="1" applyBorder="1" applyAlignment="1">
      <alignment horizontal="right"/>
    </xf>
    <xf numFmtId="171" fontId="24" fillId="0" borderId="0" xfId="846" applyFont="1" applyFill="1" applyBorder="1" applyAlignment="1">
      <alignment horizontal="right"/>
    </xf>
    <xf numFmtId="171" fontId="19" fillId="2" borderId="2" xfId="846" applyFont="1" applyFill="1" applyBorder="1" applyAlignment="1">
      <alignment horizontal="right"/>
    </xf>
    <xf numFmtId="4" fontId="32" fillId="4" borderId="3" xfId="7" applyNumberFormat="1" applyFont="1" applyFill="1" applyBorder="1" applyAlignment="1" applyProtection="1">
      <alignment horizontal="right"/>
      <protection locked="0"/>
    </xf>
    <xf numFmtId="3" fontId="32" fillId="4" borderId="3" xfId="7" applyNumberFormat="1" applyFont="1" applyFill="1" applyBorder="1" applyAlignment="1" applyProtection="1">
      <alignment horizontal="right"/>
      <protection locked="0"/>
    </xf>
    <xf numFmtId="3" fontId="32" fillId="4" borderId="6" xfId="7" applyNumberFormat="1" applyFont="1" applyFill="1" applyBorder="1" applyAlignment="1" applyProtection="1">
      <alignment horizontal="right"/>
      <protection locked="0"/>
    </xf>
    <xf numFmtId="3" fontId="19" fillId="0" borderId="8" xfId="1" applyNumberFormat="1" applyFont="1" applyFill="1" applyBorder="1"/>
    <xf numFmtId="3" fontId="17" fillId="0" borderId="6" xfId="1" applyNumberFormat="1" applyFont="1" applyFill="1" applyBorder="1"/>
    <xf numFmtId="3" fontId="17" fillId="0" borderId="11" xfId="1" applyNumberFormat="1" applyFont="1" applyFill="1" applyBorder="1"/>
    <xf numFmtId="14" fontId="32" fillId="0" borderId="0" xfId="1" applyNumberFormat="1" applyFont="1" applyAlignment="1">
      <alignment horizontal="center"/>
    </xf>
    <xf numFmtId="0" fontId="17" fillId="8" borderId="0" xfId="0" applyFont="1" applyFill="1" applyBorder="1" applyAlignment="1">
      <alignment horizontal="center"/>
    </xf>
    <xf numFmtId="0" fontId="17" fillId="8" borderId="2" xfId="0" applyFont="1" applyFill="1" applyBorder="1" applyAlignment="1">
      <alignment horizontal="center"/>
    </xf>
    <xf numFmtId="0" fontId="47" fillId="0" borderId="12" xfId="0" applyFont="1" applyBorder="1" applyAlignment="1">
      <alignment horizontal="left"/>
    </xf>
    <xf numFmtId="0" fontId="47" fillId="0" borderId="10"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17" fillId="8" borderId="4" xfId="0" applyFont="1" applyFill="1" applyBorder="1" applyAlignment="1">
      <alignment horizontal="center"/>
    </xf>
    <xf numFmtId="0" fontId="47" fillId="0" borderId="14" xfId="0" applyFont="1" applyBorder="1" applyAlignment="1">
      <alignment horizontal="center"/>
    </xf>
    <xf numFmtId="0" fontId="47" fillId="0" borderId="15" xfId="0" applyFont="1" applyBorder="1" applyAlignment="1">
      <alignment horizontal="center"/>
    </xf>
    <xf numFmtId="0" fontId="47" fillId="0" borderId="1" xfId="0" applyFont="1" applyBorder="1" applyAlignment="1">
      <alignment horizontal="center"/>
    </xf>
    <xf numFmtId="14" fontId="15" fillId="0" borderId="11" xfId="0" applyNumberFormat="1" applyFont="1" applyFill="1" applyBorder="1" applyAlignment="1">
      <alignment horizontal="center"/>
    </xf>
    <xf numFmtId="14" fontId="15" fillId="0" borderId="12" xfId="0" applyNumberFormat="1" applyFont="1" applyFill="1" applyBorder="1" applyAlignment="1">
      <alignment horizontal="center"/>
    </xf>
    <xf numFmtId="14" fontId="15" fillId="0" borderId="5" xfId="0" applyNumberFormat="1" applyFont="1" applyFill="1" applyBorder="1" applyAlignment="1">
      <alignment horizontal="center"/>
    </xf>
    <xf numFmtId="3" fontId="47" fillId="0" borderId="11" xfId="0" applyNumberFormat="1" applyFont="1" applyBorder="1" applyAlignment="1">
      <alignment horizontal="center"/>
    </xf>
    <xf numFmtId="3" fontId="47" fillId="0" borderId="12" xfId="0" applyNumberFormat="1" applyFont="1" applyBorder="1" applyAlignment="1">
      <alignment horizontal="center"/>
    </xf>
    <xf numFmtId="3" fontId="47" fillId="0" borderId="5" xfId="0" applyNumberFormat="1" applyFont="1" applyBorder="1" applyAlignment="1">
      <alignment horizontal="center"/>
    </xf>
    <xf numFmtId="0" fontId="15" fillId="0" borderId="0" xfId="1" applyFont="1" applyBorder="1" applyAlignment="1">
      <alignment horizontal="center"/>
    </xf>
    <xf numFmtId="0" fontId="17" fillId="0" borderId="10" xfId="1" applyFont="1" applyBorder="1" applyAlignment="1">
      <alignment horizontal="center"/>
    </xf>
    <xf numFmtId="0" fontId="17" fillId="0" borderId="8" xfId="1" applyFont="1" applyBorder="1" applyAlignment="1">
      <alignment horizontal="center"/>
    </xf>
    <xf numFmtId="0" fontId="17" fillId="0" borderId="9" xfId="1" applyFont="1" applyBorder="1" applyAlignment="1">
      <alignment horizontal="center"/>
    </xf>
    <xf numFmtId="0" fontId="15" fillId="0" borderId="0" xfId="1" applyFont="1" applyFill="1" applyBorder="1" applyAlignment="1">
      <alignment horizontal="center"/>
    </xf>
    <xf numFmtId="3" fontId="15" fillId="0" borderId="12" xfId="1" applyNumberFormat="1" applyFont="1" applyBorder="1" applyAlignment="1">
      <alignment horizontal="center"/>
    </xf>
    <xf numFmtId="3" fontId="17" fillId="0" borderId="10" xfId="1" applyNumberFormat="1" applyFont="1" applyBorder="1" applyAlignment="1">
      <alignment horizontal="center"/>
    </xf>
    <xf numFmtId="3" fontId="17" fillId="0" borderId="8" xfId="1" applyNumberFormat="1" applyFont="1" applyBorder="1" applyAlignment="1">
      <alignment horizontal="center"/>
    </xf>
    <xf numFmtId="3" fontId="17" fillId="0" borderId="9" xfId="1" applyNumberFormat="1" applyFont="1" applyBorder="1" applyAlignment="1">
      <alignment horizontal="center"/>
    </xf>
    <xf numFmtId="3" fontId="15" fillId="0" borderId="14" xfId="1" applyNumberFormat="1" applyFont="1" applyFill="1" applyBorder="1" applyAlignment="1">
      <alignment horizontal="center"/>
    </xf>
    <xf numFmtId="3" fontId="15" fillId="0" borderId="0" xfId="1" applyNumberFormat="1" applyFont="1" applyBorder="1" applyAlignment="1">
      <alignment horizontal="center"/>
    </xf>
    <xf numFmtId="3" fontId="15" fillId="0" borderId="0" xfId="1" applyNumberFormat="1" applyFont="1" applyFill="1" applyBorder="1" applyAlignment="1">
      <alignment horizontal="center"/>
    </xf>
    <xf numFmtId="3" fontId="17" fillId="0" borderId="10" xfId="1" applyNumberFormat="1" applyFont="1" applyFill="1" applyBorder="1" applyAlignment="1">
      <alignment horizontal="center"/>
    </xf>
    <xf numFmtId="3" fontId="17" fillId="0" borderId="8" xfId="1" applyNumberFormat="1" applyFont="1" applyFill="1" applyBorder="1" applyAlignment="1">
      <alignment horizontal="center"/>
    </xf>
    <xf numFmtId="0" fontId="47" fillId="0" borderId="11" xfId="1" applyNumberFormat="1" applyFont="1" applyFill="1" applyBorder="1" applyAlignment="1" applyProtection="1">
      <alignment horizontal="center"/>
      <protection locked="0"/>
    </xf>
    <xf numFmtId="0" fontId="47" fillId="0" borderId="12" xfId="1" applyNumberFormat="1" applyFont="1" applyFill="1" applyBorder="1" applyAlignment="1" applyProtection="1">
      <alignment horizontal="center"/>
      <protection locked="0"/>
    </xf>
    <xf numFmtId="0" fontId="47" fillId="0" borderId="5" xfId="1" applyNumberFormat="1" applyFont="1" applyFill="1" applyBorder="1" applyAlignment="1" applyProtection="1">
      <alignment horizontal="center"/>
      <protection locked="0"/>
    </xf>
    <xf numFmtId="0" fontId="47" fillId="0" borderId="11" xfId="1" applyFont="1" applyFill="1" applyBorder="1" applyAlignment="1" applyProtection="1">
      <alignment horizontal="center"/>
      <protection locked="0"/>
    </xf>
    <xf numFmtId="0" fontId="47" fillId="0" borderId="12" xfId="1" applyFont="1" applyFill="1" applyBorder="1" applyAlignment="1" applyProtection="1">
      <alignment horizontal="center"/>
      <protection locked="0"/>
    </xf>
    <xf numFmtId="0" fontId="47" fillId="0" borderId="5" xfId="1" applyFont="1" applyFill="1" applyBorder="1" applyAlignment="1" applyProtection="1">
      <alignment horizontal="center"/>
      <protection locked="0"/>
    </xf>
    <xf numFmtId="0" fontId="47" fillId="0" borderId="1" xfId="1" applyNumberFormat="1" applyFont="1" applyFill="1" applyBorder="1" applyAlignment="1" applyProtection="1">
      <alignment horizontal="center"/>
      <protection locked="0"/>
    </xf>
    <xf numFmtId="0" fontId="47" fillId="0" borderId="14" xfId="1" applyNumberFormat="1" applyFont="1" applyFill="1" applyBorder="1" applyAlignment="1" applyProtection="1">
      <alignment horizontal="center"/>
      <protection locked="0"/>
    </xf>
    <xf numFmtId="0" fontId="47" fillId="0" borderId="15" xfId="1" applyNumberFormat="1" applyFont="1" applyFill="1" applyBorder="1" applyAlignment="1" applyProtection="1">
      <alignment horizontal="center"/>
      <protection locked="0"/>
    </xf>
    <xf numFmtId="0" fontId="47" fillId="0" borderId="1" xfId="1" applyFont="1" applyFill="1" applyBorder="1" applyAlignment="1" applyProtection="1">
      <alignment horizontal="center"/>
      <protection locked="0"/>
    </xf>
    <xf numFmtId="0" fontId="47" fillId="0" borderId="14" xfId="1" applyFont="1" applyFill="1" applyBorder="1" applyAlignment="1" applyProtection="1">
      <alignment horizontal="center"/>
      <protection locked="0"/>
    </xf>
    <xf numFmtId="0" fontId="47" fillId="0" borderId="15" xfId="1" applyFont="1" applyFill="1" applyBorder="1" applyAlignment="1" applyProtection="1">
      <alignment horizontal="center"/>
      <protection locked="0"/>
    </xf>
    <xf numFmtId="0" fontId="47" fillId="4" borderId="0" xfId="0" applyNumberFormat="1" applyFont="1" applyFill="1" applyBorder="1" applyAlignment="1" applyProtection="1">
      <alignment horizontal="center"/>
      <protection locked="0"/>
    </xf>
    <xf numFmtId="0" fontId="47" fillId="0" borderId="1" xfId="0" applyNumberFormat="1" applyFont="1" applyFill="1" applyBorder="1" applyAlignment="1" applyProtection="1">
      <alignment horizontal="center"/>
      <protection locked="0"/>
    </xf>
    <xf numFmtId="0" fontId="47" fillId="0" borderId="14" xfId="0" applyNumberFormat="1" applyFont="1" applyFill="1" applyBorder="1" applyAlignment="1" applyProtection="1">
      <alignment horizontal="center"/>
      <protection locked="0"/>
    </xf>
    <xf numFmtId="0" fontId="47" fillId="0" borderId="15" xfId="0" applyNumberFormat="1" applyFont="1" applyFill="1" applyBorder="1" applyAlignment="1" applyProtection="1">
      <alignment horizontal="center"/>
      <protection locked="0"/>
    </xf>
    <xf numFmtId="0" fontId="47" fillId="0" borderId="11" xfId="0" applyNumberFormat="1" applyFont="1" applyFill="1" applyBorder="1" applyAlignment="1" applyProtection="1">
      <alignment horizontal="center"/>
      <protection locked="0"/>
    </xf>
    <xf numFmtId="0" fontId="47" fillId="0" borderId="12" xfId="0" applyNumberFormat="1" applyFont="1" applyFill="1" applyBorder="1" applyAlignment="1" applyProtection="1">
      <alignment horizontal="center"/>
      <protection locked="0"/>
    </xf>
    <xf numFmtId="0" fontId="47" fillId="0" borderId="5" xfId="0" applyNumberFormat="1" applyFont="1" applyFill="1" applyBorder="1" applyAlignment="1" applyProtection="1">
      <alignment horizontal="center"/>
      <protection locked="0"/>
    </xf>
    <xf numFmtId="0" fontId="47" fillId="0" borderId="1" xfId="7" applyFont="1" applyFill="1" applyBorder="1" applyAlignment="1" applyProtection="1">
      <alignment horizontal="center"/>
      <protection locked="0"/>
    </xf>
    <xf numFmtId="0" fontId="47" fillId="0" borderId="14" xfId="7" applyFont="1" applyFill="1" applyBorder="1" applyAlignment="1" applyProtection="1">
      <alignment horizontal="center"/>
      <protection locked="0"/>
    </xf>
    <xf numFmtId="0" fontId="47" fillId="0" borderId="15" xfId="7" applyFont="1" applyFill="1" applyBorder="1" applyAlignment="1" applyProtection="1">
      <alignment horizontal="center"/>
      <protection locked="0"/>
    </xf>
    <xf numFmtId="0" fontId="47" fillId="0" borderId="11" xfId="7" applyFont="1" applyFill="1" applyBorder="1" applyAlignment="1" applyProtection="1">
      <alignment horizontal="center"/>
      <protection locked="0"/>
    </xf>
    <xf numFmtId="0" fontId="47" fillId="0" borderId="12" xfId="7" applyFont="1" applyFill="1" applyBorder="1" applyAlignment="1" applyProtection="1">
      <alignment horizontal="center"/>
      <protection locked="0"/>
    </xf>
    <xf numFmtId="0" fontId="47" fillId="0" borderId="5" xfId="7" applyFont="1" applyFill="1" applyBorder="1" applyAlignment="1" applyProtection="1">
      <alignment horizontal="center"/>
      <protection locked="0"/>
    </xf>
    <xf numFmtId="0" fontId="47" fillId="4" borderId="0" xfId="7" applyFont="1" applyFill="1" applyAlignment="1" applyProtection="1">
      <alignment horizontal="center"/>
      <protection locked="0"/>
    </xf>
    <xf numFmtId="0" fontId="47" fillId="0" borderId="11" xfId="7" applyFont="1" applyBorder="1" applyAlignment="1" applyProtection="1">
      <alignment horizontal="center"/>
      <protection locked="0"/>
    </xf>
    <xf numFmtId="0" fontId="47" fillId="0" borderId="12" xfId="7" applyFont="1" applyBorder="1" applyAlignment="1" applyProtection="1">
      <alignment horizontal="center"/>
      <protection locked="0"/>
    </xf>
    <xf numFmtId="0" fontId="47" fillId="0" borderId="5" xfId="7" applyFont="1" applyBorder="1" applyAlignment="1" applyProtection="1">
      <alignment horizontal="center"/>
      <protection locked="0"/>
    </xf>
    <xf numFmtId="0" fontId="47" fillId="0" borderId="1" xfId="7" applyFont="1" applyBorder="1" applyAlignment="1" applyProtection="1">
      <alignment horizontal="center"/>
      <protection locked="0"/>
    </xf>
    <xf numFmtId="0" fontId="47" fillId="0" borderId="14" xfId="7" applyFont="1" applyBorder="1" applyAlignment="1" applyProtection="1">
      <alignment horizontal="center"/>
      <protection locked="0"/>
    </xf>
    <xf numFmtId="0" fontId="47" fillId="0" borderId="15" xfId="7" applyFont="1" applyBorder="1" applyAlignment="1" applyProtection="1">
      <alignment horizontal="center"/>
      <protection locked="0"/>
    </xf>
  </cellXfs>
  <cellStyles count="1668">
    <cellStyle name="20 % – uthevingsfarge 2" xfId="844" builtinId="34"/>
    <cellStyle name="20 % – uthevingsfarge 2 2" xfId="1666" xr:uid="{83E1597B-AC73-45F5-826A-AC6F709F7CAA}"/>
    <cellStyle name="40% - uthevingsfarge 4 2" xfId="38" xr:uid="{00000000-0005-0000-0000-000001000000}"/>
    <cellStyle name="40% - uthevingsfarge 4 2 10" xfId="771" xr:uid="{00000000-0005-0000-0000-000002000000}"/>
    <cellStyle name="40% - uthevingsfarge 4 2 10 2" xfId="1595" xr:uid="{CE0CB471-0392-41CA-89B7-2EB856A83B17}"/>
    <cellStyle name="40% - uthevingsfarge 4 2 11" xfId="873" xr:uid="{D190DF96-1CC3-4471-A2E4-88910A2E94E1}"/>
    <cellStyle name="40% - uthevingsfarge 4 2 2" xfId="80" xr:uid="{00000000-0005-0000-0000-000003000000}"/>
    <cellStyle name="40% - uthevingsfarge 4 2 2 10" xfId="910" xr:uid="{7E7AA72A-2746-440A-8DA1-A1D12DC925D1}"/>
    <cellStyle name="40% - uthevingsfarge 4 2 2 2" xfId="173" xr:uid="{00000000-0005-0000-0000-000004000000}"/>
    <cellStyle name="40% - uthevingsfarge 4 2 2 2 2" xfId="1002" xr:uid="{FF7220D0-139B-495E-AB92-B035C7635514}"/>
    <cellStyle name="40% - uthevingsfarge 4 2 2 3" xfId="263" xr:uid="{00000000-0005-0000-0000-000005000000}"/>
    <cellStyle name="40% - uthevingsfarge 4 2 2 3 2" xfId="1092" xr:uid="{760DC52A-F418-4F03-BDC4-DFA89AE5A080}"/>
    <cellStyle name="40% - uthevingsfarge 4 2 2 4" xfId="353" xr:uid="{00000000-0005-0000-0000-000006000000}"/>
    <cellStyle name="40% - uthevingsfarge 4 2 2 4 2" xfId="1182" xr:uid="{DBE24ACA-DFBE-4501-B4F6-0A88885C8003}"/>
    <cellStyle name="40% - uthevingsfarge 4 2 2 5" xfId="443" xr:uid="{00000000-0005-0000-0000-000007000000}"/>
    <cellStyle name="40% - uthevingsfarge 4 2 2 5 2" xfId="1272" xr:uid="{6B9CD6A0-9DB3-4D52-8A54-ED6650024288}"/>
    <cellStyle name="40% - uthevingsfarge 4 2 2 6" xfId="533" xr:uid="{00000000-0005-0000-0000-000008000000}"/>
    <cellStyle name="40% - uthevingsfarge 4 2 2 6 2" xfId="1362" xr:uid="{786FB382-C0D6-4449-A52B-E62C5B53D15B}"/>
    <cellStyle name="40% - uthevingsfarge 4 2 2 7" xfId="623" xr:uid="{00000000-0005-0000-0000-000009000000}"/>
    <cellStyle name="40% - uthevingsfarge 4 2 2 7 2" xfId="1452" xr:uid="{FDF567D4-4208-4A68-9A66-8D616D621440}"/>
    <cellStyle name="40% - uthevingsfarge 4 2 2 8" xfId="713" xr:uid="{00000000-0005-0000-0000-00000A000000}"/>
    <cellStyle name="40% - uthevingsfarge 4 2 2 8 2" xfId="1542" xr:uid="{6A3778F7-D168-43B9-ABEE-002F245801DB}"/>
    <cellStyle name="40% - uthevingsfarge 4 2 2 9" xfId="810" xr:uid="{00000000-0005-0000-0000-00000B000000}"/>
    <cellStyle name="40% - uthevingsfarge 4 2 2 9 2" xfId="1632" xr:uid="{AABADBC5-62CB-400C-9DB8-F2C372778CE4}"/>
    <cellStyle name="40% - uthevingsfarge 4 2 3" xfId="136" xr:uid="{00000000-0005-0000-0000-00000C000000}"/>
    <cellStyle name="40% - uthevingsfarge 4 2 3 2" xfId="965" xr:uid="{6D38247B-DB39-452D-872D-C3D6D4C4DDCE}"/>
    <cellStyle name="40% - uthevingsfarge 4 2 4" xfId="226" xr:uid="{00000000-0005-0000-0000-00000D000000}"/>
    <cellStyle name="40% - uthevingsfarge 4 2 4 2" xfId="1055" xr:uid="{AB90930A-3D38-4E1E-9BCA-4E360758CE1D}"/>
    <cellStyle name="40% - uthevingsfarge 4 2 5" xfId="316" xr:uid="{00000000-0005-0000-0000-00000E000000}"/>
    <cellStyle name="40% - uthevingsfarge 4 2 5 2" xfId="1145" xr:uid="{1A8E4ED6-9A41-47A4-B5EF-15FF4D1FD5DC}"/>
    <cellStyle name="40% - uthevingsfarge 4 2 6" xfId="406" xr:uid="{00000000-0005-0000-0000-00000F000000}"/>
    <cellStyle name="40% - uthevingsfarge 4 2 6 2" xfId="1235" xr:uid="{58493D31-FDE7-4428-86B9-7F08BF46C384}"/>
    <cellStyle name="40% - uthevingsfarge 4 2 7" xfId="496" xr:uid="{00000000-0005-0000-0000-000010000000}"/>
    <cellStyle name="40% - uthevingsfarge 4 2 7 2" xfId="1325" xr:uid="{70A0E91B-84D0-4E42-9FF4-CF4E732C76BF}"/>
    <cellStyle name="40% - uthevingsfarge 4 2 8" xfId="586" xr:uid="{00000000-0005-0000-0000-000011000000}"/>
    <cellStyle name="40% - uthevingsfarge 4 2 8 2" xfId="1415" xr:uid="{445922EB-A9ED-42CE-92BB-E405C86BC8D2}"/>
    <cellStyle name="40% - uthevingsfarge 4 2 9" xfId="676" xr:uid="{00000000-0005-0000-0000-000012000000}"/>
    <cellStyle name="40% - uthevingsfarge 4 2 9 2" xfId="1505" xr:uid="{30947BE4-0C09-4571-8EC7-6BD48AF1A965}"/>
    <cellStyle name="Hyperkobling" xfId="3" builtinId="8"/>
    <cellStyle name="Komma" xfId="2" builtinId="3"/>
    <cellStyle name="Komma 2" xfId="847" xr:uid="{00000000-0005-0000-0000-000015000000}"/>
    <cellStyle name="Komma 2 3" xfId="849"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0 2" xfId="1499" xr:uid="{4369D4B9-BF6A-43F4-8675-A3E02F260AE0}"/>
    <cellStyle name="Normal 10 11" xfId="765" xr:uid="{00000000-0005-0000-0000-00001A000000}"/>
    <cellStyle name="Normal 10 11 2" xfId="1589" xr:uid="{E5F89E1F-9C90-4243-8F75-00390BE99B55}"/>
    <cellStyle name="Normal 10 12" xfId="867" xr:uid="{CC0F7F16-EB10-49D9-BED8-B283652D5202}"/>
    <cellStyle name="Normal 10 2" xfId="53" xr:uid="{00000000-0005-0000-0000-00001B000000}"/>
    <cellStyle name="Normal 10 2 10" xfId="785" xr:uid="{00000000-0005-0000-0000-00001C000000}"/>
    <cellStyle name="Normal 10 2 10 2" xfId="1608" xr:uid="{797FD075-0336-4D83-B059-02CB3885F181}"/>
    <cellStyle name="Normal 10 2 11" xfId="886" xr:uid="{FFE53057-5CA0-400D-9CBD-54B6B107159D}"/>
    <cellStyle name="Normal 10 2 2" xfId="93" xr:uid="{00000000-0005-0000-0000-00001D000000}"/>
    <cellStyle name="Normal 10 2 2 10" xfId="823" xr:uid="{00000000-0005-0000-0000-00001E000000}"/>
    <cellStyle name="Normal 10 2 2 10 2" xfId="1645" xr:uid="{98996498-46E9-4491-A5D0-EEBD8609B1FF}"/>
    <cellStyle name="Normal 10 2 2 11" xfId="923" xr:uid="{860DA623-CF81-4DB0-88EE-734F17AAFAA1}"/>
    <cellStyle name="Normal 10 2 2 2" xfId="6" xr:uid="{00000000-0005-0000-0000-00001F000000}"/>
    <cellStyle name="Normal 10 2 2 2 2" xfId="116" xr:uid="{00000000-0005-0000-0000-000020000000}"/>
    <cellStyle name="Normal 10 2 2 2 2 2" xfId="945" xr:uid="{BF64BE01-0A5C-409E-A892-7DA80E1F199B}"/>
    <cellStyle name="Normal 10 2 2 2 3" xfId="852" xr:uid="{85EB9DB9-54CB-4C09-BD88-3E330CDF1EA0}"/>
    <cellStyle name="Normal 10 2 2 3" xfId="186" xr:uid="{00000000-0005-0000-0000-000021000000}"/>
    <cellStyle name="Normal 10 2 2 3 2" xfId="1015" xr:uid="{70A2BDFA-8BD2-4E5F-9DC4-A9F273A5A726}"/>
    <cellStyle name="Normal 10 2 2 4" xfId="276" xr:uid="{00000000-0005-0000-0000-000022000000}"/>
    <cellStyle name="Normal 10 2 2 4 2" xfId="1105" xr:uid="{40562C4B-A473-4E2D-82D0-283B48998C52}"/>
    <cellStyle name="Normal 10 2 2 5" xfId="366" xr:uid="{00000000-0005-0000-0000-000023000000}"/>
    <cellStyle name="Normal 10 2 2 5 2" xfId="1195" xr:uid="{31C9B26C-E739-4D41-8C20-2BC8C66ACF27}"/>
    <cellStyle name="Normal 10 2 2 6" xfId="456" xr:uid="{00000000-0005-0000-0000-000024000000}"/>
    <cellStyle name="Normal 10 2 2 6 2" xfId="1285" xr:uid="{722F984A-7CD8-4CA7-95A5-E98669B7B860}"/>
    <cellStyle name="Normal 10 2 2 7" xfId="546" xr:uid="{00000000-0005-0000-0000-000025000000}"/>
    <cellStyle name="Normal 10 2 2 7 2" xfId="1375" xr:uid="{4386E0EA-FAE8-4B5A-9822-80E866A2EF1E}"/>
    <cellStyle name="Normal 10 2 2 8" xfId="636" xr:uid="{00000000-0005-0000-0000-000026000000}"/>
    <cellStyle name="Normal 10 2 2 8 2" xfId="1465" xr:uid="{791BA5A7-4573-4640-972D-5EBE411DC6C9}"/>
    <cellStyle name="Normal 10 2 2 9" xfId="726" xr:uid="{00000000-0005-0000-0000-000027000000}"/>
    <cellStyle name="Normal 10 2 2 9 2" xfId="1555" xr:uid="{1BC9B0A3-0981-4B54-9811-B9877DD9CDE7}"/>
    <cellStyle name="Normal 10 2 3" xfId="149" xr:uid="{00000000-0005-0000-0000-000028000000}"/>
    <cellStyle name="Normal 10 2 3 2" xfId="978" xr:uid="{1DC05C8C-A880-4F23-A457-F31FD79651FD}"/>
    <cellStyle name="Normal 10 2 4" xfId="239" xr:uid="{00000000-0005-0000-0000-000029000000}"/>
    <cellStyle name="Normal 10 2 4 2" xfId="1068" xr:uid="{94C4EB53-881E-4CFB-9F66-99AABCB2B36C}"/>
    <cellStyle name="Normal 10 2 5" xfId="329" xr:uid="{00000000-0005-0000-0000-00002A000000}"/>
    <cellStyle name="Normal 10 2 5 2" xfId="1158" xr:uid="{6319827A-84F9-4C24-A221-D9727900845C}"/>
    <cellStyle name="Normal 10 2 6" xfId="419" xr:uid="{00000000-0005-0000-0000-00002B000000}"/>
    <cellStyle name="Normal 10 2 6 2" xfId="1248" xr:uid="{C692459B-5F95-463A-AD42-F1B3B7B8E5F6}"/>
    <cellStyle name="Normal 10 2 7" xfId="509" xr:uid="{00000000-0005-0000-0000-00002C000000}"/>
    <cellStyle name="Normal 10 2 7 2" xfId="1338" xr:uid="{E0C38937-D5EA-4A94-9AEB-9699756CFFEF}"/>
    <cellStyle name="Normal 10 2 8" xfId="599" xr:uid="{00000000-0005-0000-0000-00002D000000}"/>
    <cellStyle name="Normal 10 2 8 2" xfId="1428" xr:uid="{377158AE-C481-472E-9BA9-FCFBDDEF0A86}"/>
    <cellStyle name="Normal 10 2 9" xfId="689" xr:uid="{00000000-0005-0000-0000-00002E000000}"/>
    <cellStyle name="Normal 10 2 9 2" xfId="1518" xr:uid="{8FC9FDAB-8A4F-4320-ACF2-7D1C04FB4E57}"/>
    <cellStyle name="Normal 10 3" xfId="74" xr:uid="{00000000-0005-0000-0000-00002F000000}"/>
    <cellStyle name="Normal 10 3 10" xfId="904" xr:uid="{6C88FC5B-8D7C-44D8-8FA6-0D1E7F5F2C44}"/>
    <cellStyle name="Normal 10 3 2" xfId="167" xr:uid="{00000000-0005-0000-0000-000030000000}"/>
    <cellStyle name="Normal 10 3 2 2" xfId="996" xr:uid="{4EBA2D44-7290-4654-B2BC-0C94C7639696}"/>
    <cellStyle name="Normal 10 3 3" xfId="257" xr:uid="{00000000-0005-0000-0000-000031000000}"/>
    <cellStyle name="Normal 10 3 3 2" xfId="1086" xr:uid="{DD0C831D-9E87-491C-AED1-3261E303317F}"/>
    <cellStyle name="Normal 10 3 4" xfId="347" xr:uid="{00000000-0005-0000-0000-000032000000}"/>
    <cellStyle name="Normal 10 3 4 2" xfId="1176" xr:uid="{7E039860-8BD8-49FB-A5CB-8AB2EF300E55}"/>
    <cellStyle name="Normal 10 3 5" xfId="437" xr:uid="{00000000-0005-0000-0000-000033000000}"/>
    <cellStyle name="Normal 10 3 5 2" xfId="1266" xr:uid="{6AB919A4-2B93-4B4A-BDA9-D828314603C2}"/>
    <cellStyle name="Normal 10 3 6" xfId="527" xr:uid="{00000000-0005-0000-0000-000034000000}"/>
    <cellStyle name="Normal 10 3 6 2" xfId="1356" xr:uid="{B027DB5B-F8BD-4D44-96F8-7A40528703BF}"/>
    <cellStyle name="Normal 10 3 7" xfId="617" xr:uid="{00000000-0005-0000-0000-000035000000}"/>
    <cellStyle name="Normal 10 3 7 2" xfId="1446" xr:uid="{20B016C2-EB6C-4815-A3A2-307AF0FEE5E8}"/>
    <cellStyle name="Normal 10 3 8" xfId="707" xr:uid="{00000000-0005-0000-0000-000036000000}"/>
    <cellStyle name="Normal 10 3 8 2" xfId="1536" xr:uid="{DB80DD65-48BF-40F2-B242-AC3B092437D2}"/>
    <cellStyle name="Normal 10 3 9" xfId="804" xr:uid="{00000000-0005-0000-0000-000037000000}"/>
    <cellStyle name="Normal 10 3 9 2" xfId="1626" xr:uid="{8B529CB0-3D11-42B3-B3E1-B4BF62650D75}"/>
    <cellStyle name="Normal 10 4" xfId="130" xr:uid="{00000000-0005-0000-0000-000038000000}"/>
    <cellStyle name="Normal 10 4 2" xfId="959" xr:uid="{FD73109C-CA9A-4412-A718-44A36E61E1EB}"/>
    <cellStyle name="Normal 10 5" xfId="220" xr:uid="{00000000-0005-0000-0000-000039000000}"/>
    <cellStyle name="Normal 10 5 2" xfId="1049" xr:uid="{D73B1820-7074-4BC8-81E5-A2966B83CCF6}"/>
    <cellStyle name="Normal 10 6" xfId="310" xr:uid="{00000000-0005-0000-0000-00003A000000}"/>
    <cellStyle name="Normal 10 6 2" xfId="1139" xr:uid="{E5CD6383-3492-4F18-A7A0-E7D41BA8C936}"/>
    <cellStyle name="Normal 10 7" xfId="400" xr:uid="{00000000-0005-0000-0000-00003B000000}"/>
    <cellStyle name="Normal 10 7 2" xfId="1229" xr:uid="{1728B229-F76B-4D48-9B7D-7288F0697F1E}"/>
    <cellStyle name="Normal 10 8" xfId="490" xr:uid="{00000000-0005-0000-0000-00003C000000}"/>
    <cellStyle name="Normal 10 8 2" xfId="1319" xr:uid="{4FC9BDC0-E624-4A21-B5C4-2EC7D0524FAD}"/>
    <cellStyle name="Normal 10 9" xfId="580" xr:uid="{00000000-0005-0000-0000-00003D000000}"/>
    <cellStyle name="Normal 10 9 2" xfId="1409" xr:uid="{01832BB4-FA33-4012-B1AC-1A22E97E6EED}"/>
    <cellStyle name="Normal 11" xfId="35" xr:uid="{00000000-0005-0000-0000-00003E000000}"/>
    <cellStyle name="Normal 11 10" xfId="673" xr:uid="{00000000-0005-0000-0000-00003F000000}"/>
    <cellStyle name="Normal 11 10 2" xfId="1502" xr:uid="{8D0C26ED-44AC-4316-8599-56458C9F6118}"/>
    <cellStyle name="Normal 11 11" xfId="768" xr:uid="{00000000-0005-0000-0000-000040000000}"/>
    <cellStyle name="Normal 11 11 2" xfId="1592" xr:uid="{FE58CD0F-8C78-4968-9302-0F658149E452}"/>
    <cellStyle name="Normal 11 12" xfId="870" xr:uid="{8DAB6A16-516C-49BE-AE3F-D7AA753BDA75}"/>
    <cellStyle name="Normal 11 2" xfId="57" xr:uid="{00000000-0005-0000-0000-000041000000}"/>
    <cellStyle name="Normal 11 2 10" xfId="788" xr:uid="{00000000-0005-0000-0000-000042000000}"/>
    <cellStyle name="Normal 11 2 10 2" xfId="1611" xr:uid="{1CE91AF8-4B4D-4BA5-B5E4-643CD083751A}"/>
    <cellStyle name="Normal 11 2 11" xfId="889" xr:uid="{ED37CBD0-5C12-4CF4-9136-4F280C04078D}"/>
    <cellStyle name="Normal 11 2 2" xfId="97" xr:uid="{00000000-0005-0000-0000-000043000000}"/>
    <cellStyle name="Normal 11 2 2 10" xfId="926" xr:uid="{F95A8737-868E-4DC9-A500-A61A8CFEF066}"/>
    <cellStyle name="Normal 11 2 2 2" xfId="189" xr:uid="{00000000-0005-0000-0000-000044000000}"/>
    <cellStyle name="Normal 11 2 2 2 2" xfId="1018" xr:uid="{0FC91CED-9DAD-414A-89BC-A2DC0B98B234}"/>
    <cellStyle name="Normal 11 2 2 3" xfId="279" xr:uid="{00000000-0005-0000-0000-000045000000}"/>
    <cellStyle name="Normal 11 2 2 3 2" xfId="1108" xr:uid="{08EE936A-838B-42EF-9066-0C68806EF0E4}"/>
    <cellStyle name="Normal 11 2 2 4" xfId="369" xr:uid="{00000000-0005-0000-0000-000046000000}"/>
    <cellStyle name="Normal 11 2 2 4 2" xfId="1198" xr:uid="{AAC51414-794B-4195-8AEB-CA2F685A9264}"/>
    <cellStyle name="Normal 11 2 2 5" xfId="459" xr:uid="{00000000-0005-0000-0000-000047000000}"/>
    <cellStyle name="Normal 11 2 2 5 2" xfId="1288" xr:uid="{9AD2DBB9-07CE-4528-A84D-72F9E67A516B}"/>
    <cellStyle name="Normal 11 2 2 6" xfId="549" xr:uid="{00000000-0005-0000-0000-000048000000}"/>
    <cellStyle name="Normal 11 2 2 6 2" xfId="1378" xr:uid="{D9A87F91-D01E-4AE1-B435-3D1625DBE2D2}"/>
    <cellStyle name="Normal 11 2 2 7" xfId="639" xr:uid="{00000000-0005-0000-0000-000049000000}"/>
    <cellStyle name="Normal 11 2 2 7 2" xfId="1468" xr:uid="{53757CC9-B14C-4C25-82AE-508DEE11176C}"/>
    <cellStyle name="Normal 11 2 2 8" xfId="729" xr:uid="{00000000-0005-0000-0000-00004A000000}"/>
    <cellStyle name="Normal 11 2 2 8 2" xfId="1558" xr:uid="{D5D27008-79D2-44DF-B64B-7BC0DF7653E8}"/>
    <cellStyle name="Normal 11 2 2 9" xfId="826" xr:uid="{00000000-0005-0000-0000-00004B000000}"/>
    <cellStyle name="Normal 11 2 2 9 2" xfId="1648" xr:uid="{BCB80E82-EC9E-404F-B0EF-892F01AF3A59}"/>
    <cellStyle name="Normal 11 2 3" xfId="152" xr:uid="{00000000-0005-0000-0000-00004C000000}"/>
    <cellStyle name="Normal 11 2 3 2" xfId="981" xr:uid="{0EA326C3-122C-4FAC-94ED-FFDEF32E2121}"/>
    <cellStyle name="Normal 11 2 4" xfId="242" xr:uid="{00000000-0005-0000-0000-00004D000000}"/>
    <cellStyle name="Normal 11 2 4 2" xfId="1071" xr:uid="{EBEDB5BC-6897-4326-8AF5-8A1B0602AA0D}"/>
    <cellStyle name="Normal 11 2 5" xfId="332" xr:uid="{00000000-0005-0000-0000-00004E000000}"/>
    <cellStyle name="Normal 11 2 5 2" xfId="1161" xr:uid="{8EB80238-0BB0-487B-A7C7-EFDDF0843B97}"/>
    <cellStyle name="Normal 11 2 6" xfId="422" xr:uid="{00000000-0005-0000-0000-00004F000000}"/>
    <cellStyle name="Normal 11 2 6 2" xfId="1251" xr:uid="{7BCBFED9-CBB1-4F4B-9650-EE7E2606F018}"/>
    <cellStyle name="Normal 11 2 7" xfId="512" xr:uid="{00000000-0005-0000-0000-000050000000}"/>
    <cellStyle name="Normal 11 2 7 2" xfId="1341" xr:uid="{EE6F207A-19A5-4124-B480-6C1F327C9A23}"/>
    <cellStyle name="Normal 11 2 8" xfId="602" xr:uid="{00000000-0005-0000-0000-000051000000}"/>
    <cellStyle name="Normal 11 2 8 2" xfId="1431" xr:uid="{A1E661E1-B771-4039-AE6D-44EA911134D4}"/>
    <cellStyle name="Normal 11 2 9" xfId="692" xr:uid="{00000000-0005-0000-0000-000052000000}"/>
    <cellStyle name="Normal 11 2 9 2" xfId="1521" xr:uid="{629EC116-2527-407C-996B-6157C7728D5B}"/>
    <cellStyle name="Normal 11 3" xfId="77" xr:uid="{00000000-0005-0000-0000-000053000000}"/>
    <cellStyle name="Normal 11 3 10" xfId="907" xr:uid="{355CCABA-9C3D-4084-8853-012CC08721D9}"/>
    <cellStyle name="Normal 11 3 2" xfId="170" xr:uid="{00000000-0005-0000-0000-000054000000}"/>
    <cellStyle name="Normal 11 3 2 2" xfId="999" xr:uid="{3249DD0C-D10B-45D0-A61B-BA505555EF62}"/>
    <cellStyle name="Normal 11 3 3" xfId="260" xr:uid="{00000000-0005-0000-0000-000055000000}"/>
    <cellStyle name="Normal 11 3 3 2" xfId="1089" xr:uid="{21C1954D-E752-40F3-931E-7743FB6929AD}"/>
    <cellStyle name="Normal 11 3 4" xfId="350" xr:uid="{00000000-0005-0000-0000-000056000000}"/>
    <cellStyle name="Normal 11 3 4 2" xfId="1179" xr:uid="{BAC88A32-EC01-4219-AE51-F54300195009}"/>
    <cellStyle name="Normal 11 3 5" xfId="440" xr:uid="{00000000-0005-0000-0000-000057000000}"/>
    <cellStyle name="Normal 11 3 5 2" xfId="1269" xr:uid="{2C7C413E-B85F-483B-9AB6-C2770514B52B}"/>
    <cellStyle name="Normal 11 3 6" xfId="530" xr:uid="{00000000-0005-0000-0000-000058000000}"/>
    <cellStyle name="Normal 11 3 6 2" xfId="1359" xr:uid="{2C196753-62FE-4619-BBEF-243FDAEBFC12}"/>
    <cellStyle name="Normal 11 3 7" xfId="620" xr:uid="{00000000-0005-0000-0000-000059000000}"/>
    <cellStyle name="Normal 11 3 7 2" xfId="1449" xr:uid="{30CAF208-A596-472D-9DC9-F83BA20A4307}"/>
    <cellStyle name="Normal 11 3 8" xfId="710" xr:uid="{00000000-0005-0000-0000-00005A000000}"/>
    <cellStyle name="Normal 11 3 8 2" xfId="1539" xr:uid="{5DBFCCEC-F92D-4598-B205-36BCAA904C2F}"/>
    <cellStyle name="Normal 11 3 9" xfId="807" xr:uid="{00000000-0005-0000-0000-00005B000000}"/>
    <cellStyle name="Normal 11 3 9 2" xfId="1629" xr:uid="{C52D0988-E5CA-4363-A463-9C633AD03419}"/>
    <cellStyle name="Normal 11 4" xfId="133" xr:uid="{00000000-0005-0000-0000-00005C000000}"/>
    <cellStyle name="Normal 11 4 2" xfId="962" xr:uid="{DA977322-A949-4CD1-B719-E92FA5E1F359}"/>
    <cellStyle name="Normal 11 5" xfId="223" xr:uid="{00000000-0005-0000-0000-00005D000000}"/>
    <cellStyle name="Normal 11 5 2" xfId="1052" xr:uid="{992E8D93-DA7B-4B94-916A-836A28358E5D}"/>
    <cellStyle name="Normal 11 6" xfId="313" xr:uid="{00000000-0005-0000-0000-00005E000000}"/>
    <cellStyle name="Normal 11 6 2" xfId="1142" xr:uid="{45374993-7A5E-4737-BA7A-10A00822E235}"/>
    <cellStyle name="Normal 11 7" xfId="403" xr:uid="{00000000-0005-0000-0000-00005F000000}"/>
    <cellStyle name="Normal 11 7 2" xfId="1232" xr:uid="{E5DC397C-0020-4EA6-B0D7-8453EAE9AB70}"/>
    <cellStyle name="Normal 11 8" xfId="493" xr:uid="{00000000-0005-0000-0000-000060000000}"/>
    <cellStyle name="Normal 11 8 2" xfId="1322" xr:uid="{2A3DC3CF-9659-4632-B328-E366F2F36EB9}"/>
    <cellStyle name="Normal 11 9" xfId="583" xr:uid="{00000000-0005-0000-0000-000061000000}"/>
    <cellStyle name="Normal 11 9 2" xfId="1412" xr:uid="{26D49B04-A1D9-4241-8135-E9EE83C304C3}"/>
    <cellStyle name="Normal 12" xfId="100" xr:uid="{00000000-0005-0000-0000-000062000000}"/>
    <cellStyle name="Normal 12 10" xfId="929" xr:uid="{3F5A0FBE-57DB-418D-87C8-89E9F0A4730B}"/>
    <cellStyle name="Normal 12 2" xfId="192" xr:uid="{00000000-0005-0000-0000-000063000000}"/>
    <cellStyle name="Normal 12 2 2" xfId="1021" xr:uid="{94FC53EF-BB11-41BD-A064-0C5E1F6D5D8C}"/>
    <cellStyle name="Normal 12 3" xfId="282" xr:uid="{00000000-0005-0000-0000-000064000000}"/>
    <cellStyle name="Normal 12 3 2" xfId="1111" xr:uid="{0EC01E46-CF0E-4AA7-B5C5-8D5E3AF6ECDC}"/>
    <cellStyle name="Normal 12 4" xfId="372" xr:uid="{00000000-0005-0000-0000-000065000000}"/>
    <cellStyle name="Normal 12 4 2" xfId="1201" xr:uid="{A1CA4CF8-0B71-42CB-9D5D-E7ADBA0646CE}"/>
    <cellStyle name="Normal 12 5" xfId="462" xr:uid="{00000000-0005-0000-0000-000066000000}"/>
    <cellStyle name="Normal 12 5 2" xfId="1291" xr:uid="{EF9D19A6-1EC1-4083-AA4D-5A98B05F506E}"/>
    <cellStyle name="Normal 12 6" xfId="552" xr:uid="{00000000-0005-0000-0000-000067000000}"/>
    <cellStyle name="Normal 12 6 2" xfId="1381" xr:uid="{1FFBBD4B-AA07-4B8A-B45F-E66CCB261756}"/>
    <cellStyle name="Normal 12 7" xfId="642" xr:uid="{00000000-0005-0000-0000-000068000000}"/>
    <cellStyle name="Normal 12 7 2" xfId="1471" xr:uid="{8AF64FA9-1F0A-4907-81A1-0C44E062014C}"/>
    <cellStyle name="Normal 12 8" xfId="732" xr:uid="{00000000-0005-0000-0000-000069000000}"/>
    <cellStyle name="Normal 12 8 2" xfId="1561" xr:uid="{3EF412A4-FB25-45B5-92C9-A9E589053CAC}"/>
    <cellStyle name="Normal 12 9" xfId="829" xr:uid="{00000000-0005-0000-0000-00006A000000}"/>
    <cellStyle name="Normal 12 9 2" xfId="1651" xr:uid="{4F1EC5F6-D6CF-4979-8A88-E9E091036D48}"/>
    <cellStyle name="Normal 13" xfId="103" xr:uid="{00000000-0005-0000-0000-00006B000000}"/>
    <cellStyle name="Normal 13 10" xfId="932" xr:uid="{E80B28D0-B947-4789-827A-498200D52BE6}"/>
    <cellStyle name="Normal 13 2" xfId="195" xr:uid="{00000000-0005-0000-0000-00006C000000}"/>
    <cellStyle name="Normal 13 2 2" xfId="1024" xr:uid="{ECD1A606-54DA-49B0-9BD9-63EC50CC45B3}"/>
    <cellStyle name="Normal 13 3" xfId="285" xr:uid="{00000000-0005-0000-0000-00006D000000}"/>
    <cellStyle name="Normal 13 3 2" xfId="1114" xr:uid="{6482A666-F059-4A65-B674-04E64EB14449}"/>
    <cellStyle name="Normal 13 4" xfId="375" xr:uid="{00000000-0005-0000-0000-00006E000000}"/>
    <cellStyle name="Normal 13 4 2" xfId="1204" xr:uid="{E7B6E8E0-5466-46E3-8270-BB4CDF71787F}"/>
    <cellStyle name="Normal 13 5" xfId="465" xr:uid="{00000000-0005-0000-0000-00006F000000}"/>
    <cellStyle name="Normal 13 5 2" xfId="1294" xr:uid="{17B7471B-E9DB-44F1-809B-4CE2E9AAC336}"/>
    <cellStyle name="Normal 13 6" xfId="555" xr:uid="{00000000-0005-0000-0000-000070000000}"/>
    <cellStyle name="Normal 13 6 2" xfId="1384" xr:uid="{725C1F47-AB46-41C5-ACAB-43F6E6F6E5AC}"/>
    <cellStyle name="Normal 13 7" xfId="645" xr:uid="{00000000-0005-0000-0000-000071000000}"/>
    <cellStyle name="Normal 13 7 2" xfId="1474" xr:uid="{3361A498-6FA1-4F96-A0FC-138FBF15D6AB}"/>
    <cellStyle name="Normal 13 8" xfId="735" xr:uid="{00000000-0005-0000-0000-000072000000}"/>
    <cellStyle name="Normal 13 8 2" xfId="1564" xr:uid="{544EEF63-E320-46F5-A3EF-2600DB930C39}"/>
    <cellStyle name="Normal 13 9" xfId="832" xr:uid="{00000000-0005-0000-0000-000073000000}"/>
    <cellStyle name="Normal 13 9 2" xfId="1654" xr:uid="{780EA651-33C5-4C4D-BE36-148B7B8CF3EB}"/>
    <cellStyle name="Normal 14" xfId="106" xr:uid="{00000000-0005-0000-0000-000074000000}"/>
    <cellStyle name="Normal 14 10" xfId="935" xr:uid="{7035390F-4628-49AD-914D-C455F8C6445E}"/>
    <cellStyle name="Normal 14 2" xfId="198" xr:uid="{00000000-0005-0000-0000-000075000000}"/>
    <cellStyle name="Normal 14 2 2" xfId="1027" xr:uid="{4CF1A329-8F55-4208-990A-44AA183AF112}"/>
    <cellStyle name="Normal 14 3" xfId="288" xr:uid="{00000000-0005-0000-0000-000076000000}"/>
    <cellStyle name="Normal 14 3 2" xfId="1117" xr:uid="{02F72C9A-B8B2-4F39-9A81-F97BF63441D5}"/>
    <cellStyle name="Normal 14 4" xfId="378" xr:uid="{00000000-0005-0000-0000-000077000000}"/>
    <cellStyle name="Normal 14 4 2" xfId="1207" xr:uid="{88B5746F-FA82-4ED5-A2A5-F1CE6615231F}"/>
    <cellStyle name="Normal 14 5" xfId="468" xr:uid="{00000000-0005-0000-0000-000078000000}"/>
    <cellStyle name="Normal 14 5 2" xfId="1297" xr:uid="{7CD74609-E4E9-48A0-BD44-A86F5E56F940}"/>
    <cellStyle name="Normal 14 6" xfId="558" xr:uid="{00000000-0005-0000-0000-000079000000}"/>
    <cellStyle name="Normal 14 6 2" xfId="1387" xr:uid="{48A4593C-BE1E-48B8-A9A8-5E50A5056745}"/>
    <cellStyle name="Normal 14 7" xfId="648" xr:uid="{00000000-0005-0000-0000-00007A000000}"/>
    <cellStyle name="Normal 14 7 2" xfId="1477" xr:uid="{67FDEDA1-1322-462E-B372-0285D86F5C62}"/>
    <cellStyle name="Normal 14 8" xfId="738" xr:uid="{00000000-0005-0000-0000-00007B000000}"/>
    <cellStyle name="Normal 14 8 2" xfId="1567" xr:uid="{53F372FF-9AF8-4343-A28A-C39E8643F6E8}"/>
    <cellStyle name="Normal 14 9" xfId="835" xr:uid="{00000000-0005-0000-0000-00007C000000}"/>
    <cellStyle name="Normal 14 9 2" xfId="1657" xr:uid="{2D1CC5E7-0EF1-4281-B3B1-6AED2B885DF9}"/>
    <cellStyle name="Normal 15" xfId="109" xr:uid="{00000000-0005-0000-0000-00007D000000}"/>
    <cellStyle name="Normal 15 10" xfId="938" xr:uid="{99FBDD73-C92B-41C5-8320-C81CD5C304AB}"/>
    <cellStyle name="Normal 15 2" xfId="201" xr:uid="{00000000-0005-0000-0000-00007E000000}"/>
    <cellStyle name="Normal 15 2 2" xfId="1030" xr:uid="{D8222151-F565-44DF-BCE8-2D421E9CD089}"/>
    <cellStyle name="Normal 15 3" xfId="291" xr:uid="{00000000-0005-0000-0000-00007F000000}"/>
    <cellStyle name="Normal 15 3 2" xfId="1120" xr:uid="{EE9F2BE5-0077-455C-BD19-866D595A4BA0}"/>
    <cellStyle name="Normal 15 4" xfId="381" xr:uid="{00000000-0005-0000-0000-000080000000}"/>
    <cellStyle name="Normal 15 4 2" xfId="1210" xr:uid="{8C9FEB3C-9348-406A-9D7D-D153685995C1}"/>
    <cellStyle name="Normal 15 5" xfId="471" xr:uid="{00000000-0005-0000-0000-000081000000}"/>
    <cellStyle name="Normal 15 5 2" xfId="1300" xr:uid="{AC865BE0-72DE-4597-8ACB-B2E6229B1D17}"/>
    <cellStyle name="Normal 15 6" xfId="561" xr:uid="{00000000-0005-0000-0000-000082000000}"/>
    <cellStyle name="Normal 15 6 2" xfId="1390" xr:uid="{4A5BEE5B-85C7-4B2A-BDB0-C102D0A638ED}"/>
    <cellStyle name="Normal 15 7" xfId="651" xr:uid="{00000000-0005-0000-0000-000083000000}"/>
    <cellStyle name="Normal 15 7 2" xfId="1480" xr:uid="{C3162B45-0567-4CF0-900A-A287BA17E910}"/>
    <cellStyle name="Normal 15 8" xfId="741" xr:uid="{00000000-0005-0000-0000-000084000000}"/>
    <cellStyle name="Normal 15 8 2" xfId="1570" xr:uid="{AE884EE5-1506-4657-9461-562039C1AC83}"/>
    <cellStyle name="Normal 15 9" xfId="838" xr:uid="{00000000-0005-0000-0000-000085000000}"/>
    <cellStyle name="Normal 15 9 2" xfId="1660" xr:uid="{09A3B6FD-B0B7-4E2C-90BD-DE5E2479F79B}"/>
    <cellStyle name="Normal 16" xfId="112" xr:uid="{00000000-0005-0000-0000-000086000000}"/>
    <cellStyle name="Normal 16 10" xfId="941" xr:uid="{F74E2972-1A6C-4947-AC50-67797E2DD048}"/>
    <cellStyle name="Normal 16 2" xfId="204" xr:uid="{00000000-0005-0000-0000-000087000000}"/>
    <cellStyle name="Normal 16 2 2" xfId="1033" xr:uid="{AB51E325-7CC8-435E-8C49-CE75C3707935}"/>
    <cellStyle name="Normal 16 3" xfId="294" xr:uid="{00000000-0005-0000-0000-000088000000}"/>
    <cellStyle name="Normal 16 3 2" xfId="1123" xr:uid="{F47FAD35-F9C2-4C23-938C-8753CE75A882}"/>
    <cellStyle name="Normal 16 4" xfId="384" xr:uid="{00000000-0005-0000-0000-000089000000}"/>
    <cellStyle name="Normal 16 4 2" xfId="1213" xr:uid="{937DEA7D-5D32-44CD-91AE-2701BFD9CCB7}"/>
    <cellStyle name="Normal 16 5" xfId="474" xr:uid="{00000000-0005-0000-0000-00008A000000}"/>
    <cellStyle name="Normal 16 5 2" xfId="1303" xr:uid="{92BD1A98-BF00-408B-987D-B23BE72F4FE2}"/>
    <cellStyle name="Normal 16 6" xfId="564" xr:uid="{00000000-0005-0000-0000-00008B000000}"/>
    <cellStyle name="Normal 16 6 2" xfId="1393" xr:uid="{EFA6CAA0-BADC-4F27-8A7E-085FC975ED76}"/>
    <cellStyle name="Normal 16 7" xfId="654" xr:uid="{00000000-0005-0000-0000-00008C000000}"/>
    <cellStyle name="Normal 16 7 2" xfId="1483" xr:uid="{351079EE-B4C2-4DE9-949E-8DD8F9401BEC}"/>
    <cellStyle name="Normal 16 8" xfId="744" xr:uid="{00000000-0005-0000-0000-00008D000000}"/>
    <cellStyle name="Normal 16 8 2" xfId="1573" xr:uid="{49706FFE-54A5-4117-A5EC-BEE6B072E60D}"/>
    <cellStyle name="Normal 16 9" xfId="841" xr:uid="{00000000-0005-0000-0000-00008E000000}"/>
    <cellStyle name="Normal 16 9 2" xfId="1663" xr:uid="{203E4F5F-2F82-4B37-9309-31BCE28995F9}"/>
    <cellStyle name="Normal 17" xfId="8" xr:uid="{00000000-0005-0000-0000-00008F000000}"/>
    <cellStyle name="Normal 17 2" xfId="853" xr:uid="{B4329ED5-AF09-46A5-8F01-000467F4D7B5}"/>
    <cellStyle name="Normal 18" xfId="10" xr:uid="{00000000-0005-0000-0000-000090000000}"/>
    <cellStyle name="Normal 18 2" xfId="854" xr:uid="{8ACEB165-8C9B-4699-AE09-661E104DAA34}"/>
    <cellStyle name="Normal 19" xfId="117" xr:uid="{00000000-0005-0000-0000-000091000000}"/>
    <cellStyle name="Normal 19 2" xfId="946" xr:uid="{67FB9D0F-5423-4274-8D5F-7BC8D02BD75D}"/>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0 2" xfId="1036" xr:uid="{5EB11C32-4FBD-4F2B-BC25-B4038EE61510}"/>
    <cellStyle name="Normal 21" xfId="297" xr:uid="{00000000-0005-0000-0000-000098000000}"/>
    <cellStyle name="Normal 21 2" xfId="1126" xr:uid="{E643E799-30C0-4643-9D7C-0C3527E91D79}"/>
    <cellStyle name="Normal 22" xfId="387" xr:uid="{00000000-0005-0000-0000-000099000000}"/>
    <cellStyle name="Normal 22 2" xfId="1216" xr:uid="{2F9F84F4-981B-4293-8522-1F6839BD7FDB}"/>
    <cellStyle name="Normal 23" xfId="477" xr:uid="{00000000-0005-0000-0000-00009A000000}"/>
    <cellStyle name="Normal 23 2" xfId="1306" xr:uid="{D1C4B805-999D-4C25-8476-C16026578D36}"/>
    <cellStyle name="Normal 24" xfId="567" xr:uid="{00000000-0005-0000-0000-00009B000000}"/>
    <cellStyle name="Normal 24 2" xfId="1396" xr:uid="{AB6B55D6-CC30-49DD-B857-511EB1425817}"/>
    <cellStyle name="Normal 25" xfId="657" xr:uid="{00000000-0005-0000-0000-00009C000000}"/>
    <cellStyle name="Normal 25 2" xfId="1486" xr:uid="{934738B1-A271-4B82-9AF6-1833EF09D938}"/>
    <cellStyle name="Normal 26" xfId="747" xr:uid="{00000000-0005-0000-0000-00009D000000}"/>
    <cellStyle name="Normal 26 2" xfId="1576" xr:uid="{53C085B9-8B46-4D01-836B-69CEF0E63124}"/>
    <cellStyle name="Normal 27" xfId="850" xr:uid="{ED50C316-25E5-4ED7-8355-A3104735F1B2}"/>
    <cellStyle name="Normal 27 2" xfId="1667" xr:uid="{A9048855-04DD-4E6D-BDB7-C55E7D3EC6D3}"/>
    <cellStyle name="Normal 3" xfId="4" xr:uid="{00000000-0005-0000-0000-00009E000000}"/>
    <cellStyle name="Normal 3 10" xfId="104" xr:uid="{00000000-0005-0000-0000-00009F000000}"/>
    <cellStyle name="Normal 3 10 10" xfId="933" xr:uid="{ACFA3440-E659-444C-988E-375E5D8F7AE9}"/>
    <cellStyle name="Normal 3 10 2" xfId="196" xr:uid="{00000000-0005-0000-0000-0000A0000000}"/>
    <cellStyle name="Normal 3 10 2 2" xfId="1025" xr:uid="{949B3CC7-0BA7-4875-89E9-D0469F7ECE21}"/>
    <cellStyle name="Normal 3 10 3" xfId="286" xr:uid="{00000000-0005-0000-0000-0000A1000000}"/>
    <cellStyle name="Normal 3 10 3 2" xfId="1115" xr:uid="{3307BA23-9E37-4CDD-8E27-D3B6AC969A99}"/>
    <cellStyle name="Normal 3 10 4" xfId="376" xr:uid="{00000000-0005-0000-0000-0000A2000000}"/>
    <cellStyle name="Normal 3 10 4 2" xfId="1205" xr:uid="{1034B42F-466A-4849-82EE-C31659328A33}"/>
    <cellStyle name="Normal 3 10 5" xfId="466" xr:uid="{00000000-0005-0000-0000-0000A3000000}"/>
    <cellStyle name="Normal 3 10 5 2" xfId="1295" xr:uid="{4A6C7FFC-9ED0-457C-BB9F-EC789FEF1936}"/>
    <cellStyle name="Normal 3 10 6" xfId="556" xr:uid="{00000000-0005-0000-0000-0000A4000000}"/>
    <cellStyle name="Normal 3 10 6 2" xfId="1385" xr:uid="{C3F7C716-EC4D-452A-A11D-104006542F13}"/>
    <cellStyle name="Normal 3 10 7" xfId="646" xr:uid="{00000000-0005-0000-0000-0000A5000000}"/>
    <cellStyle name="Normal 3 10 7 2" xfId="1475" xr:uid="{50CCBFC3-0471-47DF-93AD-6038E047DA44}"/>
    <cellStyle name="Normal 3 10 8" xfId="736" xr:uid="{00000000-0005-0000-0000-0000A6000000}"/>
    <cellStyle name="Normal 3 10 8 2" xfId="1565" xr:uid="{B0422872-2054-40ED-A2EB-F5B69B5B724B}"/>
    <cellStyle name="Normal 3 10 9" xfId="833" xr:uid="{00000000-0005-0000-0000-0000A7000000}"/>
    <cellStyle name="Normal 3 10 9 2" xfId="1655" xr:uid="{C137D8DA-3E0E-48E3-AA86-8C7570D1A01A}"/>
    <cellStyle name="Normal 3 11" xfId="107" xr:uid="{00000000-0005-0000-0000-0000A8000000}"/>
    <cellStyle name="Normal 3 11 10" xfId="936" xr:uid="{766E5144-3F0A-4F54-8145-C76219926CE9}"/>
    <cellStyle name="Normal 3 11 2" xfId="199" xr:uid="{00000000-0005-0000-0000-0000A9000000}"/>
    <cellStyle name="Normal 3 11 2 2" xfId="1028" xr:uid="{6A306D77-7C00-4C33-8AE2-3410578C4F5D}"/>
    <cellStyle name="Normal 3 11 3" xfId="289" xr:uid="{00000000-0005-0000-0000-0000AA000000}"/>
    <cellStyle name="Normal 3 11 3 2" xfId="1118" xr:uid="{9BC1B95C-B542-4CB6-A003-14B73AEFF8B5}"/>
    <cellStyle name="Normal 3 11 4" xfId="379" xr:uid="{00000000-0005-0000-0000-0000AB000000}"/>
    <cellStyle name="Normal 3 11 4 2" xfId="1208" xr:uid="{C34FABF7-0C3F-4850-97D1-2055A13787A3}"/>
    <cellStyle name="Normal 3 11 5" xfId="469" xr:uid="{00000000-0005-0000-0000-0000AC000000}"/>
    <cellStyle name="Normal 3 11 5 2" xfId="1298" xr:uid="{E40541EE-0208-43D1-96FB-1A535EF78763}"/>
    <cellStyle name="Normal 3 11 6" xfId="559" xr:uid="{00000000-0005-0000-0000-0000AD000000}"/>
    <cellStyle name="Normal 3 11 6 2" xfId="1388" xr:uid="{40ADDC62-5F30-41C9-8838-75BE1E4ECFB8}"/>
    <cellStyle name="Normal 3 11 7" xfId="649" xr:uid="{00000000-0005-0000-0000-0000AE000000}"/>
    <cellStyle name="Normal 3 11 7 2" xfId="1478" xr:uid="{361812C9-37EB-4F39-989C-E5E72ED46FD0}"/>
    <cellStyle name="Normal 3 11 8" xfId="739" xr:uid="{00000000-0005-0000-0000-0000AF000000}"/>
    <cellStyle name="Normal 3 11 8 2" xfId="1568" xr:uid="{8B3D5DF8-2CE7-4FCE-AE40-D84A644D25EA}"/>
    <cellStyle name="Normal 3 11 9" xfId="836" xr:uid="{00000000-0005-0000-0000-0000B0000000}"/>
    <cellStyle name="Normal 3 11 9 2" xfId="1658" xr:uid="{954BDC4C-F0DE-4717-AF9C-4A715FDBBBC8}"/>
    <cellStyle name="Normal 3 12" xfId="110" xr:uid="{00000000-0005-0000-0000-0000B1000000}"/>
    <cellStyle name="Normal 3 12 10" xfId="939" xr:uid="{41D54C28-29B6-4654-B3B0-B60150CE8735}"/>
    <cellStyle name="Normal 3 12 2" xfId="202" xr:uid="{00000000-0005-0000-0000-0000B2000000}"/>
    <cellStyle name="Normal 3 12 2 2" xfId="1031" xr:uid="{3F1C98C9-E50C-44B1-B23E-E13DC1A426F3}"/>
    <cellStyle name="Normal 3 12 3" xfId="292" xr:uid="{00000000-0005-0000-0000-0000B3000000}"/>
    <cellStyle name="Normal 3 12 3 2" xfId="1121" xr:uid="{1461466B-C38F-4EF6-BD58-05E4F41E1986}"/>
    <cellStyle name="Normal 3 12 4" xfId="382" xr:uid="{00000000-0005-0000-0000-0000B4000000}"/>
    <cellStyle name="Normal 3 12 4 2" xfId="1211" xr:uid="{4A76D1A3-C137-4A70-8CDC-2F3FA38A4132}"/>
    <cellStyle name="Normal 3 12 5" xfId="472" xr:uid="{00000000-0005-0000-0000-0000B5000000}"/>
    <cellStyle name="Normal 3 12 5 2" xfId="1301" xr:uid="{732E0BD7-CF37-47E1-A6F1-7F0A9AEC0E10}"/>
    <cellStyle name="Normal 3 12 6" xfId="562" xr:uid="{00000000-0005-0000-0000-0000B6000000}"/>
    <cellStyle name="Normal 3 12 6 2" xfId="1391" xr:uid="{55B52636-F132-4D3E-AA85-1871429E755D}"/>
    <cellStyle name="Normal 3 12 7" xfId="652" xr:uid="{00000000-0005-0000-0000-0000B7000000}"/>
    <cellStyle name="Normal 3 12 7 2" xfId="1481" xr:uid="{CDBFA064-AA52-4BF5-921B-E9A390D42189}"/>
    <cellStyle name="Normal 3 12 8" xfId="742" xr:uid="{00000000-0005-0000-0000-0000B8000000}"/>
    <cellStyle name="Normal 3 12 8 2" xfId="1571" xr:uid="{D5F72E50-3F83-4954-98D0-9A27239AA7AC}"/>
    <cellStyle name="Normal 3 12 9" xfId="839" xr:uid="{00000000-0005-0000-0000-0000B9000000}"/>
    <cellStyle name="Normal 3 12 9 2" xfId="1661" xr:uid="{6AF79114-3B56-44CB-A9D8-572FD9931098}"/>
    <cellStyle name="Normal 3 13" xfId="113" xr:uid="{00000000-0005-0000-0000-0000BA000000}"/>
    <cellStyle name="Normal 3 13 10" xfId="942" xr:uid="{5F23AA39-36C9-44D3-A2B1-38A2D7705C49}"/>
    <cellStyle name="Normal 3 13 2" xfId="205" xr:uid="{00000000-0005-0000-0000-0000BB000000}"/>
    <cellStyle name="Normal 3 13 2 2" xfId="1034" xr:uid="{1B30174A-1EB7-4B1F-AE83-B3A9A046A54B}"/>
    <cellStyle name="Normal 3 13 3" xfId="295" xr:uid="{00000000-0005-0000-0000-0000BC000000}"/>
    <cellStyle name="Normal 3 13 3 2" xfId="1124" xr:uid="{68CCB4D0-B163-428B-8C2D-AAAF64803229}"/>
    <cellStyle name="Normal 3 13 4" xfId="385" xr:uid="{00000000-0005-0000-0000-0000BD000000}"/>
    <cellStyle name="Normal 3 13 4 2" xfId="1214" xr:uid="{95BCB310-C18D-4C08-8FBF-E8CB18885DC7}"/>
    <cellStyle name="Normal 3 13 5" xfId="475" xr:uid="{00000000-0005-0000-0000-0000BE000000}"/>
    <cellStyle name="Normal 3 13 5 2" xfId="1304" xr:uid="{F27DDEE2-26F3-4F4B-AB57-B49D713FB728}"/>
    <cellStyle name="Normal 3 13 6" xfId="565" xr:uid="{00000000-0005-0000-0000-0000BF000000}"/>
    <cellStyle name="Normal 3 13 6 2" xfId="1394" xr:uid="{6F828921-8AC5-435D-9E7C-6DB91DCD388F}"/>
    <cellStyle name="Normal 3 13 7" xfId="655" xr:uid="{00000000-0005-0000-0000-0000C0000000}"/>
    <cellStyle name="Normal 3 13 7 2" xfId="1484" xr:uid="{655B9D81-4ADB-493A-A1A8-3E1BF3FC2407}"/>
    <cellStyle name="Normal 3 13 8" xfId="745" xr:uid="{00000000-0005-0000-0000-0000C1000000}"/>
    <cellStyle name="Normal 3 13 8 2" xfId="1574" xr:uid="{AD0224A8-8F20-4058-87FA-F03585322633}"/>
    <cellStyle name="Normal 3 13 9" xfId="842" xr:uid="{00000000-0005-0000-0000-0000C2000000}"/>
    <cellStyle name="Normal 3 13 9 2" xfId="1664" xr:uid="{9EC5201F-C651-4C34-A71D-3DA80FFA3BFB}"/>
    <cellStyle name="Normal 3 14" xfId="11" xr:uid="{00000000-0005-0000-0000-0000C3000000}"/>
    <cellStyle name="Normal 3 14 2" xfId="855" xr:uid="{2970D274-199F-4D1D-B89C-7D4B26F6E1E8}"/>
    <cellStyle name="Normal 3 15" xfId="118" xr:uid="{00000000-0005-0000-0000-0000C4000000}"/>
    <cellStyle name="Normal 3 15 2" xfId="947" xr:uid="{2DE7A93A-15D1-42C7-8478-A7CCF2D8F51C}"/>
    <cellStyle name="Normal 3 16" xfId="208" xr:uid="{00000000-0005-0000-0000-0000C5000000}"/>
    <cellStyle name="Normal 3 16 2" xfId="1037" xr:uid="{91646C3F-A287-4036-8581-C456703370B1}"/>
    <cellStyle name="Normal 3 17" xfId="298" xr:uid="{00000000-0005-0000-0000-0000C6000000}"/>
    <cellStyle name="Normal 3 17 2" xfId="1127" xr:uid="{59C0310A-300F-4A23-B321-DE1C75B8A276}"/>
    <cellStyle name="Normal 3 18" xfId="388" xr:uid="{00000000-0005-0000-0000-0000C7000000}"/>
    <cellStyle name="Normal 3 18 2" xfId="1217" xr:uid="{0F305458-56E7-4D0E-BF3B-6F0E431DC7CF}"/>
    <cellStyle name="Normal 3 19" xfId="478" xr:uid="{00000000-0005-0000-0000-0000C8000000}"/>
    <cellStyle name="Normal 3 19 2" xfId="1307" xr:uid="{F57F2D90-921F-4982-95CB-3FEF362305A5}"/>
    <cellStyle name="Normal 3 2" xfId="23" xr:uid="{00000000-0005-0000-0000-0000C9000000}"/>
    <cellStyle name="Normal 3 2 10" xfId="662" xr:uid="{00000000-0005-0000-0000-0000CA000000}"/>
    <cellStyle name="Normal 3 2 10 2" xfId="1491" xr:uid="{41B873D0-8C48-4FA2-8A29-AFBB014BDDA4}"/>
    <cellStyle name="Normal 3 2 11" xfId="757" xr:uid="{00000000-0005-0000-0000-0000CB000000}"/>
    <cellStyle name="Normal 3 2 11 2" xfId="1581" xr:uid="{221F295A-B6B6-429C-8BE5-183DB50DC67E}"/>
    <cellStyle name="Normal 3 2 12" xfId="859" xr:uid="{DC57FFB6-7A10-4CE4-84CC-4FBF98AFEA7D}"/>
    <cellStyle name="Normal 3 2 2" xfId="45" xr:uid="{00000000-0005-0000-0000-0000CC000000}"/>
    <cellStyle name="Normal 3 2 2 10" xfId="777" xr:uid="{00000000-0005-0000-0000-0000CD000000}"/>
    <cellStyle name="Normal 3 2 2 10 2" xfId="1600" xr:uid="{72B12AF1-D8AE-41CC-AF45-4AC40295B0E5}"/>
    <cellStyle name="Normal 3 2 2 11" xfId="878" xr:uid="{F4292068-999B-4A2B-BA07-BA0FDB0DE153}"/>
    <cellStyle name="Normal 3 2 2 2" xfId="85" xr:uid="{00000000-0005-0000-0000-0000CE000000}"/>
    <cellStyle name="Normal 3 2 2 2 10" xfId="915" xr:uid="{770DBA04-FF7B-451C-94BA-03DAF8DC6E51}"/>
    <cellStyle name="Normal 3 2 2 2 2" xfId="178" xr:uid="{00000000-0005-0000-0000-0000CF000000}"/>
    <cellStyle name="Normal 3 2 2 2 2 2" xfId="1007" xr:uid="{E7BC065F-5DB0-4C84-BE81-40407FCFD9A1}"/>
    <cellStyle name="Normal 3 2 2 2 3" xfId="268" xr:uid="{00000000-0005-0000-0000-0000D0000000}"/>
    <cellStyle name="Normal 3 2 2 2 3 2" xfId="1097" xr:uid="{8C9831EE-C0D1-425D-B573-E713D5B14CE6}"/>
    <cellStyle name="Normal 3 2 2 2 4" xfId="358" xr:uid="{00000000-0005-0000-0000-0000D1000000}"/>
    <cellStyle name="Normal 3 2 2 2 4 2" xfId="1187" xr:uid="{DE040D08-D583-4EC3-8EFC-7368CDE931EF}"/>
    <cellStyle name="Normal 3 2 2 2 5" xfId="448" xr:uid="{00000000-0005-0000-0000-0000D2000000}"/>
    <cellStyle name="Normal 3 2 2 2 5 2" xfId="1277" xr:uid="{5134A669-0CE4-424E-9AD8-548EF42C4640}"/>
    <cellStyle name="Normal 3 2 2 2 6" xfId="538" xr:uid="{00000000-0005-0000-0000-0000D3000000}"/>
    <cellStyle name="Normal 3 2 2 2 6 2" xfId="1367" xr:uid="{37C7632E-AD24-4E53-82ED-84B04BFF001C}"/>
    <cellStyle name="Normal 3 2 2 2 7" xfId="628" xr:uid="{00000000-0005-0000-0000-0000D4000000}"/>
    <cellStyle name="Normal 3 2 2 2 7 2" xfId="1457" xr:uid="{E4C41C7B-3E79-409B-95C3-C799EED4079F}"/>
    <cellStyle name="Normal 3 2 2 2 8" xfId="718" xr:uid="{00000000-0005-0000-0000-0000D5000000}"/>
    <cellStyle name="Normal 3 2 2 2 8 2" xfId="1547" xr:uid="{781CB7E4-18F3-4ED9-8A83-CD65B9935A09}"/>
    <cellStyle name="Normal 3 2 2 2 9" xfId="815" xr:uid="{00000000-0005-0000-0000-0000D6000000}"/>
    <cellStyle name="Normal 3 2 2 2 9 2" xfId="1637" xr:uid="{44D60A63-AB2E-4161-8209-34997A63A149}"/>
    <cellStyle name="Normal 3 2 2 3" xfId="141" xr:uid="{00000000-0005-0000-0000-0000D7000000}"/>
    <cellStyle name="Normal 3 2 2 3 2" xfId="970" xr:uid="{2511D166-7F3B-4AE7-97D9-DE67A213CC70}"/>
    <cellStyle name="Normal 3 2 2 4" xfId="231" xr:uid="{00000000-0005-0000-0000-0000D8000000}"/>
    <cellStyle name="Normal 3 2 2 4 2" xfId="1060" xr:uid="{5E49EAB4-D56B-4D69-8482-5BC57D148103}"/>
    <cellStyle name="Normal 3 2 2 5" xfId="321" xr:uid="{00000000-0005-0000-0000-0000D9000000}"/>
    <cellStyle name="Normal 3 2 2 5 2" xfId="1150" xr:uid="{44E47BDC-8273-4E33-A4E6-4A9023E595D8}"/>
    <cellStyle name="Normal 3 2 2 6" xfId="411" xr:uid="{00000000-0005-0000-0000-0000DA000000}"/>
    <cellStyle name="Normal 3 2 2 6 2" xfId="1240" xr:uid="{2E84CC00-500C-42BE-A432-9263C831790A}"/>
    <cellStyle name="Normal 3 2 2 7" xfId="501" xr:uid="{00000000-0005-0000-0000-0000DB000000}"/>
    <cellStyle name="Normal 3 2 2 7 2" xfId="1330" xr:uid="{E89927A6-9B7F-4A89-8010-D0C47252C3AB}"/>
    <cellStyle name="Normal 3 2 2 8" xfId="591" xr:uid="{00000000-0005-0000-0000-0000DC000000}"/>
    <cellStyle name="Normal 3 2 2 8 2" xfId="1420" xr:uid="{3B553E06-A82D-4757-BA3D-A7E5C1EF5580}"/>
    <cellStyle name="Normal 3 2 2 9" xfId="681" xr:uid="{00000000-0005-0000-0000-0000DD000000}"/>
    <cellStyle name="Normal 3 2 2 9 2" xfId="1510" xr:uid="{9C0E2F48-2B05-4BE2-8424-2C1CEE21C182}"/>
    <cellStyle name="Normal 3 2 3" xfId="66" xr:uid="{00000000-0005-0000-0000-0000DE000000}"/>
    <cellStyle name="Normal 3 2 3 10" xfId="896" xr:uid="{E0950AC8-ADC5-4A44-9367-86E3454D8E97}"/>
    <cellStyle name="Normal 3 2 3 2" xfId="159" xr:uid="{00000000-0005-0000-0000-0000DF000000}"/>
    <cellStyle name="Normal 3 2 3 2 2" xfId="988" xr:uid="{16320ADD-7321-4ACE-816A-41764D6C78D8}"/>
    <cellStyle name="Normal 3 2 3 3" xfId="249" xr:uid="{00000000-0005-0000-0000-0000E0000000}"/>
    <cellStyle name="Normal 3 2 3 3 2" xfId="1078" xr:uid="{A412E2EF-BF7D-440B-B6B4-112269851075}"/>
    <cellStyle name="Normal 3 2 3 4" xfId="339" xr:uid="{00000000-0005-0000-0000-0000E1000000}"/>
    <cellStyle name="Normal 3 2 3 4 2" xfId="1168" xr:uid="{0942CFF4-30A2-4F9B-B236-4C68EF4C1120}"/>
    <cellStyle name="Normal 3 2 3 5" xfId="429" xr:uid="{00000000-0005-0000-0000-0000E2000000}"/>
    <cellStyle name="Normal 3 2 3 5 2" xfId="1258" xr:uid="{98118188-8DE9-4266-A4A9-BF82273B9165}"/>
    <cellStyle name="Normal 3 2 3 6" xfId="519" xr:uid="{00000000-0005-0000-0000-0000E3000000}"/>
    <cellStyle name="Normal 3 2 3 6 2" xfId="1348" xr:uid="{0AC6D4B7-C224-43BE-A5F7-021F9957BAD3}"/>
    <cellStyle name="Normal 3 2 3 7" xfId="609" xr:uid="{00000000-0005-0000-0000-0000E4000000}"/>
    <cellStyle name="Normal 3 2 3 7 2" xfId="1438" xr:uid="{F0AA36B5-939A-4ABC-B751-AE925E64CC86}"/>
    <cellStyle name="Normal 3 2 3 8" xfId="699" xr:uid="{00000000-0005-0000-0000-0000E5000000}"/>
    <cellStyle name="Normal 3 2 3 8 2" xfId="1528" xr:uid="{AC2E64A3-82BB-497F-8AA8-52A9E35EC3C5}"/>
    <cellStyle name="Normal 3 2 3 9" xfId="796" xr:uid="{00000000-0005-0000-0000-0000E6000000}"/>
    <cellStyle name="Normal 3 2 3 9 2" xfId="1618" xr:uid="{77E88C25-988F-443A-8036-9464BF4542F3}"/>
    <cellStyle name="Normal 3 2 4" xfId="122" xr:uid="{00000000-0005-0000-0000-0000E7000000}"/>
    <cellStyle name="Normal 3 2 4 2" xfId="951" xr:uid="{6194D92C-A55E-434D-A0B1-A069111D241E}"/>
    <cellStyle name="Normal 3 2 5" xfId="212" xr:uid="{00000000-0005-0000-0000-0000E8000000}"/>
    <cellStyle name="Normal 3 2 5 2" xfId="1041" xr:uid="{21936B64-2860-4521-9B2C-714F41400F3E}"/>
    <cellStyle name="Normal 3 2 6" xfId="302" xr:uid="{00000000-0005-0000-0000-0000E9000000}"/>
    <cellStyle name="Normal 3 2 6 2" xfId="1131" xr:uid="{EF3A7751-C84D-42EA-BD12-C394B72CAE5B}"/>
    <cellStyle name="Normal 3 2 7" xfId="392" xr:uid="{00000000-0005-0000-0000-0000EA000000}"/>
    <cellStyle name="Normal 3 2 7 2" xfId="1221" xr:uid="{158C787B-FBBB-435D-A0FB-EC55FDF0D844}"/>
    <cellStyle name="Normal 3 2 8" xfId="482" xr:uid="{00000000-0005-0000-0000-0000EB000000}"/>
    <cellStyle name="Normal 3 2 8 2" xfId="1311" xr:uid="{CE44258C-C39E-45D0-AF07-0BF687FDB914}"/>
    <cellStyle name="Normal 3 2 9" xfId="572" xr:uid="{00000000-0005-0000-0000-0000EC000000}"/>
    <cellStyle name="Normal 3 2 9 2" xfId="1401" xr:uid="{A1B45D66-39F7-4807-A6CA-133AF3BAC504}"/>
    <cellStyle name="Normal 3 20" xfId="568" xr:uid="{00000000-0005-0000-0000-0000ED000000}"/>
    <cellStyle name="Normal 3 20 2" xfId="1397" xr:uid="{1579800E-D1D7-48B1-ACD8-A8387A1E66AA}"/>
    <cellStyle name="Normal 3 21" xfId="658" xr:uid="{00000000-0005-0000-0000-0000EE000000}"/>
    <cellStyle name="Normal 3 21 2" xfId="1487" xr:uid="{F20310D0-8996-4581-B6AA-07695DE76C39}"/>
    <cellStyle name="Normal 3 22" xfId="748" xr:uid="{00000000-0005-0000-0000-0000EF000000}"/>
    <cellStyle name="Normal 3 22 2" xfId="1577" xr:uid="{9C2B453B-FDF2-4600-9852-9BBDFCC372BB}"/>
    <cellStyle name="Normal 3 23" xfId="851" xr:uid="{43617969-28A9-4CCF-856E-DBAA50561F56}"/>
    <cellStyle name="Normal 3 3" xfId="26" xr:uid="{00000000-0005-0000-0000-0000F0000000}"/>
    <cellStyle name="Normal 3 3 10" xfId="665" xr:uid="{00000000-0005-0000-0000-0000F1000000}"/>
    <cellStyle name="Normal 3 3 10 2" xfId="1494" xr:uid="{A5B7C981-F5B9-4CCB-B789-26D04B2C4454}"/>
    <cellStyle name="Normal 3 3 11" xfId="760" xr:uid="{00000000-0005-0000-0000-0000F2000000}"/>
    <cellStyle name="Normal 3 3 11 2" xfId="1584" xr:uid="{A5673992-18D1-4FBE-97E1-F556112ED884}"/>
    <cellStyle name="Normal 3 3 12" xfId="862" xr:uid="{42F45D27-37ED-4E01-AD8A-45D828F4AC89}"/>
    <cellStyle name="Normal 3 3 2" xfId="48" xr:uid="{00000000-0005-0000-0000-0000F3000000}"/>
    <cellStyle name="Normal 3 3 2 10" xfId="780" xr:uid="{00000000-0005-0000-0000-0000F4000000}"/>
    <cellStyle name="Normal 3 3 2 10 2" xfId="1603" xr:uid="{A0379C68-D83E-4C15-9E49-E7BA12B1FD47}"/>
    <cellStyle name="Normal 3 3 2 11" xfId="881" xr:uid="{45C846F2-455B-4AEC-B552-7FBF643F384E}"/>
    <cellStyle name="Normal 3 3 2 2" xfId="88" xr:uid="{00000000-0005-0000-0000-0000F5000000}"/>
    <cellStyle name="Normal 3 3 2 2 10" xfId="918" xr:uid="{6FC8DA60-6E98-4904-9E8C-F05FEA344B61}"/>
    <cellStyle name="Normal 3 3 2 2 2" xfId="181" xr:uid="{00000000-0005-0000-0000-0000F6000000}"/>
    <cellStyle name="Normal 3 3 2 2 2 2" xfId="1010" xr:uid="{92778359-0D1B-411D-B1D1-C593A01CE039}"/>
    <cellStyle name="Normal 3 3 2 2 3" xfId="271" xr:uid="{00000000-0005-0000-0000-0000F7000000}"/>
    <cellStyle name="Normal 3 3 2 2 3 2" xfId="1100" xr:uid="{CA7E5DD3-4356-483E-B7DF-0B2A9450A36B}"/>
    <cellStyle name="Normal 3 3 2 2 4" xfId="361" xr:uid="{00000000-0005-0000-0000-0000F8000000}"/>
    <cellStyle name="Normal 3 3 2 2 4 2" xfId="1190" xr:uid="{347FB176-A4D5-46F7-9872-C6844094FF89}"/>
    <cellStyle name="Normal 3 3 2 2 5" xfId="451" xr:uid="{00000000-0005-0000-0000-0000F9000000}"/>
    <cellStyle name="Normal 3 3 2 2 5 2" xfId="1280" xr:uid="{2A3406C7-DBA6-4020-AA70-32D3F41E061B}"/>
    <cellStyle name="Normal 3 3 2 2 6" xfId="541" xr:uid="{00000000-0005-0000-0000-0000FA000000}"/>
    <cellStyle name="Normal 3 3 2 2 6 2" xfId="1370" xr:uid="{DDD619F1-E167-4A46-BCFA-AA63922AD97A}"/>
    <cellStyle name="Normal 3 3 2 2 7" xfId="631" xr:uid="{00000000-0005-0000-0000-0000FB000000}"/>
    <cellStyle name="Normal 3 3 2 2 7 2" xfId="1460" xr:uid="{779E060B-1B3D-48CD-92C6-014AAD56AA75}"/>
    <cellStyle name="Normal 3 3 2 2 8" xfId="721" xr:uid="{00000000-0005-0000-0000-0000FC000000}"/>
    <cellStyle name="Normal 3 3 2 2 8 2" xfId="1550" xr:uid="{C3E9B5B2-E42F-490C-A667-A4A97082A8E3}"/>
    <cellStyle name="Normal 3 3 2 2 9" xfId="818" xr:uid="{00000000-0005-0000-0000-0000FD000000}"/>
    <cellStyle name="Normal 3 3 2 2 9 2" xfId="1640" xr:uid="{B699B296-A6FF-493A-8387-260ACD3C655D}"/>
    <cellStyle name="Normal 3 3 2 3" xfId="144" xr:uid="{00000000-0005-0000-0000-0000FE000000}"/>
    <cellStyle name="Normal 3 3 2 3 2" xfId="973" xr:uid="{B571D4A6-07FA-4EB6-BA76-6DD1FA571850}"/>
    <cellStyle name="Normal 3 3 2 4" xfId="234" xr:uid="{00000000-0005-0000-0000-0000FF000000}"/>
    <cellStyle name="Normal 3 3 2 4 2" xfId="1063" xr:uid="{238DFFB9-5128-43E8-A23D-AC77F4C7CF30}"/>
    <cellStyle name="Normal 3 3 2 5" xfId="324" xr:uid="{00000000-0005-0000-0000-000000010000}"/>
    <cellStyle name="Normal 3 3 2 5 2" xfId="1153" xr:uid="{1E6BC6B3-89E4-4E99-8CD6-BFFBEAF57100}"/>
    <cellStyle name="Normal 3 3 2 6" xfId="414" xr:uid="{00000000-0005-0000-0000-000001010000}"/>
    <cellStyle name="Normal 3 3 2 6 2" xfId="1243" xr:uid="{EDDAAD6E-925D-4D64-957D-5D9FC3209507}"/>
    <cellStyle name="Normal 3 3 2 7" xfId="504" xr:uid="{00000000-0005-0000-0000-000002010000}"/>
    <cellStyle name="Normal 3 3 2 7 2" xfId="1333" xr:uid="{3FB17230-FFB6-477B-ADED-EFDEE9C385E3}"/>
    <cellStyle name="Normal 3 3 2 8" xfId="594" xr:uid="{00000000-0005-0000-0000-000003010000}"/>
    <cellStyle name="Normal 3 3 2 8 2" xfId="1423" xr:uid="{CD328C38-4BBB-410C-A780-E7E791F6D790}"/>
    <cellStyle name="Normal 3 3 2 9" xfId="684" xr:uid="{00000000-0005-0000-0000-000004010000}"/>
    <cellStyle name="Normal 3 3 2 9 2" xfId="1513" xr:uid="{7674CD37-A459-489F-AF8D-B825895E6B2B}"/>
    <cellStyle name="Normal 3 3 3" xfId="69" xr:uid="{00000000-0005-0000-0000-000005010000}"/>
    <cellStyle name="Normal 3 3 3 10" xfId="899" xr:uid="{F0D11C95-1014-4427-A52B-954AE78DD657}"/>
    <cellStyle name="Normal 3 3 3 2" xfId="162" xr:uid="{00000000-0005-0000-0000-000006010000}"/>
    <cellStyle name="Normal 3 3 3 2 2" xfId="991" xr:uid="{08D445E1-A470-4637-B5D4-AD08E52675B4}"/>
    <cellStyle name="Normal 3 3 3 3" xfId="252" xr:uid="{00000000-0005-0000-0000-000007010000}"/>
    <cellStyle name="Normal 3 3 3 3 2" xfId="1081" xr:uid="{E41B1610-2863-4FAF-91D4-F03E1C0F41B6}"/>
    <cellStyle name="Normal 3 3 3 4" xfId="342" xr:uid="{00000000-0005-0000-0000-000008010000}"/>
    <cellStyle name="Normal 3 3 3 4 2" xfId="1171" xr:uid="{769EF1B7-C9F5-4B54-BF03-82FB8C910569}"/>
    <cellStyle name="Normal 3 3 3 5" xfId="432" xr:uid="{00000000-0005-0000-0000-000009010000}"/>
    <cellStyle name="Normal 3 3 3 5 2" xfId="1261" xr:uid="{BB849E24-0130-4A4F-AFE5-C709C44F1374}"/>
    <cellStyle name="Normal 3 3 3 6" xfId="522" xr:uid="{00000000-0005-0000-0000-00000A010000}"/>
    <cellStyle name="Normal 3 3 3 6 2" xfId="1351" xr:uid="{DCA8D499-3E14-4691-AB65-4113C5C39ADB}"/>
    <cellStyle name="Normal 3 3 3 7" xfId="612" xr:uid="{00000000-0005-0000-0000-00000B010000}"/>
    <cellStyle name="Normal 3 3 3 7 2" xfId="1441" xr:uid="{38082207-F222-4523-A44B-E6B48E65364C}"/>
    <cellStyle name="Normal 3 3 3 8" xfId="702" xr:uid="{00000000-0005-0000-0000-00000C010000}"/>
    <cellStyle name="Normal 3 3 3 8 2" xfId="1531" xr:uid="{424D27BE-614F-4C34-A1D5-111F0A6A2120}"/>
    <cellStyle name="Normal 3 3 3 9" xfId="799" xr:uid="{00000000-0005-0000-0000-00000D010000}"/>
    <cellStyle name="Normal 3 3 3 9 2" xfId="1621" xr:uid="{C03DA742-2AEA-4837-B031-EA7167A36E5D}"/>
    <cellStyle name="Normal 3 3 4" xfId="125" xr:uid="{00000000-0005-0000-0000-00000E010000}"/>
    <cellStyle name="Normal 3 3 4 2" xfId="954" xr:uid="{6ABD1D5B-7F28-4384-ACD9-A608C9129B67}"/>
    <cellStyle name="Normal 3 3 5" xfId="215" xr:uid="{00000000-0005-0000-0000-00000F010000}"/>
    <cellStyle name="Normal 3 3 5 2" xfId="1044" xr:uid="{E60C584F-D2B2-4C48-84BF-1E0A6EBAB1A9}"/>
    <cellStyle name="Normal 3 3 6" xfId="305" xr:uid="{00000000-0005-0000-0000-000010010000}"/>
    <cellStyle name="Normal 3 3 6 2" xfId="1134" xr:uid="{3D73FD2C-4EBC-48D3-91EF-86178C4BC1DB}"/>
    <cellStyle name="Normal 3 3 7" xfId="395" xr:uid="{00000000-0005-0000-0000-000011010000}"/>
    <cellStyle name="Normal 3 3 7 2" xfId="1224" xr:uid="{F6617B9A-3383-4658-93C9-ED6DC763BF9A}"/>
    <cellStyle name="Normal 3 3 8" xfId="485" xr:uid="{00000000-0005-0000-0000-000012010000}"/>
    <cellStyle name="Normal 3 3 8 2" xfId="1314" xr:uid="{B8EFC3A7-F51C-45FE-ABBD-FD4FB1C1AAF3}"/>
    <cellStyle name="Normal 3 3 9" xfId="575" xr:uid="{00000000-0005-0000-0000-000013010000}"/>
    <cellStyle name="Normal 3 3 9 2" xfId="1404" xr:uid="{0B7FB94D-1E11-4D4A-8546-71DDC195D870}"/>
    <cellStyle name="Normal 3 4" xfId="29" xr:uid="{00000000-0005-0000-0000-000014010000}"/>
    <cellStyle name="Normal 3 4 10" xfId="668" xr:uid="{00000000-0005-0000-0000-000015010000}"/>
    <cellStyle name="Normal 3 4 10 2" xfId="1497" xr:uid="{9D3CD0B4-65DB-491A-B117-D0A691515D49}"/>
    <cellStyle name="Normal 3 4 11" xfId="763" xr:uid="{00000000-0005-0000-0000-000016010000}"/>
    <cellStyle name="Normal 3 4 11 2" xfId="1587" xr:uid="{F9DF3E74-678A-455C-9296-59B20C882A02}"/>
    <cellStyle name="Normal 3 4 12" xfId="865" xr:uid="{07C8DA2C-E85D-468D-BCC1-DA6825A74545}"/>
    <cellStyle name="Normal 3 4 2" xfId="51" xr:uid="{00000000-0005-0000-0000-000017010000}"/>
    <cellStyle name="Normal 3 4 2 10" xfId="783" xr:uid="{00000000-0005-0000-0000-000018010000}"/>
    <cellStyle name="Normal 3 4 2 10 2" xfId="1606" xr:uid="{61F3D09C-1696-4136-9FF3-F829EDE3A0E0}"/>
    <cellStyle name="Normal 3 4 2 11" xfId="884" xr:uid="{8EB4E858-32D8-4E58-B4BA-C5AB330F177D}"/>
    <cellStyle name="Normal 3 4 2 2" xfId="91" xr:uid="{00000000-0005-0000-0000-000019010000}"/>
    <cellStyle name="Normal 3 4 2 2 10" xfId="921" xr:uid="{ABA22694-DA5D-409D-9B6A-393A1F23D27E}"/>
    <cellStyle name="Normal 3 4 2 2 2" xfId="184" xr:uid="{00000000-0005-0000-0000-00001A010000}"/>
    <cellStyle name="Normal 3 4 2 2 2 2" xfId="1013" xr:uid="{68ACE2F3-DE7B-4586-A79A-CC88526FD181}"/>
    <cellStyle name="Normal 3 4 2 2 3" xfId="274" xr:uid="{00000000-0005-0000-0000-00001B010000}"/>
    <cellStyle name="Normal 3 4 2 2 3 2" xfId="1103" xr:uid="{4550716C-F480-4C6B-BDB0-86E62B181C1B}"/>
    <cellStyle name="Normal 3 4 2 2 4" xfId="364" xr:uid="{00000000-0005-0000-0000-00001C010000}"/>
    <cellStyle name="Normal 3 4 2 2 4 2" xfId="1193" xr:uid="{C45362F3-A54F-40F3-8D59-E44314D775F3}"/>
    <cellStyle name="Normal 3 4 2 2 5" xfId="454" xr:uid="{00000000-0005-0000-0000-00001D010000}"/>
    <cellStyle name="Normal 3 4 2 2 5 2" xfId="1283" xr:uid="{FFF90311-2D11-4767-B3BB-3BC55208C0AB}"/>
    <cellStyle name="Normal 3 4 2 2 6" xfId="544" xr:uid="{00000000-0005-0000-0000-00001E010000}"/>
    <cellStyle name="Normal 3 4 2 2 6 2" xfId="1373" xr:uid="{2DBA00A7-A8C0-4E1D-B063-D2B1CA07E88C}"/>
    <cellStyle name="Normal 3 4 2 2 7" xfId="634" xr:uid="{00000000-0005-0000-0000-00001F010000}"/>
    <cellStyle name="Normal 3 4 2 2 7 2" xfId="1463" xr:uid="{C910D9DC-7D88-4B88-8875-01284F6CCCB8}"/>
    <cellStyle name="Normal 3 4 2 2 8" xfId="724" xr:uid="{00000000-0005-0000-0000-000020010000}"/>
    <cellStyle name="Normal 3 4 2 2 8 2" xfId="1553" xr:uid="{C43C2B71-FFD8-4EF6-B961-A35E0632DBED}"/>
    <cellStyle name="Normal 3 4 2 2 9" xfId="821" xr:uid="{00000000-0005-0000-0000-000021010000}"/>
    <cellStyle name="Normal 3 4 2 2 9 2" xfId="1643" xr:uid="{70668BBB-E1F8-4CFF-A7B6-5DAEE8FA01CB}"/>
    <cellStyle name="Normal 3 4 2 3" xfId="147" xr:uid="{00000000-0005-0000-0000-000022010000}"/>
    <cellStyle name="Normal 3 4 2 3 2" xfId="976" xr:uid="{EF81FBEE-9971-43B5-BCF4-5A484930E00E}"/>
    <cellStyle name="Normal 3 4 2 4" xfId="237" xr:uid="{00000000-0005-0000-0000-000023010000}"/>
    <cellStyle name="Normal 3 4 2 4 2" xfId="1066" xr:uid="{1559D4FF-1DA6-4F75-8495-525858944028}"/>
    <cellStyle name="Normal 3 4 2 5" xfId="327" xr:uid="{00000000-0005-0000-0000-000024010000}"/>
    <cellStyle name="Normal 3 4 2 5 2" xfId="1156" xr:uid="{E869BEF5-B0CB-41D0-8B92-9491B6BEA1CD}"/>
    <cellStyle name="Normal 3 4 2 6" xfId="417" xr:uid="{00000000-0005-0000-0000-000025010000}"/>
    <cellStyle name="Normal 3 4 2 6 2" xfId="1246" xr:uid="{EBA05EB9-EE85-4653-BCD0-0F047C5B3071}"/>
    <cellStyle name="Normal 3 4 2 7" xfId="507" xr:uid="{00000000-0005-0000-0000-000026010000}"/>
    <cellStyle name="Normal 3 4 2 7 2" xfId="1336" xr:uid="{538A4A48-8DC4-4683-8281-B6F1F59C136C}"/>
    <cellStyle name="Normal 3 4 2 8" xfId="597" xr:uid="{00000000-0005-0000-0000-000027010000}"/>
    <cellStyle name="Normal 3 4 2 8 2" xfId="1426" xr:uid="{20637741-F6A8-4ED2-95E6-5C8B32B1AC0E}"/>
    <cellStyle name="Normal 3 4 2 9" xfId="687" xr:uid="{00000000-0005-0000-0000-000028010000}"/>
    <cellStyle name="Normal 3 4 2 9 2" xfId="1516" xr:uid="{147F293F-F426-4105-8714-5A8C16CF358E}"/>
    <cellStyle name="Normal 3 4 3" xfId="72" xr:uid="{00000000-0005-0000-0000-000029010000}"/>
    <cellStyle name="Normal 3 4 3 10" xfId="902" xr:uid="{CFDC7868-0C71-42EB-A162-0FE51155EEE4}"/>
    <cellStyle name="Normal 3 4 3 2" xfId="165" xr:uid="{00000000-0005-0000-0000-00002A010000}"/>
    <cellStyle name="Normal 3 4 3 2 2" xfId="994" xr:uid="{E9F5E42C-EC2C-4AD2-8E08-75090FAEC377}"/>
    <cellStyle name="Normal 3 4 3 3" xfId="255" xr:uid="{00000000-0005-0000-0000-00002B010000}"/>
    <cellStyle name="Normal 3 4 3 3 2" xfId="1084" xr:uid="{974A1D6E-20B2-4A21-8994-C40FCC232CBE}"/>
    <cellStyle name="Normal 3 4 3 4" xfId="345" xr:uid="{00000000-0005-0000-0000-00002C010000}"/>
    <cellStyle name="Normal 3 4 3 4 2" xfId="1174" xr:uid="{92565301-4CDA-4526-A9F5-490C658CB1FA}"/>
    <cellStyle name="Normal 3 4 3 5" xfId="435" xr:uid="{00000000-0005-0000-0000-00002D010000}"/>
    <cellStyle name="Normal 3 4 3 5 2" xfId="1264" xr:uid="{29340233-E305-465B-BF66-726F2EB8A8C9}"/>
    <cellStyle name="Normal 3 4 3 6" xfId="525" xr:uid="{00000000-0005-0000-0000-00002E010000}"/>
    <cellStyle name="Normal 3 4 3 6 2" xfId="1354" xr:uid="{174DE4C4-4BFB-453D-8029-E067F2913DA3}"/>
    <cellStyle name="Normal 3 4 3 7" xfId="615" xr:uid="{00000000-0005-0000-0000-00002F010000}"/>
    <cellStyle name="Normal 3 4 3 7 2" xfId="1444" xr:uid="{99398CF6-781D-492B-B611-EF51265C458F}"/>
    <cellStyle name="Normal 3 4 3 8" xfId="705" xr:uid="{00000000-0005-0000-0000-000030010000}"/>
    <cellStyle name="Normal 3 4 3 8 2" xfId="1534" xr:uid="{46383D21-9631-4424-B6C9-E4AE25F869FE}"/>
    <cellStyle name="Normal 3 4 3 9" xfId="802" xr:uid="{00000000-0005-0000-0000-000031010000}"/>
    <cellStyle name="Normal 3 4 3 9 2" xfId="1624" xr:uid="{E3112C32-0F2F-41D7-B0BD-3C90BC9B9343}"/>
    <cellStyle name="Normal 3 4 4" xfId="128" xr:uid="{00000000-0005-0000-0000-000032010000}"/>
    <cellStyle name="Normal 3 4 4 2" xfId="957" xr:uid="{38C74A21-673C-4904-8CFF-1906FDB190C1}"/>
    <cellStyle name="Normal 3 4 5" xfId="218" xr:uid="{00000000-0005-0000-0000-000033010000}"/>
    <cellStyle name="Normal 3 4 5 2" xfId="1047" xr:uid="{E7D901C7-D806-4987-873D-DA8B58964C70}"/>
    <cellStyle name="Normal 3 4 6" xfId="308" xr:uid="{00000000-0005-0000-0000-000034010000}"/>
    <cellStyle name="Normal 3 4 6 2" xfId="1137" xr:uid="{21AFFDF3-9666-4E20-A58E-4E1DFB5C7DD8}"/>
    <cellStyle name="Normal 3 4 7" xfId="398" xr:uid="{00000000-0005-0000-0000-000035010000}"/>
    <cellStyle name="Normal 3 4 7 2" xfId="1227" xr:uid="{A2910A95-3677-4195-9770-20AF3B0BF666}"/>
    <cellStyle name="Normal 3 4 8" xfId="488" xr:uid="{00000000-0005-0000-0000-000036010000}"/>
    <cellStyle name="Normal 3 4 8 2" xfId="1317" xr:uid="{93718BCE-E269-4FBC-83D5-4143E7D63471}"/>
    <cellStyle name="Normal 3 4 9" xfId="578" xr:uid="{00000000-0005-0000-0000-000037010000}"/>
    <cellStyle name="Normal 3 4 9 2" xfId="1407" xr:uid="{F47FD57C-81A1-42C5-95A7-AC6811B96112}"/>
    <cellStyle name="Normal 3 5" xfId="33" xr:uid="{00000000-0005-0000-0000-000038010000}"/>
    <cellStyle name="Normal 3 5 10" xfId="671" xr:uid="{00000000-0005-0000-0000-000039010000}"/>
    <cellStyle name="Normal 3 5 10 2" xfId="1500" xr:uid="{D60E26FC-7EBF-41F7-BD12-407E1334A564}"/>
    <cellStyle name="Normal 3 5 11" xfId="766" xr:uid="{00000000-0005-0000-0000-00003A010000}"/>
    <cellStyle name="Normal 3 5 11 2" xfId="1590" xr:uid="{D9B3490F-EF31-464C-B0ED-EF5F83FA0A0B}"/>
    <cellStyle name="Normal 3 5 12" xfId="868" xr:uid="{DA97F994-7E75-47B7-8273-B45051500AF8}"/>
    <cellStyle name="Normal 3 5 2" xfId="55" xr:uid="{00000000-0005-0000-0000-00003B010000}"/>
    <cellStyle name="Normal 3 5 2 10" xfId="786" xr:uid="{00000000-0005-0000-0000-00003C010000}"/>
    <cellStyle name="Normal 3 5 2 10 2" xfId="1609" xr:uid="{8B7270F6-43DB-4C4B-9F6E-F46FED3FAFAD}"/>
    <cellStyle name="Normal 3 5 2 11" xfId="887" xr:uid="{AFA6C07F-CA6D-4C14-BB52-0F7791B9FBA2}"/>
    <cellStyle name="Normal 3 5 2 2" xfId="95" xr:uid="{00000000-0005-0000-0000-00003D010000}"/>
    <cellStyle name="Normal 3 5 2 2 10" xfId="924" xr:uid="{F2713610-8C8D-4207-9415-097A0D021BBB}"/>
    <cellStyle name="Normal 3 5 2 2 2" xfId="187" xr:uid="{00000000-0005-0000-0000-00003E010000}"/>
    <cellStyle name="Normal 3 5 2 2 2 2" xfId="1016" xr:uid="{BC6F54F8-6CB9-4533-A300-59072F99E30B}"/>
    <cellStyle name="Normal 3 5 2 2 3" xfId="277" xr:uid="{00000000-0005-0000-0000-00003F010000}"/>
    <cellStyle name="Normal 3 5 2 2 3 2" xfId="1106" xr:uid="{D5EBF454-46CC-4995-B46B-C6707F190911}"/>
    <cellStyle name="Normal 3 5 2 2 4" xfId="367" xr:uid="{00000000-0005-0000-0000-000040010000}"/>
    <cellStyle name="Normal 3 5 2 2 4 2" xfId="1196" xr:uid="{CA816D16-CD9A-4909-BA80-E2D4E93FBDA6}"/>
    <cellStyle name="Normal 3 5 2 2 5" xfId="457" xr:uid="{00000000-0005-0000-0000-000041010000}"/>
    <cellStyle name="Normal 3 5 2 2 5 2" xfId="1286" xr:uid="{454123DA-2AC4-4C62-BD98-9F7E752BBFC9}"/>
    <cellStyle name="Normal 3 5 2 2 6" xfId="547" xr:uid="{00000000-0005-0000-0000-000042010000}"/>
    <cellStyle name="Normal 3 5 2 2 6 2" xfId="1376" xr:uid="{F90B351B-4750-4EF0-AD10-9E89859A9811}"/>
    <cellStyle name="Normal 3 5 2 2 7" xfId="637" xr:uid="{00000000-0005-0000-0000-000043010000}"/>
    <cellStyle name="Normal 3 5 2 2 7 2" xfId="1466" xr:uid="{D99CFA7B-B0B4-4850-AC1E-D56201C4A4CB}"/>
    <cellStyle name="Normal 3 5 2 2 8" xfId="727" xr:uid="{00000000-0005-0000-0000-000044010000}"/>
    <cellStyle name="Normal 3 5 2 2 8 2" xfId="1556" xr:uid="{DBA1C2DA-A2EA-4BBA-9383-28FF0445FECE}"/>
    <cellStyle name="Normal 3 5 2 2 9" xfId="824" xr:uid="{00000000-0005-0000-0000-000045010000}"/>
    <cellStyle name="Normal 3 5 2 2 9 2" xfId="1646" xr:uid="{6A815743-3E28-4AB1-ABD7-035C1F23FC17}"/>
    <cellStyle name="Normal 3 5 2 3" xfId="150" xr:uid="{00000000-0005-0000-0000-000046010000}"/>
    <cellStyle name="Normal 3 5 2 3 2" xfId="979" xr:uid="{65BCE699-B1AE-453C-9B74-0F38BA374316}"/>
    <cellStyle name="Normal 3 5 2 4" xfId="240" xr:uid="{00000000-0005-0000-0000-000047010000}"/>
    <cellStyle name="Normal 3 5 2 4 2" xfId="1069" xr:uid="{D62ED718-C891-4BBA-AC93-8C5F51E59B63}"/>
    <cellStyle name="Normal 3 5 2 5" xfId="330" xr:uid="{00000000-0005-0000-0000-000048010000}"/>
    <cellStyle name="Normal 3 5 2 5 2" xfId="1159" xr:uid="{235BDD94-EF51-49B6-B303-76A0D1C4270C}"/>
    <cellStyle name="Normal 3 5 2 6" xfId="420" xr:uid="{00000000-0005-0000-0000-000049010000}"/>
    <cellStyle name="Normal 3 5 2 6 2" xfId="1249" xr:uid="{FD361342-A856-4A2B-9663-6331C5A359F5}"/>
    <cellStyle name="Normal 3 5 2 7" xfId="510" xr:uid="{00000000-0005-0000-0000-00004A010000}"/>
    <cellStyle name="Normal 3 5 2 7 2" xfId="1339" xr:uid="{794956AB-FA11-4505-A6FC-B710599DA7F4}"/>
    <cellStyle name="Normal 3 5 2 8" xfId="600" xr:uid="{00000000-0005-0000-0000-00004B010000}"/>
    <cellStyle name="Normal 3 5 2 8 2" xfId="1429" xr:uid="{0478ACEC-CCC8-4375-A74B-64BEFDA41D9A}"/>
    <cellStyle name="Normal 3 5 2 9" xfId="690" xr:uid="{00000000-0005-0000-0000-00004C010000}"/>
    <cellStyle name="Normal 3 5 2 9 2" xfId="1519" xr:uid="{0E1F3189-C4F2-4573-812E-32C7BA6FC070}"/>
    <cellStyle name="Normal 3 5 3" xfId="75" xr:uid="{00000000-0005-0000-0000-00004D010000}"/>
    <cellStyle name="Normal 3 5 3 10" xfId="905" xr:uid="{0A81E0CF-02DA-4C91-B139-B1A448CFC54E}"/>
    <cellStyle name="Normal 3 5 3 2" xfId="168" xr:uid="{00000000-0005-0000-0000-00004E010000}"/>
    <cellStyle name="Normal 3 5 3 2 2" xfId="997" xr:uid="{FE304E3F-B916-4B04-90B2-EF4C43551CF6}"/>
    <cellStyle name="Normal 3 5 3 3" xfId="258" xr:uid="{00000000-0005-0000-0000-00004F010000}"/>
    <cellStyle name="Normal 3 5 3 3 2" xfId="1087" xr:uid="{36710669-CB5C-45B7-B85D-EDD4733F57D9}"/>
    <cellStyle name="Normal 3 5 3 4" xfId="348" xr:uid="{00000000-0005-0000-0000-000050010000}"/>
    <cellStyle name="Normal 3 5 3 4 2" xfId="1177" xr:uid="{369162F8-495C-4E7B-9380-AD917EFB424B}"/>
    <cellStyle name="Normal 3 5 3 5" xfId="438" xr:uid="{00000000-0005-0000-0000-000051010000}"/>
    <cellStyle name="Normal 3 5 3 5 2" xfId="1267" xr:uid="{CCF1FD94-7C83-4524-A840-64D223E77DDB}"/>
    <cellStyle name="Normal 3 5 3 6" xfId="528" xr:uid="{00000000-0005-0000-0000-000052010000}"/>
    <cellStyle name="Normal 3 5 3 6 2" xfId="1357" xr:uid="{A69590F5-411B-465A-8B96-707356CF044B}"/>
    <cellStyle name="Normal 3 5 3 7" xfId="618" xr:uid="{00000000-0005-0000-0000-000053010000}"/>
    <cellStyle name="Normal 3 5 3 7 2" xfId="1447" xr:uid="{BA8E58E5-63ED-406E-AE7A-2083527C94C8}"/>
    <cellStyle name="Normal 3 5 3 8" xfId="708" xr:uid="{00000000-0005-0000-0000-000054010000}"/>
    <cellStyle name="Normal 3 5 3 8 2" xfId="1537" xr:uid="{29CE82E2-090A-4553-9952-8CA2D6CD2006}"/>
    <cellStyle name="Normal 3 5 3 9" xfId="805" xr:uid="{00000000-0005-0000-0000-000055010000}"/>
    <cellStyle name="Normal 3 5 3 9 2" xfId="1627" xr:uid="{A8AFB340-999E-4F17-ACAA-0868805312EE}"/>
    <cellStyle name="Normal 3 5 4" xfId="131" xr:uid="{00000000-0005-0000-0000-000056010000}"/>
    <cellStyle name="Normal 3 5 4 2" xfId="960" xr:uid="{17F642A2-9C1F-4CFF-B29F-C3B91B0D9947}"/>
    <cellStyle name="Normal 3 5 5" xfId="221" xr:uid="{00000000-0005-0000-0000-000057010000}"/>
    <cellStyle name="Normal 3 5 5 2" xfId="1050" xr:uid="{E75F3DB4-3F79-4D3A-8C01-5A070534E0EB}"/>
    <cellStyle name="Normal 3 5 6" xfId="311" xr:uid="{00000000-0005-0000-0000-000058010000}"/>
    <cellStyle name="Normal 3 5 6 2" xfId="1140" xr:uid="{68922632-622A-411E-BB15-DE1A6DF9B98B}"/>
    <cellStyle name="Normal 3 5 7" xfId="401" xr:uid="{00000000-0005-0000-0000-000059010000}"/>
    <cellStyle name="Normal 3 5 7 2" xfId="1230" xr:uid="{6C082569-9467-4982-8C65-E24D70A4EEAD}"/>
    <cellStyle name="Normal 3 5 8" xfId="491" xr:uid="{00000000-0005-0000-0000-00005A010000}"/>
    <cellStyle name="Normal 3 5 8 2" xfId="1320" xr:uid="{0D7A6427-A6D6-48B2-9BCD-65DA1E31B5E9}"/>
    <cellStyle name="Normal 3 5 9" xfId="581" xr:uid="{00000000-0005-0000-0000-00005B010000}"/>
    <cellStyle name="Normal 3 5 9 2" xfId="1410" xr:uid="{96B10345-02E1-4B34-866F-ACF53F1F9EBE}"/>
    <cellStyle name="Normal 3 6" xfId="36" xr:uid="{00000000-0005-0000-0000-00005C010000}"/>
    <cellStyle name="Normal 3 6 10" xfId="674" xr:uid="{00000000-0005-0000-0000-00005D010000}"/>
    <cellStyle name="Normal 3 6 10 2" xfId="1503" xr:uid="{23B7A2D3-B638-4ACD-A368-425D0D8FBDF0}"/>
    <cellStyle name="Normal 3 6 11" xfId="769" xr:uid="{00000000-0005-0000-0000-00005E010000}"/>
    <cellStyle name="Normal 3 6 11 2" xfId="1593" xr:uid="{6B0F850B-5580-4D5B-A81A-10652C4C5085}"/>
    <cellStyle name="Normal 3 6 12" xfId="871" xr:uid="{D44DA0AE-673D-4D94-95BA-4198B86F3992}"/>
    <cellStyle name="Normal 3 6 2" xfId="58" xr:uid="{00000000-0005-0000-0000-00005F010000}"/>
    <cellStyle name="Normal 3 6 2 10" xfId="789" xr:uid="{00000000-0005-0000-0000-000060010000}"/>
    <cellStyle name="Normal 3 6 2 10 2" xfId="1612" xr:uid="{5E32B1CC-2731-43EF-A324-A7D9AFA48BE2}"/>
    <cellStyle name="Normal 3 6 2 11" xfId="890" xr:uid="{8CAC60E6-BAD4-4CB9-AE4D-FE6FF5D2FB3E}"/>
    <cellStyle name="Normal 3 6 2 2" xfId="98" xr:uid="{00000000-0005-0000-0000-000061010000}"/>
    <cellStyle name="Normal 3 6 2 2 10" xfId="927" xr:uid="{9203ACD5-61E9-4EF2-A4D2-1A1262599EE4}"/>
    <cellStyle name="Normal 3 6 2 2 2" xfId="190" xr:uid="{00000000-0005-0000-0000-000062010000}"/>
    <cellStyle name="Normal 3 6 2 2 2 2" xfId="1019" xr:uid="{804FC594-BD5F-4B18-B6F1-DD2067154DD0}"/>
    <cellStyle name="Normal 3 6 2 2 3" xfId="280" xr:uid="{00000000-0005-0000-0000-000063010000}"/>
    <cellStyle name="Normal 3 6 2 2 3 2" xfId="1109" xr:uid="{1273628A-D168-4145-9589-87F0DB77C333}"/>
    <cellStyle name="Normal 3 6 2 2 4" xfId="370" xr:uid="{00000000-0005-0000-0000-000064010000}"/>
    <cellStyle name="Normal 3 6 2 2 4 2" xfId="1199" xr:uid="{6323811D-CE09-48D6-961C-787A05470870}"/>
    <cellStyle name="Normal 3 6 2 2 5" xfId="460" xr:uid="{00000000-0005-0000-0000-000065010000}"/>
    <cellStyle name="Normal 3 6 2 2 5 2" xfId="1289" xr:uid="{5B50C9F7-BC63-4809-9028-DD52F0060491}"/>
    <cellStyle name="Normal 3 6 2 2 6" xfId="550" xr:uid="{00000000-0005-0000-0000-000066010000}"/>
    <cellStyle name="Normal 3 6 2 2 6 2" xfId="1379" xr:uid="{A6D849DA-E07F-42E9-9D63-27082366487F}"/>
    <cellStyle name="Normal 3 6 2 2 7" xfId="640" xr:uid="{00000000-0005-0000-0000-000067010000}"/>
    <cellStyle name="Normal 3 6 2 2 7 2" xfId="1469" xr:uid="{2B6F4EFF-CE3E-4D44-9727-8F3BA0EEEFC7}"/>
    <cellStyle name="Normal 3 6 2 2 8" xfId="730" xr:uid="{00000000-0005-0000-0000-000068010000}"/>
    <cellStyle name="Normal 3 6 2 2 8 2" xfId="1559" xr:uid="{25896EC0-AAF8-4067-892D-8BEB2D62392C}"/>
    <cellStyle name="Normal 3 6 2 2 9" xfId="827" xr:uid="{00000000-0005-0000-0000-000069010000}"/>
    <cellStyle name="Normal 3 6 2 2 9 2" xfId="1649" xr:uid="{480F4C5F-772F-40CA-B8DA-D2B40503A2EF}"/>
    <cellStyle name="Normal 3 6 2 3" xfId="153" xr:uid="{00000000-0005-0000-0000-00006A010000}"/>
    <cellStyle name="Normal 3 6 2 3 2" xfId="982" xr:uid="{9C4632A2-D8E8-40E3-B1A6-381018FBA08E}"/>
    <cellStyle name="Normal 3 6 2 4" xfId="243" xr:uid="{00000000-0005-0000-0000-00006B010000}"/>
    <cellStyle name="Normal 3 6 2 4 2" xfId="1072" xr:uid="{A6C1D222-FEBE-4944-8CA2-96835505A810}"/>
    <cellStyle name="Normal 3 6 2 5" xfId="333" xr:uid="{00000000-0005-0000-0000-00006C010000}"/>
    <cellStyle name="Normal 3 6 2 5 2" xfId="1162" xr:uid="{EDFE86C9-FDE2-42E2-B887-636043580745}"/>
    <cellStyle name="Normal 3 6 2 6" xfId="423" xr:uid="{00000000-0005-0000-0000-00006D010000}"/>
    <cellStyle name="Normal 3 6 2 6 2" xfId="1252" xr:uid="{662400E1-36ED-4510-8835-964A77FBFCB2}"/>
    <cellStyle name="Normal 3 6 2 7" xfId="513" xr:uid="{00000000-0005-0000-0000-00006E010000}"/>
    <cellStyle name="Normal 3 6 2 7 2" xfId="1342" xr:uid="{4ECC7CCA-41F0-4015-BBCC-8811CB0A812F}"/>
    <cellStyle name="Normal 3 6 2 8" xfId="603" xr:uid="{00000000-0005-0000-0000-00006F010000}"/>
    <cellStyle name="Normal 3 6 2 8 2" xfId="1432" xr:uid="{05AFC2F7-D90A-4A73-8F3D-682992248D43}"/>
    <cellStyle name="Normal 3 6 2 9" xfId="693" xr:uid="{00000000-0005-0000-0000-000070010000}"/>
    <cellStyle name="Normal 3 6 2 9 2" xfId="1522" xr:uid="{E2B3262A-3C4D-4AA8-806D-21DC46BA36CE}"/>
    <cellStyle name="Normal 3 6 3" xfId="78" xr:uid="{00000000-0005-0000-0000-000071010000}"/>
    <cellStyle name="Normal 3 6 3 10" xfId="908" xr:uid="{620ACFC6-C800-4E0F-97E9-7CD6683E7472}"/>
    <cellStyle name="Normal 3 6 3 2" xfId="171" xr:uid="{00000000-0005-0000-0000-000072010000}"/>
    <cellStyle name="Normal 3 6 3 2 2" xfId="1000" xr:uid="{9FDB86D9-99B8-43E5-A6E2-824489E2A736}"/>
    <cellStyle name="Normal 3 6 3 3" xfId="261" xr:uid="{00000000-0005-0000-0000-000073010000}"/>
    <cellStyle name="Normal 3 6 3 3 2" xfId="1090" xr:uid="{A4FD4D23-12DA-4F2F-8161-F4C9CA220FA4}"/>
    <cellStyle name="Normal 3 6 3 4" xfId="351" xr:uid="{00000000-0005-0000-0000-000074010000}"/>
    <cellStyle name="Normal 3 6 3 4 2" xfId="1180" xr:uid="{D71ED790-C597-4729-9E2C-C5B1F008569B}"/>
    <cellStyle name="Normal 3 6 3 5" xfId="441" xr:uid="{00000000-0005-0000-0000-000075010000}"/>
    <cellStyle name="Normal 3 6 3 5 2" xfId="1270" xr:uid="{E8311347-C912-4D59-906E-10649CC713F7}"/>
    <cellStyle name="Normal 3 6 3 6" xfId="531" xr:uid="{00000000-0005-0000-0000-000076010000}"/>
    <cellStyle name="Normal 3 6 3 6 2" xfId="1360" xr:uid="{BB2EDB0C-4F5C-42A6-B592-2459CDDC5CD6}"/>
    <cellStyle name="Normal 3 6 3 7" xfId="621" xr:uid="{00000000-0005-0000-0000-000077010000}"/>
    <cellStyle name="Normal 3 6 3 7 2" xfId="1450" xr:uid="{97D1B2DA-E775-4909-A40F-58EBAA9F42CC}"/>
    <cellStyle name="Normal 3 6 3 8" xfId="711" xr:uid="{00000000-0005-0000-0000-000078010000}"/>
    <cellStyle name="Normal 3 6 3 8 2" xfId="1540" xr:uid="{3DE0580C-C9A8-472C-A27A-9F5A94888E34}"/>
    <cellStyle name="Normal 3 6 3 9" xfId="808" xr:uid="{00000000-0005-0000-0000-000079010000}"/>
    <cellStyle name="Normal 3 6 3 9 2" xfId="1630" xr:uid="{DC43F9E7-DEBE-45D2-A85A-17AC8D3A3FA9}"/>
    <cellStyle name="Normal 3 6 4" xfId="134" xr:uid="{00000000-0005-0000-0000-00007A010000}"/>
    <cellStyle name="Normal 3 6 4 2" xfId="963" xr:uid="{28667FDB-DB38-4F21-B0CC-590A8B46B73B}"/>
    <cellStyle name="Normal 3 6 5" xfId="224" xr:uid="{00000000-0005-0000-0000-00007B010000}"/>
    <cellStyle name="Normal 3 6 5 2" xfId="1053" xr:uid="{2F68577F-087A-45A9-A00E-607F2845A900}"/>
    <cellStyle name="Normal 3 6 6" xfId="314" xr:uid="{00000000-0005-0000-0000-00007C010000}"/>
    <cellStyle name="Normal 3 6 6 2" xfId="1143" xr:uid="{2B4A98DE-0CAC-4E8C-866A-0CA8D2381B0D}"/>
    <cellStyle name="Normal 3 6 7" xfId="404" xr:uid="{00000000-0005-0000-0000-00007D010000}"/>
    <cellStyle name="Normal 3 6 7 2" xfId="1233" xr:uid="{E4BC54D0-1EA6-4264-A5C0-FBEC3298D7CB}"/>
    <cellStyle name="Normal 3 6 8" xfId="494" xr:uid="{00000000-0005-0000-0000-00007E010000}"/>
    <cellStyle name="Normal 3 6 8 2" xfId="1323" xr:uid="{C1AF3A30-9C91-408B-821E-E1875BCEAC10}"/>
    <cellStyle name="Normal 3 6 9" xfId="584" xr:uid="{00000000-0005-0000-0000-00007F010000}"/>
    <cellStyle name="Normal 3 6 9 2" xfId="1413" xr:uid="{CED4E496-792B-46F3-8CA5-EAB07F4025F6}"/>
    <cellStyle name="Normal 3 7" xfId="42" xr:uid="{00000000-0005-0000-0000-000080010000}"/>
    <cellStyle name="Normal 3 7 10" xfId="774" xr:uid="{00000000-0005-0000-0000-000081010000}"/>
    <cellStyle name="Normal 3 7 10 2" xfId="1597" xr:uid="{D80684AF-3215-4007-A2E6-D4DC507A2552}"/>
    <cellStyle name="Normal 3 7 11" xfId="875" xr:uid="{2C51652E-EDC3-4E5D-91D0-F8AB4FD9B15A}"/>
    <cellStyle name="Normal 3 7 2" xfId="82" xr:uid="{00000000-0005-0000-0000-000082010000}"/>
    <cellStyle name="Normal 3 7 2 10" xfId="912" xr:uid="{EC6F9761-22F3-42C5-AC55-000BA736CBAA}"/>
    <cellStyle name="Normal 3 7 2 2" xfId="175" xr:uid="{00000000-0005-0000-0000-000083010000}"/>
    <cellStyle name="Normal 3 7 2 2 2" xfId="1004" xr:uid="{66D8E271-3CB9-4D35-9CF3-B36EB622EDF1}"/>
    <cellStyle name="Normal 3 7 2 3" xfId="265" xr:uid="{00000000-0005-0000-0000-000084010000}"/>
    <cellStyle name="Normal 3 7 2 3 2" xfId="1094" xr:uid="{0AEBE4C9-7CFC-4678-8DC4-C9479A7BB2D8}"/>
    <cellStyle name="Normal 3 7 2 4" xfId="355" xr:uid="{00000000-0005-0000-0000-000085010000}"/>
    <cellStyle name="Normal 3 7 2 4 2" xfId="1184" xr:uid="{ACA73CDF-AB7C-46E5-A32E-0639956C60DC}"/>
    <cellStyle name="Normal 3 7 2 5" xfId="445" xr:uid="{00000000-0005-0000-0000-000086010000}"/>
    <cellStyle name="Normal 3 7 2 5 2" xfId="1274" xr:uid="{5D952FA2-2FDD-48D1-8CC9-D83697B81846}"/>
    <cellStyle name="Normal 3 7 2 6" xfId="535" xr:uid="{00000000-0005-0000-0000-000087010000}"/>
    <cellStyle name="Normal 3 7 2 6 2" xfId="1364" xr:uid="{C9C01E26-C947-4C74-B3AF-4B118F59E0FE}"/>
    <cellStyle name="Normal 3 7 2 7" xfId="625" xr:uid="{00000000-0005-0000-0000-000088010000}"/>
    <cellStyle name="Normal 3 7 2 7 2" xfId="1454" xr:uid="{AAF57CA1-803B-4784-A9AA-E2AF9876E91D}"/>
    <cellStyle name="Normal 3 7 2 8" xfId="715" xr:uid="{00000000-0005-0000-0000-000089010000}"/>
    <cellStyle name="Normal 3 7 2 8 2" xfId="1544" xr:uid="{B6B4981B-3A6D-4387-8ADB-452B6BE694A0}"/>
    <cellStyle name="Normal 3 7 2 9" xfId="812" xr:uid="{00000000-0005-0000-0000-00008A010000}"/>
    <cellStyle name="Normal 3 7 2 9 2" xfId="1634" xr:uid="{F5424110-35BD-4539-B1DA-EA6386CC3AAC}"/>
    <cellStyle name="Normal 3 7 3" xfId="138" xr:uid="{00000000-0005-0000-0000-00008B010000}"/>
    <cellStyle name="Normal 3 7 3 2" xfId="967" xr:uid="{5C0C91DF-D0F6-4E5D-BBB7-F21E8762633C}"/>
    <cellStyle name="Normal 3 7 4" xfId="228" xr:uid="{00000000-0005-0000-0000-00008C010000}"/>
    <cellStyle name="Normal 3 7 4 2" xfId="1057" xr:uid="{E251561B-5956-4DFB-9D31-53076E41C20B}"/>
    <cellStyle name="Normal 3 7 5" xfId="318" xr:uid="{00000000-0005-0000-0000-00008D010000}"/>
    <cellStyle name="Normal 3 7 5 2" xfId="1147" xr:uid="{1A3D2205-19EF-4F0D-8964-03132FFB1C26}"/>
    <cellStyle name="Normal 3 7 6" xfId="408" xr:uid="{00000000-0005-0000-0000-00008E010000}"/>
    <cellStyle name="Normal 3 7 6 2" xfId="1237" xr:uid="{559FAE0A-3A54-49F5-A8EB-1BE47FD828EC}"/>
    <cellStyle name="Normal 3 7 7" xfId="498" xr:uid="{00000000-0005-0000-0000-00008F010000}"/>
    <cellStyle name="Normal 3 7 7 2" xfId="1327" xr:uid="{6ABA1DDD-4E4C-434B-B905-AE45F91B8C95}"/>
    <cellStyle name="Normal 3 7 8" xfId="588" xr:uid="{00000000-0005-0000-0000-000090010000}"/>
    <cellStyle name="Normal 3 7 8 2" xfId="1417" xr:uid="{FD4F54C0-CA4F-44A2-A0C1-D996E49A6AB7}"/>
    <cellStyle name="Normal 3 7 9" xfId="678" xr:uid="{00000000-0005-0000-0000-000091010000}"/>
    <cellStyle name="Normal 3 7 9 2" xfId="1507" xr:uid="{0C772895-ED3D-4587-9407-0D8268308CD0}"/>
    <cellStyle name="Normal 3 8" xfId="63" xr:uid="{00000000-0005-0000-0000-000092010000}"/>
    <cellStyle name="Normal 3 8 10" xfId="893" xr:uid="{442CFD32-178C-4BB1-94C3-519E33012CFE}"/>
    <cellStyle name="Normal 3 8 2" xfId="156" xr:uid="{00000000-0005-0000-0000-000093010000}"/>
    <cellStyle name="Normal 3 8 2 2" xfId="985" xr:uid="{D16B51EA-9EDC-4133-AD69-18A3AF0B0353}"/>
    <cellStyle name="Normal 3 8 3" xfId="246" xr:uid="{00000000-0005-0000-0000-000094010000}"/>
    <cellStyle name="Normal 3 8 3 2" xfId="1075" xr:uid="{3D6A4332-089D-4F9B-9E36-A7F762C7D558}"/>
    <cellStyle name="Normal 3 8 4" xfId="336" xr:uid="{00000000-0005-0000-0000-000095010000}"/>
    <cellStyle name="Normal 3 8 4 2" xfId="1165" xr:uid="{30755E8C-D911-4F01-9F1B-3F803249A93E}"/>
    <cellStyle name="Normal 3 8 5" xfId="426" xr:uid="{00000000-0005-0000-0000-000096010000}"/>
    <cellStyle name="Normal 3 8 5 2" xfId="1255" xr:uid="{2D342BDF-F0AA-46F8-AF0A-C5216EC56116}"/>
    <cellStyle name="Normal 3 8 6" xfId="516" xr:uid="{00000000-0005-0000-0000-000097010000}"/>
    <cellStyle name="Normal 3 8 6 2" xfId="1345" xr:uid="{5F01EDBC-A8E9-414E-BE09-1CC2D28C86D6}"/>
    <cellStyle name="Normal 3 8 7" xfId="606" xr:uid="{00000000-0005-0000-0000-000098010000}"/>
    <cellStyle name="Normal 3 8 7 2" xfId="1435" xr:uid="{3734247E-A3D3-4262-9DF7-0DBD47DDDDFD}"/>
    <cellStyle name="Normal 3 8 8" xfId="696" xr:uid="{00000000-0005-0000-0000-000099010000}"/>
    <cellStyle name="Normal 3 8 8 2" xfId="1525" xr:uid="{C44F748A-5956-4389-B368-E4B48ABFE0FD}"/>
    <cellStyle name="Normal 3 8 9" xfId="793" xr:uid="{00000000-0005-0000-0000-00009A010000}"/>
    <cellStyle name="Normal 3 8 9 2" xfId="1615" xr:uid="{41F6E86A-F835-4ED4-A225-624AB16840DB}"/>
    <cellStyle name="Normal 3 9" xfId="101" xr:uid="{00000000-0005-0000-0000-00009B010000}"/>
    <cellStyle name="Normal 3 9 10" xfId="930" xr:uid="{3D795BE8-1999-43D3-8E98-06CC03AAFF80}"/>
    <cellStyle name="Normal 3 9 2" xfId="193" xr:uid="{00000000-0005-0000-0000-00009C010000}"/>
    <cellStyle name="Normal 3 9 2 2" xfId="1022" xr:uid="{5FE65E88-61D6-4319-9D15-3AE8015CEDF8}"/>
    <cellStyle name="Normal 3 9 3" xfId="283" xr:uid="{00000000-0005-0000-0000-00009D010000}"/>
    <cellStyle name="Normal 3 9 3 2" xfId="1112" xr:uid="{154A76B5-5DE2-4A6D-B49B-C06E8C8869B1}"/>
    <cellStyle name="Normal 3 9 4" xfId="373" xr:uid="{00000000-0005-0000-0000-00009E010000}"/>
    <cellStyle name="Normal 3 9 4 2" xfId="1202" xr:uid="{C74BF9C0-2046-4CE7-8D7C-EB3E88611D6D}"/>
    <cellStyle name="Normal 3 9 5" xfId="463" xr:uid="{00000000-0005-0000-0000-00009F010000}"/>
    <cellStyle name="Normal 3 9 5 2" xfId="1292" xr:uid="{733B4F3F-E31F-4ECA-9868-3D73DB1D7E80}"/>
    <cellStyle name="Normal 3 9 6" xfId="553" xr:uid="{00000000-0005-0000-0000-0000A0010000}"/>
    <cellStyle name="Normal 3 9 6 2" xfId="1382" xr:uid="{02C355D3-FA5C-46D6-9021-48FA944CE31F}"/>
    <cellStyle name="Normal 3 9 7" xfId="643" xr:uid="{00000000-0005-0000-0000-0000A1010000}"/>
    <cellStyle name="Normal 3 9 7 2" xfId="1472" xr:uid="{E167AA09-D37A-4080-8F09-7A35DCA75574}"/>
    <cellStyle name="Normal 3 9 8" xfId="733" xr:uid="{00000000-0005-0000-0000-0000A2010000}"/>
    <cellStyle name="Normal 3 9 8 2" xfId="1562" xr:uid="{43E30D82-B7C9-4B32-9803-E1D97D9F4EFF}"/>
    <cellStyle name="Normal 3 9 9" xfId="830" xr:uid="{00000000-0005-0000-0000-0000A3010000}"/>
    <cellStyle name="Normal 3 9 9 2" xfId="1652" xr:uid="{5A625DC3-4102-4D9D-AFC6-549145B2D2F7}"/>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0 2" xfId="1489" xr:uid="{E26EBB78-60EA-4045-8D45-27C4ED2354F9}"/>
    <cellStyle name="Normal 6 11" xfId="754" xr:uid="{00000000-0005-0000-0000-0000AC010000}"/>
    <cellStyle name="Normal 6 11 2" xfId="1579" xr:uid="{03E6E0A1-C021-4076-8140-DA33234C898C}"/>
    <cellStyle name="Normal 6 12" xfId="857" xr:uid="{8E11A1F0-53EC-4553-B1A9-0BAC90D45CE8}"/>
    <cellStyle name="Normal 6 2" xfId="41" xr:uid="{00000000-0005-0000-0000-0000AD010000}"/>
    <cellStyle name="Normal 6 2 10" xfId="773" xr:uid="{00000000-0005-0000-0000-0000AE010000}"/>
    <cellStyle name="Normal 6 2 10 2" xfId="1596" xr:uid="{5247EF23-02AF-460A-B073-EFC1ED6CCA87}"/>
    <cellStyle name="Normal 6 2 11" xfId="874" xr:uid="{6DDD2D7D-412E-4439-8B1F-EB9E95049F5E}"/>
    <cellStyle name="Normal 6 2 2" xfId="81" xr:uid="{00000000-0005-0000-0000-0000AF010000}"/>
    <cellStyle name="Normal 6 2 2 10" xfId="911" xr:uid="{64031A39-9D62-4F49-BA22-B193007F1309}"/>
    <cellStyle name="Normal 6 2 2 2" xfId="174" xr:uid="{00000000-0005-0000-0000-0000B0010000}"/>
    <cellStyle name="Normal 6 2 2 2 2" xfId="1003" xr:uid="{D994E2EB-899F-4A58-9773-F8370AD4D130}"/>
    <cellStyle name="Normal 6 2 2 3" xfId="264" xr:uid="{00000000-0005-0000-0000-0000B1010000}"/>
    <cellStyle name="Normal 6 2 2 3 2" xfId="1093" xr:uid="{F8DA2660-EF7C-4885-9D5C-07177B6BB693}"/>
    <cellStyle name="Normal 6 2 2 4" xfId="354" xr:uid="{00000000-0005-0000-0000-0000B2010000}"/>
    <cellStyle name="Normal 6 2 2 4 2" xfId="1183" xr:uid="{B5297E18-079A-4529-8C99-A1127658DED8}"/>
    <cellStyle name="Normal 6 2 2 5" xfId="444" xr:uid="{00000000-0005-0000-0000-0000B3010000}"/>
    <cellStyle name="Normal 6 2 2 5 2" xfId="1273" xr:uid="{D82D58EA-CE1C-477D-ADD2-2EF2641910A8}"/>
    <cellStyle name="Normal 6 2 2 6" xfId="534" xr:uid="{00000000-0005-0000-0000-0000B4010000}"/>
    <cellStyle name="Normal 6 2 2 6 2" xfId="1363" xr:uid="{28E666A2-2222-4284-9D32-9B8DFB62C3B2}"/>
    <cellStyle name="Normal 6 2 2 7" xfId="624" xr:uid="{00000000-0005-0000-0000-0000B5010000}"/>
    <cellStyle name="Normal 6 2 2 7 2" xfId="1453" xr:uid="{43ED732E-A161-455F-8030-D8C7AB53ECAA}"/>
    <cellStyle name="Normal 6 2 2 8" xfId="714" xr:uid="{00000000-0005-0000-0000-0000B6010000}"/>
    <cellStyle name="Normal 6 2 2 8 2" xfId="1543" xr:uid="{B006DF6A-0CE0-455E-ACFF-090FE9658BF6}"/>
    <cellStyle name="Normal 6 2 2 9" xfId="811" xr:uid="{00000000-0005-0000-0000-0000B7010000}"/>
    <cellStyle name="Normal 6 2 2 9 2" xfId="1633" xr:uid="{3117F504-7FCB-4A9F-8A3F-547C5F4EC556}"/>
    <cellStyle name="Normal 6 2 3" xfId="137" xr:uid="{00000000-0005-0000-0000-0000B8010000}"/>
    <cellStyle name="Normal 6 2 3 2" xfId="966" xr:uid="{1A1584E5-8CDA-41D7-A5EC-0F300999C904}"/>
    <cellStyle name="Normal 6 2 4" xfId="227" xr:uid="{00000000-0005-0000-0000-0000B9010000}"/>
    <cellStyle name="Normal 6 2 4 2" xfId="1056" xr:uid="{95813862-61B3-4C04-81FF-597E9CBF9FC5}"/>
    <cellStyle name="Normal 6 2 5" xfId="317" xr:uid="{00000000-0005-0000-0000-0000BA010000}"/>
    <cellStyle name="Normal 6 2 5 2" xfId="1146" xr:uid="{324DA5C9-41EB-410B-A277-EC5D8F853BCD}"/>
    <cellStyle name="Normal 6 2 6" xfId="407" xr:uid="{00000000-0005-0000-0000-0000BB010000}"/>
    <cellStyle name="Normal 6 2 6 2" xfId="1236" xr:uid="{84BD807F-8CD6-41E2-8A80-3872D2F7556F}"/>
    <cellStyle name="Normal 6 2 7" xfId="497" xr:uid="{00000000-0005-0000-0000-0000BC010000}"/>
    <cellStyle name="Normal 6 2 7 2" xfId="1326" xr:uid="{3FFF7DE9-68BC-419B-9687-C90351C1F29F}"/>
    <cellStyle name="Normal 6 2 8" xfId="587" xr:uid="{00000000-0005-0000-0000-0000BD010000}"/>
    <cellStyle name="Normal 6 2 8 2" xfId="1416" xr:uid="{AF18F9C2-B154-49A9-A7B5-D7FD7FCAF9B1}"/>
    <cellStyle name="Normal 6 2 9" xfId="677" xr:uid="{00000000-0005-0000-0000-0000BE010000}"/>
    <cellStyle name="Normal 6 2 9 2" xfId="1506" xr:uid="{C1F5921B-4675-4D7B-8B91-92B3374A5C0F}"/>
    <cellStyle name="Normal 6 3" xfId="62" xr:uid="{00000000-0005-0000-0000-0000BF010000}"/>
    <cellStyle name="Normal 6 3 10" xfId="892" xr:uid="{7C19C72A-058B-417F-B91D-B5DE63BC2BDA}"/>
    <cellStyle name="Normal 6 3 2" xfId="155" xr:uid="{00000000-0005-0000-0000-0000C0010000}"/>
    <cellStyle name="Normal 6 3 2 2" xfId="984" xr:uid="{77694C68-5AF0-4B2F-902B-9EB185D0AB2A}"/>
    <cellStyle name="Normal 6 3 3" xfId="245" xr:uid="{00000000-0005-0000-0000-0000C1010000}"/>
    <cellStyle name="Normal 6 3 3 2" xfId="1074" xr:uid="{23639F42-CA47-4459-B9B1-E2A3D4C61849}"/>
    <cellStyle name="Normal 6 3 4" xfId="335" xr:uid="{00000000-0005-0000-0000-0000C2010000}"/>
    <cellStyle name="Normal 6 3 4 2" xfId="1164" xr:uid="{15A8E3D0-9ACA-44F9-8D8A-AB372A02BA50}"/>
    <cellStyle name="Normal 6 3 5" xfId="425" xr:uid="{00000000-0005-0000-0000-0000C3010000}"/>
    <cellStyle name="Normal 6 3 5 2" xfId="1254" xr:uid="{F84950A1-B62F-42FC-B50E-22E2BDA4B9CD}"/>
    <cellStyle name="Normal 6 3 6" xfId="515" xr:uid="{00000000-0005-0000-0000-0000C4010000}"/>
    <cellStyle name="Normal 6 3 6 2" xfId="1344" xr:uid="{CC7FBEA9-175C-484E-9890-C6B7A96C23E7}"/>
    <cellStyle name="Normal 6 3 7" xfId="605" xr:uid="{00000000-0005-0000-0000-0000C5010000}"/>
    <cellStyle name="Normal 6 3 7 2" xfId="1434" xr:uid="{0E0978BD-4CDB-4660-90DA-BC2525C64FC9}"/>
    <cellStyle name="Normal 6 3 8" xfId="695" xr:uid="{00000000-0005-0000-0000-0000C6010000}"/>
    <cellStyle name="Normal 6 3 8 2" xfId="1524" xr:uid="{277503DD-6A82-49AA-AD26-9BE7B4C72648}"/>
    <cellStyle name="Normal 6 3 9" xfId="792" xr:uid="{00000000-0005-0000-0000-0000C7010000}"/>
    <cellStyle name="Normal 6 3 9 2" xfId="1614" xr:uid="{8991B1B9-F22A-40D1-9923-D2792837085C}"/>
    <cellStyle name="Normal 6 4" xfId="120" xr:uid="{00000000-0005-0000-0000-0000C8010000}"/>
    <cellStyle name="Normal 6 4 2" xfId="949" xr:uid="{CC75459E-8E0B-4C3D-AFD9-8C330B40B19E}"/>
    <cellStyle name="Normal 6 5" xfId="210" xr:uid="{00000000-0005-0000-0000-0000C9010000}"/>
    <cellStyle name="Normal 6 5 2" xfId="1039" xr:uid="{37F34B97-A886-44B1-AB3C-211B6AF59AC4}"/>
    <cellStyle name="Normal 6 6" xfId="300" xr:uid="{00000000-0005-0000-0000-0000CA010000}"/>
    <cellStyle name="Normal 6 6 2" xfId="1129" xr:uid="{E00F737C-C305-43BD-9725-D75931565EED}"/>
    <cellStyle name="Normal 6 7" xfId="390" xr:uid="{00000000-0005-0000-0000-0000CB010000}"/>
    <cellStyle name="Normal 6 7 2" xfId="1219" xr:uid="{24A7ED11-F54A-4C7D-ABC6-0D0BE9867A70}"/>
    <cellStyle name="Normal 6 8" xfId="480" xr:uid="{00000000-0005-0000-0000-0000CC010000}"/>
    <cellStyle name="Normal 6 8 2" xfId="1309" xr:uid="{8EAB9E15-5CD8-46CF-8A49-8D31B9C55111}"/>
    <cellStyle name="Normal 6 9" xfId="570" xr:uid="{00000000-0005-0000-0000-0000CD010000}"/>
    <cellStyle name="Normal 6 9 2" xfId="1399" xr:uid="{1595F731-0D86-4939-81D9-7908C24634A8}"/>
    <cellStyle name="Normal 7" xfId="22" xr:uid="{00000000-0005-0000-0000-0000CE010000}"/>
    <cellStyle name="Normal 7 10" xfId="661" xr:uid="{00000000-0005-0000-0000-0000CF010000}"/>
    <cellStyle name="Normal 7 10 2" xfId="1490" xr:uid="{32C34A95-D713-40A1-99FF-E38E7E158D68}"/>
    <cellStyle name="Normal 7 11" xfId="756" xr:uid="{00000000-0005-0000-0000-0000D0010000}"/>
    <cellStyle name="Normal 7 11 2" xfId="1580" xr:uid="{C6E7B7FD-ED9A-4328-BF69-9AA9329EBCF9}"/>
    <cellStyle name="Normal 7 12" xfId="858" xr:uid="{FD2A721A-187D-4318-9952-FB6E4088DDCC}"/>
    <cellStyle name="Normal 7 2" xfId="44" xr:uid="{00000000-0005-0000-0000-0000D1010000}"/>
    <cellStyle name="Normal 7 2 10" xfId="776" xr:uid="{00000000-0005-0000-0000-0000D2010000}"/>
    <cellStyle name="Normal 7 2 10 2" xfId="1599" xr:uid="{7C36B3DE-88F0-4FC3-A0A9-967B05FC1FBD}"/>
    <cellStyle name="Normal 7 2 11" xfId="877" xr:uid="{C7043BC6-A588-4CE2-86C4-57E5972BD980}"/>
    <cellStyle name="Normal 7 2 2" xfId="84" xr:uid="{00000000-0005-0000-0000-0000D3010000}"/>
    <cellStyle name="Normal 7 2 2 10" xfId="914" xr:uid="{D1E6DD9C-0E71-4EB6-8D18-2ADE5EA099B2}"/>
    <cellStyle name="Normal 7 2 2 2" xfId="177" xr:uid="{00000000-0005-0000-0000-0000D4010000}"/>
    <cellStyle name="Normal 7 2 2 2 2" xfId="1006" xr:uid="{E46EC62F-5981-4CC0-B8D8-7A8FA888FBC8}"/>
    <cellStyle name="Normal 7 2 2 3" xfId="267" xr:uid="{00000000-0005-0000-0000-0000D5010000}"/>
    <cellStyle name="Normal 7 2 2 3 2" xfId="1096" xr:uid="{A84F3335-D62F-4D88-8127-B451C12FDE61}"/>
    <cellStyle name="Normal 7 2 2 4" xfId="357" xr:uid="{00000000-0005-0000-0000-0000D6010000}"/>
    <cellStyle name="Normal 7 2 2 4 2" xfId="1186" xr:uid="{82A5079D-F19F-4E16-8547-455090054B2D}"/>
    <cellStyle name="Normal 7 2 2 5" xfId="447" xr:uid="{00000000-0005-0000-0000-0000D7010000}"/>
    <cellStyle name="Normal 7 2 2 5 2" xfId="1276" xr:uid="{148D745D-F61F-4073-9A68-D27C55E6DDF8}"/>
    <cellStyle name="Normal 7 2 2 6" xfId="537" xr:uid="{00000000-0005-0000-0000-0000D8010000}"/>
    <cellStyle name="Normal 7 2 2 6 2" xfId="1366" xr:uid="{C708A011-C0C4-4593-9514-9207AE26C0DE}"/>
    <cellStyle name="Normal 7 2 2 7" xfId="627" xr:uid="{00000000-0005-0000-0000-0000D9010000}"/>
    <cellStyle name="Normal 7 2 2 7 2" xfId="1456" xr:uid="{7A519FB6-C6D4-4CCC-982B-761E5DF3E07F}"/>
    <cellStyle name="Normal 7 2 2 8" xfId="717" xr:uid="{00000000-0005-0000-0000-0000DA010000}"/>
    <cellStyle name="Normal 7 2 2 8 2" xfId="1546" xr:uid="{8D622682-E7DC-4130-94D2-ECEE513DD715}"/>
    <cellStyle name="Normal 7 2 2 9" xfId="814" xr:uid="{00000000-0005-0000-0000-0000DB010000}"/>
    <cellStyle name="Normal 7 2 2 9 2" xfId="1636" xr:uid="{BB7DACA0-B4BB-4E97-8AB0-47E79554E092}"/>
    <cellStyle name="Normal 7 2 3" xfId="140" xr:uid="{00000000-0005-0000-0000-0000DC010000}"/>
    <cellStyle name="Normal 7 2 3 2" xfId="969" xr:uid="{44954AB6-A6FC-4EF0-8F4C-B00EA009781F}"/>
    <cellStyle name="Normal 7 2 4" xfId="230" xr:uid="{00000000-0005-0000-0000-0000DD010000}"/>
    <cellStyle name="Normal 7 2 4 2" xfId="1059" xr:uid="{238A676D-7317-4889-B625-CE5BDDE1AA33}"/>
    <cellStyle name="Normal 7 2 5" xfId="320" xr:uid="{00000000-0005-0000-0000-0000DE010000}"/>
    <cellStyle name="Normal 7 2 5 2" xfId="1149" xr:uid="{907BF610-5010-4E59-9601-10A0C1DC4F62}"/>
    <cellStyle name="Normal 7 2 6" xfId="410" xr:uid="{00000000-0005-0000-0000-0000DF010000}"/>
    <cellStyle name="Normal 7 2 6 2" xfId="1239" xr:uid="{8439CDBD-97E8-4301-8991-DA8388E3B05C}"/>
    <cellStyle name="Normal 7 2 7" xfId="500" xr:uid="{00000000-0005-0000-0000-0000E0010000}"/>
    <cellStyle name="Normal 7 2 7 2" xfId="1329" xr:uid="{CF34CE08-FA48-4818-8C17-0F1492B35B79}"/>
    <cellStyle name="Normal 7 2 8" xfId="590" xr:uid="{00000000-0005-0000-0000-0000E1010000}"/>
    <cellStyle name="Normal 7 2 8 2" xfId="1419" xr:uid="{5053D607-2842-4E7E-B916-45A62E7DF3E0}"/>
    <cellStyle name="Normal 7 2 9" xfId="680" xr:uid="{00000000-0005-0000-0000-0000E2010000}"/>
    <cellStyle name="Normal 7 2 9 2" xfId="1509" xr:uid="{EE8F66E6-7097-4F01-B0A0-CD08BB6199C7}"/>
    <cellStyle name="Normal 7 3" xfId="65" xr:uid="{00000000-0005-0000-0000-0000E3010000}"/>
    <cellStyle name="Normal 7 3 10" xfId="895" xr:uid="{B85CBC09-C228-4009-86A9-F916B03F5136}"/>
    <cellStyle name="Normal 7 3 2" xfId="158" xr:uid="{00000000-0005-0000-0000-0000E4010000}"/>
    <cellStyle name="Normal 7 3 2 2" xfId="987" xr:uid="{BF27E3E3-46CE-4FEF-A309-85EB4D131A81}"/>
    <cellStyle name="Normal 7 3 3" xfId="248" xr:uid="{00000000-0005-0000-0000-0000E5010000}"/>
    <cellStyle name="Normal 7 3 3 2" xfId="1077" xr:uid="{2AA6903A-4CFF-4E72-99E6-F5288CF2197C}"/>
    <cellStyle name="Normal 7 3 4" xfId="338" xr:uid="{00000000-0005-0000-0000-0000E6010000}"/>
    <cellStyle name="Normal 7 3 4 2" xfId="1167" xr:uid="{925F4898-1450-4ED5-8735-56568BE41B67}"/>
    <cellStyle name="Normal 7 3 5" xfId="428" xr:uid="{00000000-0005-0000-0000-0000E7010000}"/>
    <cellStyle name="Normal 7 3 5 2" xfId="1257" xr:uid="{24AF5405-D2D8-4820-8E4B-70589D72450E}"/>
    <cellStyle name="Normal 7 3 6" xfId="518" xr:uid="{00000000-0005-0000-0000-0000E8010000}"/>
    <cellStyle name="Normal 7 3 6 2" xfId="1347" xr:uid="{1CECCD1A-A780-4B0C-BC70-533EC82171F6}"/>
    <cellStyle name="Normal 7 3 7" xfId="608" xr:uid="{00000000-0005-0000-0000-0000E9010000}"/>
    <cellStyle name="Normal 7 3 7 2" xfId="1437" xr:uid="{8AB56677-286F-48B6-BA20-A44E3FFC3561}"/>
    <cellStyle name="Normal 7 3 8" xfId="698" xr:uid="{00000000-0005-0000-0000-0000EA010000}"/>
    <cellStyle name="Normal 7 3 8 2" xfId="1527" xr:uid="{C66D02FC-E98D-44FA-AA64-4A93D211E9C7}"/>
    <cellStyle name="Normal 7 3 9" xfId="795" xr:uid="{00000000-0005-0000-0000-0000EB010000}"/>
    <cellStyle name="Normal 7 3 9 2" xfId="1617" xr:uid="{0A4BAB25-2B5E-47B7-BE85-E550AFACB808}"/>
    <cellStyle name="Normal 7 4" xfId="121" xr:uid="{00000000-0005-0000-0000-0000EC010000}"/>
    <cellStyle name="Normal 7 4 2" xfId="950" xr:uid="{CCC2593C-B03B-496C-A11D-8830B5F003F5}"/>
    <cellStyle name="Normal 7 5" xfId="211" xr:uid="{00000000-0005-0000-0000-0000ED010000}"/>
    <cellStyle name="Normal 7 5 2" xfId="1040" xr:uid="{4EF09B48-7C97-474D-8127-F9D6F1938994}"/>
    <cellStyle name="Normal 7 6" xfId="301" xr:uid="{00000000-0005-0000-0000-0000EE010000}"/>
    <cellStyle name="Normal 7 6 2" xfId="1130" xr:uid="{C87FC6A7-0476-421C-AC22-8A71A0CE15A8}"/>
    <cellStyle name="Normal 7 7" xfId="391" xr:uid="{00000000-0005-0000-0000-0000EF010000}"/>
    <cellStyle name="Normal 7 7 2" xfId="1220" xr:uid="{4496707E-0994-4DD0-92A4-A25AD8ABD5D5}"/>
    <cellStyle name="Normal 7 8" xfId="481" xr:uid="{00000000-0005-0000-0000-0000F0010000}"/>
    <cellStyle name="Normal 7 8 2" xfId="1310" xr:uid="{5B8D209D-261E-4F17-937D-378F381C1CCB}"/>
    <cellStyle name="Normal 7 9" xfId="571" xr:uid="{00000000-0005-0000-0000-0000F1010000}"/>
    <cellStyle name="Normal 7 9 2" xfId="1400" xr:uid="{79B019F8-0398-4909-9142-D82F9192BFDA}"/>
    <cellStyle name="Normal 8" xfId="25" xr:uid="{00000000-0005-0000-0000-0000F2010000}"/>
    <cellStyle name="Normal 8 10" xfId="664" xr:uid="{00000000-0005-0000-0000-0000F3010000}"/>
    <cellStyle name="Normal 8 10 2" xfId="1493" xr:uid="{940A7DB8-C7ED-4E40-A9E2-2745A93DE973}"/>
    <cellStyle name="Normal 8 11" xfId="759" xr:uid="{00000000-0005-0000-0000-0000F4010000}"/>
    <cellStyle name="Normal 8 11 2" xfId="1583" xr:uid="{8CF2D806-3E7F-461C-BE21-141D74025C6E}"/>
    <cellStyle name="Normal 8 12" xfId="861" xr:uid="{935B7AD8-B8A8-478C-8FFD-8B23D48171A3}"/>
    <cellStyle name="Normal 8 2" xfId="47" xr:uid="{00000000-0005-0000-0000-0000F5010000}"/>
    <cellStyle name="Normal 8 2 10" xfId="779" xr:uid="{00000000-0005-0000-0000-0000F6010000}"/>
    <cellStyle name="Normal 8 2 10 2" xfId="1602" xr:uid="{227B789B-FE25-45E8-9BCD-7D9B7AF969B6}"/>
    <cellStyle name="Normal 8 2 11" xfId="880" xr:uid="{B0E43A13-1FEC-4D22-81B7-E9B664DCDFD5}"/>
    <cellStyle name="Normal 8 2 2" xfId="87" xr:uid="{00000000-0005-0000-0000-0000F7010000}"/>
    <cellStyle name="Normal 8 2 2 10" xfId="917" xr:uid="{85990018-A842-4D61-B5A6-407FAE78579C}"/>
    <cellStyle name="Normal 8 2 2 2" xfId="180" xr:uid="{00000000-0005-0000-0000-0000F8010000}"/>
    <cellStyle name="Normal 8 2 2 2 2" xfId="1009" xr:uid="{B906AB4C-5619-4A81-BFFB-C80BBCC54D2F}"/>
    <cellStyle name="Normal 8 2 2 3" xfId="270" xr:uid="{00000000-0005-0000-0000-0000F9010000}"/>
    <cellStyle name="Normal 8 2 2 3 2" xfId="1099" xr:uid="{31C7B24F-D813-4E18-9286-39523D9646A5}"/>
    <cellStyle name="Normal 8 2 2 4" xfId="360" xr:uid="{00000000-0005-0000-0000-0000FA010000}"/>
    <cellStyle name="Normal 8 2 2 4 2" xfId="1189" xr:uid="{0806873B-BEE5-4401-93A9-F6A51295E06C}"/>
    <cellStyle name="Normal 8 2 2 5" xfId="450" xr:uid="{00000000-0005-0000-0000-0000FB010000}"/>
    <cellStyle name="Normal 8 2 2 5 2" xfId="1279" xr:uid="{858EC943-82CC-4868-AF48-42BD19D84244}"/>
    <cellStyle name="Normal 8 2 2 6" xfId="540" xr:uid="{00000000-0005-0000-0000-0000FC010000}"/>
    <cellStyle name="Normal 8 2 2 6 2" xfId="1369" xr:uid="{2081FF18-2829-4204-A6F0-FEDD8D38C00D}"/>
    <cellStyle name="Normal 8 2 2 7" xfId="630" xr:uid="{00000000-0005-0000-0000-0000FD010000}"/>
    <cellStyle name="Normal 8 2 2 7 2" xfId="1459" xr:uid="{D570D5A1-3090-451D-A5E1-5D6DDB5E7963}"/>
    <cellStyle name="Normal 8 2 2 8" xfId="720" xr:uid="{00000000-0005-0000-0000-0000FE010000}"/>
    <cellStyle name="Normal 8 2 2 8 2" xfId="1549" xr:uid="{9F1E66BE-02D0-4E4C-9014-EBE6E1B842C3}"/>
    <cellStyle name="Normal 8 2 2 9" xfId="817" xr:uid="{00000000-0005-0000-0000-0000FF010000}"/>
    <cellStyle name="Normal 8 2 2 9 2" xfId="1639" xr:uid="{CF97B7BA-470C-4E06-A633-3721C22A5E70}"/>
    <cellStyle name="Normal 8 2 3" xfId="143" xr:uid="{00000000-0005-0000-0000-000000020000}"/>
    <cellStyle name="Normal 8 2 3 2" xfId="972" xr:uid="{81690825-388F-4676-ABE4-F94638703122}"/>
    <cellStyle name="Normal 8 2 4" xfId="233" xr:uid="{00000000-0005-0000-0000-000001020000}"/>
    <cellStyle name="Normal 8 2 4 2" xfId="1062" xr:uid="{EAAB0D75-71D7-42B7-99F6-9F90CD34B5E2}"/>
    <cellStyle name="Normal 8 2 5" xfId="323" xr:uid="{00000000-0005-0000-0000-000002020000}"/>
    <cellStyle name="Normal 8 2 5 2" xfId="1152" xr:uid="{50562542-CD9F-40CD-B6FD-66176A90E5C0}"/>
    <cellStyle name="Normal 8 2 6" xfId="413" xr:uid="{00000000-0005-0000-0000-000003020000}"/>
    <cellStyle name="Normal 8 2 6 2" xfId="1242" xr:uid="{50497B56-22B2-4914-9E08-DBA8C92F325B}"/>
    <cellStyle name="Normal 8 2 7" xfId="503" xr:uid="{00000000-0005-0000-0000-000004020000}"/>
    <cellStyle name="Normal 8 2 7 2" xfId="1332" xr:uid="{50C03BDD-BC07-453D-BB35-98CEEEF45726}"/>
    <cellStyle name="Normal 8 2 8" xfId="593" xr:uid="{00000000-0005-0000-0000-000005020000}"/>
    <cellStyle name="Normal 8 2 8 2" xfId="1422" xr:uid="{BBDB8359-6FBE-4C5F-B856-2411A6C65109}"/>
    <cellStyle name="Normal 8 2 9" xfId="683" xr:uid="{00000000-0005-0000-0000-000006020000}"/>
    <cellStyle name="Normal 8 2 9 2" xfId="1512" xr:uid="{1A3B0C76-2E39-4BC1-8969-0C875EA181F2}"/>
    <cellStyle name="Normal 8 3" xfId="68" xr:uid="{00000000-0005-0000-0000-000007020000}"/>
    <cellStyle name="Normal 8 3 10" xfId="898" xr:uid="{3C1323EF-9562-4814-9156-114FB794A688}"/>
    <cellStyle name="Normal 8 3 2" xfId="161" xr:uid="{00000000-0005-0000-0000-000008020000}"/>
    <cellStyle name="Normal 8 3 2 2" xfId="990" xr:uid="{C47D2045-69C3-4C58-8AAF-F98F749DE76D}"/>
    <cellStyle name="Normal 8 3 3" xfId="251" xr:uid="{00000000-0005-0000-0000-000009020000}"/>
    <cellStyle name="Normal 8 3 3 2" xfId="1080" xr:uid="{1C4AD733-99B2-4C3E-96C7-B9601DBDEA9A}"/>
    <cellStyle name="Normal 8 3 4" xfId="341" xr:uid="{00000000-0005-0000-0000-00000A020000}"/>
    <cellStyle name="Normal 8 3 4 2" xfId="1170" xr:uid="{45143DDC-B5C5-4E7E-A19E-DF0FF67990AB}"/>
    <cellStyle name="Normal 8 3 5" xfId="431" xr:uid="{00000000-0005-0000-0000-00000B020000}"/>
    <cellStyle name="Normal 8 3 5 2" xfId="1260" xr:uid="{BA7A3189-F430-42D6-A37F-4502D49E9F19}"/>
    <cellStyle name="Normal 8 3 6" xfId="521" xr:uid="{00000000-0005-0000-0000-00000C020000}"/>
    <cellStyle name="Normal 8 3 6 2" xfId="1350" xr:uid="{9E127B26-5E00-48E8-9059-6791D0520FB3}"/>
    <cellStyle name="Normal 8 3 7" xfId="611" xr:uid="{00000000-0005-0000-0000-00000D020000}"/>
    <cellStyle name="Normal 8 3 7 2" xfId="1440" xr:uid="{CD4D08BA-6568-4E0C-B364-D38293444DBA}"/>
    <cellStyle name="Normal 8 3 8" xfId="701" xr:uid="{00000000-0005-0000-0000-00000E020000}"/>
    <cellStyle name="Normal 8 3 8 2" xfId="1530" xr:uid="{F61EC6FD-E0BE-4C88-9689-BDD8E5F506AB}"/>
    <cellStyle name="Normal 8 3 9" xfId="798" xr:uid="{00000000-0005-0000-0000-00000F020000}"/>
    <cellStyle name="Normal 8 3 9 2" xfId="1620" xr:uid="{62FE5A2C-CACC-4678-B343-6C25CB918E7F}"/>
    <cellStyle name="Normal 8 4" xfId="124" xr:uid="{00000000-0005-0000-0000-000010020000}"/>
    <cellStyle name="Normal 8 4 2" xfId="953" xr:uid="{5076F37F-1E62-4780-BEE5-507C9EA455D1}"/>
    <cellStyle name="Normal 8 5" xfId="214" xr:uid="{00000000-0005-0000-0000-000011020000}"/>
    <cellStyle name="Normal 8 5 2" xfId="1043" xr:uid="{14D60051-10B9-47FF-9E34-EC9C1ED882A3}"/>
    <cellStyle name="Normal 8 6" xfId="304" xr:uid="{00000000-0005-0000-0000-000012020000}"/>
    <cellStyle name="Normal 8 6 2" xfId="1133" xr:uid="{191C0B16-368D-4236-A62F-12B3329DE637}"/>
    <cellStyle name="Normal 8 7" xfId="394" xr:uid="{00000000-0005-0000-0000-000013020000}"/>
    <cellStyle name="Normal 8 7 2" xfId="1223" xr:uid="{8C68CEBB-D918-4C0F-8FAE-7F72A6ECB181}"/>
    <cellStyle name="Normal 8 8" xfId="484" xr:uid="{00000000-0005-0000-0000-000014020000}"/>
    <cellStyle name="Normal 8 8 2" xfId="1313" xr:uid="{E57AB88B-D967-43D1-93B1-1226A4372BB2}"/>
    <cellStyle name="Normal 8 9" xfId="574" xr:uid="{00000000-0005-0000-0000-000015020000}"/>
    <cellStyle name="Normal 8 9 2" xfId="1403" xr:uid="{D8F889CB-E211-42C2-97BE-1B776B63B300}"/>
    <cellStyle name="Normal 9" xfId="28" xr:uid="{00000000-0005-0000-0000-000016020000}"/>
    <cellStyle name="Normal 9 10" xfId="667" xr:uid="{00000000-0005-0000-0000-000017020000}"/>
    <cellStyle name="Normal 9 10 2" xfId="1496" xr:uid="{79DD9594-1160-48B8-A341-6DCCEC1B017F}"/>
    <cellStyle name="Normal 9 11" xfId="762" xr:uid="{00000000-0005-0000-0000-000018020000}"/>
    <cellStyle name="Normal 9 11 2" xfId="1586" xr:uid="{3F82A075-3BC8-4211-88FA-D4C34DAA922D}"/>
    <cellStyle name="Normal 9 12" xfId="864" xr:uid="{04577C66-A582-457B-92BB-046F9C4F76E9}"/>
    <cellStyle name="Normal 9 2" xfId="50" xr:uid="{00000000-0005-0000-0000-000019020000}"/>
    <cellStyle name="Normal 9 2 10" xfId="782" xr:uid="{00000000-0005-0000-0000-00001A020000}"/>
    <cellStyle name="Normal 9 2 10 2" xfId="1605" xr:uid="{E669B656-82E0-4FAF-84D8-051738012776}"/>
    <cellStyle name="Normal 9 2 11" xfId="883" xr:uid="{69FF2D94-F334-4C43-BAC1-B3DBA8272974}"/>
    <cellStyle name="Normal 9 2 2" xfId="90" xr:uid="{00000000-0005-0000-0000-00001B020000}"/>
    <cellStyle name="Normal 9 2 2 10" xfId="920" xr:uid="{4CACD221-CD37-46E2-9ED4-10551218D4D8}"/>
    <cellStyle name="Normal 9 2 2 2" xfId="183" xr:uid="{00000000-0005-0000-0000-00001C020000}"/>
    <cellStyle name="Normal 9 2 2 2 2" xfId="1012" xr:uid="{763EBDE5-3941-4675-A9D3-99BFF96A08A1}"/>
    <cellStyle name="Normal 9 2 2 3" xfId="273" xr:uid="{00000000-0005-0000-0000-00001D020000}"/>
    <cellStyle name="Normal 9 2 2 3 2" xfId="1102" xr:uid="{8EB9D8B7-7102-4511-8146-F69D64EDE2F0}"/>
    <cellStyle name="Normal 9 2 2 4" xfId="363" xr:uid="{00000000-0005-0000-0000-00001E020000}"/>
    <cellStyle name="Normal 9 2 2 4 2" xfId="1192" xr:uid="{4CA4AF69-F872-431A-B85B-ABE1D664A967}"/>
    <cellStyle name="Normal 9 2 2 5" xfId="453" xr:uid="{00000000-0005-0000-0000-00001F020000}"/>
    <cellStyle name="Normal 9 2 2 5 2" xfId="1282" xr:uid="{3FE1CE4A-F37D-435C-8D2F-08493E7A66CD}"/>
    <cellStyle name="Normal 9 2 2 6" xfId="543" xr:uid="{00000000-0005-0000-0000-000020020000}"/>
    <cellStyle name="Normal 9 2 2 6 2" xfId="1372" xr:uid="{490E0B6E-12EC-46A6-B1A6-CBBA58A11CA4}"/>
    <cellStyle name="Normal 9 2 2 7" xfId="633" xr:uid="{00000000-0005-0000-0000-000021020000}"/>
    <cellStyle name="Normal 9 2 2 7 2" xfId="1462" xr:uid="{10360E54-3A0B-460C-9914-D4B40FB1849D}"/>
    <cellStyle name="Normal 9 2 2 8" xfId="723" xr:uid="{00000000-0005-0000-0000-000022020000}"/>
    <cellStyle name="Normal 9 2 2 8 2" xfId="1552" xr:uid="{DE50F296-B796-489A-B945-A9B41CC7D770}"/>
    <cellStyle name="Normal 9 2 2 9" xfId="820" xr:uid="{00000000-0005-0000-0000-000023020000}"/>
    <cellStyle name="Normal 9 2 2 9 2" xfId="1642" xr:uid="{5B2E279E-1C7E-4FA3-BAE4-D7A4B3D288C1}"/>
    <cellStyle name="Normal 9 2 3" xfId="146" xr:uid="{00000000-0005-0000-0000-000024020000}"/>
    <cellStyle name="Normal 9 2 3 2" xfId="975" xr:uid="{8968531A-713F-4728-90B8-080CBE85863C}"/>
    <cellStyle name="Normal 9 2 4" xfId="236" xr:uid="{00000000-0005-0000-0000-000025020000}"/>
    <cellStyle name="Normal 9 2 4 2" xfId="1065" xr:uid="{63871509-954D-4960-88A8-89BD99C556D8}"/>
    <cellStyle name="Normal 9 2 5" xfId="326" xr:uid="{00000000-0005-0000-0000-000026020000}"/>
    <cellStyle name="Normal 9 2 5 2" xfId="1155" xr:uid="{96520998-327A-4E4D-B0B0-B2BC2CADD179}"/>
    <cellStyle name="Normal 9 2 6" xfId="416" xr:uid="{00000000-0005-0000-0000-000027020000}"/>
    <cellStyle name="Normal 9 2 6 2" xfId="1245" xr:uid="{AA40038E-CC5E-4417-B576-9FD1C619DA01}"/>
    <cellStyle name="Normal 9 2 7" xfId="506" xr:uid="{00000000-0005-0000-0000-000028020000}"/>
    <cellStyle name="Normal 9 2 7 2" xfId="1335" xr:uid="{EAE56B48-BC3E-4069-83B9-D945F4BFCA65}"/>
    <cellStyle name="Normal 9 2 8" xfId="596" xr:uid="{00000000-0005-0000-0000-000029020000}"/>
    <cellStyle name="Normal 9 2 8 2" xfId="1425" xr:uid="{3920DCA3-7F8A-44F9-B9E6-6A528B2563C2}"/>
    <cellStyle name="Normal 9 2 9" xfId="686" xr:uid="{00000000-0005-0000-0000-00002A020000}"/>
    <cellStyle name="Normal 9 2 9 2" xfId="1515" xr:uid="{6E0C73CB-C7DB-423D-B1DD-4B9B8643FA6B}"/>
    <cellStyle name="Normal 9 3" xfId="71" xr:uid="{00000000-0005-0000-0000-00002B020000}"/>
    <cellStyle name="Normal 9 3 10" xfId="901" xr:uid="{BA964951-E06F-444F-97A4-9EF1857CB3DB}"/>
    <cellStyle name="Normal 9 3 2" xfId="164" xr:uid="{00000000-0005-0000-0000-00002C020000}"/>
    <cellStyle name="Normal 9 3 2 2" xfId="993" xr:uid="{65A67630-D978-4050-839C-08FE803D3EED}"/>
    <cellStyle name="Normal 9 3 3" xfId="254" xr:uid="{00000000-0005-0000-0000-00002D020000}"/>
    <cellStyle name="Normal 9 3 3 2" xfId="1083" xr:uid="{FC18B527-4AD0-4EF6-A54F-DD11B0398409}"/>
    <cellStyle name="Normal 9 3 4" xfId="344" xr:uid="{00000000-0005-0000-0000-00002E020000}"/>
    <cellStyle name="Normal 9 3 4 2" xfId="1173" xr:uid="{73617EE6-364D-420D-B4AC-FADA661B0A8F}"/>
    <cellStyle name="Normal 9 3 5" xfId="434" xr:uid="{00000000-0005-0000-0000-00002F020000}"/>
    <cellStyle name="Normal 9 3 5 2" xfId="1263" xr:uid="{9F3C50B3-611E-4415-9730-3B2ECFBE7809}"/>
    <cellStyle name="Normal 9 3 6" xfId="524" xr:uid="{00000000-0005-0000-0000-000030020000}"/>
    <cellStyle name="Normal 9 3 6 2" xfId="1353" xr:uid="{A98A722B-3E24-43D8-875A-D9F4C8661181}"/>
    <cellStyle name="Normal 9 3 7" xfId="614" xr:uid="{00000000-0005-0000-0000-000031020000}"/>
    <cellStyle name="Normal 9 3 7 2" xfId="1443" xr:uid="{7CF8708D-36AE-47AC-A6FE-F6AFA5353B89}"/>
    <cellStyle name="Normal 9 3 8" xfId="704" xr:uid="{00000000-0005-0000-0000-000032020000}"/>
    <cellStyle name="Normal 9 3 8 2" xfId="1533" xr:uid="{695C50E3-49BD-431E-B0BE-57331FED90C5}"/>
    <cellStyle name="Normal 9 3 9" xfId="801" xr:uid="{00000000-0005-0000-0000-000033020000}"/>
    <cellStyle name="Normal 9 3 9 2" xfId="1623" xr:uid="{AD041AA1-6A4A-4FA6-94D1-407FC4BAD37C}"/>
    <cellStyle name="Normal 9 4" xfId="127" xr:uid="{00000000-0005-0000-0000-000034020000}"/>
    <cellStyle name="Normal 9 4 2" xfId="956" xr:uid="{45DE0F84-7C97-4869-8925-F63F23D7EC3C}"/>
    <cellStyle name="Normal 9 5" xfId="217" xr:uid="{00000000-0005-0000-0000-000035020000}"/>
    <cellStyle name="Normal 9 5 2" xfId="1046" xr:uid="{69364704-84CD-4B08-8CB6-10D766C23648}"/>
    <cellStyle name="Normal 9 6" xfId="307" xr:uid="{00000000-0005-0000-0000-000036020000}"/>
    <cellStyle name="Normal 9 6 2" xfId="1136" xr:uid="{ACB86F16-9C4E-44FD-8CA8-A64B9CFA309D}"/>
    <cellStyle name="Normal 9 7" xfId="397" xr:uid="{00000000-0005-0000-0000-000037020000}"/>
    <cellStyle name="Normal 9 7 2" xfId="1226" xr:uid="{D120A0CB-2D8D-4B21-8117-54E1612C53BB}"/>
    <cellStyle name="Normal 9 8" xfId="487" xr:uid="{00000000-0005-0000-0000-000038020000}"/>
    <cellStyle name="Normal 9 8 2" xfId="1316" xr:uid="{DE4AE84B-5716-40FA-9134-0023A097CE8D}"/>
    <cellStyle name="Normal 9 9" xfId="577" xr:uid="{00000000-0005-0000-0000-000039020000}"/>
    <cellStyle name="Normal 9 9 2" xfId="1406" xr:uid="{CE0BA36A-B340-469F-8794-FF499B4BD164}"/>
    <cellStyle name="Normal_Forslag" xfId="845" xr:uid="{00000000-0005-0000-0000-00003A020000}"/>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10" xfId="934" xr:uid="{39409D36-C67D-4A44-992B-4B87B38CF497}"/>
    <cellStyle name="Tusenskille 3 10 2" xfId="197" xr:uid="{00000000-0005-0000-0000-000048020000}"/>
    <cellStyle name="Tusenskille 3 10 2 2" xfId="1026" xr:uid="{7D68F9E9-3832-406A-9300-B4125AB094BF}"/>
    <cellStyle name="Tusenskille 3 10 3" xfId="287" xr:uid="{00000000-0005-0000-0000-000049020000}"/>
    <cellStyle name="Tusenskille 3 10 3 2" xfId="1116" xr:uid="{A9928F44-B0D0-4267-BAAF-3146E3E576BC}"/>
    <cellStyle name="Tusenskille 3 10 4" xfId="377" xr:uid="{00000000-0005-0000-0000-00004A020000}"/>
    <cellStyle name="Tusenskille 3 10 4 2" xfId="1206" xr:uid="{523E16EA-3C2E-4CE5-AE0C-00BA9B852882}"/>
    <cellStyle name="Tusenskille 3 10 5" xfId="467" xr:uid="{00000000-0005-0000-0000-00004B020000}"/>
    <cellStyle name="Tusenskille 3 10 5 2" xfId="1296" xr:uid="{4CE659C7-877E-486E-939B-11662CC3AA29}"/>
    <cellStyle name="Tusenskille 3 10 6" xfId="557" xr:uid="{00000000-0005-0000-0000-00004C020000}"/>
    <cellStyle name="Tusenskille 3 10 6 2" xfId="1386" xr:uid="{8EFF579D-C15B-4DBC-B8F5-9B4FC96AF787}"/>
    <cellStyle name="Tusenskille 3 10 7" xfId="647" xr:uid="{00000000-0005-0000-0000-00004D020000}"/>
    <cellStyle name="Tusenskille 3 10 7 2" xfId="1476" xr:uid="{F022DAF3-68E0-469C-886D-5ED6D7E91EEC}"/>
    <cellStyle name="Tusenskille 3 10 8" xfId="737" xr:uid="{00000000-0005-0000-0000-00004E020000}"/>
    <cellStyle name="Tusenskille 3 10 8 2" xfId="1566" xr:uid="{221D568F-99C3-4919-84F7-313E438D1BC8}"/>
    <cellStyle name="Tusenskille 3 10 9" xfId="834" xr:uid="{00000000-0005-0000-0000-00004F020000}"/>
    <cellStyle name="Tusenskille 3 10 9 2" xfId="1656" xr:uid="{F5DA12D9-53CC-4E04-A93B-C7FA0EE2E4C7}"/>
    <cellStyle name="Tusenskille 3 11" xfId="108" xr:uid="{00000000-0005-0000-0000-000050020000}"/>
    <cellStyle name="Tusenskille 3 11 10" xfId="937" xr:uid="{B52DF7D6-65EC-4F40-A82E-C7F82FA67E1B}"/>
    <cellStyle name="Tusenskille 3 11 2" xfId="200" xr:uid="{00000000-0005-0000-0000-000051020000}"/>
    <cellStyle name="Tusenskille 3 11 2 2" xfId="1029" xr:uid="{7643C3D0-E419-40B8-A94E-A2DA863A8C81}"/>
    <cellStyle name="Tusenskille 3 11 3" xfId="290" xr:uid="{00000000-0005-0000-0000-000052020000}"/>
    <cellStyle name="Tusenskille 3 11 3 2" xfId="1119" xr:uid="{C42923B7-0F6A-488A-BC4E-38474B3312E8}"/>
    <cellStyle name="Tusenskille 3 11 4" xfId="380" xr:uid="{00000000-0005-0000-0000-000053020000}"/>
    <cellStyle name="Tusenskille 3 11 4 2" xfId="1209" xr:uid="{DB16E83F-9935-4B7B-9E02-6F86255B079F}"/>
    <cellStyle name="Tusenskille 3 11 5" xfId="470" xr:uid="{00000000-0005-0000-0000-000054020000}"/>
    <cellStyle name="Tusenskille 3 11 5 2" xfId="1299" xr:uid="{09FF6981-69F4-4B47-8A12-A06FB8B6DE19}"/>
    <cellStyle name="Tusenskille 3 11 6" xfId="560" xr:uid="{00000000-0005-0000-0000-000055020000}"/>
    <cellStyle name="Tusenskille 3 11 6 2" xfId="1389" xr:uid="{082C12E5-1FFE-454F-8AD0-7FB252B1E95E}"/>
    <cellStyle name="Tusenskille 3 11 7" xfId="650" xr:uid="{00000000-0005-0000-0000-000056020000}"/>
    <cellStyle name="Tusenskille 3 11 7 2" xfId="1479" xr:uid="{520350E7-F100-4FEE-99DB-92D400A64DCC}"/>
    <cellStyle name="Tusenskille 3 11 8" xfId="740" xr:uid="{00000000-0005-0000-0000-000057020000}"/>
    <cellStyle name="Tusenskille 3 11 8 2" xfId="1569" xr:uid="{5154813C-6C9F-41FE-8821-0A066BA30E97}"/>
    <cellStyle name="Tusenskille 3 11 9" xfId="837" xr:uid="{00000000-0005-0000-0000-000058020000}"/>
    <cellStyle name="Tusenskille 3 11 9 2" xfId="1659" xr:uid="{52B53564-EDED-4AA8-BF18-04D5AB50EDC8}"/>
    <cellStyle name="Tusenskille 3 12" xfId="111" xr:uid="{00000000-0005-0000-0000-000059020000}"/>
    <cellStyle name="Tusenskille 3 12 10" xfId="940" xr:uid="{65E1833B-CBED-4073-B5B5-ABEBB18BBE09}"/>
    <cellStyle name="Tusenskille 3 12 2" xfId="203" xr:uid="{00000000-0005-0000-0000-00005A020000}"/>
    <cellStyle name="Tusenskille 3 12 2 2" xfId="1032" xr:uid="{E9A235AA-A51D-449B-AE45-21019028E173}"/>
    <cellStyle name="Tusenskille 3 12 3" xfId="293" xr:uid="{00000000-0005-0000-0000-00005B020000}"/>
    <cellStyle name="Tusenskille 3 12 3 2" xfId="1122" xr:uid="{3E61CA76-EB1C-48D3-BFA0-9E1F494B28FE}"/>
    <cellStyle name="Tusenskille 3 12 4" xfId="383" xr:uid="{00000000-0005-0000-0000-00005C020000}"/>
    <cellStyle name="Tusenskille 3 12 4 2" xfId="1212" xr:uid="{6CBA1521-08BC-4B92-A5C7-D01D1A26BF4D}"/>
    <cellStyle name="Tusenskille 3 12 5" xfId="473" xr:uid="{00000000-0005-0000-0000-00005D020000}"/>
    <cellStyle name="Tusenskille 3 12 5 2" xfId="1302" xr:uid="{429863E8-B2F6-4838-A56D-65139991D6A3}"/>
    <cellStyle name="Tusenskille 3 12 6" xfId="563" xr:uid="{00000000-0005-0000-0000-00005E020000}"/>
    <cellStyle name="Tusenskille 3 12 6 2" xfId="1392" xr:uid="{D21E6A69-6109-44A5-9141-3041268B7E04}"/>
    <cellStyle name="Tusenskille 3 12 7" xfId="653" xr:uid="{00000000-0005-0000-0000-00005F020000}"/>
    <cellStyle name="Tusenskille 3 12 7 2" xfId="1482" xr:uid="{27C71D0A-24C2-4B95-A990-735511355B69}"/>
    <cellStyle name="Tusenskille 3 12 8" xfId="743" xr:uid="{00000000-0005-0000-0000-000060020000}"/>
    <cellStyle name="Tusenskille 3 12 8 2" xfId="1572" xr:uid="{11F93DA5-F4D4-4317-B377-FE9CB8AC40CB}"/>
    <cellStyle name="Tusenskille 3 12 9" xfId="840" xr:uid="{00000000-0005-0000-0000-000061020000}"/>
    <cellStyle name="Tusenskille 3 12 9 2" xfId="1662" xr:uid="{8F42BA1F-67F8-4EEB-9D84-DE81653A0FB9}"/>
    <cellStyle name="Tusenskille 3 13" xfId="114" xr:uid="{00000000-0005-0000-0000-000062020000}"/>
    <cellStyle name="Tusenskille 3 13 10" xfId="943" xr:uid="{5B14A71E-6CD8-4A54-A57E-2974CC6AF344}"/>
    <cellStyle name="Tusenskille 3 13 2" xfId="206" xr:uid="{00000000-0005-0000-0000-000063020000}"/>
    <cellStyle name="Tusenskille 3 13 2 2" xfId="1035" xr:uid="{866C53F4-110F-450E-8CAB-BF4B7357BD1A}"/>
    <cellStyle name="Tusenskille 3 13 3" xfId="296" xr:uid="{00000000-0005-0000-0000-000064020000}"/>
    <cellStyle name="Tusenskille 3 13 3 2" xfId="1125" xr:uid="{967560DB-C86C-4BF4-BE05-0880CD125A46}"/>
    <cellStyle name="Tusenskille 3 13 4" xfId="386" xr:uid="{00000000-0005-0000-0000-000065020000}"/>
    <cellStyle name="Tusenskille 3 13 4 2" xfId="1215" xr:uid="{CFCAB3F0-4B07-4ACD-BAB5-91FC37A341F0}"/>
    <cellStyle name="Tusenskille 3 13 5" xfId="476" xr:uid="{00000000-0005-0000-0000-000066020000}"/>
    <cellStyle name="Tusenskille 3 13 5 2" xfId="1305" xr:uid="{27E8DB64-4F7A-4DA3-8D0E-9401F83BA9CF}"/>
    <cellStyle name="Tusenskille 3 13 6" xfId="566" xr:uid="{00000000-0005-0000-0000-000067020000}"/>
    <cellStyle name="Tusenskille 3 13 6 2" xfId="1395" xr:uid="{246BD161-F725-4466-907C-5602EFED0920}"/>
    <cellStyle name="Tusenskille 3 13 7" xfId="656" xr:uid="{00000000-0005-0000-0000-000068020000}"/>
    <cellStyle name="Tusenskille 3 13 7 2" xfId="1485" xr:uid="{A8628C4F-FE43-419F-A230-6E0CEED55F84}"/>
    <cellStyle name="Tusenskille 3 13 8" xfId="746" xr:uid="{00000000-0005-0000-0000-000069020000}"/>
    <cellStyle name="Tusenskille 3 13 8 2" xfId="1575" xr:uid="{162000BA-06ED-43DD-B1C8-2A01AFA33580}"/>
    <cellStyle name="Tusenskille 3 13 9" xfId="843" xr:uid="{00000000-0005-0000-0000-00006A020000}"/>
    <cellStyle name="Tusenskille 3 13 9 2" xfId="1665" xr:uid="{85C1954F-9469-4DE8-98B1-10F487BD3809}"/>
    <cellStyle name="Tusenskille 3 14" xfId="119" xr:uid="{00000000-0005-0000-0000-00006B020000}"/>
    <cellStyle name="Tusenskille 3 14 2" xfId="948" xr:uid="{E7171A38-A80D-4B6F-BAFA-D938BA2A7508}"/>
    <cellStyle name="Tusenskille 3 15" xfId="209" xr:uid="{00000000-0005-0000-0000-00006C020000}"/>
    <cellStyle name="Tusenskille 3 15 2" xfId="1038" xr:uid="{7679A7B5-6E29-4AA9-B412-5E552FEBAEB5}"/>
    <cellStyle name="Tusenskille 3 16" xfId="299" xr:uid="{00000000-0005-0000-0000-00006D020000}"/>
    <cellStyle name="Tusenskille 3 16 2" xfId="1128" xr:uid="{D5DD99FE-EF37-4353-9BD8-1C98BE70C68E}"/>
    <cellStyle name="Tusenskille 3 17" xfId="389" xr:uid="{00000000-0005-0000-0000-00006E020000}"/>
    <cellStyle name="Tusenskille 3 17 2" xfId="1218" xr:uid="{A45B0341-7AB7-4280-BF3D-B37C502E99E1}"/>
    <cellStyle name="Tusenskille 3 18" xfId="479" xr:uid="{00000000-0005-0000-0000-00006F020000}"/>
    <cellStyle name="Tusenskille 3 18 2" xfId="1308" xr:uid="{655E7981-9982-4393-9C08-200B598C87C7}"/>
    <cellStyle name="Tusenskille 3 19" xfId="569" xr:uid="{00000000-0005-0000-0000-000070020000}"/>
    <cellStyle name="Tusenskille 3 19 2" xfId="1398" xr:uid="{19B34879-2448-4B6D-A9B5-5CAB4CAEB892}"/>
    <cellStyle name="Tusenskille 3 2" xfId="24" xr:uid="{00000000-0005-0000-0000-000071020000}"/>
    <cellStyle name="Tusenskille 3 2 10" xfId="663" xr:uid="{00000000-0005-0000-0000-000072020000}"/>
    <cellStyle name="Tusenskille 3 2 10 2" xfId="1492" xr:uid="{6C1F1BC1-FCF3-4476-B26D-DA0718F859B1}"/>
    <cellStyle name="Tusenskille 3 2 11" xfId="758" xr:uid="{00000000-0005-0000-0000-000073020000}"/>
    <cellStyle name="Tusenskille 3 2 11 2" xfId="1582" xr:uid="{25B07608-4E44-472D-9622-96152507AFA5}"/>
    <cellStyle name="Tusenskille 3 2 12" xfId="860" xr:uid="{4BCCEE12-E426-432B-886A-662904FC3DD2}"/>
    <cellStyle name="Tusenskille 3 2 2" xfId="46" xr:uid="{00000000-0005-0000-0000-000074020000}"/>
    <cellStyle name="Tusenskille 3 2 2 10" xfId="778" xr:uid="{00000000-0005-0000-0000-000075020000}"/>
    <cellStyle name="Tusenskille 3 2 2 10 2" xfId="1601" xr:uid="{D0C67A7C-9BD5-4B5D-9740-6C0F2D5E188E}"/>
    <cellStyle name="Tusenskille 3 2 2 11" xfId="879" xr:uid="{6ECE5EF5-256C-4CF8-82CD-480D6A3A9C7D}"/>
    <cellStyle name="Tusenskille 3 2 2 2" xfId="86" xr:uid="{00000000-0005-0000-0000-000076020000}"/>
    <cellStyle name="Tusenskille 3 2 2 2 10" xfId="916" xr:uid="{CE72CFF1-2C8B-4874-9018-AF009442D323}"/>
    <cellStyle name="Tusenskille 3 2 2 2 2" xfId="179" xr:uid="{00000000-0005-0000-0000-000077020000}"/>
    <cellStyle name="Tusenskille 3 2 2 2 2 2" xfId="1008" xr:uid="{220B33A4-ADC3-4494-9F8A-46221D7450AC}"/>
    <cellStyle name="Tusenskille 3 2 2 2 3" xfId="269" xr:uid="{00000000-0005-0000-0000-000078020000}"/>
    <cellStyle name="Tusenskille 3 2 2 2 3 2" xfId="1098" xr:uid="{A07ED12D-7EF8-4882-AB0C-8BC7BA50DFEB}"/>
    <cellStyle name="Tusenskille 3 2 2 2 4" xfId="359" xr:uid="{00000000-0005-0000-0000-000079020000}"/>
    <cellStyle name="Tusenskille 3 2 2 2 4 2" xfId="1188" xr:uid="{EB4E16E7-61F2-4702-9123-B9476CAB1071}"/>
    <cellStyle name="Tusenskille 3 2 2 2 5" xfId="449" xr:uid="{00000000-0005-0000-0000-00007A020000}"/>
    <cellStyle name="Tusenskille 3 2 2 2 5 2" xfId="1278" xr:uid="{0C544D47-7899-467D-BC25-EAAFD26184F5}"/>
    <cellStyle name="Tusenskille 3 2 2 2 6" xfId="539" xr:uid="{00000000-0005-0000-0000-00007B020000}"/>
    <cellStyle name="Tusenskille 3 2 2 2 6 2" xfId="1368" xr:uid="{1406C6CD-F837-4F88-9E16-D15833A2CC66}"/>
    <cellStyle name="Tusenskille 3 2 2 2 7" xfId="629" xr:uid="{00000000-0005-0000-0000-00007C020000}"/>
    <cellStyle name="Tusenskille 3 2 2 2 7 2" xfId="1458" xr:uid="{902251C2-4DAE-49B5-BA1D-6071136C4AA4}"/>
    <cellStyle name="Tusenskille 3 2 2 2 8" xfId="719" xr:uid="{00000000-0005-0000-0000-00007D020000}"/>
    <cellStyle name="Tusenskille 3 2 2 2 8 2" xfId="1548" xr:uid="{BCAAD529-887B-4203-8F25-8ACDE6569A26}"/>
    <cellStyle name="Tusenskille 3 2 2 2 9" xfId="816" xr:uid="{00000000-0005-0000-0000-00007E020000}"/>
    <cellStyle name="Tusenskille 3 2 2 2 9 2" xfId="1638" xr:uid="{352B5105-F151-454B-98F8-E3C4B202F85C}"/>
    <cellStyle name="Tusenskille 3 2 2 3" xfId="142" xr:uid="{00000000-0005-0000-0000-00007F020000}"/>
    <cellStyle name="Tusenskille 3 2 2 3 2" xfId="971" xr:uid="{81A15DFD-94BB-4274-A1A6-112E7DB937EF}"/>
    <cellStyle name="Tusenskille 3 2 2 4" xfId="232" xr:uid="{00000000-0005-0000-0000-000080020000}"/>
    <cellStyle name="Tusenskille 3 2 2 4 2" xfId="1061" xr:uid="{CBB4B4A7-D7E1-4586-9739-98DF10C02829}"/>
    <cellStyle name="Tusenskille 3 2 2 5" xfId="322" xr:uid="{00000000-0005-0000-0000-000081020000}"/>
    <cellStyle name="Tusenskille 3 2 2 5 2" xfId="1151" xr:uid="{ADAD7343-916E-4DDC-B157-D7E7D7DF4D00}"/>
    <cellStyle name="Tusenskille 3 2 2 6" xfId="412" xr:uid="{00000000-0005-0000-0000-000082020000}"/>
    <cellStyle name="Tusenskille 3 2 2 6 2" xfId="1241" xr:uid="{F585477F-9C17-4C87-B70B-622A0844CA3D}"/>
    <cellStyle name="Tusenskille 3 2 2 7" xfId="502" xr:uid="{00000000-0005-0000-0000-000083020000}"/>
    <cellStyle name="Tusenskille 3 2 2 7 2" xfId="1331" xr:uid="{E43911BD-C360-49E6-BEAE-6B899BFFF378}"/>
    <cellStyle name="Tusenskille 3 2 2 8" xfId="592" xr:uid="{00000000-0005-0000-0000-000084020000}"/>
    <cellStyle name="Tusenskille 3 2 2 8 2" xfId="1421" xr:uid="{AF41AE11-EEA9-47DD-8B2A-4EB266948349}"/>
    <cellStyle name="Tusenskille 3 2 2 9" xfId="682" xr:uid="{00000000-0005-0000-0000-000085020000}"/>
    <cellStyle name="Tusenskille 3 2 2 9 2" xfId="1511" xr:uid="{8ACF4B3C-38F3-4383-9FCF-7246886B1B3D}"/>
    <cellStyle name="Tusenskille 3 2 3" xfId="67" xr:uid="{00000000-0005-0000-0000-000086020000}"/>
    <cellStyle name="Tusenskille 3 2 3 10" xfId="897" xr:uid="{BD7AC377-21FE-433A-BBB0-F2437C857C1F}"/>
    <cellStyle name="Tusenskille 3 2 3 2" xfId="160" xr:uid="{00000000-0005-0000-0000-000087020000}"/>
    <cellStyle name="Tusenskille 3 2 3 2 2" xfId="989" xr:uid="{6A21214B-3120-4A64-AB03-027684D4CFFF}"/>
    <cellStyle name="Tusenskille 3 2 3 3" xfId="250" xr:uid="{00000000-0005-0000-0000-000088020000}"/>
    <cellStyle name="Tusenskille 3 2 3 3 2" xfId="1079" xr:uid="{91989BF1-51FE-45A1-A484-FFF99A806B55}"/>
    <cellStyle name="Tusenskille 3 2 3 4" xfId="340" xr:uid="{00000000-0005-0000-0000-000089020000}"/>
    <cellStyle name="Tusenskille 3 2 3 4 2" xfId="1169" xr:uid="{64C0BE4B-D423-4137-913D-C6E6E27D9E18}"/>
    <cellStyle name="Tusenskille 3 2 3 5" xfId="430" xr:uid="{00000000-0005-0000-0000-00008A020000}"/>
    <cellStyle name="Tusenskille 3 2 3 5 2" xfId="1259" xr:uid="{195625C0-CCA9-4625-8B31-5084DCD892B7}"/>
    <cellStyle name="Tusenskille 3 2 3 6" xfId="520" xr:uid="{00000000-0005-0000-0000-00008B020000}"/>
    <cellStyle name="Tusenskille 3 2 3 6 2" xfId="1349" xr:uid="{DC8A4629-65ED-4DCF-AA20-E5732F2E27A7}"/>
    <cellStyle name="Tusenskille 3 2 3 7" xfId="610" xr:uid="{00000000-0005-0000-0000-00008C020000}"/>
    <cellStyle name="Tusenskille 3 2 3 7 2" xfId="1439" xr:uid="{7DA80F1D-E014-4088-8898-4CAD555782C5}"/>
    <cellStyle name="Tusenskille 3 2 3 8" xfId="700" xr:uid="{00000000-0005-0000-0000-00008D020000}"/>
    <cellStyle name="Tusenskille 3 2 3 8 2" xfId="1529" xr:uid="{FCF43FFD-3AEA-42EC-AEB4-2B4D28610AC6}"/>
    <cellStyle name="Tusenskille 3 2 3 9" xfId="797" xr:uid="{00000000-0005-0000-0000-00008E020000}"/>
    <cellStyle name="Tusenskille 3 2 3 9 2" xfId="1619" xr:uid="{EF54B45B-B504-4CF8-AB33-6BB8AFF8B456}"/>
    <cellStyle name="Tusenskille 3 2 4" xfId="123" xr:uid="{00000000-0005-0000-0000-00008F020000}"/>
    <cellStyle name="Tusenskille 3 2 4 2" xfId="952" xr:uid="{E5A3D814-CB27-4C75-9088-33C67B6176E1}"/>
    <cellStyle name="Tusenskille 3 2 5" xfId="213" xr:uid="{00000000-0005-0000-0000-000090020000}"/>
    <cellStyle name="Tusenskille 3 2 5 2" xfId="1042" xr:uid="{83FF49A0-DE14-48A3-AEDD-6452C24586C3}"/>
    <cellStyle name="Tusenskille 3 2 6" xfId="303" xr:uid="{00000000-0005-0000-0000-000091020000}"/>
    <cellStyle name="Tusenskille 3 2 6 2" xfId="1132" xr:uid="{F2E2CF87-D36B-49EE-810D-7ACEFE85603A}"/>
    <cellStyle name="Tusenskille 3 2 7" xfId="393" xr:uid="{00000000-0005-0000-0000-000092020000}"/>
    <cellStyle name="Tusenskille 3 2 7 2" xfId="1222" xr:uid="{E34F5626-AD3F-485F-AF98-D2867E25D494}"/>
    <cellStyle name="Tusenskille 3 2 8" xfId="483" xr:uid="{00000000-0005-0000-0000-000093020000}"/>
    <cellStyle name="Tusenskille 3 2 8 2" xfId="1312" xr:uid="{FC0251A7-BF7B-4B87-991D-105FA5FEC93F}"/>
    <cellStyle name="Tusenskille 3 2 9" xfId="573" xr:uid="{00000000-0005-0000-0000-000094020000}"/>
    <cellStyle name="Tusenskille 3 2 9 2" xfId="1402" xr:uid="{C85D2496-9FEF-451B-9211-9FA755B6F90D}"/>
    <cellStyle name="Tusenskille 3 20" xfId="659" xr:uid="{00000000-0005-0000-0000-000095020000}"/>
    <cellStyle name="Tusenskille 3 20 2" xfId="1488" xr:uid="{B1B01D89-DB2F-42AC-9364-A9EC17B88D9F}"/>
    <cellStyle name="Tusenskille 3 21" xfId="752" xr:uid="{00000000-0005-0000-0000-000096020000}"/>
    <cellStyle name="Tusenskille 3 21 2" xfId="1578" xr:uid="{9DBB3AC0-5016-4D66-8D82-CDC8F8D163BD}"/>
    <cellStyle name="Tusenskille 3 22" xfId="856" xr:uid="{CC348C8C-A8F6-40C4-8449-BC1D77606471}"/>
    <cellStyle name="Tusenskille 3 3" xfId="27" xr:uid="{00000000-0005-0000-0000-000097020000}"/>
    <cellStyle name="Tusenskille 3 3 10" xfId="666" xr:uid="{00000000-0005-0000-0000-000098020000}"/>
    <cellStyle name="Tusenskille 3 3 10 2" xfId="1495" xr:uid="{18FD4B37-6F19-43AE-AF37-5B82A0FC85E7}"/>
    <cellStyle name="Tusenskille 3 3 11" xfId="761" xr:uid="{00000000-0005-0000-0000-000099020000}"/>
    <cellStyle name="Tusenskille 3 3 11 2" xfId="1585" xr:uid="{1BCFD5C4-1E30-4C86-8DB0-D96FB8E3C634}"/>
    <cellStyle name="Tusenskille 3 3 12" xfId="863" xr:uid="{FAE95E2B-D563-45FC-B619-95DB0529A7BA}"/>
    <cellStyle name="Tusenskille 3 3 2" xfId="49" xr:uid="{00000000-0005-0000-0000-00009A020000}"/>
    <cellStyle name="Tusenskille 3 3 2 10" xfId="781" xr:uid="{00000000-0005-0000-0000-00009B020000}"/>
    <cellStyle name="Tusenskille 3 3 2 10 2" xfId="1604" xr:uid="{D88058D7-7339-4904-86C2-139B43F947F6}"/>
    <cellStyle name="Tusenskille 3 3 2 11" xfId="882" xr:uid="{8F97DE75-0BCD-4801-A9B1-1C455D710263}"/>
    <cellStyle name="Tusenskille 3 3 2 2" xfId="89" xr:uid="{00000000-0005-0000-0000-00009C020000}"/>
    <cellStyle name="Tusenskille 3 3 2 2 10" xfId="919" xr:uid="{14549A0A-CD04-4B7F-914E-EAA3070A0F8D}"/>
    <cellStyle name="Tusenskille 3 3 2 2 2" xfId="182" xr:uid="{00000000-0005-0000-0000-00009D020000}"/>
    <cellStyle name="Tusenskille 3 3 2 2 2 2" xfId="1011" xr:uid="{94A6BACC-1C4E-4215-ACBB-2B80D1DF3DD5}"/>
    <cellStyle name="Tusenskille 3 3 2 2 3" xfId="272" xr:uid="{00000000-0005-0000-0000-00009E020000}"/>
    <cellStyle name="Tusenskille 3 3 2 2 3 2" xfId="1101" xr:uid="{669EC70C-2F38-4233-9927-E694D119B70C}"/>
    <cellStyle name="Tusenskille 3 3 2 2 4" xfId="362" xr:uid="{00000000-0005-0000-0000-00009F020000}"/>
    <cellStyle name="Tusenskille 3 3 2 2 4 2" xfId="1191" xr:uid="{A30DE5E8-0F56-4B83-B76B-7D99FFFF51F8}"/>
    <cellStyle name="Tusenskille 3 3 2 2 5" xfId="452" xr:uid="{00000000-0005-0000-0000-0000A0020000}"/>
    <cellStyle name="Tusenskille 3 3 2 2 5 2" xfId="1281" xr:uid="{66B5BE6D-2BB0-440D-A2F2-A4447009A6EC}"/>
    <cellStyle name="Tusenskille 3 3 2 2 6" xfId="542" xr:uid="{00000000-0005-0000-0000-0000A1020000}"/>
    <cellStyle name="Tusenskille 3 3 2 2 6 2" xfId="1371" xr:uid="{4EADA2F2-0B89-43B7-BB3C-A254B79C5EFF}"/>
    <cellStyle name="Tusenskille 3 3 2 2 7" xfId="632" xr:uid="{00000000-0005-0000-0000-0000A2020000}"/>
    <cellStyle name="Tusenskille 3 3 2 2 7 2" xfId="1461" xr:uid="{F8AD5B12-EC59-4B06-984E-8F1CF455F33B}"/>
    <cellStyle name="Tusenskille 3 3 2 2 8" xfId="722" xr:uid="{00000000-0005-0000-0000-0000A3020000}"/>
    <cellStyle name="Tusenskille 3 3 2 2 8 2" xfId="1551" xr:uid="{5CFF38CE-3B8F-401E-BA1A-BAB06523D08C}"/>
    <cellStyle name="Tusenskille 3 3 2 2 9" xfId="819" xr:uid="{00000000-0005-0000-0000-0000A4020000}"/>
    <cellStyle name="Tusenskille 3 3 2 2 9 2" xfId="1641" xr:uid="{8FC52BDF-D8C5-4D03-AE81-0D24FC4E2C52}"/>
    <cellStyle name="Tusenskille 3 3 2 3" xfId="145" xr:uid="{00000000-0005-0000-0000-0000A5020000}"/>
    <cellStyle name="Tusenskille 3 3 2 3 2" xfId="974" xr:uid="{F948F31D-A780-40A7-8E1F-7F8132E956F1}"/>
    <cellStyle name="Tusenskille 3 3 2 4" xfId="235" xr:uid="{00000000-0005-0000-0000-0000A6020000}"/>
    <cellStyle name="Tusenskille 3 3 2 4 2" xfId="1064" xr:uid="{BCB55C2F-27C9-4CE5-A242-555BEA123873}"/>
    <cellStyle name="Tusenskille 3 3 2 5" xfId="325" xr:uid="{00000000-0005-0000-0000-0000A7020000}"/>
    <cellStyle name="Tusenskille 3 3 2 5 2" xfId="1154" xr:uid="{382BC890-E006-4045-B90E-A89A364CBA3A}"/>
    <cellStyle name="Tusenskille 3 3 2 6" xfId="415" xr:uid="{00000000-0005-0000-0000-0000A8020000}"/>
    <cellStyle name="Tusenskille 3 3 2 6 2" xfId="1244" xr:uid="{8F1F7990-7F4B-4F40-9B77-6292F23D8B33}"/>
    <cellStyle name="Tusenskille 3 3 2 7" xfId="505" xr:uid="{00000000-0005-0000-0000-0000A9020000}"/>
    <cellStyle name="Tusenskille 3 3 2 7 2" xfId="1334" xr:uid="{79546142-63D8-4AB4-908A-C00BDAFBA38A}"/>
    <cellStyle name="Tusenskille 3 3 2 8" xfId="595" xr:uid="{00000000-0005-0000-0000-0000AA020000}"/>
    <cellStyle name="Tusenskille 3 3 2 8 2" xfId="1424" xr:uid="{7CD8D9A1-0937-4BAD-89CB-F6691AA8ED26}"/>
    <cellStyle name="Tusenskille 3 3 2 9" xfId="685" xr:uid="{00000000-0005-0000-0000-0000AB020000}"/>
    <cellStyle name="Tusenskille 3 3 2 9 2" xfId="1514" xr:uid="{1F19DA50-0FE4-4FB9-8D92-8F699C9B7D3D}"/>
    <cellStyle name="Tusenskille 3 3 3" xfId="70" xr:uid="{00000000-0005-0000-0000-0000AC020000}"/>
    <cellStyle name="Tusenskille 3 3 3 10" xfId="900" xr:uid="{792089EB-B8C4-4A54-8FB0-DF9011CD6E24}"/>
    <cellStyle name="Tusenskille 3 3 3 2" xfId="163" xr:uid="{00000000-0005-0000-0000-0000AD020000}"/>
    <cellStyle name="Tusenskille 3 3 3 2 2" xfId="992" xr:uid="{57966A84-3715-4A6D-8440-AEF9586E9CF7}"/>
    <cellStyle name="Tusenskille 3 3 3 3" xfId="253" xr:uid="{00000000-0005-0000-0000-0000AE020000}"/>
    <cellStyle name="Tusenskille 3 3 3 3 2" xfId="1082" xr:uid="{60D42623-C8FB-4405-B8FB-BF6E4F58A960}"/>
    <cellStyle name="Tusenskille 3 3 3 4" xfId="343" xr:uid="{00000000-0005-0000-0000-0000AF020000}"/>
    <cellStyle name="Tusenskille 3 3 3 4 2" xfId="1172" xr:uid="{EC0447A2-6591-4896-8CA4-DEBB7CEE1DCC}"/>
    <cellStyle name="Tusenskille 3 3 3 5" xfId="433" xr:uid="{00000000-0005-0000-0000-0000B0020000}"/>
    <cellStyle name="Tusenskille 3 3 3 5 2" xfId="1262" xr:uid="{1C4062CF-02AF-4376-BE2B-30081B3137CE}"/>
    <cellStyle name="Tusenskille 3 3 3 6" xfId="523" xr:uid="{00000000-0005-0000-0000-0000B1020000}"/>
    <cellStyle name="Tusenskille 3 3 3 6 2" xfId="1352" xr:uid="{37044B42-946E-4D72-8821-6B0D7BCDAD4E}"/>
    <cellStyle name="Tusenskille 3 3 3 7" xfId="613" xr:uid="{00000000-0005-0000-0000-0000B2020000}"/>
    <cellStyle name="Tusenskille 3 3 3 7 2" xfId="1442" xr:uid="{A5B9AA15-FC18-4CCC-B3A8-B4C9CED70282}"/>
    <cellStyle name="Tusenskille 3 3 3 8" xfId="703" xr:uid="{00000000-0005-0000-0000-0000B3020000}"/>
    <cellStyle name="Tusenskille 3 3 3 8 2" xfId="1532" xr:uid="{4217E5F2-0B1C-4980-B9BE-2D838C32E044}"/>
    <cellStyle name="Tusenskille 3 3 3 9" xfId="800" xr:uid="{00000000-0005-0000-0000-0000B4020000}"/>
    <cellStyle name="Tusenskille 3 3 3 9 2" xfId="1622" xr:uid="{93872D2C-828D-4C0B-A92B-AC39CC60C302}"/>
    <cellStyle name="Tusenskille 3 3 4" xfId="126" xr:uid="{00000000-0005-0000-0000-0000B5020000}"/>
    <cellStyle name="Tusenskille 3 3 4 2" xfId="955" xr:uid="{73322EE7-596E-4FE6-964C-A5B11856797E}"/>
    <cellStyle name="Tusenskille 3 3 5" xfId="216" xr:uid="{00000000-0005-0000-0000-0000B6020000}"/>
    <cellStyle name="Tusenskille 3 3 5 2" xfId="1045" xr:uid="{72EC2ED3-70E2-4C46-AA28-F3944529BEF2}"/>
    <cellStyle name="Tusenskille 3 3 6" xfId="306" xr:uid="{00000000-0005-0000-0000-0000B7020000}"/>
    <cellStyle name="Tusenskille 3 3 6 2" xfId="1135" xr:uid="{D7F7DCD5-CA35-4E35-B3EF-46D5C5FCBC2D}"/>
    <cellStyle name="Tusenskille 3 3 7" xfId="396" xr:uid="{00000000-0005-0000-0000-0000B8020000}"/>
    <cellStyle name="Tusenskille 3 3 7 2" xfId="1225" xr:uid="{9EB1A181-CC56-4529-89A8-CC4A421318AF}"/>
    <cellStyle name="Tusenskille 3 3 8" xfId="486" xr:uid="{00000000-0005-0000-0000-0000B9020000}"/>
    <cellStyle name="Tusenskille 3 3 8 2" xfId="1315" xr:uid="{52E7E835-F53B-49BB-A5C8-A483D549DA04}"/>
    <cellStyle name="Tusenskille 3 3 9" xfId="576" xr:uid="{00000000-0005-0000-0000-0000BA020000}"/>
    <cellStyle name="Tusenskille 3 3 9 2" xfId="1405" xr:uid="{9B181ED3-39A2-4F60-9EFF-EFFE8102D81E}"/>
    <cellStyle name="Tusenskille 3 4" xfId="30" xr:uid="{00000000-0005-0000-0000-0000BB020000}"/>
    <cellStyle name="Tusenskille 3 4 10" xfId="669" xr:uid="{00000000-0005-0000-0000-0000BC020000}"/>
    <cellStyle name="Tusenskille 3 4 10 2" xfId="1498" xr:uid="{FA6E04A5-9211-44E7-80B2-B9891B1E3DBF}"/>
    <cellStyle name="Tusenskille 3 4 11" xfId="764" xr:uid="{00000000-0005-0000-0000-0000BD020000}"/>
    <cellStyle name="Tusenskille 3 4 11 2" xfId="1588" xr:uid="{75AFD6B8-DBA1-4E86-B706-12A90AE8F565}"/>
    <cellStyle name="Tusenskille 3 4 12" xfId="866" xr:uid="{0FA0FAA3-84AF-4C94-93D1-49D2EBCA440A}"/>
    <cellStyle name="Tusenskille 3 4 2" xfId="52" xr:uid="{00000000-0005-0000-0000-0000BE020000}"/>
    <cellStyle name="Tusenskille 3 4 2 10" xfId="784" xr:uid="{00000000-0005-0000-0000-0000BF020000}"/>
    <cellStyle name="Tusenskille 3 4 2 10 2" xfId="1607" xr:uid="{79025D5B-0983-4B9A-94A4-E1DC9C55D127}"/>
    <cellStyle name="Tusenskille 3 4 2 11" xfId="885" xr:uid="{38BD59B1-F442-4517-8774-B8FC429D0C0B}"/>
    <cellStyle name="Tusenskille 3 4 2 2" xfId="92" xr:uid="{00000000-0005-0000-0000-0000C0020000}"/>
    <cellStyle name="Tusenskille 3 4 2 2 10" xfId="922" xr:uid="{6A4C227C-8638-4D90-89BD-92FA0C4602BC}"/>
    <cellStyle name="Tusenskille 3 4 2 2 2" xfId="185" xr:uid="{00000000-0005-0000-0000-0000C1020000}"/>
    <cellStyle name="Tusenskille 3 4 2 2 2 2" xfId="1014" xr:uid="{C318473F-B217-487F-9F60-F75614813A56}"/>
    <cellStyle name="Tusenskille 3 4 2 2 3" xfId="275" xr:uid="{00000000-0005-0000-0000-0000C2020000}"/>
    <cellStyle name="Tusenskille 3 4 2 2 3 2" xfId="1104" xr:uid="{AF596F16-056F-4C0D-9EB4-796417CA9970}"/>
    <cellStyle name="Tusenskille 3 4 2 2 4" xfId="365" xr:uid="{00000000-0005-0000-0000-0000C3020000}"/>
    <cellStyle name="Tusenskille 3 4 2 2 4 2" xfId="1194" xr:uid="{858D356C-C087-4850-90FE-699056AE9897}"/>
    <cellStyle name="Tusenskille 3 4 2 2 5" xfId="455" xr:uid="{00000000-0005-0000-0000-0000C4020000}"/>
    <cellStyle name="Tusenskille 3 4 2 2 5 2" xfId="1284" xr:uid="{0E9FA1AA-9CE5-4CA2-864F-2BB21EC22B91}"/>
    <cellStyle name="Tusenskille 3 4 2 2 6" xfId="545" xr:uid="{00000000-0005-0000-0000-0000C5020000}"/>
    <cellStyle name="Tusenskille 3 4 2 2 6 2" xfId="1374" xr:uid="{54A2C669-7CA0-4B4A-A32D-0AFB87CC91FB}"/>
    <cellStyle name="Tusenskille 3 4 2 2 7" xfId="635" xr:uid="{00000000-0005-0000-0000-0000C6020000}"/>
    <cellStyle name="Tusenskille 3 4 2 2 7 2" xfId="1464" xr:uid="{03A1387F-747C-4BAA-9DFA-33FF0DF1BEB2}"/>
    <cellStyle name="Tusenskille 3 4 2 2 8" xfId="725" xr:uid="{00000000-0005-0000-0000-0000C7020000}"/>
    <cellStyle name="Tusenskille 3 4 2 2 8 2" xfId="1554" xr:uid="{316559F1-FC1E-4AD1-8FA7-42252F57C18B}"/>
    <cellStyle name="Tusenskille 3 4 2 2 9" xfId="822" xr:uid="{00000000-0005-0000-0000-0000C8020000}"/>
    <cellStyle name="Tusenskille 3 4 2 2 9 2" xfId="1644" xr:uid="{BE6D9E73-8FF7-4E51-800A-4572BB94B053}"/>
    <cellStyle name="Tusenskille 3 4 2 3" xfId="148" xr:uid="{00000000-0005-0000-0000-0000C9020000}"/>
    <cellStyle name="Tusenskille 3 4 2 3 2" xfId="977" xr:uid="{8DF97797-0BEA-418A-AD6F-1763023D7977}"/>
    <cellStyle name="Tusenskille 3 4 2 4" xfId="238" xr:uid="{00000000-0005-0000-0000-0000CA020000}"/>
    <cellStyle name="Tusenskille 3 4 2 4 2" xfId="1067" xr:uid="{27E07F5B-235F-4BFD-9E00-D748A36F52AA}"/>
    <cellStyle name="Tusenskille 3 4 2 5" xfId="328" xr:uid="{00000000-0005-0000-0000-0000CB020000}"/>
    <cellStyle name="Tusenskille 3 4 2 5 2" xfId="1157" xr:uid="{8A06F6C9-CD3D-4207-876F-3A7F891ECB94}"/>
    <cellStyle name="Tusenskille 3 4 2 6" xfId="418" xr:uid="{00000000-0005-0000-0000-0000CC020000}"/>
    <cellStyle name="Tusenskille 3 4 2 6 2" xfId="1247" xr:uid="{6DBBDBCF-C121-46C4-8DB6-0317EB2752FF}"/>
    <cellStyle name="Tusenskille 3 4 2 7" xfId="508" xr:uid="{00000000-0005-0000-0000-0000CD020000}"/>
    <cellStyle name="Tusenskille 3 4 2 7 2" xfId="1337" xr:uid="{E5BD1226-7F99-4239-BDB3-8ADDE8E32AA0}"/>
    <cellStyle name="Tusenskille 3 4 2 8" xfId="598" xr:uid="{00000000-0005-0000-0000-0000CE020000}"/>
    <cellStyle name="Tusenskille 3 4 2 8 2" xfId="1427" xr:uid="{6B820D35-4940-435F-A846-37772E740883}"/>
    <cellStyle name="Tusenskille 3 4 2 9" xfId="688" xr:uid="{00000000-0005-0000-0000-0000CF020000}"/>
    <cellStyle name="Tusenskille 3 4 2 9 2" xfId="1517" xr:uid="{69E4DE53-F174-499F-8FCD-128487D3A21F}"/>
    <cellStyle name="Tusenskille 3 4 3" xfId="73" xr:uid="{00000000-0005-0000-0000-0000D0020000}"/>
    <cellStyle name="Tusenskille 3 4 3 10" xfId="903" xr:uid="{D29B6882-8C5D-4AE0-B69D-14FA304C79CF}"/>
    <cellStyle name="Tusenskille 3 4 3 2" xfId="166" xr:uid="{00000000-0005-0000-0000-0000D1020000}"/>
    <cellStyle name="Tusenskille 3 4 3 2 2" xfId="995" xr:uid="{1D287ED7-192D-438F-B0EB-9C7F7965A463}"/>
    <cellStyle name="Tusenskille 3 4 3 3" xfId="256" xr:uid="{00000000-0005-0000-0000-0000D2020000}"/>
    <cellStyle name="Tusenskille 3 4 3 3 2" xfId="1085" xr:uid="{6A3C79D2-0E4E-4ACC-B070-40C711EF1F47}"/>
    <cellStyle name="Tusenskille 3 4 3 4" xfId="346" xr:uid="{00000000-0005-0000-0000-0000D3020000}"/>
    <cellStyle name="Tusenskille 3 4 3 4 2" xfId="1175" xr:uid="{24CC7F14-E17D-48EC-BBEB-863C37594D02}"/>
    <cellStyle name="Tusenskille 3 4 3 5" xfId="436" xr:uid="{00000000-0005-0000-0000-0000D4020000}"/>
    <cellStyle name="Tusenskille 3 4 3 5 2" xfId="1265" xr:uid="{3C54D0D2-4BF8-4444-A8CE-F6938EA8603C}"/>
    <cellStyle name="Tusenskille 3 4 3 6" xfId="526" xr:uid="{00000000-0005-0000-0000-0000D5020000}"/>
    <cellStyle name="Tusenskille 3 4 3 6 2" xfId="1355" xr:uid="{F500464D-CB52-4286-8430-BF0BF9A4E67E}"/>
    <cellStyle name="Tusenskille 3 4 3 7" xfId="616" xr:uid="{00000000-0005-0000-0000-0000D6020000}"/>
    <cellStyle name="Tusenskille 3 4 3 7 2" xfId="1445" xr:uid="{529FA8CC-A355-45D3-A88B-83930BA44E49}"/>
    <cellStyle name="Tusenskille 3 4 3 8" xfId="706" xr:uid="{00000000-0005-0000-0000-0000D7020000}"/>
    <cellStyle name="Tusenskille 3 4 3 8 2" xfId="1535" xr:uid="{6097191A-02C1-475E-8781-E695A0FA0DDF}"/>
    <cellStyle name="Tusenskille 3 4 3 9" xfId="803" xr:uid="{00000000-0005-0000-0000-0000D8020000}"/>
    <cellStyle name="Tusenskille 3 4 3 9 2" xfId="1625" xr:uid="{80AF2377-F95C-4217-9072-6D6405E948B5}"/>
    <cellStyle name="Tusenskille 3 4 4" xfId="129" xr:uid="{00000000-0005-0000-0000-0000D9020000}"/>
    <cellStyle name="Tusenskille 3 4 4 2" xfId="958" xr:uid="{10E0099C-344E-440F-89F3-3B2FAC1EBB82}"/>
    <cellStyle name="Tusenskille 3 4 5" xfId="219" xr:uid="{00000000-0005-0000-0000-0000DA020000}"/>
    <cellStyle name="Tusenskille 3 4 5 2" xfId="1048" xr:uid="{54A9ED01-97EB-4154-B899-E0099FBDCAF3}"/>
    <cellStyle name="Tusenskille 3 4 6" xfId="309" xr:uid="{00000000-0005-0000-0000-0000DB020000}"/>
    <cellStyle name="Tusenskille 3 4 6 2" xfId="1138" xr:uid="{A8386789-5CCA-469F-B9C1-399AF81106B3}"/>
    <cellStyle name="Tusenskille 3 4 7" xfId="399" xr:uid="{00000000-0005-0000-0000-0000DC020000}"/>
    <cellStyle name="Tusenskille 3 4 7 2" xfId="1228" xr:uid="{369846DA-7B6D-473E-BF3B-0B79470E4477}"/>
    <cellStyle name="Tusenskille 3 4 8" xfId="489" xr:uid="{00000000-0005-0000-0000-0000DD020000}"/>
    <cellStyle name="Tusenskille 3 4 8 2" xfId="1318" xr:uid="{EED10D12-9C59-4EF2-8A21-C77D3B62EC38}"/>
    <cellStyle name="Tusenskille 3 4 9" xfId="579" xr:uid="{00000000-0005-0000-0000-0000DE020000}"/>
    <cellStyle name="Tusenskille 3 4 9 2" xfId="1408" xr:uid="{2DF4073B-3267-42BE-A5D5-7D3CB169AA68}"/>
    <cellStyle name="Tusenskille 3 5" xfId="34" xr:uid="{00000000-0005-0000-0000-0000DF020000}"/>
    <cellStyle name="Tusenskille 3 5 10" xfId="672" xr:uid="{00000000-0005-0000-0000-0000E0020000}"/>
    <cellStyle name="Tusenskille 3 5 10 2" xfId="1501" xr:uid="{DED6DF8D-1B6C-4DE5-9FB9-1E534D808382}"/>
    <cellStyle name="Tusenskille 3 5 11" xfId="767" xr:uid="{00000000-0005-0000-0000-0000E1020000}"/>
    <cellStyle name="Tusenskille 3 5 11 2" xfId="1591" xr:uid="{AF8069C3-9FD3-4D41-86B7-BAF707483D0B}"/>
    <cellStyle name="Tusenskille 3 5 12" xfId="869" xr:uid="{7DB8AA21-9A72-4419-8144-D0A1CF073383}"/>
    <cellStyle name="Tusenskille 3 5 2" xfId="56" xr:uid="{00000000-0005-0000-0000-0000E2020000}"/>
    <cellStyle name="Tusenskille 3 5 2 10" xfId="787" xr:uid="{00000000-0005-0000-0000-0000E3020000}"/>
    <cellStyle name="Tusenskille 3 5 2 10 2" xfId="1610" xr:uid="{CF25AB10-8742-4A6E-8FF6-7C0ABB0534B9}"/>
    <cellStyle name="Tusenskille 3 5 2 11" xfId="888" xr:uid="{3088358C-C09D-4ABC-8238-B547DA224029}"/>
    <cellStyle name="Tusenskille 3 5 2 2" xfId="96" xr:uid="{00000000-0005-0000-0000-0000E4020000}"/>
    <cellStyle name="Tusenskille 3 5 2 2 10" xfId="925" xr:uid="{AE2DD63E-0F62-4CE5-ABAC-FFE75D5DD62A}"/>
    <cellStyle name="Tusenskille 3 5 2 2 2" xfId="188" xr:uid="{00000000-0005-0000-0000-0000E5020000}"/>
    <cellStyle name="Tusenskille 3 5 2 2 2 2" xfId="1017" xr:uid="{226120A7-0CB4-4E1F-91FE-6CEE9558F970}"/>
    <cellStyle name="Tusenskille 3 5 2 2 3" xfId="278" xr:uid="{00000000-0005-0000-0000-0000E6020000}"/>
    <cellStyle name="Tusenskille 3 5 2 2 3 2" xfId="1107" xr:uid="{E0C82E3A-9611-44A0-B734-E83CDCBB5AEF}"/>
    <cellStyle name="Tusenskille 3 5 2 2 4" xfId="368" xr:uid="{00000000-0005-0000-0000-0000E7020000}"/>
    <cellStyle name="Tusenskille 3 5 2 2 4 2" xfId="1197" xr:uid="{3DE73DAD-009A-4D90-8F67-4E47C99072C8}"/>
    <cellStyle name="Tusenskille 3 5 2 2 5" xfId="458" xr:uid="{00000000-0005-0000-0000-0000E8020000}"/>
    <cellStyle name="Tusenskille 3 5 2 2 5 2" xfId="1287" xr:uid="{997B196F-CAC8-47A1-941F-64C95B60CA94}"/>
    <cellStyle name="Tusenskille 3 5 2 2 6" xfId="548" xr:uid="{00000000-0005-0000-0000-0000E9020000}"/>
    <cellStyle name="Tusenskille 3 5 2 2 6 2" xfId="1377" xr:uid="{55EA17AA-F500-4452-A90C-87861C9614B2}"/>
    <cellStyle name="Tusenskille 3 5 2 2 7" xfId="638" xr:uid="{00000000-0005-0000-0000-0000EA020000}"/>
    <cellStyle name="Tusenskille 3 5 2 2 7 2" xfId="1467" xr:uid="{2C84649E-6A22-4957-9FF8-F01312E65CCB}"/>
    <cellStyle name="Tusenskille 3 5 2 2 8" xfId="728" xr:uid="{00000000-0005-0000-0000-0000EB020000}"/>
    <cellStyle name="Tusenskille 3 5 2 2 8 2" xfId="1557" xr:uid="{4D3A092C-18C5-4588-879F-B638FDC80AA3}"/>
    <cellStyle name="Tusenskille 3 5 2 2 9" xfId="825" xr:uid="{00000000-0005-0000-0000-0000EC020000}"/>
    <cellStyle name="Tusenskille 3 5 2 2 9 2" xfId="1647" xr:uid="{189CB363-25C7-4ACD-BDA7-4DD75CFF3876}"/>
    <cellStyle name="Tusenskille 3 5 2 3" xfId="151" xr:uid="{00000000-0005-0000-0000-0000ED020000}"/>
    <cellStyle name="Tusenskille 3 5 2 3 2" xfId="980" xr:uid="{FE2A79AC-D474-4E55-AE09-286CFC9E8993}"/>
    <cellStyle name="Tusenskille 3 5 2 4" xfId="241" xr:uid="{00000000-0005-0000-0000-0000EE020000}"/>
    <cellStyle name="Tusenskille 3 5 2 4 2" xfId="1070" xr:uid="{9404AE93-3410-4764-B9ED-31FDFFB64934}"/>
    <cellStyle name="Tusenskille 3 5 2 5" xfId="331" xr:uid="{00000000-0005-0000-0000-0000EF020000}"/>
    <cellStyle name="Tusenskille 3 5 2 5 2" xfId="1160" xr:uid="{DBC57F07-FFAD-482F-94E8-E2D40A39DE32}"/>
    <cellStyle name="Tusenskille 3 5 2 6" xfId="421" xr:uid="{00000000-0005-0000-0000-0000F0020000}"/>
    <cellStyle name="Tusenskille 3 5 2 6 2" xfId="1250" xr:uid="{82B4AE9F-D640-4917-94AD-A764B169C806}"/>
    <cellStyle name="Tusenskille 3 5 2 7" xfId="511" xr:uid="{00000000-0005-0000-0000-0000F1020000}"/>
    <cellStyle name="Tusenskille 3 5 2 7 2" xfId="1340" xr:uid="{F45ABF96-CD3C-4EC3-82A4-9B1706906CA2}"/>
    <cellStyle name="Tusenskille 3 5 2 8" xfId="601" xr:uid="{00000000-0005-0000-0000-0000F2020000}"/>
    <cellStyle name="Tusenskille 3 5 2 8 2" xfId="1430" xr:uid="{4731EB6E-F246-4DD7-8A08-8A1E2E694DF0}"/>
    <cellStyle name="Tusenskille 3 5 2 9" xfId="691" xr:uid="{00000000-0005-0000-0000-0000F3020000}"/>
    <cellStyle name="Tusenskille 3 5 2 9 2" xfId="1520" xr:uid="{B6AA2379-A4D9-4E5F-914A-A17B31BDA7AA}"/>
    <cellStyle name="Tusenskille 3 5 3" xfId="76" xr:uid="{00000000-0005-0000-0000-0000F4020000}"/>
    <cellStyle name="Tusenskille 3 5 3 10" xfId="906" xr:uid="{EF5D100F-4768-4293-A8BE-33AFE49F6CC0}"/>
    <cellStyle name="Tusenskille 3 5 3 2" xfId="169" xr:uid="{00000000-0005-0000-0000-0000F5020000}"/>
    <cellStyle name="Tusenskille 3 5 3 2 2" xfId="998" xr:uid="{E7DA0D08-0C8D-4951-A5B3-DD0A73729E9E}"/>
    <cellStyle name="Tusenskille 3 5 3 3" xfId="259" xr:uid="{00000000-0005-0000-0000-0000F6020000}"/>
    <cellStyle name="Tusenskille 3 5 3 3 2" xfId="1088" xr:uid="{4F25FE66-4FC7-4CCB-A0EC-ADB9F3417E6E}"/>
    <cellStyle name="Tusenskille 3 5 3 4" xfId="349" xr:uid="{00000000-0005-0000-0000-0000F7020000}"/>
    <cellStyle name="Tusenskille 3 5 3 4 2" xfId="1178" xr:uid="{14656705-918F-472C-9CCC-42EC6492750B}"/>
    <cellStyle name="Tusenskille 3 5 3 5" xfId="439" xr:uid="{00000000-0005-0000-0000-0000F8020000}"/>
    <cellStyle name="Tusenskille 3 5 3 5 2" xfId="1268" xr:uid="{84AECFD5-AB3E-4A2D-ADD7-1CFEA045B43C}"/>
    <cellStyle name="Tusenskille 3 5 3 6" xfId="529" xr:uid="{00000000-0005-0000-0000-0000F9020000}"/>
    <cellStyle name="Tusenskille 3 5 3 6 2" xfId="1358" xr:uid="{9BC613EF-BACB-4A78-A311-3CBC8F1F85D1}"/>
    <cellStyle name="Tusenskille 3 5 3 7" xfId="619" xr:uid="{00000000-0005-0000-0000-0000FA020000}"/>
    <cellStyle name="Tusenskille 3 5 3 7 2" xfId="1448" xr:uid="{20324CF6-A6D8-47B1-93EF-E87FF1B8EB79}"/>
    <cellStyle name="Tusenskille 3 5 3 8" xfId="709" xr:uid="{00000000-0005-0000-0000-0000FB020000}"/>
    <cellStyle name="Tusenskille 3 5 3 8 2" xfId="1538" xr:uid="{6C4476ED-A96A-4DC1-B946-2FF583D77FDB}"/>
    <cellStyle name="Tusenskille 3 5 3 9" xfId="806" xr:uid="{00000000-0005-0000-0000-0000FC020000}"/>
    <cellStyle name="Tusenskille 3 5 3 9 2" xfId="1628" xr:uid="{8DC4E8E9-0617-434A-8D33-A61740F3E75A}"/>
    <cellStyle name="Tusenskille 3 5 4" xfId="132" xr:uid="{00000000-0005-0000-0000-0000FD020000}"/>
    <cellStyle name="Tusenskille 3 5 4 2" xfId="961" xr:uid="{2CFD2F3C-14F3-44DE-A3FD-4BF2684F1AF7}"/>
    <cellStyle name="Tusenskille 3 5 5" xfId="222" xr:uid="{00000000-0005-0000-0000-0000FE020000}"/>
    <cellStyle name="Tusenskille 3 5 5 2" xfId="1051" xr:uid="{29D278F1-8B38-4FB7-A943-7826257EE9BF}"/>
    <cellStyle name="Tusenskille 3 5 6" xfId="312" xr:uid="{00000000-0005-0000-0000-0000FF020000}"/>
    <cellStyle name="Tusenskille 3 5 6 2" xfId="1141" xr:uid="{AEC615BA-1560-4BE3-B515-9C8C8930C4FE}"/>
    <cellStyle name="Tusenskille 3 5 7" xfId="402" xr:uid="{00000000-0005-0000-0000-000000030000}"/>
    <cellStyle name="Tusenskille 3 5 7 2" xfId="1231" xr:uid="{D195A3E8-8856-4D60-BA84-06374A85C50A}"/>
    <cellStyle name="Tusenskille 3 5 8" xfId="492" xr:uid="{00000000-0005-0000-0000-000001030000}"/>
    <cellStyle name="Tusenskille 3 5 8 2" xfId="1321" xr:uid="{AC498509-2352-4454-BDEC-9F34F6B56668}"/>
    <cellStyle name="Tusenskille 3 5 9" xfId="582" xr:uid="{00000000-0005-0000-0000-000002030000}"/>
    <cellStyle name="Tusenskille 3 5 9 2" xfId="1411" xr:uid="{71B15F40-47AE-4D22-9AE4-1B6590282739}"/>
    <cellStyle name="Tusenskille 3 6" xfId="37" xr:uid="{00000000-0005-0000-0000-000003030000}"/>
    <cellStyle name="Tusenskille 3 6 10" xfId="675" xr:uid="{00000000-0005-0000-0000-000004030000}"/>
    <cellStyle name="Tusenskille 3 6 10 2" xfId="1504" xr:uid="{5FF5DD48-FAB9-4A0D-AE39-BBF8D9FE9C29}"/>
    <cellStyle name="Tusenskille 3 6 11" xfId="770" xr:uid="{00000000-0005-0000-0000-000005030000}"/>
    <cellStyle name="Tusenskille 3 6 11 2" xfId="1594" xr:uid="{C45C4AEB-0CE2-4A3E-BCC4-1752E22BE4EA}"/>
    <cellStyle name="Tusenskille 3 6 12" xfId="872" xr:uid="{8D40FF60-6C41-4BA9-8EF3-97A3928F794E}"/>
    <cellStyle name="Tusenskille 3 6 2" xfId="59" xr:uid="{00000000-0005-0000-0000-000006030000}"/>
    <cellStyle name="Tusenskille 3 6 2 10" xfId="790" xr:uid="{00000000-0005-0000-0000-000007030000}"/>
    <cellStyle name="Tusenskille 3 6 2 10 2" xfId="1613" xr:uid="{35A5F02B-1AB0-48F6-B49D-7D7260822259}"/>
    <cellStyle name="Tusenskille 3 6 2 11" xfId="891" xr:uid="{D463CBBD-7261-4B7A-A25A-8087AA47561F}"/>
    <cellStyle name="Tusenskille 3 6 2 2" xfId="99" xr:uid="{00000000-0005-0000-0000-000008030000}"/>
    <cellStyle name="Tusenskille 3 6 2 2 10" xfId="928" xr:uid="{91762064-DF69-4633-BE77-6988DC226396}"/>
    <cellStyle name="Tusenskille 3 6 2 2 2" xfId="191" xr:uid="{00000000-0005-0000-0000-000009030000}"/>
    <cellStyle name="Tusenskille 3 6 2 2 2 2" xfId="1020" xr:uid="{EF8AA7C7-A48B-4656-A8FA-93D704136C3D}"/>
    <cellStyle name="Tusenskille 3 6 2 2 3" xfId="281" xr:uid="{00000000-0005-0000-0000-00000A030000}"/>
    <cellStyle name="Tusenskille 3 6 2 2 3 2" xfId="1110" xr:uid="{22D1480D-0571-45DB-966F-28EC17B7FD01}"/>
    <cellStyle name="Tusenskille 3 6 2 2 4" xfId="371" xr:uid="{00000000-0005-0000-0000-00000B030000}"/>
    <cellStyle name="Tusenskille 3 6 2 2 4 2" xfId="1200" xr:uid="{F50214F5-9889-4AC0-A40F-E8417DD6CFC0}"/>
    <cellStyle name="Tusenskille 3 6 2 2 5" xfId="461" xr:uid="{00000000-0005-0000-0000-00000C030000}"/>
    <cellStyle name="Tusenskille 3 6 2 2 5 2" xfId="1290" xr:uid="{8A05112C-7600-4E1C-9278-358BF246F8BE}"/>
    <cellStyle name="Tusenskille 3 6 2 2 6" xfId="551" xr:uid="{00000000-0005-0000-0000-00000D030000}"/>
    <cellStyle name="Tusenskille 3 6 2 2 6 2" xfId="1380" xr:uid="{32CB5C28-E76E-4178-AB8D-437E4BC98361}"/>
    <cellStyle name="Tusenskille 3 6 2 2 7" xfId="641" xr:uid="{00000000-0005-0000-0000-00000E030000}"/>
    <cellStyle name="Tusenskille 3 6 2 2 7 2" xfId="1470" xr:uid="{B3796BEA-6EF0-4473-B2F0-7FF9F3F3D497}"/>
    <cellStyle name="Tusenskille 3 6 2 2 8" xfId="731" xr:uid="{00000000-0005-0000-0000-00000F030000}"/>
    <cellStyle name="Tusenskille 3 6 2 2 8 2" xfId="1560" xr:uid="{296133A1-6131-4464-8A84-56EF0D484BDE}"/>
    <cellStyle name="Tusenskille 3 6 2 2 9" xfId="828" xr:uid="{00000000-0005-0000-0000-000010030000}"/>
    <cellStyle name="Tusenskille 3 6 2 2 9 2" xfId="1650" xr:uid="{9D1CCDCF-5897-403B-A939-479C34AAD442}"/>
    <cellStyle name="Tusenskille 3 6 2 3" xfId="154" xr:uid="{00000000-0005-0000-0000-000011030000}"/>
    <cellStyle name="Tusenskille 3 6 2 3 2" xfId="983" xr:uid="{B6F9E80E-DD3A-4A64-A675-3C3D6DCF4645}"/>
    <cellStyle name="Tusenskille 3 6 2 4" xfId="244" xr:uid="{00000000-0005-0000-0000-000012030000}"/>
    <cellStyle name="Tusenskille 3 6 2 4 2" xfId="1073" xr:uid="{2CF34260-8AFE-4099-A7BC-CA24BDEC3D19}"/>
    <cellStyle name="Tusenskille 3 6 2 5" xfId="334" xr:uid="{00000000-0005-0000-0000-000013030000}"/>
    <cellStyle name="Tusenskille 3 6 2 5 2" xfId="1163" xr:uid="{47E938C1-2542-4566-9ABE-9A549BA8F745}"/>
    <cellStyle name="Tusenskille 3 6 2 6" xfId="424" xr:uid="{00000000-0005-0000-0000-000014030000}"/>
    <cellStyle name="Tusenskille 3 6 2 6 2" xfId="1253" xr:uid="{4DCBFB33-42B1-40B4-94C5-6BE0AD305FA5}"/>
    <cellStyle name="Tusenskille 3 6 2 7" xfId="514" xr:uid="{00000000-0005-0000-0000-000015030000}"/>
    <cellStyle name="Tusenskille 3 6 2 7 2" xfId="1343" xr:uid="{39EA4629-522E-484C-A772-79C49165A8B5}"/>
    <cellStyle name="Tusenskille 3 6 2 8" xfId="604" xr:uid="{00000000-0005-0000-0000-000016030000}"/>
    <cellStyle name="Tusenskille 3 6 2 8 2" xfId="1433" xr:uid="{024A3F63-14E7-42A5-A929-D62E6D1C6D3D}"/>
    <cellStyle name="Tusenskille 3 6 2 9" xfId="694" xr:uid="{00000000-0005-0000-0000-000017030000}"/>
    <cellStyle name="Tusenskille 3 6 2 9 2" xfId="1523" xr:uid="{B7A1FBE2-8DF1-4E7A-AAE4-5A5663D68C60}"/>
    <cellStyle name="Tusenskille 3 6 3" xfId="79" xr:uid="{00000000-0005-0000-0000-000018030000}"/>
    <cellStyle name="Tusenskille 3 6 3 10" xfId="909" xr:uid="{60309E45-8E53-4A79-9F14-6531E4A20BDE}"/>
    <cellStyle name="Tusenskille 3 6 3 2" xfId="172" xr:uid="{00000000-0005-0000-0000-000019030000}"/>
    <cellStyle name="Tusenskille 3 6 3 2 2" xfId="1001" xr:uid="{B59604FD-D0F4-415C-AE0E-C96915BD4610}"/>
    <cellStyle name="Tusenskille 3 6 3 3" xfId="262" xr:uid="{00000000-0005-0000-0000-00001A030000}"/>
    <cellStyle name="Tusenskille 3 6 3 3 2" xfId="1091" xr:uid="{E77F9D23-2E50-4D30-8898-11B6D6BD85B6}"/>
    <cellStyle name="Tusenskille 3 6 3 4" xfId="352" xr:uid="{00000000-0005-0000-0000-00001B030000}"/>
    <cellStyle name="Tusenskille 3 6 3 4 2" xfId="1181" xr:uid="{1ECB110D-7E56-4E34-A1BE-A6BD449EA44F}"/>
    <cellStyle name="Tusenskille 3 6 3 5" xfId="442" xr:uid="{00000000-0005-0000-0000-00001C030000}"/>
    <cellStyle name="Tusenskille 3 6 3 5 2" xfId="1271" xr:uid="{234C604E-CA31-480C-9D12-187A7207C6BE}"/>
    <cellStyle name="Tusenskille 3 6 3 6" xfId="532" xr:uid="{00000000-0005-0000-0000-00001D030000}"/>
    <cellStyle name="Tusenskille 3 6 3 6 2" xfId="1361" xr:uid="{3141AD74-F644-4775-B3A4-B3C80683B0D2}"/>
    <cellStyle name="Tusenskille 3 6 3 7" xfId="622" xr:uid="{00000000-0005-0000-0000-00001E030000}"/>
    <cellStyle name="Tusenskille 3 6 3 7 2" xfId="1451" xr:uid="{E2E2110B-0826-468B-A2F4-6F5725C56805}"/>
    <cellStyle name="Tusenskille 3 6 3 8" xfId="712" xr:uid="{00000000-0005-0000-0000-00001F030000}"/>
    <cellStyle name="Tusenskille 3 6 3 8 2" xfId="1541" xr:uid="{025C88E5-06CA-469F-8149-86D916D0054A}"/>
    <cellStyle name="Tusenskille 3 6 3 9" xfId="809" xr:uid="{00000000-0005-0000-0000-000020030000}"/>
    <cellStyle name="Tusenskille 3 6 3 9 2" xfId="1631" xr:uid="{9B993765-2AA3-47CB-8780-3365B121DA55}"/>
    <cellStyle name="Tusenskille 3 6 4" xfId="135" xr:uid="{00000000-0005-0000-0000-000021030000}"/>
    <cellStyle name="Tusenskille 3 6 4 2" xfId="964" xr:uid="{9ADBFF50-E8B2-41AD-AB55-AFB53BCAC2D3}"/>
    <cellStyle name="Tusenskille 3 6 5" xfId="225" xr:uid="{00000000-0005-0000-0000-000022030000}"/>
    <cellStyle name="Tusenskille 3 6 5 2" xfId="1054" xr:uid="{AA9EA134-BCA6-4771-9E93-DBAEAC748A29}"/>
    <cellStyle name="Tusenskille 3 6 6" xfId="315" xr:uid="{00000000-0005-0000-0000-000023030000}"/>
    <cellStyle name="Tusenskille 3 6 6 2" xfId="1144" xr:uid="{DF27A346-5918-401B-90F8-8141B0CC74A5}"/>
    <cellStyle name="Tusenskille 3 6 7" xfId="405" xr:uid="{00000000-0005-0000-0000-000024030000}"/>
    <cellStyle name="Tusenskille 3 6 7 2" xfId="1234" xr:uid="{935E1001-33CF-46F2-B6B0-EFB7E9A6F8C4}"/>
    <cellStyle name="Tusenskille 3 6 8" xfId="495" xr:uid="{00000000-0005-0000-0000-000025030000}"/>
    <cellStyle name="Tusenskille 3 6 8 2" xfId="1324" xr:uid="{4A5E05C4-8760-4752-9CD1-AC06EE281728}"/>
    <cellStyle name="Tusenskille 3 6 9" xfId="585" xr:uid="{00000000-0005-0000-0000-000026030000}"/>
    <cellStyle name="Tusenskille 3 6 9 2" xfId="1414" xr:uid="{A287C2A2-70DD-464D-A2FB-74CC68E38F03}"/>
    <cellStyle name="Tusenskille 3 7" xfId="43" xr:uid="{00000000-0005-0000-0000-000027030000}"/>
    <cellStyle name="Tusenskille 3 7 10" xfId="775" xr:uid="{00000000-0005-0000-0000-000028030000}"/>
    <cellStyle name="Tusenskille 3 7 10 2" xfId="1598" xr:uid="{DE3FB53C-BE1A-4468-BEA8-2062B556B347}"/>
    <cellStyle name="Tusenskille 3 7 11" xfId="876" xr:uid="{3B89C060-FE00-47FA-8EC3-8FFBFC225054}"/>
    <cellStyle name="Tusenskille 3 7 2" xfId="83" xr:uid="{00000000-0005-0000-0000-000029030000}"/>
    <cellStyle name="Tusenskille 3 7 2 10" xfId="913" xr:uid="{853EC51D-8705-42E8-8C45-43A8AA3D101A}"/>
    <cellStyle name="Tusenskille 3 7 2 2" xfId="176" xr:uid="{00000000-0005-0000-0000-00002A030000}"/>
    <cellStyle name="Tusenskille 3 7 2 2 2" xfId="1005" xr:uid="{471FFBF6-F7F3-4B46-99C5-06019AB9168A}"/>
    <cellStyle name="Tusenskille 3 7 2 3" xfId="266" xr:uid="{00000000-0005-0000-0000-00002B030000}"/>
    <cellStyle name="Tusenskille 3 7 2 3 2" xfId="1095" xr:uid="{26BB9F10-A36F-44F0-994D-7DB730DED9F1}"/>
    <cellStyle name="Tusenskille 3 7 2 4" xfId="356" xr:uid="{00000000-0005-0000-0000-00002C030000}"/>
    <cellStyle name="Tusenskille 3 7 2 4 2" xfId="1185" xr:uid="{171CA7CD-E4A4-46CB-8E73-77E94A166D88}"/>
    <cellStyle name="Tusenskille 3 7 2 5" xfId="446" xr:uid="{00000000-0005-0000-0000-00002D030000}"/>
    <cellStyle name="Tusenskille 3 7 2 5 2" xfId="1275" xr:uid="{E47E57E8-B43C-46D5-8F97-724D9D86002C}"/>
    <cellStyle name="Tusenskille 3 7 2 6" xfId="536" xr:uid="{00000000-0005-0000-0000-00002E030000}"/>
    <cellStyle name="Tusenskille 3 7 2 6 2" xfId="1365" xr:uid="{7328DC34-7F5E-4C47-9A9D-7097C12413DF}"/>
    <cellStyle name="Tusenskille 3 7 2 7" xfId="626" xr:uid="{00000000-0005-0000-0000-00002F030000}"/>
    <cellStyle name="Tusenskille 3 7 2 7 2" xfId="1455" xr:uid="{C34922A1-C955-41A5-A92C-AE6E796A329E}"/>
    <cellStyle name="Tusenskille 3 7 2 8" xfId="716" xr:uid="{00000000-0005-0000-0000-000030030000}"/>
    <cellStyle name="Tusenskille 3 7 2 8 2" xfId="1545" xr:uid="{E10B80FA-3014-4137-9188-6BC9E86DB7BE}"/>
    <cellStyle name="Tusenskille 3 7 2 9" xfId="813" xr:uid="{00000000-0005-0000-0000-000031030000}"/>
    <cellStyle name="Tusenskille 3 7 2 9 2" xfId="1635" xr:uid="{C903CE41-5199-4A6A-BDEE-3C55B0B22BE7}"/>
    <cellStyle name="Tusenskille 3 7 3" xfId="139" xr:uid="{00000000-0005-0000-0000-000032030000}"/>
    <cellStyle name="Tusenskille 3 7 3 2" xfId="968" xr:uid="{09361BF5-2F31-439A-94CC-CA2E6E39CE30}"/>
    <cellStyle name="Tusenskille 3 7 4" xfId="229" xr:uid="{00000000-0005-0000-0000-000033030000}"/>
    <cellStyle name="Tusenskille 3 7 4 2" xfId="1058" xr:uid="{0463FA62-3646-43C7-A206-47440FA82CC1}"/>
    <cellStyle name="Tusenskille 3 7 5" xfId="319" xr:uid="{00000000-0005-0000-0000-000034030000}"/>
    <cellStyle name="Tusenskille 3 7 5 2" xfId="1148" xr:uid="{471EA7BB-F560-4237-8E18-339DB2B39EA4}"/>
    <cellStyle name="Tusenskille 3 7 6" xfId="409" xr:uid="{00000000-0005-0000-0000-000035030000}"/>
    <cellStyle name="Tusenskille 3 7 6 2" xfId="1238" xr:uid="{3340A6BF-9B78-49E0-9B3D-390E931D5455}"/>
    <cellStyle name="Tusenskille 3 7 7" xfId="499" xr:uid="{00000000-0005-0000-0000-000036030000}"/>
    <cellStyle name="Tusenskille 3 7 7 2" xfId="1328" xr:uid="{9D7BF141-4298-471B-8948-EC11ECBD2F17}"/>
    <cellStyle name="Tusenskille 3 7 8" xfId="589" xr:uid="{00000000-0005-0000-0000-000037030000}"/>
    <cellStyle name="Tusenskille 3 7 8 2" xfId="1418" xr:uid="{B9E1366E-FC11-42DB-A1CB-AC4B0B3E1E2A}"/>
    <cellStyle name="Tusenskille 3 7 9" xfId="679" xr:uid="{00000000-0005-0000-0000-000038030000}"/>
    <cellStyle name="Tusenskille 3 7 9 2" xfId="1508" xr:uid="{BFEC36DB-0994-40D5-85D2-4986057A1FC7}"/>
    <cellStyle name="Tusenskille 3 8" xfId="64" xr:uid="{00000000-0005-0000-0000-000039030000}"/>
    <cellStyle name="Tusenskille 3 8 10" xfId="894" xr:uid="{7ABF26C8-1873-461A-8226-0E5A32929150}"/>
    <cellStyle name="Tusenskille 3 8 2" xfId="157" xr:uid="{00000000-0005-0000-0000-00003A030000}"/>
    <cellStyle name="Tusenskille 3 8 2 2" xfId="986" xr:uid="{DEA22F66-B806-4B6B-87B2-8351692D01C7}"/>
    <cellStyle name="Tusenskille 3 8 3" xfId="247" xr:uid="{00000000-0005-0000-0000-00003B030000}"/>
    <cellStyle name="Tusenskille 3 8 3 2" xfId="1076" xr:uid="{624B5C70-3C33-46E6-83CD-59CA2EFA7DA6}"/>
    <cellStyle name="Tusenskille 3 8 4" xfId="337" xr:uid="{00000000-0005-0000-0000-00003C030000}"/>
    <cellStyle name="Tusenskille 3 8 4 2" xfId="1166" xr:uid="{E78888EB-46BF-41E2-BC00-471861FBEDFC}"/>
    <cellStyle name="Tusenskille 3 8 5" xfId="427" xr:uid="{00000000-0005-0000-0000-00003D030000}"/>
    <cellStyle name="Tusenskille 3 8 5 2" xfId="1256" xr:uid="{3111E6CB-AEF5-4A0E-8468-C877EE4F3293}"/>
    <cellStyle name="Tusenskille 3 8 6" xfId="517" xr:uid="{00000000-0005-0000-0000-00003E030000}"/>
    <cellStyle name="Tusenskille 3 8 6 2" xfId="1346" xr:uid="{947E334D-4F9E-445E-B308-278B1DB79093}"/>
    <cellStyle name="Tusenskille 3 8 7" xfId="607" xr:uid="{00000000-0005-0000-0000-00003F030000}"/>
    <cellStyle name="Tusenskille 3 8 7 2" xfId="1436" xr:uid="{8A258FAC-4163-43E9-9A33-271ED023AE34}"/>
    <cellStyle name="Tusenskille 3 8 8" xfId="697" xr:uid="{00000000-0005-0000-0000-000040030000}"/>
    <cellStyle name="Tusenskille 3 8 8 2" xfId="1526" xr:uid="{326C495C-5490-4292-BE32-FD6FF998DFFA}"/>
    <cellStyle name="Tusenskille 3 8 9" xfId="794" xr:uid="{00000000-0005-0000-0000-000041030000}"/>
    <cellStyle name="Tusenskille 3 8 9 2" xfId="1616" xr:uid="{C87F2178-A9B3-41B0-ACA4-6C4D89243B37}"/>
    <cellStyle name="Tusenskille 3 9" xfId="102" xr:uid="{00000000-0005-0000-0000-000042030000}"/>
    <cellStyle name="Tusenskille 3 9 10" xfId="931" xr:uid="{328EF0DD-F691-49A6-B102-F09247F3EA80}"/>
    <cellStyle name="Tusenskille 3 9 2" xfId="194" xr:uid="{00000000-0005-0000-0000-000043030000}"/>
    <cellStyle name="Tusenskille 3 9 2 2" xfId="1023" xr:uid="{C129B0EA-97EB-4481-8458-41D2863B75A7}"/>
    <cellStyle name="Tusenskille 3 9 3" xfId="284" xr:uid="{00000000-0005-0000-0000-000044030000}"/>
    <cellStyle name="Tusenskille 3 9 3 2" xfId="1113" xr:uid="{1CC63FB5-8788-47C9-84D3-83417CB3D0F8}"/>
    <cellStyle name="Tusenskille 3 9 4" xfId="374" xr:uid="{00000000-0005-0000-0000-000045030000}"/>
    <cellStyle name="Tusenskille 3 9 4 2" xfId="1203" xr:uid="{35571902-A9C5-4F40-9300-1FEBD7073F72}"/>
    <cellStyle name="Tusenskille 3 9 5" xfId="464" xr:uid="{00000000-0005-0000-0000-000046030000}"/>
    <cellStyle name="Tusenskille 3 9 5 2" xfId="1293" xr:uid="{B140E203-DFF0-4149-BBF8-F78BBFD23B15}"/>
    <cellStyle name="Tusenskille 3 9 6" xfId="554" xr:uid="{00000000-0005-0000-0000-000047030000}"/>
    <cellStyle name="Tusenskille 3 9 6 2" xfId="1383" xr:uid="{76E74A9B-1848-424C-8C8E-3E22C95BA025}"/>
    <cellStyle name="Tusenskille 3 9 7" xfId="644" xr:uid="{00000000-0005-0000-0000-000048030000}"/>
    <cellStyle name="Tusenskille 3 9 7 2" xfId="1473" xr:uid="{8EB5EA28-0F95-4021-9BD2-CEB850795564}"/>
    <cellStyle name="Tusenskille 3 9 8" xfId="734" xr:uid="{00000000-0005-0000-0000-000049030000}"/>
    <cellStyle name="Tusenskille 3 9 8 2" xfId="1563" xr:uid="{E343652D-DC77-4223-BDA2-47AA3810026F}"/>
    <cellStyle name="Tusenskille 3 9 9" xfId="831" xr:uid="{00000000-0005-0000-0000-00004A030000}"/>
    <cellStyle name="Tusenskille 3 9 9 2" xfId="1653" xr:uid="{474FB720-4A62-444B-82A7-8921E2FFBF05}"/>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 6 2" xfId="944" xr:uid="{5B35BF03-FC39-433E-AD94-98A755CE556B}"/>
    <cellStyle name="TusenskilleFjernNull" xfId="846" xr:uid="{00000000-0005-0000-0000-000050030000}"/>
  </cellStyles>
  <dxfs count="9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Figurer!$M$7</c:f>
              <c:strCache>
                <c:ptCount val="1"/>
                <c:pt idx="0">
                  <c:v>2020</c:v>
                </c:pt>
              </c:strCache>
            </c:strRef>
          </c:tx>
          <c:invertIfNegative val="0"/>
          <c:cat>
            <c:strRef>
              <c:f>Figurer!$L$9:$L$32</c:f>
              <c:strCache>
                <c:ptCount val="24"/>
                <c:pt idx="0">
                  <c:v>Danica Pensjon</c:v>
                </c:pt>
                <c:pt idx="1">
                  <c:v>DNB Bedriftsp</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Insr</c:v>
                </c:pt>
                <c:pt idx="16">
                  <c:v>Nordea Liv</c:v>
                </c:pt>
                <c:pt idx="17">
                  <c:v>OPF</c:v>
                </c:pt>
                <c:pt idx="18">
                  <c:v>Protector Fors</c:v>
                </c:pt>
                <c:pt idx="19">
                  <c:v>SpareBank 1</c:v>
                </c:pt>
                <c:pt idx="20">
                  <c:v>Storebrand </c:v>
                </c:pt>
                <c:pt idx="21">
                  <c:v>Telenor Fors</c:v>
                </c:pt>
                <c:pt idx="22">
                  <c:v>Tryg Fors</c:v>
                </c:pt>
                <c:pt idx="23">
                  <c:v>WaterCircles Fors.</c:v>
                </c:pt>
              </c:strCache>
            </c:strRef>
          </c:cat>
          <c:val>
            <c:numRef>
              <c:f>Figurer!$M$9:$M$32</c:f>
              <c:numCache>
                <c:formatCode>#,##0</c:formatCode>
                <c:ptCount val="24"/>
                <c:pt idx="0">
                  <c:v>216417.99</c:v>
                </c:pt>
                <c:pt idx="1">
                  <c:v>50104</c:v>
                </c:pt>
                <c:pt idx="2">
                  <c:v>2034045.9950000001</c:v>
                </c:pt>
                <c:pt idx="3">
                  <c:v>196946</c:v>
                </c:pt>
                <c:pt idx="4">
                  <c:v>0</c:v>
                </c:pt>
                <c:pt idx="5">
                  <c:v>1494137.5873699998</c:v>
                </c:pt>
                <c:pt idx="6">
                  <c:v>505403</c:v>
                </c:pt>
                <c:pt idx="7">
                  <c:v>622.01300000000003</c:v>
                </c:pt>
                <c:pt idx="8">
                  <c:v>1264393</c:v>
                </c:pt>
                <c:pt idx="9">
                  <c:v>362148.4</c:v>
                </c:pt>
                <c:pt idx="10">
                  <c:v>17644.029899999998</c:v>
                </c:pt>
                <c:pt idx="11">
                  <c:v>301902.74099999998</c:v>
                </c:pt>
                <c:pt idx="12">
                  <c:v>14225527.382959999</c:v>
                </c:pt>
                <c:pt idx="13">
                  <c:v>173861.997</c:v>
                </c:pt>
                <c:pt idx="14">
                  <c:v>36699</c:v>
                </c:pt>
                <c:pt idx="15">
                  <c:v>8168</c:v>
                </c:pt>
                <c:pt idx="16">
                  <c:v>903440.00756638078</c:v>
                </c:pt>
                <c:pt idx="17">
                  <c:v>1571000</c:v>
                </c:pt>
                <c:pt idx="18">
                  <c:v>263606.18193381856</c:v>
                </c:pt>
                <c:pt idx="19">
                  <c:v>405824.04193999991</c:v>
                </c:pt>
                <c:pt idx="20">
                  <c:v>3394274.7289999998</c:v>
                </c:pt>
                <c:pt idx="21">
                  <c:v>0</c:v>
                </c:pt>
                <c:pt idx="22">
                  <c:v>558832.35693999997</c:v>
                </c:pt>
                <c:pt idx="23">
                  <c:v>1120</c:v>
                </c:pt>
              </c:numCache>
            </c:numRef>
          </c:val>
          <c:extLst>
            <c:ext xmlns:c16="http://schemas.microsoft.com/office/drawing/2014/chart" uri="{C3380CC4-5D6E-409C-BE32-E72D297353CC}">
              <c16:uniqueId val="{00000002-93AE-4CD9-98AD-A52686D1F9FB}"/>
            </c:ext>
          </c:extLst>
        </c:ser>
        <c:ser>
          <c:idx val="1"/>
          <c:order val="1"/>
          <c:tx>
            <c:strRef>
              <c:f>Figurer!$N$7</c:f>
              <c:strCache>
                <c:ptCount val="1"/>
                <c:pt idx="0">
                  <c:v>2021</c:v>
                </c:pt>
              </c:strCache>
            </c:strRef>
          </c:tx>
          <c:invertIfNegative val="0"/>
          <c:cat>
            <c:strRef>
              <c:f>Figurer!$L$9:$L$32</c:f>
              <c:strCache>
                <c:ptCount val="24"/>
                <c:pt idx="0">
                  <c:v>Danica Pensjon</c:v>
                </c:pt>
                <c:pt idx="1">
                  <c:v>DNB Bedriftsp</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Insr</c:v>
                </c:pt>
                <c:pt idx="16">
                  <c:v>Nordea Liv</c:v>
                </c:pt>
                <c:pt idx="17">
                  <c:v>OPF</c:v>
                </c:pt>
                <c:pt idx="18">
                  <c:v>Protector Fors</c:v>
                </c:pt>
                <c:pt idx="19">
                  <c:v>SpareBank 1</c:v>
                </c:pt>
                <c:pt idx="20">
                  <c:v>Storebrand </c:v>
                </c:pt>
                <c:pt idx="21">
                  <c:v>Telenor Fors</c:v>
                </c:pt>
                <c:pt idx="22">
                  <c:v>Tryg Fors</c:v>
                </c:pt>
                <c:pt idx="23">
                  <c:v>WaterCircles Fors.</c:v>
                </c:pt>
              </c:strCache>
            </c:strRef>
          </c:cat>
          <c:val>
            <c:numRef>
              <c:f>Figurer!$N$9:$N$32</c:f>
              <c:numCache>
                <c:formatCode>#,##0</c:formatCode>
                <c:ptCount val="24"/>
                <c:pt idx="0">
                  <c:v>216101.85700000002</c:v>
                </c:pt>
                <c:pt idx="1">
                  <c:v>0</c:v>
                </c:pt>
                <c:pt idx="2">
                  <c:v>1956247.7650000001</c:v>
                </c:pt>
                <c:pt idx="3">
                  <c:v>213759</c:v>
                </c:pt>
                <c:pt idx="4">
                  <c:v>8868.24</c:v>
                </c:pt>
                <c:pt idx="5">
                  <c:v>1554860.00135</c:v>
                </c:pt>
                <c:pt idx="6">
                  <c:v>460428</c:v>
                </c:pt>
                <c:pt idx="7">
                  <c:v>5314.415</c:v>
                </c:pt>
                <c:pt idx="8">
                  <c:v>1474212.797</c:v>
                </c:pt>
                <c:pt idx="9">
                  <c:v>395870</c:v>
                </c:pt>
                <c:pt idx="10">
                  <c:v>17644.029899999998</c:v>
                </c:pt>
                <c:pt idx="11">
                  <c:v>315101.851636982</c:v>
                </c:pt>
                <c:pt idx="12">
                  <c:v>33537381.21895</c:v>
                </c:pt>
                <c:pt idx="13">
                  <c:v>219490.81400000001</c:v>
                </c:pt>
                <c:pt idx="14">
                  <c:v>39431</c:v>
                </c:pt>
                <c:pt idx="15">
                  <c:v>0</c:v>
                </c:pt>
                <c:pt idx="16">
                  <c:v>935655.99040994328</c:v>
                </c:pt>
                <c:pt idx="17">
                  <c:v>2128000</c:v>
                </c:pt>
                <c:pt idx="18">
                  <c:v>285507.81500140583</c:v>
                </c:pt>
                <c:pt idx="19">
                  <c:v>435411.44518000004</c:v>
                </c:pt>
                <c:pt idx="20">
                  <c:v>3657110.1809999999</c:v>
                </c:pt>
                <c:pt idx="21">
                  <c:v>686</c:v>
                </c:pt>
                <c:pt idx="22">
                  <c:v>545103.80000000005</c:v>
                </c:pt>
                <c:pt idx="23">
                  <c:v>1684</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Figurer!$M$37</c:f>
              <c:strCache>
                <c:ptCount val="1"/>
                <c:pt idx="0">
                  <c:v>2020</c:v>
                </c:pt>
              </c:strCache>
            </c:strRef>
          </c:tx>
          <c:invertIfNegative val="0"/>
          <c:cat>
            <c:strRef>
              <c:f>Figurer!$L$38:$L$47</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Figurer!$M$38:$M$47</c:f>
              <c:numCache>
                <c:formatCode>#,##0</c:formatCode>
                <c:ptCount val="10"/>
                <c:pt idx="0">
                  <c:v>1049553.1030000001</c:v>
                </c:pt>
                <c:pt idx="1">
                  <c:v>310599</c:v>
                </c:pt>
                <c:pt idx="2">
                  <c:v>4882926.4189999998</c:v>
                </c:pt>
                <c:pt idx="3">
                  <c:v>211959</c:v>
                </c:pt>
                <c:pt idx="4">
                  <c:v>1579911</c:v>
                </c:pt>
                <c:pt idx="5">
                  <c:v>32970.711000000003</c:v>
                </c:pt>
                <c:pt idx="6">
                  <c:v>5863550.9649199992</c:v>
                </c:pt>
                <c:pt idx="7">
                  <c:v>67197.383550000013</c:v>
                </c:pt>
                <c:pt idx="8">
                  <c:v>2338484.3714999999</c:v>
                </c:pt>
                <c:pt idx="9">
                  <c:v>6396691.7459999993</c:v>
                </c:pt>
              </c:numCache>
            </c:numRef>
          </c:val>
          <c:extLst>
            <c:ext xmlns:c16="http://schemas.microsoft.com/office/drawing/2014/chart" uri="{C3380CC4-5D6E-409C-BE32-E72D297353CC}">
              <c16:uniqueId val="{00000000-3971-4F9A-B5A3-CF52C774B823}"/>
            </c:ext>
          </c:extLst>
        </c:ser>
        <c:ser>
          <c:idx val="1"/>
          <c:order val="1"/>
          <c:tx>
            <c:strRef>
              <c:f>Figurer!$N$37</c:f>
              <c:strCache>
                <c:ptCount val="1"/>
                <c:pt idx="0">
                  <c:v>2021</c:v>
                </c:pt>
              </c:strCache>
            </c:strRef>
          </c:tx>
          <c:invertIfNegative val="0"/>
          <c:cat>
            <c:strRef>
              <c:f>Figurer!$L$38:$L$47</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Figurer!$N$38:$N$47</c:f>
              <c:numCache>
                <c:formatCode>#,##0</c:formatCode>
                <c:ptCount val="10"/>
                <c:pt idx="0">
                  <c:v>1164087.9040000001</c:v>
                </c:pt>
                <c:pt idx="1">
                  <c:v>0</c:v>
                </c:pt>
                <c:pt idx="2">
                  <c:v>5687337</c:v>
                </c:pt>
                <c:pt idx="3">
                  <c:v>0</c:v>
                </c:pt>
                <c:pt idx="4">
                  <c:v>1813519</c:v>
                </c:pt>
                <c:pt idx="5">
                  <c:v>96259.103000000003</c:v>
                </c:pt>
                <c:pt idx="6">
                  <c:v>9140677.7173800003</c:v>
                </c:pt>
                <c:pt idx="7">
                  <c:v>83074.449899999992</c:v>
                </c:pt>
                <c:pt idx="8">
                  <c:v>2700593.74584</c:v>
                </c:pt>
                <c:pt idx="9">
                  <c:v>6574958.2869999995</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Figurer!$M$58</c:f>
              <c:strCache>
                <c:ptCount val="1"/>
                <c:pt idx="0">
                  <c:v>2020</c:v>
                </c:pt>
              </c:strCache>
            </c:strRef>
          </c:tx>
          <c:invertIfNegative val="0"/>
          <c:cat>
            <c:strRef>
              <c:f>Figurer!$L$60:$L$81</c:f>
              <c:strCache>
                <c:ptCount val="22"/>
                <c:pt idx="0">
                  <c:v>Danica Pensjon</c:v>
                </c:pt>
                <c:pt idx="1">
                  <c:v>DNB Bedriftsp</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Insr</c:v>
                </c:pt>
                <c:pt idx="12">
                  <c:v>KLP</c:v>
                </c:pt>
                <c:pt idx="13">
                  <c:v>KLP Skadef</c:v>
                </c:pt>
                <c:pt idx="14">
                  <c:v>Landkreditt Fors</c:v>
                </c:pt>
                <c:pt idx="15">
                  <c:v>Nordea Liv</c:v>
                </c:pt>
                <c:pt idx="16">
                  <c:v>OPF</c:v>
                </c:pt>
                <c:pt idx="17">
                  <c:v>SpareBank 1</c:v>
                </c:pt>
                <c:pt idx="18">
                  <c:v>Storebrand </c:v>
                </c:pt>
                <c:pt idx="19">
                  <c:v>Telenor Forsikring</c:v>
                </c:pt>
                <c:pt idx="20">
                  <c:v>Tryg Forsikring</c:v>
                </c:pt>
                <c:pt idx="21">
                  <c:v>WaterCicles Fors.</c:v>
                </c:pt>
              </c:strCache>
            </c:strRef>
          </c:cat>
          <c:val>
            <c:numRef>
              <c:f>Figurer!$M$60:$M$81</c:f>
              <c:numCache>
                <c:formatCode>#,##0</c:formatCode>
                <c:ptCount val="22"/>
                <c:pt idx="0">
                  <c:v>1259550.713</c:v>
                </c:pt>
                <c:pt idx="1">
                  <c:v>1786281</c:v>
                </c:pt>
                <c:pt idx="2">
                  <c:v>195862400</c:v>
                </c:pt>
                <c:pt idx="3">
                  <c:v>0</c:v>
                </c:pt>
                <c:pt idx="4">
                  <c:v>0</c:v>
                </c:pt>
                <c:pt idx="5">
                  <c:v>3587824.3847499997</c:v>
                </c:pt>
                <c:pt idx="6">
                  <c:v>1132352</c:v>
                </c:pt>
                <c:pt idx="7">
                  <c:v>0</c:v>
                </c:pt>
                <c:pt idx="8">
                  <c:v>7375058.7999999998</c:v>
                </c:pt>
                <c:pt idx="9">
                  <c:v>24707.77272555888</c:v>
                </c:pt>
                <c:pt idx="10">
                  <c:v>0</c:v>
                </c:pt>
                <c:pt idx="11">
                  <c:v>0</c:v>
                </c:pt>
                <c:pt idx="12">
                  <c:v>516931786.69641</c:v>
                </c:pt>
                <c:pt idx="13">
                  <c:v>45976.864000000001</c:v>
                </c:pt>
                <c:pt idx="14">
                  <c:v>0</c:v>
                </c:pt>
                <c:pt idx="15">
                  <c:v>51856098.771231338</c:v>
                </c:pt>
                <c:pt idx="16">
                  <c:v>77112000</c:v>
                </c:pt>
                <c:pt idx="17">
                  <c:v>19251355.335700002</c:v>
                </c:pt>
                <c:pt idx="18">
                  <c:v>182079379.46500003</c:v>
                </c:pt>
                <c:pt idx="19">
                  <c:v>0</c:v>
                </c:pt>
                <c:pt idx="20">
                  <c:v>0</c:v>
                </c:pt>
                <c:pt idx="21">
                  <c:v>0</c:v>
                </c:pt>
              </c:numCache>
            </c:numRef>
          </c:val>
          <c:extLst>
            <c:ext xmlns:c16="http://schemas.microsoft.com/office/drawing/2014/chart" uri="{C3380CC4-5D6E-409C-BE32-E72D297353CC}">
              <c16:uniqueId val="{00000000-F5D7-4882-A9B6-45C2F0317A05}"/>
            </c:ext>
          </c:extLst>
        </c:ser>
        <c:ser>
          <c:idx val="1"/>
          <c:order val="1"/>
          <c:tx>
            <c:strRef>
              <c:f>Figurer!$N$58</c:f>
              <c:strCache>
                <c:ptCount val="1"/>
                <c:pt idx="0">
                  <c:v>2021</c:v>
                </c:pt>
              </c:strCache>
            </c:strRef>
          </c:tx>
          <c:invertIfNegative val="0"/>
          <c:cat>
            <c:strRef>
              <c:f>Figurer!$L$60:$L$81</c:f>
              <c:strCache>
                <c:ptCount val="22"/>
                <c:pt idx="0">
                  <c:v>Danica Pensjon</c:v>
                </c:pt>
                <c:pt idx="1">
                  <c:v>DNB Bedriftsp</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Insr</c:v>
                </c:pt>
                <c:pt idx="12">
                  <c:v>KLP</c:v>
                </c:pt>
                <c:pt idx="13">
                  <c:v>KLP Skadef</c:v>
                </c:pt>
                <c:pt idx="14">
                  <c:v>Landkreditt Fors</c:v>
                </c:pt>
                <c:pt idx="15">
                  <c:v>Nordea Liv</c:v>
                </c:pt>
                <c:pt idx="16">
                  <c:v>OPF</c:v>
                </c:pt>
                <c:pt idx="17">
                  <c:v>SpareBank 1</c:v>
                </c:pt>
                <c:pt idx="18">
                  <c:v>Storebrand </c:v>
                </c:pt>
                <c:pt idx="19">
                  <c:v>Telenor Forsikring</c:v>
                </c:pt>
                <c:pt idx="20">
                  <c:v>Tryg Forsikring</c:v>
                </c:pt>
                <c:pt idx="21">
                  <c:v>WaterCicles Fors.</c:v>
                </c:pt>
              </c:strCache>
            </c:strRef>
          </c:cat>
          <c:val>
            <c:numRef>
              <c:f>Figurer!$N$60:$N$81</c:f>
              <c:numCache>
                <c:formatCode>#,##0</c:formatCode>
                <c:ptCount val="22"/>
                <c:pt idx="0">
                  <c:v>1358359.7689999999</c:v>
                </c:pt>
                <c:pt idx="1">
                  <c:v>0</c:v>
                </c:pt>
                <c:pt idx="2">
                  <c:v>195668621.74615002</c:v>
                </c:pt>
                <c:pt idx="3">
                  <c:v>0</c:v>
                </c:pt>
                <c:pt idx="4">
                  <c:v>0</c:v>
                </c:pt>
                <c:pt idx="5">
                  <c:v>4079532.4523799997</c:v>
                </c:pt>
                <c:pt idx="6">
                  <c:v>1134700</c:v>
                </c:pt>
                <c:pt idx="7">
                  <c:v>0</c:v>
                </c:pt>
                <c:pt idx="8">
                  <c:v>7988385</c:v>
                </c:pt>
                <c:pt idx="9">
                  <c:v>20421.386947750718</c:v>
                </c:pt>
                <c:pt idx="10">
                  <c:v>0</c:v>
                </c:pt>
                <c:pt idx="11">
                  <c:v>0</c:v>
                </c:pt>
                <c:pt idx="12">
                  <c:v>563636708.30683994</c:v>
                </c:pt>
                <c:pt idx="13">
                  <c:v>67448.820000000007</c:v>
                </c:pt>
                <c:pt idx="14">
                  <c:v>0</c:v>
                </c:pt>
                <c:pt idx="15">
                  <c:v>54800659.999984071</c:v>
                </c:pt>
                <c:pt idx="16">
                  <c:v>87821000</c:v>
                </c:pt>
                <c:pt idx="17">
                  <c:v>19758215.866050001</c:v>
                </c:pt>
                <c:pt idx="18">
                  <c:v>195179233.26300004</c:v>
                </c:pt>
                <c:pt idx="19">
                  <c:v>0</c:v>
                </c:pt>
                <c:pt idx="20">
                  <c:v>0</c:v>
                </c:pt>
                <c:pt idx="21">
                  <c:v>0</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Figurer!$M$86</c:f>
              <c:strCache>
                <c:ptCount val="1"/>
                <c:pt idx="0">
                  <c:v>2020</c:v>
                </c:pt>
              </c:strCache>
            </c:strRef>
          </c:tx>
          <c:invertIfNegative val="0"/>
          <c:cat>
            <c:strRef>
              <c:f>Figurer!$L$87:$L$96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Figurer!$M$87:$M$96</c:f>
              <c:numCache>
                <c:formatCode>#,##0</c:formatCode>
                <c:ptCount val="10"/>
                <c:pt idx="0">
                  <c:v>20948913.260000002</c:v>
                </c:pt>
                <c:pt idx="1">
                  <c:v>5167910</c:v>
                </c:pt>
                <c:pt idx="2">
                  <c:v>95193910.070999995</c:v>
                </c:pt>
                <c:pt idx="3">
                  <c:v>4269268</c:v>
                </c:pt>
                <c:pt idx="4">
                  <c:v>29754862.800000001</c:v>
                </c:pt>
                <c:pt idx="5">
                  <c:v>1933154.62115</c:v>
                </c:pt>
                <c:pt idx="6">
                  <c:v>79687040</c:v>
                </c:pt>
                <c:pt idx="7">
                  <c:v>2514066.6801399998</c:v>
                </c:pt>
                <c:pt idx="8">
                  <c:v>36536483.392659999</c:v>
                </c:pt>
                <c:pt idx="9">
                  <c:v>117297307.31699999</c:v>
                </c:pt>
              </c:numCache>
            </c:numRef>
          </c:val>
          <c:extLst>
            <c:ext xmlns:c16="http://schemas.microsoft.com/office/drawing/2014/chart" uri="{C3380CC4-5D6E-409C-BE32-E72D297353CC}">
              <c16:uniqueId val="{00000000-62B1-4395-80F9-424B1553CC96}"/>
            </c:ext>
          </c:extLst>
        </c:ser>
        <c:ser>
          <c:idx val="1"/>
          <c:order val="1"/>
          <c:tx>
            <c:strRef>
              <c:f>Figurer!$N$86</c:f>
              <c:strCache>
                <c:ptCount val="1"/>
                <c:pt idx="0">
                  <c:v>2021</c:v>
                </c:pt>
              </c:strCache>
            </c:strRef>
          </c:tx>
          <c:invertIfNegative val="0"/>
          <c:cat>
            <c:strRef>
              <c:f>Figurer!$L$87:$L$96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Figurer!$N$87:$N$96</c:f>
              <c:numCache>
                <c:formatCode>#,##0</c:formatCode>
                <c:ptCount val="10"/>
                <c:pt idx="0">
                  <c:v>26763939.773000002</c:v>
                </c:pt>
                <c:pt idx="1">
                  <c:v>0</c:v>
                </c:pt>
                <c:pt idx="2">
                  <c:v>129966187.12900001</c:v>
                </c:pt>
                <c:pt idx="3">
                  <c:v>0</c:v>
                </c:pt>
                <c:pt idx="4">
                  <c:v>38652190</c:v>
                </c:pt>
                <c:pt idx="5">
                  <c:v>2232813.0127599998</c:v>
                </c:pt>
                <c:pt idx="6">
                  <c:v>114051500</c:v>
                </c:pt>
                <c:pt idx="7">
                  <c:v>3229114.5629100003</c:v>
                </c:pt>
                <c:pt idx="8">
                  <c:v>50948452.248089992</c:v>
                </c:pt>
                <c:pt idx="9">
                  <c:v>150707923.69099998</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Figurer!$M$112</c:f>
              <c:strCache>
                <c:ptCount val="1"/>
                <c:pt idx="0">
                  <c:v>2020</c:v>
                </c:pt>
              </c:strCache>
            </c:strRef>
          </c:tx>
          <c:invertIfNegative val="0"/>
          <c:cat>
            <c:strRef>
              <c:f>Figurer!$L$113:$L$120</c:f>
              <c:strCache>
                <c:ptCount val="8"/>
                <c:pt idx="0">
                  <c:v>Danica Pensjon</c:v>
                </c:pt>
                <c:pt idx="1">
                  <c:v>DNB Bedriftsp</c:v>
                </c:pt>
                <c:pt idx="2">
                  <c:v>DNB Liv</c:v>
                </c:pt>
                <c:pt idx="3">
                  <c:v>Gjensidige Pensj</c:v>
                </c:pt>
                <c:pt idx="4">
                  <c:v>KLP</c:v>
                </c:pt>
                <c:pt idx="5">
                  <c:v>Nordea Liv</c:v>
                </c:pt>
                <c:pt idx="6">
                  <c:v>SpareBank 1</c:v>
                </c:pt>
                <c:pt idx="7">
                  <c:v>Storebrand </c:v>
                </c:pt>
              </c:strCache>
            </c:strRef>
          </c:cat>
          <c:val>
            <c:numRef>
              <c:f>Figurer!$M$113:$M$120</c:f>
              <c:numCache>
                <c:formatCode>#,##0</c:formatCode>
                <c:ptCount val="8"/>
                <c:pt idx="0">
                  <c:v>30468.184000000001</c:v>
                </c:pt>
                <c:pt idx="1">
                  <c:v>3361</c:v>
                </c:pt>
                <c:pt idx="2">
                  <c:v>-148121</c:v>
                </c:pt>
                <c:pt idx="3">
                  <c:v>-54118.6</c:v>
                </c:pt>
                <c:pt idx="4">
                  <c:v>-4327427.5370000005</c:v>
                </c:pt>
                <c:pt idx="5">
                  <c:v>-6168.5379399999701</c:v>
                </c:pt>
                <c:pt idx="6">
                  <c:v>23.559269999999742</c:v>
                </c:pt>
                <c:pt idx="7">
                  <c:v>202498.86700000003</c:v>
                </c:pt>
              </c:numCache>
            </c:numRef>
          </c:val>
          <c:extLst>
            <c:ext xmlns:c16="http://schemas.microsoft.com/office/drawing/2014/chart" uri="{C3380CC4-5D6E-409C-BE32-E72D297353CC}">
              <c16:uniqueId val="{00000000-2BF8-4278-857F-91A0E7196849}"/>
            </c:ext>
          </c:extLst>
        </c:ser>
        <c:ser>
          <c:idx val="1"/>
          <c:order val="1"/>
          <c:tx>
            <c:strRef>
              <c:f>Figurer!$N$112</c:f>
              <c:strCache>
                <c:ptCount val="1"/>
                <c:pt idx="0">
                  <c:v>2021</c:v>
                </c:pt>
              </c:strCache>
            </c:strRef>
          </c:tx>
          <c:invertIfNegative val="0"/>
          <c:cat>
            <c:strRef>
              <c:f>Figurer!$L$113:$L$120</c:f>
              <c:strCache>
                <c:ptCount val="8"/>
                <c:pt idx="0">
                  <c:v>Danica Pensjon</c:v>
                </c:pt>
                <c:pt idx="1">
                  <c:v>DNB Bedriftsp</c:v>
                </c:pt>
                <c:pt idx="2">
                  <c:v>DNB Liv</c:v>
                </c:pt>
                <c:pt idx="3">
                  <c:v>Gjensidige Pensj</c:v>
                </c:pt>
                <c:pt idx="4">
                  <c:v>KLP</c:v>
                </c:pt>
                <c:pt idx="5">
                  <c:v>Nordea Liv</c:v>
                </c:pt>
                <c:pt idx="6">
                  <c:v>SpareBank 1</c:v>
                </c:pt>
                <c:pt idx="7">
                  <c:v>Storebrand </c:v>
                </c:pt>
              </c:strCache>
            </c:strRef>
          </c:cat>
          <c:val>
            <c:numRef>
              <c:f>Figurer!$N$113:$N$120</c:f>
              <c:numCache>
                <c:formatCode>#,##0</c:formatCode>
                <c:ptCount val="8"/>
                <c:pt idx="0">
                  <c:v>3625.74</c:v>
                </c:pt>
                <c:pt idx="1">
                  <c:v>0</c:v>
                </c:pt>
                <c:pt idx="2">
                  <c:v>128120</c:v>
                </c:pt>
                <c:pt idx="3">
                  <c:v>-5822</c:v>
                </c:pt>
                <c:pt idx="4">
                  <c:v>-8346122.3590000002</c:v>
                </c:pt>
                <c:pt idx="5">
                  <c:v>137.2955400001556</c:v>
                </c:pt>
                <c:pt idx="6">
                  <c:v>-4778.6397599999964</c:v>
                </c:pt>
                <c:pt idx="7">
                  <c:v>6995598.233</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Figurer!$M$136</c:f>
              <c:strCache>
                <c:ptCount val="1"/>
                <c:pt idx="0">
                  <c:v>2020</c:v>
                </c:pt>
              </c:strCache>
            </c:strRef>
          </c:tx>
          <c:invertIfNegative val="0"/>
          <c:cat>
            <c:strRef>
              <c:f>Figurer!$L$137:$L$146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Figurer!$M$137:$M$146</c:f>
              <c:numCache>
                <c:formatCode>#,##0</c:formatCode>
                <c:ptCount val="10"/>
                <c:pt idx="0">
                  <c:v>184923.24699999997</c:v>
                </c:pt>
                <c:pt idx="1">
                  <c:v>162061</c:v>
                </c:pt>
                <c:pt idx="2">
                  <c:v>-3785522</c:v>
                </c:pt>
                <c:pt idx="3">
                  <c:v>-19904</c:v>
                </c:pt>
                <c:pt idx="4">
                  <c:v>-781255.79999999993</c:v>
                </c:pt>
                <c:pt idx="5">
                  <c:v>-462823.85</c:v>
                </c:pt>
                <c:pt idx="6">
                  <c:v>2363395.0276000001</c:v>
                </c:pt>
                <c:pt idx="7">
                  <c:v>53104.750159999996</c:v>
                </c:pt>
                <c:pt idx="8">
                  <c:v>249798.30333999998</c:v>
                </c:pt>
                <c:pt idx="9">
                  <c:v>1810308.1159999995</c:v>
                </c:pt>
              </c:numCache>
            </c:numRef>
          </c:val>
          <c:extLst>
            <c:ext xmlns:c16="http://schemas.microsoft.com/office/drawing/2014/chart" uri="{C3380CC4-5D6E-409C-BE32-E72D297353CC}">
              <c16:uniqueId val="{00000000-B400-4C26-965B-0553A4A37873}"/>
            </c:ext>
          </c:extLst>
        </c:ser>
        <c:ser>
          <c:idx val="1"/>
          <c:order val="1"/>
          <c:tx>
            <c:strRef>
              <c:f>Figurer!$N$136</c:f>
              <c:strCache>
                <c:ptCount val="1"/>
                <c:pt idx="0">
                  <c:v>2021</c:v>
                </c:pt>
              </c:strCache>
            </c:strRef>
          </c:tx>
          <c:invertIfNegative val="0"/>
          <c:cat>
            <c:strRef>
              <c:f>Figurer!$L$137:$L$146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c:v>
                </c:pt>
                <c:pt idx="9">
                  <c:v>Storebrand</c:v>
                </c:pt>
              </c:strCache>
            </c:strRef>
          </c:cat>
          <c:val>
            <c:numRef>
              <c:f>Figurer!$N$137:$N$146</c:f>
              <c:numCache>
                <c:formatCode>#,##0</c:formatCode>
                <c:ptCount val="10"/>
                <c:pt idx="0">
                  <c:v>24962.467999999877</c:v>
                </c:pt>
                <c:pt idx="1">
                  <c:v>0</c:v>
                </c:pt>
                <c:pt idx="2">
                  <c:v>-1227148</c:v>
                </c:pt>
                <c:pt idx="3">
                  <c:v>0</c:v>
                </c:pt>
                <c:pt idx="4">
                  <c:v>-342266</c:v>
                </c:pt>
                <c:pt idx="5">
                  <c:v>0</c:v>
                </c:pt>
                <c:pt idx="6">
                  <c:v>13147.515189998783</c:v>
                </c:pt>
                <c:pt idx="7">
                  <c:v>-7905.0195999999996</c:v>
                </c:pt>
                <c:pt idx="8">
                  <c:v>960545.45473999996</c:v>
                </c:pt>
                <c:pt idx="9">
                  <c:v>-3907287.8450000002</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2021 </a:t>
          </a:r>
          <a:r>
            <a:rPr lang="nb-NO" sz="1100" b="0">
              <a:effectLst/>
              <a:latin typeface="Arial"/>
              <a:ea typeface="ＭＳ 明朝"/>
              <a:cs typeface="Times New Roman"/>
            </a:rPr>
            <a:t>(15.09.2021)</a:t>
          </a:r>
          <a:r>
            <a:rPr lang="nb-NO" sz="1600" b="1">
              <a:effectLst/>
              <a:latin typeface="Arial"/>
              <a:ea typeface="ＭＳ 明朝"/>
              <a:cs typeface="Times New Roman"/>
            </a:rPr>
            <a:t> </a:t>
          </a:r>
        </a:p>
        <a:p>
          <a:pPr>
            <a:spcAft>
              <a:spcPts val="0"/>
            </a:spcAft>
          </a:pPr>
          <a:endParaRPr lang="nb-NO" sz="1600" b="1">
            <a:effectLst/>
            <a:latin typeface="Arial"/>
            <a:ea typeface="ＭＳ 明朝"/>
            <a:cs typeface="Times New Roman"/>
          </a:endParaRPr>
        </a:p>
        <a:p>
          <a:pPr>
            <a:spcAft>
              <a:spcPts val="0"/>
            </a:spcAft>
          </a:pPr>
          <a:r>
            <a:rPr lang="nb-NO" sz="900" b="0">
              <a:effectLst/>
              <a:latin typeface="Arial"/>
              <a:ea typeface="ＭＳ 明朝"/>
              <a:cs typeface="Times New Roman"/>
            </a:rPr>
            <a:t>revidert senest 11.05.2022</a:t>
          </a:r>
          <a:endParaRPr lang="nb-NO" sz="900" b="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rtl="0"/>
          <a:r>
            <a:rPr lang="nb-NO" sz="1100" b="0" i="0">
              <a:effectLst/>
              <a:latin typeface="+mn-lt"/>
              <a:ea typeface="+mn-ea"/>
              <a:cs typeface="+mn-cs"/>
            </a:rPr>
            <a:t>Codan Forsikring</a:t>
          </a:r>
          <a:endParaRPr lang="nb-NO" sz="1200">
            <a:effectLst/>
          </a:endParaRPr>
        </a:p>
        <a:p>
          <a:pPr rtl="0"/>
          <a:r>
            <a:rPr lang="nb-NO" sz="1100" b="0" i="0">
              <a:effectLst/>
              <a:latin typeface="+mn-lt"/>
              <a:ea typeface="+mn-ea"/>
              <a:cs typeface="+mn-cs"/>
            </a:rPr>
            <a:t>Danica Pensjonsforsikring</a:t>
          </a:r>
          <a:endParaRPr lang="nb-NO" sz="1200">
            <a:effectLst/>
          </a:endParaRPr>
        </a:p>
        <a:p>
          <a:pPr rtl="0" eaLnBrk="1" fontAlgn="auto" latinLnBrk="0" hangingPunct="1"/>
          <a:r>
            <a:rPr lang="nb-NO" sz="1100" b="0" i="0">
              <a:effectLst/>
              <a:latin typeface="+mn-lt"/>
              <a:ea typeface="+mn-ea"/>
              <a:cs typeface="+mn-cs"/>
            </a:rPr>
            <a:t>DNB Bedriftspensjon</a:t>
          </a:r>
          <a:endParaRPr lang="nb-NO" sz="1200">
            <a:effectLst/>
          </a:endParaRPr>
        </a:p>
        <a:p>
          <a:pPr rtl="0"/>
          <a:r>
            <a:rPr lang="nb-NO" sz="1100" b="0" i="0">
              <a:effectLst/>
              <a:latin typeface="+mn-lt"/>
              <a:ea typeface="+mn-ea"/>
              <a:cs typeface="+mn-cs"/>
            </a:rPr>
            <a:t>DNB Livsforsikring ASA</a:t>
          </a:r>
          <a:endParaRPr lang="nb-NO" sz="1200">
            <a:effectLst/>
          </a:endParaRPr>
        </a:p>
        <a:p>
          <a:pPr rtl="0"/>
          <a:r>
            <a:rPr lang="nb-NO" sz="1100" b="0" i="0">
              <a:effectLst/>
              <a:latin typeface="+mn-lt"/>
              <a:ea typeface="+mn-ea"/>
              <a:cs typeface="+mn-cs"/>
            </a:rPr>
            <a:t>Eika Forsikring AS (skadeselskap</a:t>
          </a:r>
          <a:r>
            <a:rPr lang="nb-NO" sz="1100" b="0" i="0" baseline="0">
              <a:effectLst/>
              <a:latin typeface="+mn-lt"/>
              <a:ea typeface="+mn-ea"/>
              <a:cs typeface="+mn-cs"/>
            </a:rPr>
            <a:t>)</a:t>
          </a:r>
        </a:p>
        <a:p>
          <a:pPr rtl="0"/>
          <a:r>
            <a:rPr lang="nb-NO" sz="1100" b="0" i="0" baseline="0">
              <a:effectLst/>
              <a:latin typeface="+mn-lt"/>
              <a:ea typeface="+mn-ea"/>
              <a:cs typeface="+mn-cs"/>
            </a:rPr>
            <a:t>Euro Accident (skadelskap)</a:t>
          </a:r>
          <a:endParaRPr lang="nb-NO" sz="1200">
            <a:effectLst/>
          </a:endParaRPr>
        </a:p>
        <a:p>
          <a:pPr rtl="0"/>
          <a:r>
            <a:rPr lang="nb-NO" sz="1100" b="0" i="0">
              <a:effectLst/>
              <a:latin typeface="+mn-lt"/>
              <a:ea typeface="+mn-ea"/>
              <a:cs typeface="+mn-cs"/>
            </a:rPr>
            <a:t>Fremtind</a:t>
          </a:r>
          <a:r>
            <a:rPr lang="nb-NO" sz="1100" b="0" i="0" baseline="0">
              <a:effectLst/>
              <a:latin typeface="+mn-lt"/>
              <a:ea typeface="+mn-ea"/>
              <a:cs typeface="+mn-cs"/>
            </a:rPr>
            <a:t> Livsforsikring</a:t>
          </a:r>
          <a:endParaRPr lang="nb-NO" sz="1200">
            <a:effectLst/>
          </a:endParaRPr>
        </a:p>
        <a:p>
          <a:pPr rtl="0"/>
          <a:r>
            <a:rPr lang="nb-NO" sz="1100" b="0" i="0">
              <a:effectLst/>
              <a:latin typeface="+mn-lt"/>
              <a:ea typeface="+mn-ea"/>
              <a:cs typeface="+mn-cs"/>
            </a:rPr>
            <a:t>Frende Livsforsikring</a:t>
          </a:r>
          <a:endParaRPr lang="nb-NO" sz="1200">
            <a:effectLst/>
          </a:endParaRPr>
        </a:p>
        <a:p>
          <a:pPr rtl="0"/>
          <a:r>
            <a:rPr lang="nb-NO" sz="1100" b="0" i="0">
              <a:effectLst/>
              <a:latin typeface="+mn-lt"/>
              <a:ea typeface="+mn-ea"/>
              <a:cs typeface="+mn-cs"/>
            </a:rPr>
            <a:t>Frende Skadeforsikring (skadeselskap)</a:t>
          </a:r>
          <a:endParaRPr lang="nb-NO" sz="1200">
            <a:effectLst/>
          </a:endParaRPr>
        </a:p>
        <a:p>
          <a:pPr rtl="0" eaLnBrk="1" fontAlgn="auto" latinLnBrk="0" hangingPunct="1"/>
          <a:r>
            <a:rPr lang="nb-NO" sz="1100" b="0" i="0" baseline="0">
              <a:effectLst/>
              <a:latin typeface="+mn-lt"/>
              <a:ea typeface="+mn-ea"/>
              <a:cs typeface="+mn-cs"/>
            </a:rPr>
            <a:t>Gjensidige Forsikring (skadeselskap)</a:t>
          </a:r>
          <a:endParaRPr lang="nb-NO" sz="1200">
            <a:effectLst/>
          </a:endParaRPr>
        </a:p>
        <a:p>
          <a:pPr rtl="0"/>
          <a:r>
            <a:rPr lang="nb-NO" sz="1100" b="0" i="0">
              <a:effectLst/>
              <a:latin typeface="+mn-lt"/>
              <a:ea typeface="+mn-ea"/>
              <a:cs typeface="+mn-cs"/>
            </a:rPr>
            <a:t>Gjensidige Pensjonsforsikring</a:t>
          </a:r>
          <a:endParaRPr lang="nb-NO" sz="1200">
            <a:effectLst/>
          </a:endParaRPr>
        </a:p>
        <a:p>
          <a:pPr rtl="0"/>
          <a:r>
            <a:rPr lang="nb-NO" sz="1100" b="0" i="0">
              <a:effectLst/>
              <a:latin typeface="+mn-lt"/>
              <a:ea typeface="+mn-ea"/>
              <a:cs typeface="+mn-cs"/>
            </a:rPr>
            <a:t>Handelsbanken Liv (utenlandsk,</a:t>
          </a:r>
          <a:r>
            <a:rPr lang="nb-NO" sz="1100" b="0" i="0" baseline="0">
              <a:effectLst/>
              <a:latin typeface="+mn-lt"/>
              <a:ea typeface="+mn-ea"/>
              <a:cs typeface="+mn-cs"/>
            </a:rPr>
            <a:t> </a:t>
          </a:r>
          <a:r>
            <a:rPr lang="nb-NO" sz="1100" b="0" i="0">
              <a:effectLst/>
              <a:latin typeface="+mn-lt"/>
              <a:ea typeface="+mn-ea"/>
              <a:cs typeface="+mn-cs"/>
            </a:rPr>
            <a:t>filial)</a:t>
          </a:r>
          <a:endParaRPr lang="nb-NO" sz="1200">
            <a:effectLst/>
          </a:endParaRPr>
        </a:p>
        <a:p>
          <a:pPr rtl="0" eaLnBrk="1" fontAlgn="auto" latinLnBrk="0" hangingPunct="1"/>
          <a:r>
            <a:rPr lang="nb-NO" sz="1100" b="0" i="0" baseline="0">
              <a:effectLst/>
              <a:latin typeface="+mn-lt"/>
              <a:ea typeface="+mn-ea"/>
              <a:cs typeface="+mn-cs"/>
            </a:rPr>
            <a:t>If Skadeforsikring NUF (skadeselskap)</a:t>
          </a:r>
          <a:endParaRPr lang="nb-NO" sz="1200">
            <a:effectLst/>
          </a:endParaRPr>
        </a:p>
        <a:p>
          <a:pPr rtl="0"/>
          <a:r>
            <a:rPr lang="nb-NO" sz="1100" b="0" i="0" baseline="0">
              <a:effectLst/>
              <a:latin typeface="+mn-lt"/>
              <a:ea typeface="+mn-ea"/>
              <a:cs typeface="+mn-cs"/>
            </a:rPr>
            <a:t>Insr (skadeselskap)</a:t>
          </a:r>
          <a:endParaRPr lang="nb-NO" sz="1200">
            <a:effectLst/>
          </a:endParaRPr>
        </a:p>
        <a:p>
          <a:pPr rtl="0"/>
          <a:r>
            <a:rPr lang="nb-NO" sz="1100" b="0" i="0">
              <a:effectLst/>
              <a:latin typeface="+mn-lt"/>
              <a:ea typeface="+mn-ea"/>
              <a:cs typeface="+mn-cs"/>
            </a:rPr>
            <a:t>KLP</a:t>
          </a:r>
          <a:endParaRPr lang="nb-NO" sz="1200">
            <a:effectLst/>
          </a:endParaRPr>
        </a:p>
        <a:p>
          <a:pPr rtl="0"/>
          <a:r>
            <a:rPr lang="nb-NO" sz="1100" b="0" i="0" baseline="0">
              <a:effectLst/>
              <a:latin typeface="+mn-lt"/>
              <a:ea typeface="+mn-ea"/>
              <a:cs typeface="+mn-cs"/>
            </a:rPr>
            <a:t>KLP Skadeforsikring AS</a:t>
          </a:r>
          <a:endParaRPr lang="nb-NO" sz="1200">
            <a:effectLst/>
          </a:endParaRPr>
        </a:p>
        <a:p>
          <a:pPr rtl="0"/>
          <a:r>
            <a:rPr lang="nb-NO" sz="1100" b="0" i="0" baseline="0">
              <a:effectLst/>
              <a:latin typeface="+mn-lt"/>
              <a:ea typeface="+mn-ea"/>
              <a:cs typeface="+mn-cs"/>
            </a:rPr>
            <a:t>Landkreditt Forsikring (skadeselskap)</a:t>
          </a:r>
          <a:endParaRPr lang="nb-NO" sz="1200">
            <a:effectLst/>
          </a:endParaRPr>
        </a:p>
        <a:p>
          <a:pPr rtl="0"/>
          <a:r>
            <a:rPr lang="nb-NO" sz="1100" b="0" i="0">
              <a:effectLst/>
              <a:latin typeface="+mn-lt"/>
              <a:ea typeface="+mn-ea"/>
              <a:cs typeface="+mn-cs"/>
            </a:rPr>
            <a:t>Livsforsikringsselskapet Nordea Liv Norge</a:t>
          </a:r>
          <a:endParaRPr lang="nb-NO" sz="1200">
            <a:effectLst/>
          </a:endParaRPr>
        </a:p>
        <a:p>
          <a:pPr rtl="0"/>
          <a:r>
            <a:rPr lang="nb-NO" sz="1100" b="0" i="0">
              <a:effectLst/>
              <a:latin typeface="+mn-lt"/>
              <a:ea typeface="+mn-ea"/>
              <a:cs typeface="+mn-cs"/>
            </a:rPr>
            <a:t>Oslo Pensjonsforsikring</a:t>
          </a:r>
          <a:endParaRPr lang="nb-NO" sz="1200">
            <a:effectLst/>
          </a:endParaRPr>
        </a:p>
        <a:p>
          <a:pPr rtl="0"/>
          <a:r>
            <a:rPr lang="nb-NO" sz="1100" b="0" i="0">
              <a:effectLst/>
              <a:latin typeface="+mn-lt"/>
              <a:ea typeface="+mn-ea"/>
              <a:cs typeface="+mn-cs"/>
            </a:rPr>
            <a:t>Protector Forsikring</a:t>
          </a:r>
          <a:endParaRPr lang="nb-NO" sz="1200">
            <a:effectLst/>
          </a:endParaRPr>
        </a:p>
        <a:p>
          <a:pPr rtl="0"/>
          <a:r>
            <a:rPr lang="nb-NO" sz="1100" b="0" i="0">
              <a:effectLst/>
              <a:latin typeface="+mn-lt"/>
              <a:ea typeface="+mn-ea"/>
              <a:cs typeface="+mn-cs"/>
            </a:rPr>
            <a:t>SpareBank 1</a:t>
          </a:r>
          <a:endParaRPr lang="nb-NO" sz="1200">
            <a:effectLst/>
          </a:endParaRPr>
        </a:p>
        <a:p>
          <a:pPr rtl="0"/>
          <a:r>
            <a:rPr lang="nb-NO" sz="1100" b="0" i="0">
              <a:effectLst/>
              <a:latin typeface="+mn-lt"/>
              <a:ea typeface="+mn-ea"/>
              <a:cs typeface="+mn-cs"/>
            </a:rPr>
            <a:t>Storebrand Livsforsikring</a:t>
          </a:r>
          <a:endParaRPr lang="nb-NO" sz="1200">
            <a:effectLst/>
          </a:endParaRPr>
        </a:p>
        <a:p>
          <a:pPr rtl="0" eaLnBrk="1" fontAlgn="auto" latinLnBrk="0" hangingPunct="1"/>
          <a:r>
            <a:rPr lang="nb-NO" sz="1100" b="0" i="0" baseline="0">
              <a:effectLst/>
              <a:latin typeface="+mn-lt"/>
              <a:ea typeface="+mn-ea"/>
              <a:cs typeface="+mn-cs"/>
            </a:rPr>
            <a:t>Telenor Forsikring (skadeselskap)</a:t>
          </a:r>
          <a:endParaRPr lang="nb-NO" sz="1200">
            <a:effectLst/>
          </a:endParaRPr>
        </a:p>
        <a:p>
          <a:pPr rtl="0" eaLnBrk="1" fontAlgn="auto" latinLnBrk="0" hangingPunct="1"/>
          <a:r>
            <a:rPr lang="nb-NO" sz="1100" b="0" i="0" baseline="0">
              <a:effectLst/>
              <a:latin typeface="+mn-lt"/>
              <a:ea typeface="+mn-ea"/>
              <a:cs typeface="+mn-cs"/>
            </a:rPr>
            <a:t>Tryg Forsikring (skadeselskap)</a:t>
          </a:r>
          <a:endParaRPr lang="nb-NO" sz="1200">
            <a:effectLst/>
          </a:endParaRPr>
        </a:p>
        <a:p>
          <a:pPr rtl="0" eaLnBrk="1" fontAlgn="auto" latinLnBrk="0" hangingPunct="1"/>
          <a:r>
            <a:rPr lang="nb-NO" sz="1100" b="0" i="0" baseline="0">
              <a:effectLst/>
              <a:latin typeface="+mn-lt"/>
              <a:ea typeface="+mn-ea"/>
              <a:cs typeface="+mn-cs"/>
            </a:rPr>
            <a:t>WaterCircle Forsikring (skadeselskap)</a:t>
          </a:r>
          <a:endParaRPr lang="nb-NO" sz="1200">
            <a:effectLst/>
          </a:endParaRPr>
        </a:p>
        <a:p>
          <a:pPr rtl="0"/>
          <a:endParaRPr lang="nb-NO" sz="1100" b="0" i="0" u="sng">
            <a:effectLst/>
            <a:latin typeface="+mn-lt"/>
            <a:ea typeface="+mn-ea"/>
            <a:cs typeface="+mn-cs"/>
          </a:endParaRPr>
        </a:p>
        <a:p>
          <a:pPr rtl="0"/>
          <a:r>
            <a:rPr lang="nb-NO" sz="1100" b="0" i="0" u="sng">
              <a:effectLst/>
              <a:latin typeface="+mn-lt"/>
              <a:ea typeface="+mn-ea"/>
              <a:cs typeface="+mn-cs"/>
            </a:rPr>
            <a:t>Produkter med investeringsvalg</a:t>
          </a:r>
          <a:r>
            <a:rPr lang="nb-NO" sz="1100" b="0" i="0">
              <a:effectLst/>
              <a:latin typeface="+mn-lt"/>
              <a:ea typeface="+mn-ea"/>
              <a:cs typeface="+mn-cs"/>
            </a:rPr>
            <a:t>:</a:t>
          </a:r>
          <a:endParaRPr lang="nb-NO" sz="1200">
            <a:effectLst/>
          </a:endParaRPr>
        </a:p>
        <a:p>
          <a:pPr rtl="0"/>
          <a:r>
            <a:rPr lang="nb-NO" sz="1100" b="0" i="0">
              <a:effectLst/>
              <a:latin typeface="+mn-lt"/>
              <a:ea typeface="+mn-ea"/>
              <a:cs typeface="+mn-cs"/>
            </a:rPr>
            <a:t>Danica Pensjonsforsikring</a:t>
          </a:r>
          <a:endParaRPr lang="nb-NO" sz="1200">
            <a:effectLst/>
          </a:endParaRPr>
        </a:p>
        <a:p>
          <a:pPr rtl="0"/>
          <a:r>
            <a:rPr lang="nb-NO" sz="1100" b="0" i="0">
              <a:effectLst/>
              <a:latin typeface="+mn-lt"/>
              <a:ea typeface="+mn-ea"/>
              <a:cs typeface="+mn-cs"/>
            </a:rPr>
            <a:t>DNB Bedriftspensjon</a:t>
          </a:r>
          <a:endParaRPr lang="nb-NO" sz="1200">
            <a:effectLst/>
          </a:endParaRPr>
        </a:p>
        <a:p>
          <a:pPr rtl="0"/>
          <a:r>
            <a:rPr lang="nb-NO" sz="1100" b="0" i="0">
              <a:effectLst/>
              <a:latin typeface="+mn-lt"/>
              <a:ea typeface="+mn-ea"/>
              <a:cs typeface="+mn-cs"/>
            </a:rPr>
            <a:t>DNB Livsforsikring ASA</a:t>
          </a:r>
          <a:endParaRPr lang="nb-NO" sz="1200">
            <a:effectLst/>
          </a:endParaRPr>
        </a:p>
        <a:p>
          <a:pPr rtl="0"/>
          <a:r>
            <a:rPr lang="nb-NO" sz="1100" b="0" i="0">
              <a:effectLst/>
              <a:latin typeface="+mn-lt"/>
              <a:ea typeface="+mn-ea"/>
              <a:cs typeface="+mn-cs"/>
            </a:rPr>
            <a:t>Frende</a:t>
          </a:r>
          <a:r>
            <a:rPr lang="nb-NO" sz="1100" b="0" i="0" baseline="0">
              <a:effectLst/>
              <a:latin typeface="+mn-lt"/>
              <a:ea typeface="+mn-ea"/>
              <a:cs typeface="+mn-cs"/>
            </a:rPr>
            <a:t> Livsforsikring</a:t>
          </a:r>
          <a:endParaRPr lang="nb-NO" sz="1200">
            <a:effectLst/>
          </a:endParaRPr>
        </a:p>
        <a:p>
          <a:pPr rtl="0"/>
          <a:r>
            <a:rPr lang="nb-NO" sz="1100" b="0" i="0">
              <a:effectLst/>
              <a:latin typeface="+mn-lt"/>
              <a:ea typeface="+mn-ea"/>
              <a:cs typeface="+mn-cs"/>
            </a:rPr>
            <a:t>Gjensidige Pensjonsforsikring</a:t>
          </a:r>
          <a:endParaRPr lang="nb-NO" sz="1200">
            <a:effectLst/>
          </a:endParaRPr>
        </a:p>
        <a:p>
          <a:pPr rtl="0"/>
          <a:r>
            <a:rPr lang="nb-NO" sz="1100" b="0" i="0">
              <a:effectLst/>
              <a:latin typeface="+mn-lt"/>
              <a:ea typeface="+mn-ea"/>
              <a:cs typeface="+mn-cs"/>
            </a:rPr>
            <a:t>KLP</a:t>
          </a:r>
          <a:endParaRPr lang="nb-NO" sz="1200">
            <a:effectLst/>
          </a:endParaRPr>
        </a:p>
        <a:p>
          <a:pPr rtl="0"/>
          <a:r>
            <a:rPr lang="nb-NO" sz="1100" b="0" i="0">
              <a:effectLst/>
              <a:latin typeface="+mn-lt"/>
              <a:ea typeface="+mn-ea"/>
              <a:cs typeface="+mn-cs"/>
            </a:rPr>
            <a:t>Livsforsikringsselskapet Nordea Liv Norge</a:t>
          </a:r>
          <a:endParaRPr lang="nb-NO" sz="1200">
            <a:effectLst/>
          </a:endParaRPr>
        </a:p>
        <a:p>
          <a:pPr rtl="0"/>
          <a:r>
            <a:rPr lang="nb-NO" sz="1100" b="0" i="0">
              <a:effectLst/>
              <a:latin typeface="+mn-lt"/>
              <a:ea typeface="+mn-ea"/>
              <a:cs typeface="+mn-cs"/>
            </a:rPr>
            <a:t>SHB Liv (utenlandsk, filial)</a:t>
          </a:r>
          <a:endParaRPr lang="nb-NO" sz="1200">
            <a:effectLst/>
          </a:endParaRPr>
        </a:p>
        <a:p>
          <a:pPr rtl="0"/>
          <a:r>
            <a:rPr lang="nb-NO" sz="1100" b="0" i="0">
              <a:effectLst/>
              <a:latin typeface="+mn-lt"/>
              <a:ea typeface="+mn-ea"/>
              <a:cs typeface="+mn-cs"/>
            </a:rPr>
            <a:t>SpareBank 1</a:t>
          </a:r>
          <a:endParaRPr lang="nb-NO" sz="1200">
            <a:effectLst/>
          </a:endParaRPr>
        </a:p>
        <a:p>
          <a:pPr rtl="0"/>
          <a:r>
            <a:rPr lang="nb-NO" sz="1100" b="0" i="0">
              <a:effectLst/>
              <a:latin typeface="+mn-lt"/>
              <a:ea typeface="+mn-ea"/>
              <a:cs typeface="+mn-cs"/>
            </a:rPr>
            <a:t>Storebrand Livsforsikring</a:t>
          </a:r>
          <a:endParaRPr lang="nb-NO" sz="1200">
            <a:effectLst/>
          </a:endParaRPr>
        </a:p>
        <a:p>
          <a:pPr rtl="0"/>
          <a:endParaRPr lang="nb-NO" sz="1100" b="0" i="0" u="sng">
            <a:effectLst/>
            <a:latin typeface="+mn-lt"/>
            <a:ea typeface="+mn-ea"/>
            <a:cs typeface="+mn-cs"/>
          </a:endParaRPr>
        </a:p>
        <a:p>
          <a:pPr rtl="0"/>
          <a:r>
            <a:rPr lang="nb-NO" sz="1100" b="0" i="0" u="sng">
              <a:effectLst/>
              <a:latin typeface="+mn-lt"/>
              <a:ea typeface="+mn-ea"/>
              <a:cs typeface="+mn-cs"/>
            </a:rPr>
            <a:t>Utenlandske filialer</a:t>
          </a:r>
          <a:r>
            <a:rPr lang="nb-NO" sz="1100" b="0" i="0">
              <a:effectLst/>
              <a:latin typeface="+mn-lt"/>
              <a:ea typeface="+mn-ea"/>
              <a:cs typeface="+mn-cs"/>
            </a:rPr>
            <a:t>:</a:t>
          </a:r>
          <a:endParaRPr lang="nb-NO" sz="1200">
            <a:effectLst/>
          </a:endParaRPr>
        </a:p>
        <a:p>
          <a:pPr rtl="0"/>
          <a:r>
            <a:rPr lang="nb-NO" sz="1100" b="0" i="0">
              <a:effectLst/>
              <a:latin typeface="+mn-lt"/>
              <a:ea typeface="+mn-ea"/>
              <a:cs typeface="+mn-cs"/>
            </a:rPr>
            <a:t>Disse har ikke samme krav til regnskapsføring som norske livselskaper, og rapporterer derfor kun utvalgte</a:t>
          </a:r>
          <a:r>
            <a:rPr lang="nb-NO" sz="1100" b="0" i="0" baseline="0">
              <a:effectLst/>
              <a:latin typeface="+mn-lt"/>
              <a:ea typeface="+mn-ea"/>
              <a:cs typeface="+mn-cs"/>
            </a:rPr>
            <a:t> poster</a:t>
          </a:r>
          <a:r>
            <a:rPr lang="nb-NO" sz="1100" b="0" i="0">
              <a:effectLst/>
              <a:latin typeface="+mn-lt"/>
              <a:ea typeface="+mn-ea"/>
              <a:cs typeface="+mn-cs"/>
            </a:rPr>
            <a:t>.</a:t>
          </a:r>
          <a:endParaRPr lang="nb-NO" sz="1200">
            <a:effectLst/>
          </a:endParaRPr>
        </a:p>
        <a:p>
          <a:pPr rtl="0"/>
          <a:r>
            <a:rPr lang="nb-NO" sz="1100" b="0" i="0">
              <a:effectLst/>
              <a:latin typeface="+mn-lt"/>
              <a:ea typeface="+mn-ea"/>
              <a:cs typeface="+mn-cs"/>
            </a:rPr>
            <a:t>I figurer og tabeller har enkelte selskap "forkortede" navn.</a:t>
          </a:r>
          <a:endParaRPr lang="nb-NO" sz="1200">
            <a:effectLst/>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solidFill>
                <a:schemeClr val="dk1"/>
              </a:solidFill>
              <a:effectLst/>
              <a:latin typeface="+mn-lt"/>
              <a:ea typeface="+mn-ea"/>
              <a:cs typeface="+mn-cs"/>
            </a:rPr>
            <a:t>Codan Forsikring</a:t>
          </a:r>
          <a:endParaRPr lang="nb-NO">
            <a:effectLst/>
          </a:endParaRPr>
        </a:p>
        <a:p>
          <a:r>
            <a:rPr lang="nb-NO" sz="1100">
              <a:solidFill>
                <a:schemeClr val="dk1"/>
              </a:solidFill>
              <a:effectLst/>
              <a:latin typeface="+mn-lt"/>
              <a:ea typeface="+mn-ea"/>
              <a:cs typeface="+mn-cs"/>
            </a:rPr>
            <a:t>Selskapet inngår i statistikken fra 1.kvartal 2021.</a:t>
          </a:r>
          <a:endParaRPr lang="nb-NO">
            <a:effectLst/>
          </a:endParaRPr>
        </a:p>
        <a:p>
          <a:br>
            <a:rPr lang="nb-NO" sz="1100" u="sng">
              <a:latin typeface="Times New Roman" panose="02020603050405020304" pitchFamily="18" charset="0"/>
              <a:cs typeface="Times New Roman" panose="02020603050405020304" pitchFamily="18" charset="0"/>
            </a:rPr>
          </a:br>
          <a:r>
            <a:rPr lang="nb-NO" sz="1100" u="sng">
              <a:latin typeface="Times New Roman" panose="02020603050405020304" pitchFamily="18" charset="0"/>
              <a:cs typeface="Times New Roman" panose="02020603050405020304" pitchFamily="18" charset="0"/>
            </a:rPr>
            <a:t>DNB Bedriftspensjon</a:t>
          </a:r>
          <a:br>
            <a:rPr lang="nb-NO" sz="1100" u="sng">
              <a:latin typeface="Times New Roman" panose="02020603050405020304" pitchFamily="18" charset="0"/>
              <a:cs typeface="Times New Roman" panose="02020603050405020304" pitchFamily="18" charset="0"/>
            </a:rPr>
          </a:br>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fusjonerte med DNB Livsforsikring med virkning fra 2021.</a:t>
          </a:r>
          <a:endParaRPr lang="nb-NO" sz="1100" u="sng">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DNB Livsforsikring</a:t>
          </a:r>
        </a:p>
        <a:p>
          <a:r>
            <a:rPr lang="nb-NO" sz="1100" u="none" baseline="0">
              <a:latin typeface="Times New Roman" panose="02020603050405020304" pitchFamily="18" charset="0"/>
              <a:cs typeface="Times New Roman" panose="02020603050405020304" pitchFamily="18" charset="0"/>
            </a:rPr>
            <a:t>Nedgangen for livrenter i tabell 2 under produkter med investeringsvalg skyldes tidligere feilrapportering av fripoliser med investeringsvalg.</a:t>
          </a:r>
        </a:p>
        <a:p>
          <a:endParaRPr lang="nb-NO" sz="1100" u="none" baseline="0">
            <a:latin typeface="Times New Roman" panose="02020603050405020304" pitchFamily="18" charset="0"/>
            <a:cs typeface="Times New Roman" panose="02020603050405020304" pitchFamily="18" charset="0"/>
          </a:endParaRPr>
        </a:p>
        <a:p>
          <a:r>
            <a:rPr lang="nb-NO" sz="1100" u="sng">
              <a:solidFill>
                <a:schemeClr val="dk1"/>
              </a:solidFill>
              <a:effectLst/>
              <a:latin typeface="+mn-lt"/>
              <a:ea typeface="+mn-ea"/>
              <a:cs typeface="+mn-cs"/>
            </a:rPr>
            <a:t>Euro</a:t>
          </a:r>
          <a:r>
            <a:rPr lang="nb-NO" sz="1100" u="sng" baseline="0">
              <a:solidFill>
                <a:schemeClr val="dk1"/>
              </a:solidFill>
              <a:effectLst/>
              <a:latin typeface="+mn-lt"/>
              <a:ea typeface="+mn-ea"/>
              <a:cs typeface="+mn-cs"/>
            </a:rPr>
            <a:t> Accident</a:t>
          </a:r>
          <a:endParaRPr lang="nb-NO">
            <a:effectLst/>
          </a:endParaRPr>
        </a:p>
        <a:p>
          <a:r>
            <a:rPr lang="nb-NO" sz="1100">
              <a:solidFill>
                <a:schemeClr val="dk1"/>
              </a:solidFill>
              <a:effectLst/>
              <a:latin typeface="+mn-lt"/>
              <a:ea typeface="+mn-ea"/>
              <a:cs typeface="+mn-cs"/>
            </a:rPr>
            <a:t>Selskapet</a:t>
          </a:r>
          <a:r>
            <a:rPr lang="nb-NO" sz="1100" baseline="0">
              <a:solidFill>
                <a:schemeClr val="dk1"/>
              </a:solidFill>
              <a:effectLst/>
              <a:latin typeface="+mn-lt"/>
              <a:ea typeface="+mn-ea"/>
              <a:cs typeface="+mn-cs"/>
            </a:rPr>
            <a:t> inngår i statistikken fra 1. kvartal 2021.</a:t>
          </a:r>
          <a:br>
            <a:rPr lang="nb-NO" sz="1100" baseline="0">
              <a:solidFill>
                <a:schemeClr val="dk1"/>
              </a:solidFill>
              <a:effectLst/>
              <a:latin typeface="+mn-lt"/>
              <a:ea typeface="+mn-ea"/>
              <a:cs typeface="+mn-cs"/>
            </a:rPr>
          </a:br>
          <a:endParaRPr lang="nb-NO">
            <a:effectLst/>
          </a:endParaRPr>
        </a:p>
        <a:p>
          <a:r>
            <a:rPr lang="nb-NO" sz="1100" u="sng" baseline="0">
              <a:solidFill>
                <a:schemeClr val="dk1"/>
              </a:solidFill>
              <a:effectLst/>
              <a:latin typeface="+mn-lt"/>
              <a:ea typeface="+mn-ea"/>
              <a:cs typeface="+mn-cs"/>
            </a:rPr>
            <a:t>Frende Livsforsikring</a:t>
          </a:r>
          <a:endParaRPr lang="nb-NO">
            <a:effectLst/>
          </a:endParaRPr>
        </a:p>
        <a:p>
          <a:r>
            <a:rPr lang="nb-NO" sz="1100">
              <a:solidFill>
                <a:schemeClr val="dk1"/>
              </a:solidFill>
              <a:effectLst/>
              <a:latin typeface="+mn-lt"/>
              <a:ea typeface="+mn-ea"/>
              <a:cs typeface="+mn-cs"/>
            </a:rPr>
            <a:t>Nordea Liv overtok</a:t>
          </a:r>
          <a:r>
            <a:rPr lang="nb-NO" sz="1100" baseline="0">
              <a:solidFill>
                <a:schemeClr val="dk1"/>
              </a:solidFill>
              <a:effectLst/>
              <a:latin typeface="+mn-lt"/>
              <a:ea typeface="+mn-ea"/>
              <a:cs typeface="+mn-cs"/>
            </a:rPr>
            <a:t> pensjonsporteføljen til Frende Livsforsikring fra oktober 2020. </a:t>
          </a:r>
          <a:br>
            <a:rPr lang="nb-NO" sz="1100" baseline="0">
              <a:solidFill>
                <a:schemeClr val="dk1"/>
              </a:solidFill>
              <a:effectLst/>
              <a:latin typeface="+mn-lt"/>
              <a:ea typeface="+mn-ea"/>
              <a:cs typeface="+mn-cs"/>
            </a:rPr>
          </a:br>
          <a:br>
            <a:rPr lang="nb-NO" sz="1100" baseline="0">
              <a:solidFill>
                <a:schemeClr val="dk1"/>
              </a:solidFill>
              <a:effectLst/>
              <a:latin typeface="+mn-lt"/>
              <a:ea typeface="+mn-ea"/>
              <a:cs typeface="+mn-cs"/>
            </a:rPr>
          </a:br>
          <a:r>
            <a:rPr lang="nb-NO" sz="1100" u="sng">
              <a:solidFill>
                <a:schemeClr val="dk1"/>
              </a:solidFill>
              <a:effectLst/>
              <a:latin typeface="+mn-lt"/>
              <a:ea typeface="+mn-ea"/>
              <a:cs typeface="+mn-cs"/>
            </a:rPr>
            <a:t>Insr</a:t>
          </a:r>
          <a:endParaRPr lang="nb-NO">
            <a:effectLst/>
          </a:endParaRPr>
        </a:p>
        <a:p>
          <a:r>
            <a:rPr lang="nb-NO" sz="1100" baseline="0">
              <a:solidFill>
                <a:schemeClr val="dk1"/>
              </a:solidFill>
              <a:effectLst/>
              <a:latin typeface="+mn-lt"/>
              <a:ea typeface="+mn-ea"/>
              <a:cs typeface="+mn-cs"/>
            </a:rPr>
            <a:t>Livportefølje er overtatt av Storebrand</a:t>
          </a:r>
          <a:r>
            <a:rPr lang="nb-NO" sz="1100">
              <a:solidFill>
                <a:schemeClr val="dk1"/>
              </a:solidFill>
              <a:effectLst/>
              <a:latin typeface="+mn-lt"/>
              <a:ea typeface="+mn-ea"/>
              <a:cs typeface="+mn-cs"/>
            </a:rPr>
            <a:t>.</a:t>
          </a:r>
          <a:endParaRPr lang="nb-NO">
            <a:effectLst/>
          </a:endParaRPr>
        </a:p>
        <a:p>
          <a:endParaRPr lang="nb-NO" sz="1100" u="none">
            <a:solidFill>
              <a:schemeClr val="dk1"/>
            </a:solidFill>
            <a:latin typeface="Times New Roman" panose="02020603050405020304" pitchFamily="18" charset="0"/>
            <a:ea typeface="+mn-ea"/>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1/Q2-2021/Mottatte/SpareBan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refreshError="1"/>
      <sheetData sheetId="1" refreshError="1"/>
      <sheetData sheetId="2" refreshError="1"/>
      <sheetData sheetId="3" refreshError="1"/>
      <sheetData sheetId="4" refreshError="1"/>
      <sheetData sheetId="5">
        <row r="68">
          <cell r="AJ68">
            <v>4257.0320000000002</v>
          </cell>
        </row>
        <row r="71">
          <cell r="AJ71">
            <v>1000</v>
          </cell>
        </row>
        <row r="74">
          <cell r="AJ74">
            <v>1158.644</v>
          </cell>
        </row>
        <row r="75">
          <cell r="AJ75">
            <v>2933.1210000000001</v>
          </cell>
        </row>
        <row r="78">
          <cell r="AJ78">
            <v>467.40655655000018</v>
          </cell>
        </row>
        <row r="79">
          <cell r="AJ79">
            <v>22896.481556549996</v>
          </cell>
        </row>
      </sheetData>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22" workbookViewId="0">
      <selection activeCell="K47" sqref="K47"/>
    </sheetView>
  </sheetViews>
  <sheetFormatPr baseColWidth="10" defaultColWidth="11.42578125" defaultRowHeight="12.75" x14ac:dyDescent="0.2"/>
  <sheetData>
    <row r="1" spans="2:9" s="50" customFormat="1" x14ac:dyDescent="0.2"/>
    <row r="2" spans="2:9" s="50" customFormat="1" x14ac:dyDescent="0.2"/>
    <row r="3" spans="2:9" s="50" customFormat="1" x14ac:dyDescent="0.2"/>
    <row r="4" spans="2:9" s="50" customFormat="1" x14ac:dyDescent="0.2"/>
    <row r="5" spans="2:9" s="50" customFormat="1" x14ac:dyDescent="0.2">
      <c r="B5" s="51"/>
      <c r="C5" s="51"/>
      <c r="D5" s="51"/>
      <c r="E5" s="51"/>
      <c r="F5" s="51"/>
      <c r="G5" s="51"/>
      <c r="H5" s="51"/>
    </row>
    <row r="6" spans="2:9" s="50" customFormat="1" ht="23.25" x14ac:dyDescent="0.35">
      <c r="B6" s="52"/>
      <c r="C6" s="51"/>
      <c r="D6" s="51"/>
      <c r="E6" s="51"/>
      <c r="F6" s="51"/>
      <c r="G6" s="51"/>
      <c r="H6" s="51"/>
      <c r="I6" s="53"/>
    </row>
    <row r="7" spans="2:9" s="50" customFormat="1" x14ac:dyDescent="0.2">
      <c r="B7" s="51"/>
      <c r="C7" s="51"/>
      <c r="D7" s="51"/>
      <c r="E7" s="51"/>
      <c r="F7" s="51"/>
      <c r="G7" s="51"/>
      <c r="H7" s="51"/>
      <c r="I7" s="51"/>
    </row>
    <row r="8" spans="2:9" s="50" customFormat="1" x14ac:dyDescent="0.2">
      <c r="B8" s="51"/>
      <c r="C8" s="51"/>
      <c r="D8" s="51"/>
      <c r="F8" s="51"/>
      <c r="G8" s="51"/>
      <c r="H8" s="51"/>
    </row>
    <row r="9" spans="2:9" s="50" customFormat="1" x14ac:dyDescent="0.2">
      <c r="B9" s="51"/>
      <c r="C9" s="51"/>
      <c r="D9" s="51"/>
      <c r="E9" s="51"/>
      <c r="F9" s="51"/>
      <c r="G9" s="51"/>
      <c r="H9" s="51"/>
    </row>
    <row r="10" spans="2:9" s="50" customFormat="1" ht="23.25" x14ac:dyDescent="0.35">
      <c r="B10" s="51"/>
      <c r="C10" s="51"/>
      <c r="D10" s="51"/>
      <c r="I10" s="53"/>
    </row>
    <row r="11" spans="2:9" s="50" customFormat="1" x14ac:dyDescent="0.2">
      <c r="B11" s="51"/>
      <c r="C11" s="51"/>
      <c r="D11" s="51"/>
    </row>
    <row r="12" spans="2:9" s="50" customFormat="1" ht="27" customHeight="1" x14ac:dyDescent="0.35">
      <c r="B12" s="51"/>
      <c r="C12" s="51"/>
      <c r="D12" s="51"/>
      <c r="E12" s="51"/>
      <c r="F12" s="51"/>
      <c r="G12" s="51"/>
      <c r="H12" s="51"/>
      <c r="I12" s="53"/>
    </row>
    <row r="13" spans="2:9" s="50" customFormat="1" ht="19.5" customHeight="1" x14ac:dyDescent="0.35">
      <c r="B13" s="51"/>
      <c r="I13" s="53"/>
    </row>
    <row r="14" spans="2:9" s="50" customFormat="1" x14ac:dyDescent="0.2">
      <c r="B14" s="51"/>
      <c r="C14" s="51"/>
      <c r="D14" s="51"/>
      <c r="F14" s="51"/>
      <c r="G14" s="51"/>
      <c r="H14" s="51"/>
    </row>
    <row r="15" spans="2:9" s="50" customFormat="1" x14ac:dyDescent="0.2">
      <c r="B15" s="51"/>
      <c r="C15" s="51"/>
      <c r="D15" s="51"/>
      <c r="F15" s="51"/>
      <c r="G15" s="51"/>
      <c r="H15" s="51"/>
      <c r="I15" s="51"/>
    </row>
    <row r="16" spans="2:9" s="50" customFormat="1" ht="34.5" x14ac:dyDescent="0.45">
      <c r="B16" s="51"/>
      <c r="C16" s="51"/>
      <c r="D16" s="51"/>
      <c r="E16" s="54"/>
      <c r="F16" s="51"/>
      <c r="G16" s="51"/>
      <c r="H16" s="51"/>
      <c r="I16" s="51"/>
    </row>
    <row r="17" spans="2:9" s="50" customFormat="1" ht="33" x14ac:dyDescent="0.45">
      <c r="B17" s="51"/>
      <c r="C17" s="51"/>
      <c r="D17" s="51"/>
      <c r="E17" s="55"/>
      <c r="F17" s="51"/>
      <c r="G17" s="51"/>
      <c r="H17" s="51"/>
      <c r="I17" s="51"/>
    </row>
    <row r="18" spans="2:9" s="50" customFormat="1" ht="33" x14ac:dyDescent="0.45">
      <c r="D18" s="55"/>
    </row>
    <row r="19" spans="2:9" s="50" customFormat="1" ht="18.75" x14ac:dyDescent="0.3">
      <c r="E19" s="56"/>
      <c r="I19" s="57"/>
    </row>
    <row r="20" spans="2:9" s="50" customFormat="1" x14ac:dyDescent="0.2"/>
    <row r="21" spans="2:9" s="50" customFormat="1" x14ac:dyDescent="0.2">
      <c r="E21" s="58"/>
    </row>
    <row r="22" spans="2:9" s="50" customFormat="1" ht="26.25" x14ac:dyDescent="0.4">
      <c r="E22" s="59"/>
    </row>
    <row r="23" spans="2:9" s="50" customFormat="1" x14ac:dyDescent="0.2"/>
    <row r="24" spans="2:9" s="50" customFormat="1" x14ac:dyDescent="0.2"/>
    <row r="25" spans="2:9" s="50" customFormat="1" ht="18.75" x14ac:dyDescent="0.3">
      <c r="E25" s="60"/>
    </row>
    <row r="26" spans="2:9" s="50" customFormat="1" ht="18.75" x14ac:dyDescent="0.3">
      <c r="E26" s="61"/>
    </row>
    <row r="27" spans="2:9" s="50" customFormat="1" x14ac:dyDescent="0.2"/>
    <row r="28" spans="2:9" s="50" customFormat="1" x14ac:dyDescent="0.2"/>
    <row r="29" spans="2:9" s="50" customFormat="1" x14ac:dyDescent="0.2"/>
    <row r="30" spans="2:9" s="50" customFormat="1" x14ac:dyDescent="0.2"/>
    <row r="31" spans="2:9" s="50" customFormat="1" x14ac:dyDescent="0.2"/>
    <row r="32" spans="2:9" s="50" customFormat="1" x14ac:dyDescent="0.2"/>
    <row r="33" spans="1:9" s="50" customFormat="1" ht="35.25" x14ac:dyDescent="0.2">
      <c r="A33" s="62"/>
    </row>
    <row r="34" spans="1:9" s="50" customFormat="1" x14ac:dyDescent="0.2"/>
    <row r="35" spans="1:9" s="50" customFormat="1" x14ac:dyDescent="0.2"/>
    <row r="36" spans="1:9" s="50" customFormat="1" ht="33" x14ac:dyDescent="0.2">
      <c r="B36" s="63"/>
    </row>
    <row r="37" spans="1:9" s="50" customFormat="1" x14ac:dyDescent="0.2"/>
    <row r="38" spans="1:9" s="50" customFormat="1" x14ac:dyDescent="0.2"/>
    <row r="39" spans="1:9" s="50" customFormat="1" ht="18" x14ac:dyDescent="0.25">
      <c r="B39" s="64"/>
    </row>
    <row r="40" spans="1:9" s="50" customFormat="1" x14ac:dyDescent="0.2"/>
    <row r="41" spans="1:9" s="50" customFormat="1" ht="18.75" x14ac:dyDescent="0.3">
      <c r="I41" s="65"/>
    </row>
    <row r="42" spans="1:9" s="50" customFormat="1" x14ac:dyDescent="0.2"/>
    <row r="43" spans="1:9" s="50" customFormat="1" ht="18.75" x14ac:dyDescent="0.3">
      <c r="B43" s="755"/>
      <c r="C43" s="755"/>
      <c r="D43" s="755"/>
    </row>
    <row r="44" spans="1:9" s="50" customFormat="1" x14ac:dyDescent="0.2"/>
    <row r="45" spans="1:9" s="50" customFormat="1" x14ac:dyDescent="0.2"/>
    <row r="46" spans="1:9" s="50" customFormat="1" x14ac:dyDescent="0.2"/>
    <row r="47" spans="1:9" s="50" customFormat="1" x14ac:dyDescent="0.2"/>
    <row r="48" spans="1:9" s="50" customFormat="1" x14ac:dyDescent="0.2"/>
    <row r="49" s="50" customFormat="1" x14ac:dyDescent="0.2"/>
    <row r="50" s="50" customFormat="1" x14ac:dyDescent="0.2"/>
    <row r="51" s="50" customFormat="1" x14ac:dyDescent="0.2"/>
    <row r="52" s="50" customFormat="1" x14ac:dyDescent="0.2"/>
    <row r="53" s="50" customFormat="1" x14ac:dyDescent="0.2"/>
    <row r="54" s="50" customFormat="1" x14ac:dyDescent="0.2"/>
    <row r="55" s="50"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579" t="s">
        <v>438</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c r="C7" s="305"/>
      <c r="D7" s="348"/>
      <c r="E7" s="11"/>
      <c r="F7" s="304"/>
      <c r="G7" s="305"/>
      <c r="H7" s="348"/>
      <c r="I7" s="159"/>
      <c r="J7" s="306"/>
      <c r="K7" s="307"/>
      <c r="L7" s="424"/>
      <c r="M7" s="11"/>
    </row>
    <row r="8" spans="1:14" ht="15.75" x14ac:dyDescent="0.2">
      <c r="A8" s="20" t="s">
        <v>25</v>
      </c>
      <c r="B8" s="279"/>
      <c r="C8" s="280"/>
      <c r="D8" s="165"/>
      <c r="E8" s="26"/>
      <c r="F8" s="283"/>
      <c r="G8" s="284"/>
      <c r="H8" s="165"/>
      <c r="I8" s="174"/>
      <c r="J8" s="232"/>
      <c r="K8" s="285"/>
      <c r="L8" s="165"/>
      <c r="M8" s="26"/>
    </row>
    <row r="9" spans="1:14" ht="15.75" x14ac:dyDescent="0.2">
      <c r="A9" s="20" t="s">
        <v>24</v>
      </c>
      <c r="B9" s="279"/>
      <c r="C9" s="280"/>
      <c r="D9" s="165"/>
      <c r="E9" s="26"/>
      <c r="F9" s="283"/>
      <c r="G9" s="284"/>
      <c r="H9" s="165"/>
      <c r="I9" s="174"/>
      <c r="J9" s="232"/>
      <c r="K9" s="285"/>
      <c r="L9" s="165"/>
      <c r="M9" s="26"/>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1"/>
      <c r="J22" s="314"/>
      <c r="K22" s="314"/>
      <c r="L22" s="424"/>
      <c r="M22" s="23"/>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c r="C29" s="234"/>
      <c r="D29" s="170"/>
      <c r="E29" s="11"/>
      <c r="F29" s="306"/>
      <c r="G29" s="306"/>
      <c r="H29" s="170"/>
      <c r="I29" s="11"/>
      <c r="J29" s="234"/>
      <c r="K29" s="234"/>
      <c r="L29" s="425"/>
      <c r="M29" s="23"/>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c r="C47" s="309"/>
      <c r="D47" s="424"/>
      <c r="E47" s="11"/>
      <c r="F47" s="144"/>
      <c r="G47" s="32"/>
      <c r="H47" s="158"/>
      <c r="I47" s="158"/>
      <c r="J47" s="36"/>
      <c r="K47" s="36"/>
      <c r="L47" s="158"/>
      <c r="M47" s="158"/>
      <c r="N47" s="147"/>
    </row>
    <row r="48" spans="1:14" s="3" customFormat="1" ht="15.75" x14ac:dyDescent="0.2">
      <c r="A48" s="37" t="s">
        <v>375</v>
      </c>
      <c r="B48" s="279"/>
      <c r="C48" s="280"/>
      <c r="D48" s="252"/>
      <c r="E48" s="26"/>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v>50104</v>
      </c>
      <c r="C66" s="351"/>
      <c r="D66" s="348">
        <f t="shared" ref="D66:D112" si="0">IF(B66=0, "    ---- ", IF(ABS(ROUND(100/B66*C66-100,1))&lt;999,ROUND(100/B66*C66-100,1),IF(ROUND(100/B66*C66-100,1)&gt;999,999,-999)))</f>
        <v>-100</v>
      </c>
      <c r="E66" s="11">
        <f>IFERROR(100/'Skjema total MA'!C66*C66,0)</f>
        <v>0</v>
      </c>
      <c r="F66" s="350">
        <v>310599</v>
      </c>
      <c r="G66" s="350"/>
      <c r="H66" s="348">
        <f t="shared" ref="H66:H112" si="1">IF(F66=0, "    ---- ", IF(ABS(ROUND(100/F66*G66-100,1))&lt;999,ROUND(100/F66*G66-100,1),IF(ROUND(100/F66*G66-100,1)&gt;999,999,-999)))</f>
        <v>-100</v>
      </c>
      <c r="I66" s="11">
        <f>IFERROR(100/'Skjema total MA'!F66*G66,0)</f>
        <v>0</v>
      </c>
      <c r="J66" s="307">
        <f t="shared" ref="J66:K79" si="2">SUM(B66,F66)</f>
        <v>360703</v>
      </c>
      <c r="K66" s="314">
        <f t="shared" si="2"/>
        <v>0</v>
      </c>
      <c r="L66" s="425">
        <f t="shared" ref="L66:L112" si="3">IF(J66=0, "    ---- ", IF(ABS(ROUND(100/J66*K66-100,1))&lt;999,ROUND(100/J66*K66-100,1),IF(ROUND(100/J66*K66-100,1)&gt;999,999,-999)))</f>
        <v>-100</v>
      </c>
      <c r="M66" s="11">
        <f>IFERROR(100/'Skjema total MA'!I66*K66,0)</f>
        <v>0</v>
      </c>
    </row>
    <row r="67" spans="1:14" x14ac:dyDescent="0.2">
      <c r="A67" s="416" t="s">
        <v>9</v>
      </c>
      <c r="B67" s="43">
        <v>50104</v>
      </c>
      <c r="C67" s="144"/>
      <c r="D67" s="165">
        <f t="shared" si="0"/>
        <v>-100</v>
      </c>
      <c r="E67" s="26">
        <f>IFERROR(100/'Skjema total MA'!C67*C67,0)</f>
        <v>0</v>
      </c>
      <c r="F67" s="232"/>
      <c r="G67" s="144"/>
      <c r="H67" s="165"/>
      <c r="I67" s="26"/>
      <c r="J67" s="285">
        <f t="shared" si="2"/>
        <v>50104</v>
      </c>
      <c r="K67" s="43">
        <f t="shared" si="2"/>
        <v>0</v>
      </c>
      <c r="L67" s="252">
        <f t="shared" si="3"/>
        <v>-100</v>
      </c>
      <c r="M67" s="26">
        <f>IFERROR(100/'Skjema total MA'!I67*K67,0)</f>
        <v>0</v>
      </c>
    </row>
    <row r="68" spans="1:14" x14ac:dyDescent="0.2">
      <c r="A68" s="20" t="s">
        <v>10</v>
      </c>
      <c r="B68" s="290"/>
      <c r="C68" s="291"/>
      <c r="D68" s="165"/>
      <c r="E68" s="26"/>
      <c r="F68" s="290">
        <v>310599</v>
      </c>
      <c r="G68" s="737"/>
      <c r="H68" s="165">
        <f t="shared" si="1"/>
        <v>-100</v>
      </c>
      <c r="I68" s="26">
        <f>IFERROR(100/'Skjema total MA'!F68*G68,0)</f>
        <v>0</v>
      </c>
      <c r="J68" s="285">
        <f t="shared" si="2"/>
        <v>310599</v>
      </c>
      <c r="K68" s="43">
        <f t="shared" si="2"/>
        <v>0</v>
      </c>
      <c r="L68" s="252">
        <f t="shared" si="3"/>
        <v>-100</v>
      </c>
      <c r="M68" s="26">
        <f>IFERROR(100/'Skjema total MA'!I68*K68,0)</f>
        <v>0</v>
      </c>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v>50104</v>
      </c>
      <c r="C77" s="232"/>
      <c r="D77" s="165">
        <f t="shared" si="0"/>
        <v>-100</v>
      </c>
      <c r="E77" s="26">
        <f>IFERROR(100/'Skjema total MA'!C77*C77,0)</f>
        <v>0</v>
      </c>
      <c r="F77" s="232">
        <v>310599</v>
      </c>
      <c r="G77" s="144"/>
      <c r="H77" s="165">
        <f t="shared" si="1"/>
        <v>-100</v>
      </c>
      <c r="I77" s="26">
        <f>IFERROR(100/'Skjema total MA'!F77*G77,0)</f>
        <v>0</v>
      </c>
      <c r="J77" s="285">
        <f t="shared" si="2"/>
        <v>360703</v>
      </c>
      <c r="K77" s="43">
        <f t="shared" si="2"/>
        <v>0</v>
      </c>
      <c r="L77" s="252">
        <f t="shared" si="3"/>
        <v>-100</v>
      </c>
      <c r="M77" s="26">
        <f>IFERROR(100/'Skjema total MA'!I77*K77,0)</f>
        <v>0</v>
      </c>
    </row>
    <row r="78" spans="1:14" x14ac:dyDescent="0.2">
      <c r="A78" s="20" t="s">
        <v>9</v>
      </c>
      <c r="B78" s="232">
        <v>50104</v>
      </c>
      <c r="C78" s="144"/>
      <c r="D78" s="165">
        <f t="shared" si="0"/>
        <v>-100</v>
      </c>
      <c r="E78" s="26">
        <f>IFERROR(100/'Skjema total MA'!C78*C78,0)</f>
        <v>0</v>
      </c>
      <c r="F78" s="232"/>
      <c r="G78" s="144"/>
      <c r="H78" s="165"/>
      <c r="I78" s="26"/>
      <c r="J78" s="285">
        <f t="shared" si="2"/>
        <v>50104</v>
      </c>
      <c r="K78" s="43">
        <f t="shared" si="2"/>
        <v>0</v>
      </c>
      <c r="L78" s="252">
        <f t="shared" si="3"/>
        <v>-100</v>
      </c>
      <c r="M78" s="26">
        <f>IFERROR(100/'Skjema total MA'!I78*K78,0)</f>
        <v>0</v>
      </c>
    </row>
    <row r="79" spans="1:14" x14ac:dyDescent="0.2">
      <c r="A79" s="729" t="s">
        <v>423</v>
      </c>
      <c r="B79" s="290"/>
      <c r="C79" s="291"/>
      <c r="D79" s="165"/>
      <c r="E79" s="26"/>
      <c r="F79" s="290">
        <v>310599</v>
      </c>
      <c r="G79" s="291"/>
      <c r="H79" s="165">
        <f t="shared" si="1"/>
        <v>-100</v>
      </c>
      <c r="I79" s="26">
        <f>IFERROR(100/'Skjema total MA'!F79*G79,0)</f>
        <v>0</v>
      </c>
      <c r="J79" s="285">
        <f t="shared" si="2"/>
        <v>310599</v>
      </c>
      <c r="K79" s="43">
        <f t="shared" si="2"/>
        <v>0</v>
      </c>
      <c r="L79" s="252">
        <f t="shared" si="3"/>
        <v>-100</v>
      </c>
      <c r="M79" s="26">
        <f>IFERROR(100/'Skjema total MA'!I79*K79,0)</f>
        <v>0</v>
      </c>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v>1786281</v>
      </c>
      <c r="C87" s="351"/>
      <c r="D87" s="170">
        <f t="shared" si="0"/>
        <v>-100</v>
      </c>
      <c r="E87" s="11">
        <f>IFERROR(100/'Skjema total MA'!C87*C87,0)</f>
        <v>0</v>
      </c>
      <c r="F87" s="350">
        <v>5167910</v>
      </c>
      <c r="G87" s="350"/>
      <c r="H87" s="170">
        <f t="shared" si="1"/>
        <v>-100</v>
      </c>
      <c r="I87" s="11">
        <f>IFERROR(100/'Skjema total MA'!F87*G87,0)</f>
        <v>0</v>
      </c>
      <c r="J87" s="307">
        <f t="shared" ref="J87:K112" si="4">SUM(B87,F87)</f>
        <v>6954191</v>
      </c>
      <c r="K87" s="234">
        <f t="shared" si="4"/>
        <v>0</v>
      </c>
      <c r="L87" s="425">
        <f t="shared" si="3"/>
        <v>-100</v>
      </c>
      <c r="M87" s="11">
        <f>IFERROR(100/'Skjema total MA'!I87*K87,0)</f>
        <v>0</v>
      </c>
    </row>
    <row r="88" spans="1:13" x14ac:dyDescent="0.2">
      <c r="A88" s="20" t="s">
        <v>9</v>
      </c>
      <c r="B88" s="232">
        <v>1786281</v>
      </c>
      <c r="C88" s="144"/>
      <c r="D88" s="165">
        <f t="shared" si="0"/>
        <v>-100</v>
      </c>
      <c r="E88" s="26">
        <f>IFERROR(100/'Skjema total MA'!C88*C88,0)</f>
        <v>0</v>
      </c>
      <c r="F88" s="232"/>
      <c r="G88" s="144"/>
      <c r="H88" s="165"/>
      <c r="I88" s="26"/>
      <c r="J88" s="285">
        <f t="shared" si="4"/>
        <v>1786281</v>
      </c>
      <c r="K88" s="43">
        <f t="shared" si="4"/>
        <v>0</v>
      </c>
      <c r="L88" s="252">
        <f t="shared" si="3"/>
        <v>-100</v>
      </c>
      <c r="M88" s="26">
        <f>IFERROR(100/'Skjema total MA'!I88*K88,0)</f>
        <v>0</v>
      </c>
    </row>
    <row r="89" spans="1:13" x14ac:dyDescent="0.2">
      <c r="A89" s="20" t="s">
        <v>10</v>
      </c>
      <c r="B89" s="232"/>
      <c r="C89" s="144"/>
      <c r="D89" s="165"/>
      <c r="E89" s="26"/>
      <c r="F89" s="232">
        <v>5167910</v>
      </c>
      <c r="G89" s="144"/>
      <c r="H89" s="165">
        <f t="shared" si="1"/>
        <v>-100</v>
      </c>
      <c r="I89" s="26">
        <f>IFERROR(100/'Skjema total MA'!F89*G89,0)</f>
        <v>0</v>
      </c>
      <c r="J89" s="285">
        <f t="shared" si="4"/>
        <v>5167910</v>
      </c>
      <c r="K89" s="43">
        <f t="shared" si="4"/>
        <v>0</v>
      </c>
      <c r="L89" s="252">
        <f t="shared" si="3"/>
        <v>-100</v>
      </c>
      <c r="M89" s="26">
        <f>IFERROR(100/'Skjema total MA'!I89*K89,0)</f>
        <v>0</v>
      </c>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v>1786281</v>
      </c>
      <c r="C98" s="232"/>
      <c r="D98" s="165">
        <f t="shared" si="0"/>
        <v>-100</v>
      </c>
      <c r="E98" s="26">
        <f>IFERROR(100/'Skjema total MA'!C98*C98,0)</f>
        <v>0</v>
      </c>
      <c r="F98" s="290">
        <v>5167910</v>
      </c>
      <c r="G98" s="290"/>
      <c r="H98" s="165">
        <f t="shared" si="1"/>
        <v>-100</v>
      </c>
      <c r="I98" s="26">
        <f>IFERROR(100/'Skjema total MA'!F98*G98,0)</f>
        <v>0</v>
      </c>
      <c r="J98" s="285">
        <f t="shared" si="4"/>
        <v>6954191</v>
      </c>
      <c r="K98" s="43">
        <f t="shared" si="4"/>
        <v>0</v>
      </c>
      <c r="L98" s="252">
        <f t="shared" si="3"/>
        <v>-100</v>
      </c>
      <c r="M98" s="26">
        <f>IFERROR(100/'Skjema total MA'!I98*K98,0)</f>
        <v>0</v>
      </c>
    </row>
    <row r="99" spans="1:13" x14ac:dyDescent="0.2">
      <c r="A99" s="20" t="s">
        <v>9</v>
      </c>
      <c r="B99" s="290">
        <v>1786281</v>
      </c>
      <c r="C99" s="291"/>
      <c r="D99" s="165">
        <f t="shared" si="0"/>
        <v>-100</v>
      </c>
      <c r="E99" s="26">
        <f>IFERROR(100/'Skjema total MA'!C99*C99,0)</f>
        <v>0</v>
      </c>
      <c r="F99" s="232"/>
      <c r="G99" s="144"/>
      <c r="H99" s="165"/>
      <c r="I99" s="26"/>
      <c r="J99" s="285">
        <f t="shared" si="4"/>
        <v>1786281</v>
      </c>
      <c r="K99" s="43">
        <f t="shared" si="4"/>
        <v>0</v>
      </c>
      <c r="L99" s="252">
        <f t="shared" si="3"/>
        <v>-100</v>
      </c>
      <c r="M99" s="26">
        <f>IFERROR(100/'Skjema total MA'!I99*K99,0)</f>
        <v>0</v>
      </c>
    </row>
    <row r="100" spans="1:13" ht="15.75" x14ac:dyDescent="0.2">
      <c r="A100" s="729" t="s">
        <v>424</v>
      </c>
      <c r="B100" s="290"/>
      <c r="C100" s="291"/>
      <c r="D100" s="165"/>
      <c r="E100" s="26"/>
      <c r="F100" s="232">
        <v>5167910</v>
      </c>
      <c r="G100" s="232"/>
      <c r="H100" s="165">
        <f t="shared" si="1"/>
        <v>-100</v>
      </c>
      <c r="I100" s="26">
        <f>IFERROR(100/'Skjema total MA'!F100*G100,0)</f>
        <v>0</v>
      </c>
      <c r="J100" s="285">
        <f t="shared" si="4"/>
        <v>5167910</v>
      </c>
      <c r="K100" s="43">
        <f t="shared" si="4"/>
        <v>0</v>
      </c>
      <c r="L100" s="252">
        <f t="shared" si="3"/>
        <v>-100</v>
      </c>
      <c r="M100" s="26">
        <f>IFERROR(100/'Skjema total MA'!I100*K100,0)</f>
        <v>0</v>
      </c>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v>1027489</v>
      </c>
      <c r="C109" s="232"/>
      <c r="D109" s="165">
        <f t="shared" si="0"/>
        <v>-100</v>
      </c>
      <c r="E109" s="26">
        <f>IFERROR(100/'Skjema total MA'!C109*C109,0)</f>
        <v>0</v>
      </c>
      <c r="F109" s="232"/>
      <c r="G109" s="232"/>
      <c r="H109" s="165"/>
      <c r="I109" s="26"/>
      <c r="J109" s="285">
        <f t="shared" si="4"/>
        <v>1027489</v>
      </c>
      <c r="K109" s="43">
        <f t="shared" si="4"/>
        <v>0</v>
      </c>
      <c r="L109" s="252">
        <f t="shared" si="3"/>
        <v>-100</v>
      </c>
      <c r="M109" s="26">
        <f>IFERROR(100/'Skjema total MA'!I109*K109,0)</f>
        <v>0</v>
      </c>
    </row>
    <row r="110" spans="1:13" ht="15.75" x14ac:dyDescent="0.2">
      <c r="A110" s="729" t="s">
        <v>441</v>
      </c>
      <c r="B110" s="232"/>
      <c r="C110" s="232"/>
      <c r="D110" s="165"/>
      <c r="E110" s="26"/>
      <c r="F110" s="232">
        <v>2323426</v>
      </c>
      <c r="G110" s="232"/>
      <c r="H110" s="165">
        <f t="shared" si="1"/>
        <v>-100</v>
      </c>
      <c r="I110" s="26">
        <f>IFERROR(100/'Skjema total MA'!F110*G110,0)</f>
        <v>0</v>
      </c>
      <c r="J110" s="285">
        <f t="shared" si="4"/>
        <v>2323426</v>
      </c>
      <c r="K110" s="43">
        <f t="shared" si="4"/>
        <v>0</v>
      </c>
      <c r="L110" s="252">
        <f t="shared" si="3"/>
        <v>-100</v>
      </c>
      <c r="M110" s="26">
        <f>IFERROR(100/'Skjema total MA'!I110*K110,0)</f>
        <v>0</v>
      </c>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v>3361</v>
      </c>
      <c r="C112" s="158"/>
      <c r="D112" s="170">
        <f t="shared" si="0"/>
        <v>-100</v>
      </c>
      <c r="E112" s="11">
        <f>IFERROR(100/'Skjema total MA'!C112*C112,0)</f>
        <v>0</v>
      </c>
      <c r="F112" s="306">
        <v>206650</v>
      </c>
      <c r="G112" s="158"/>
      <c r="H112" s="170">
        <f t="shared" si="1"/>
        <v>-100</v>
      </c>
      <c r="I112" s="11">
        <f>IFERROR(100/'Skjema total MA'!F112*G112,0)</f>
        <v>0</v>
      </c>
      <c r="J112" s="307">
        <f t="shared" si="4"/>
        <v>210011</v>
      </c>
      <c r="K112" s="234">
        <f t="shared" si="4"/>
        <v>0</v>
      </c>
      <c r="L112" s="425">
        <f t="shared" si="3"/>
        <v>-100</v>
      </c>
      <c r="M112" s="11">
        <f>IFERROR(100/'Skjema total MA'!I112*K112,0)</f>
        <v>0</v>
      </c>
    </row>
    <row r="113" spans="1:14" x14ac:dyDescent="0.2">
      <c r="A113" s="20" t="s">
        <v>9</v>
      </c>
      <c r="B113" s="232">
        <v>3361</v>
      </c>
      <c r="C113" s="144"/>
      <c r="D113" s="165">
        <f t="shared" ref="D113" si="5">IF(B113=0, "    ---- ", IF(ABS(ROUND(100/B113*C113-100,1))&lt;999,ROUND(100/B113*C113-100,1),IF(ROUND(100/B113*C113-100,1)&gt;999,999,-999)))</f>
        <v>-100</v>
      </c>
      <c r="E113" s="26">
        <f>IFERROR(100/'Skjema total MA'!C113*C113,0)</f>
        <v>0</v>
      </c>
      <c r="F113" s="232"/>
      <c r="G113" s="144"/>
      <c r="H113" s="165"/>
      <c r="I113" s="26"/>
      <c r="J113" s="285">
        <f t="shared" ref="J113:K126" si="6">SUM(B113,F113)</f>
        <v>3361</v>
      </c>
      <c r="K113" s="43">
        <f t="shared" si="6"/>
        <v>0</v>
      </c>
      <c r="L113" s="252">
        <f t="shared" ref="L113:L126" si="7">IF(J113=0, "    ---- ", IF(ABS(ROUND(100/J113*K113-100,1))&lt;999,ROUND(100/J113*K113-100,1),IF(ROUND(100/J113*K113-100,1)&gt;999,999,-999)))</f>
        <v>-100</v>
      </c>
      <c r="M113" s="26">
        <f>IFERROR(100/'Skjema total MA'!I113*K113,0)</f>
        <v>0</v>
      </c>
    </row>
    <row r="114" spans="1:14" x14ac:dyDescent="0.2">
      <c r="A114" s="20" t="s">
        <v>10</v>
      </c>
      <c r="B114" s="232"/>
      <c r="C114" s="144"/>
      <c r="D114" s="165"/>
      <c r="E114" s="26"/>
      <c r="F114" s="232">
        <v>206650</v>
      </c>
      <c r="G114" s="144"/>
      <c r="H114" s="165">
        <f t="shared" ref="H114:H126" si="8">IF(F114=0, "    ---- ", IF(ABS(ROUND(100/F114*G114-100,1))&lt;999,ROUND(100/F114*G114-100,1),IF(ROUND(100/F114*G114-100,1)&gt;999,999,-999)))</f>
        <v>-100</v>
      </c>
      <c r="I114" s="26">
        <f>IFERROR(100/'Skjema total MA'!F114*G114,0)</f>
        <v>0</v>
      </c>
      <c r="J114" s="285">
        <f t="shared" si="6"/>
        <v>206650</v>
      </c>
      <c r="K114" s="43">
        <f t="shared" si="6"/>
        <v>0</v>
      </c>
      <c r="L114" s="252">
        <f t="shared" si="7"/>
        <v>-100</v>
      </c>
      <c r="M114" s="26">
        <f>IFERROR(100/'Skjema total MA'!I114*K114,0)</f>
        <v>0</v>
      </c>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v>194087</v>
      </c>
      <c r="G118" s="232"/>
      <c r="H118" s="165">
        <f t="shared" si="8"/>
        <v>-100</v>
      </c>
      <c r="I118" s="26">
        <f>IFERROR(100/'Skjema total MA'!F118*G118,0)</f>
        <v>0</v>
      </c>
      <c r="J118" s="285">
        <f t="shared" si="6"/>
        <v>194087</v>
      </c>
      <c r="K118" s="43">
        <f t="shared" si="6"/>
        <v>0</v>
      </c>
      <c r="L118" s="252">
        <f t="shared" si="7"/>
        <v>-100</v>
      </c>
      <c r="M118" s="26">
        <f>IFERROR(100/'Skjema total MA'!I118*K118,0)</f>
        <v>0</v>
      </c>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v>44589</v>
      </c>
      <c r="G120" s="158"/>
      <c r="H120" s="170">
        <f t="shared" si="8"/>
        <v>-100</v>
      </c>
      <c r="I120" s="11">
        <f>IFERROR(100/'Skjema total MA'!F120*G120,0)</f>
        <v>0</v>
      </c>
      <c r="J120" s="307">
        <f t="shared" si="6"/>
        <v>44589</v>
      </c>
      <c r="K120" s="234">
        <f t="shared" si="6"/>
        <v>0</v>
      </c>
      <c r="L120" s="425">
        <f t="shared" si="7"/>
        <v>-100</v>
      </c>
      <c r="M120" s="11">
        <f>IFERROR(100/'Skjema total MA'!I120*K120,0)</f>
        <v>0</v>
      </c>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v>44589</v>
      </c>
      <c r="G122" s="144"/>
      <c r="H122" s="165">
        <f t="shared" si="8"/>
        <v>-100</v>
      </c>
      <c r="I122" s="26">
        <f>IFERROR(100/'Skjema total MA'!F122*G122,0)</f>
        <v>0</v>
      </c>
      <c r="J122" s="285">
        <f t="shared" si="6"/>
        <v>44589</v>
      </c>
      <c r="K122" s="43">
        <f t="shared" si="6"/>
        <v>0</v>
      </c>
      <c r="L122" s="252">
        <f t="shared" si="7"/>
        <v>-100</v>
      </c>
      <c r="M122" s="26">
        <f>IFERROR(100/'Skjema total MA'!I122*K122,0)</f>
        <v>0</v>
      </c>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v>28257</v>
      </c>
      <c r="G126" s="232"/>
      <c r="H126" s="165">
        <f t="shared" si="8"/>
        <v>-100</v>
      </c>
      <c r="I126" s="26">
        <f>IFERROR(100/'Skjema total MA'!F126*G126,0)</f>
        <v>0</v>
      </c>
      <c r="J126" s="285">
        <f t="shared" si="6"/>
        <v>28257</v>
      </c>
      <c r="K126" s="43">
        <f t="shared" si="6"/>
        <v>0</v>
      </c>
      <c r="L126" s="252">
        <f t="shared" si="7"/>
        <v>-100</v>
      </c>
      <c r="M126" s="26">
        <f>IFERROR(100/'Skjema total MA'!I126*K126,0)</f>
        <v>0</v>
      </c>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853" priority="132">
      <formula>kvartal &lt; 4</formula>
    </cfRule>
  </conditionalFormatting>
  <conditionalFormatting sqref="B116">
    <cfRule type="expression" dxfId="852" priority="76">
      <formula>kvartal &lt; 4</formula>
    </cfRule>
  </conditionalFormatting>
  <conditionalFormatting sqref="C116">
    <cfRule type="expression" dxfId="851" priority="75">
      <formula>kvartal &lt; 4</formula>
    </cfRule>
  </conditionalFormatting>
  <conditionalFormatting sqref="B124">
    <cfRule type="expression" dxfId="850" priority="74">
      <formula>kvartal &lt; 4</formula>
    </cfRule>
  </conditionalFormatting>
  <conditionalFormatting sqref="C124">
    <cfRule type="expression" dxfId="849" priority="73">
      <formula>kvartal &lt; 4</formula>
    </cfRule>
  </conditionalFormatting>
  <conditionalFormatting sqref="F116">
    <cfRule type="expression" dxfId="848" priority="58">
      <formula>kvartal &lt; 4</formula>
    </cfRule>
  </conditionalFormatting>
  <conditionalFormatting sqref="G116">
    <cfRule type="expression" dxfId="847" priority="57">
      <formula>kvartal &lt; 4</formula>
    </cfRule>
  </conditionalFormatting>
  <conditionalFormatting sqref="F124:G124">
    <cfRule type="expression" dxfId="846" priority="56">
      <formula>kvartal &lt; 4</formula>
    </cfRule>
  </conditionalFormatting>
  <conditionalFormatting sqref="J116:K116">
    <cfRule type="expression" dxfId="845" priority="32">
      <formula>kvartal &lt; 4</formula>
    </cfRule>
  </conditionalFormatting>
  <conditionalFormatting sqref="J124:K124">
    <cfRule type="expression" dxfId="844" priority="31">
      <formula>kvartal &lt; 4</formula>
    </cfRule>
  </conditionalFormatting>
  <conditionalFormatting sqref="A50:A52">
    <cfRule type="expression" dxfId="843" priority="12">
      <formula>kvartal &lt; 4</formula>
    </cfRule>
  </conditionalFormatting>
  <conditionalFormatting sqref="A69:A74">
    <cfRule type="expression" dxfId="842" priority="10">
      <formula>kvartal &lt; 4</formula>
    </cfRule>
  </conditionalFormatting>
  <conditionalFormatting sqref="A80:A85">
    <cfRule type="expression" dxfId="841" priority="9">
      <formula>kvartal &lt; 4</formula>
    </cfRule>
  </conditionalFormatting>
  <conditionalFormatting sqref="A90:A95">
    <cfRule type="expression" dxfId="840" priority="6">
      <formula>kvartal &lt; 4</formula>
    </cfRule>
  </conditionalFormatting>
  <conditionalFormatting sqref="A102:A107">
    <cfRule type="expression" dxfId="839" priority="5">
      <formula>kvartal &lt; 4</formula>
    </cfRule>
  </conditionalFormatting>
  <conditionalFormatting sqref="A116">
    <cfRule type="expression" dxfId="838" priority="4">
      <formula>kvartal &lt; 4</formula>
    </cfRule>
  </conditionalFormatting>
  <conditionalFormatting sqref="A124">
    <cfRule type="expression" dxfId="837" priority="3">
      <formula>kvartal &lt; 4</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7" x14ac:dyDescent="0.2">
      <c r="A1" s="171" t="s">
        <v>135</v>
      </c>
      <c r="B1" s="752"/>
      <c r="C1" s="246" t="s">
        <v>123</v>
      </c>
      <c r="D1" s="25"/>
      <c r="E1" s="25"/>
      <c r="F1" s="25"/>
      <c r="G1" s="25"/>
      <c r="H1" s="25"/>
      <c r="I1" s="25"/>
      <c r="J1" s="25"/>
      <c r="K1" s="25"/>
      <c r="L1" s="25"/>
      <c r="M1" s="25"/>
    </row>
    <row r="2" spans="1:17" ht="15.75" x14ac:dyDescent="0.25">
      <c r="A2" s="164" t="s">
        <v>28</v>
      </c>
      <c r="B2" s="782"/>
      <c r="C2" s="782"/>
      <c r="D2" s="782"/>
      <c r="E2" s="297"/>
      <c r="F2" s="782"/>
      <c r="G2" s="782"/>
      <c r="H2" s="782"/>
      <c r="I2" s="297"/>
      <c r="J2" s="782"/>
      <c r="K2" s="782"/>
      <c r="L2" s="782"/>
      <c r="M2" s="297"/>
    </row>
    <row r="3" spans="1:17" ht="15.75" x14ac:dyDescent="0.25">
      <c r="A3" s="162"/>
      <c r="B3" s="297"/>
      <c r="C3" s="297"/>
      <c r="D3" s="297"/>
      <c r="E3" s="297"/>
      <c r="F3" s="297"/>
      <c r="G3" s="297"/>
      <c r="H3" s="297"/>
      <c r="I3" s="297"/>
      <c r="J3" s="297"/>
      <c r="K3" s="297"/>
      <c r="L3" s="297"/>
      <c r="M3" s="297"/>
    </row>
    <row r="4" spans="1:17" x14ac:dyDescent="0.2">
      <c r="A4" s="143"/>
      <c r="B4" s="784" t="s">
        <v>0</v>
      </c>
      <c r="C4" s="785"/>
      <c r="D4" s="785"/>
      <c r="E4" s="299"/>
      <c r="F4" s="778" t="s">
        <v>1</v>
      </c>
      <c r="G4" s="779"/>
      <c r="H4" s="779"/>
      <c r="I4" s="302"/>
      <c r="J4" s="778" t="s">
        <v>2</v>
      </c>
      <c r="K4" s="779"/>
      <c r="L4" s="779"/>
      <c r="M4" s="302"/>
    </row>
    <row r="5" spans="1:17"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7" x14ac:dyDescent="0.2">
      <c r="A6" s="753"/>
      <c r="B6" s="155"/>
      <c r="C6" s="155"/>
      <c r="D6" s="244" t="s">
        <v>4</v>
      </c>
      <c r="E6" s="155" t="s">
        <v>30</v>
      </c>
      <c r="F6" s="160"/>
      <c r="G6" s="160"/>
      <c r="H6" s="243" t="s">
        <v>4</v>
      </c>
      <c r="I6" s="155" t="s">
        <v>30</v>
      </c>
      <c r="J6" s="160"/>
      <c r="K6" s="160"/>
      <c r="L6" s="243" t="s">
        <v>4</v>
      </c>
      <c r="M6" s="155" t="s">
        <v>30</v>
      </c>
    </row>
    <row r="7" spans="1:17" ht="15.75" x14ac:dyDescent="0.2">
      <c r="A7" s="14" t="s">
        <v>23</v>
      </c>
      <c r="B7" s="304">
        <v>166206</v>
      </c>
      <c r="C7" s="305">
        <v>145453</v>
      </c>
      <c r="D7" s="348">
        <f>IF(B7=0, "    ---- ", IF(ABS(ROUND(100/B7*C7-100,1))&lt;999,ROUND(100/B7*C7-100,1),IF(ROUND(100/B7*C7-100,1)&gt;999,999,-999)))</f>
        <v>-12.5</v>
      </c>
      <c r="E7" s="11">
        <f>IFERROR(100/'Skjema total MA'!C7*C7,0)</f>
        <v>5.257643592297403</v>
      </c>
      <c r="F7" s="304">
        <v>281211.26299999998</v>
      </c>
      <c r="G7" s="305">
        <v>287509</v>
      </c>
      <c r="H7" s="348">
        <f>IF(F7=0, "    ---- ", IF(ABS(ROUND(100/F7*G7-100,1))&lt;999,ROUND(100/F7*G7-100,1),IF(ROUND(100/F7*G7-100,1)&gt;999,999,-999)))</f>
        <v>2.2000000000000002</v>
      </c>
      <c r="I7" s="159">
        <f>IFERROR(100/'Skjema total MA'!F7*G7,0)</f>
        <v>3.7115278242621539</v>
      </c>
      <c r="J7" s="306">
        <f t="shared" ref="J7:K12" si="0">SUM(B7,F7)</f>
        <v>447417.26299999998</v>
      </c>
      <c r="K7" s="307">
        <f t="shared" si="0"/>
        <v>432962</v>
      </c>
      <c r="L7" s="424">
        <f>IF(J7=0, "    ---- ", IF(ABS(ROUND(100/J7*K7-100,1))&lt;999,ROUND(100/J7*K7-100,1),IF(ROUND(100/J7*K7-100,1)&gt;999,999,-999)))</f>
        <v>-3.2</v>
      </c>
      <c r="M7" s="11">
        <f>IFERROR(100/'Skjema total MA'!I7*K7,0)</f>
        <v>4.1183940773233667</v>
      </c>
    </row>
    <row r="8" spans="1:17" ht="15.75" x14ac:dyDescent="0.2">
      <c r="A8" s="20" t="s">
        <v>25</v>
      </c>
      <c r="B8" s="279">
        <v>19567.057000000001</v>
      </c>
      <c r="C8" s="280">
        <v>15971.619000000001</v>
      </c>
      <c r="D8" s="165">
        <f t="shared" ref="D8:D12" si="1">IF(B8=0, "    ---- ", IF(ABS(ROUND(100/B8*C8-100,1))&lt;999,ROUND(100/B8*C8-100,1),IF(ROUND(100/B8*C8-100,1)&gt;999,999,-999)))</f>
        <v>-18.399999999999999</v>
      </c>
      <c r="E8" s="26">
        <f>IFERROR(100/'Skjema total MA'!C8*C8,0)</f>
        <v>0.88221945145132552</v>
      </c>
      <c r="F8" s="283"/>
      <c r="G8" s="284"/>
      <c r="H8" s="165"/>
      <c r="I8" s="174"/>
      <c r="J8" s="232">
        <f t="shared" si="0"/>
        <v>19567.057000000001</v>
      </c>
      <c r="K8" s="285">
        <f t="shared" si="0"/>
        <v>15971.619000000001</v>
      </c>
      <c r="L8" s="165">
        <f t="shared" ref="L8:L9" si="2">IF(J8=0, "    ---- ", IF(ABS(ROUND(100/J8*K8-100,1))&lt;999,ROUND(100/J8*K8-100,1),IF(ROUND(100/J8*K8-100,1)&gt;999,999,-999)))</f>
        <v>-18.399999999999999</v>
      </c>
      <c r="M8" s="26">
        <f>IFERROR(100/'Skjema total MA'!I8*K8,0)</f>
        <v>0.88221945145132552</v>
      </c>
    </row>
    <row r="9" spans="1:17" ht="15.75" x14ac:dyDescent="0.2">
      <c r="A9" s="20" t="s">
        <v>24</v>
      </c>
      <c r="B9" s="279">
        <v>11866.216</v>
      </c>
      <c r="C9" s="280">
        <v>10787.289000000001</v>
      </c>
      <c r="D9" s="165">
        <f t="shared" si="1"/>
        <v>-9.1</v>
      </c>
      <c r="E9" s="26">
        <f>IFERROR(100/'Skjema total MA'!C9*C9,0)</f>
        <v>1.8264964235723558</v>
      </c>
      <c r="F9" s="283"/>
      <c r="G9" s="284"/>
      <c r="H9" s="165"/>
      <c r="I9" s="174"/>
      <c r="J9" s="232">
        <f t="shared" si="0"/>
        <v>11866.216</v>
      </c>
      <c r="K9" s="285">
        <f t="shared" si="0"/>
        <v>10787.289000000001</v>
      </c>
      <c r="L9" s="165">
        <f t="shared" si="2"/>
        <v>-9.1</v>
      </c>
      <c r="M9" s="26">
        <f>IFERROR(100/'Skjema total MA'!I9*K9,0)</f>
        <v>1.8264964235723558</v>
      </c>
    </row>
    <row r="10" spans="1:17" ht="15.75" x14ac:dyDescent="0.2">
      <c r="A10" s="13" t="s">
        <v>364</v>
      </c>
      <c r="B10" s="308">
        <v>12102375</v>
      </c>
      <c r="C10" s="309">
        <v>11045970</v>
      </c>
      <c r="D10" s="170">
        <f t="shared" si="1"/>
        <v>-8.6999999999999993</v>
      </c>
      <c r="E10" s="11">
        <f>IFERROR(100/'Skjema total MA'!C10*C10,0)</f>
        <v>63.3822553175237</v>
      </c>
      <c r="F10" s="308">
        <v>6001946.9139999999</v>
      </c>
      <c r="G10" s="309">
        <v>7505222.9419999998</v>
      </c>
      <c r="H10" s="170">
        <f t="shared" ref="H10:H12" si="3">IF(F10=0, "    ---- ", IF(ABS(ROUND(100/F10*G10-100,1))&lt;999,ROUND(100/F10*G10-100,1),IF(ROUND(100/F10*G10-100,1)&gt;999,999,-999)))</f>
        <v>25</v>
      </c>
      <c r="I10" s="159">
        <f>IFERROR(100/'Skjema total MA'!F10*G10,0)</f>
        <v>10.687628372425777</v>
      </c>
      <c r="J10" s="306">
        <f t="shared" si="0"/>
        <v>18104321.914000001</v>
      </c>
      <c r="K10" s="307">
        <f t="shared" si="0"/>
        <v>18551192.942000002</v>
      </c>
      <c r="L10" s="425">
        <f t="shared" ref="L10:L12" si="4">IF(J10=0, "    ---- ", IF(ABS(ROUND(100/J10*K10-100,1))&lt;999,ROUND(100/J10*K10-100,1),IF(ROUND(100/J10*K10-100,1)&gt;999,999,-999)))</f>
        <v>2.5</v>
      </c>
      <c r="M10" s="11">
        <f>IFERROR(100/'Skjema total MA'!I10*K10,0)</f>
        <v>21.164836951446841</v>
      </c>
      <c r="Q10" s="148"/>
    </row>
    <row r="11" spans="1:17" s="42" customFormat="1" ht="15.75" x14ac:dyDescent="0.2">
      <c r="A11" s="13" t="s">
        <v>365</v>
      </c>
      <c r="B11" s="308">
        <v>18520</v>
      </c>
      <c r="C11" s="309">
        <v>24524</v>
      </c>
      <c r="D11" s="170">
        <f t="shared" si="1"/>
        <v>32.4</v>
      </c>
      <c r="E11" s="11">
        <f>IFERROR(100/'Skjema total MA'!C11*C11,0)</f>
        <v>100.00000000000001</v>
      </c>
      <c r="F11" s="308">
        <v>36021</v>
      </c>
      <c r="G11" s="309">
        <v>27651</v>
      </c>
      <c r="H11" s="170">
        <f t="shared" si="3"/>
        <v>-23.2</v>
      </c>
      <c r="I11" s="159">
        <f>IFERROR(100/'Skjema total MA'!F11*G11,0)</f>
        <v>10.668913088971305</v>
      </c>
      <c r="J11" s="306">
        <f t="shared" si="0"/>
        <v>54541</v>
      </c>
      <c r="K11" s="307">
        <f t="shared" si="0"/>
        <v>52175</v>
      </c>
      <c r="L11" s="425">
        <f t="shared" si="4"/>
        <v>-4.3</v>
      </c>
      <c r="M11" s="11">
        <f>IFERROR(100/'Skjema total MA'!I11*K11,0)</f>
        <v>18.3910651951315</v>
      </c>
      <c r="N11" s="142"/>
    </row>
    <row r="12" spans="1:17" s="42" customFormat="1" ht="15.75" x14ac:dyDescent="0.2">
      <c r="A12" s="40" t="s">
        <v>366</v>
      </c>
      <c r="B12" s="310">
        <v>2399</v>
      </c>
      <c r="C12" s="311">
        <v>3700</v>
      </c>
      <c r="D12" s="168">
        <f t="shared" si="1"/>
        <v>54.2</v>
      </c>
      <c r="E12" s="35">
        <f>IFERROR(100/'Skjema total MA'!C12*C12,0)</f>
        <v>100</v>
      </c>
      <c r="F12" s="310">
        <v>81928</v>
      </c>
      <c r="G12" s="311">
        <v>19862</v>
      </c>
      <c r="H12" s="168">
        <f t="shared" si="3"/>
        <v>-75.8</v>
      </c>
      <c r="I12" s="168">
        <f>IFERROR(100/'Skjema total MA'!F12*G12,0)</f>
        <v>20.027657798133088</v>
      </c>
      <c r="J12" s="312">
        <f t="shared" si="0"/>
        <v>84327</v>
      </c>
      <c r="K12" s="313">
        <f t="shared" si="0"/>
        <v>23562</v>
      </c>
      <c r="L12" s="426">
        <f t="shared" si="4"/>
        <v>-72.099999999999994</v>
      </c>
      <c r="M12" s="35">
        <f>IFERROR(100/'Skjema total MA'!I12*K12,0)</f>
        <v>22.904001285922899</v>
      </c>
      <c r="N12" s="142"/>
      <c r="Q12" s="142"/>
    </row>
    <row r="13" spans="1:17" s="42" customFormat="1" x14ac:dyDescent="0.2">
      <c r="A13" s="167"/>
      <c r="B13" s="144"/>
      <c r="C13" s="32"/>
      <c r="D13" s="158"/>
      <c r="E13" s="158"/>
      <c r="F13" s="144"/>
      <c r="G13" s="32"/>
      <c r="H13" s="158"/>
      <c r="I13" s="158"/>
      <c r="J13" s="47"/>
      <c r="K13" s="47"/>
      <c r="L13" s="158"/>
      <c r="M13" s="158"/>
      <c r="N13" s="142"/>
    </row>
    <row r="14" spans="1:17" x14ac:dyDescent="0.2">
      <c r="A14" s="152" t="s">
        <v>274</v>
      </c>
      <c r="B14" s="25"/>
    </row>
    <row r="15" spans="1:17" x14ac:dyDescent="0.2">
      <c r="F15" s="145"/>
      <c r="G15" s="145"/>
      <c r="H15" s="145"/>
      <c r="I15" s="145"/>
      <c r="J15" s="145"/>
      <c r="K15" s="145"/>
      <c r="L15" s="145"/>
      <c r="M15" s="145"/>
    </row>
    <row r="16" spans="1:17"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v>161190.995</v>
      </c>
      <c r="C22" s="308">
        <v>173590</v>
      </c>
      <c r="D22" s="348">
        <f t="shared" ref="D22:D39" si="5">IF(B22=0, "    ---- ", IF(ABS(ROUND(100/B22*C22-100,1))&lt;999,ROUND(100/B22*C22-100,1),IF(ROUND(100/B22*C22-100,1)&gt;999,999,-999)))</f>
        <v>7.7</v>
      </c>
      <c r="E22" s="11">
        <f>IFERROR(100/'Skjema total MA'!C22*C22,0)</f>
        <v>15.488516462294772</v>
      </c>
      <c r="F22" s="316">
        <v>72337.660999999993</v>
      </c>
      <c r="G22" s="316">
        <v>96217</v>
      </c>
      <c r="H22" s="348">
        <f t="shared" ref="H22:H35" si="6">IF(F22=0, "    ---- ", IF(ABS(ROUND(100/F22*G22-100,1))&lt;999,ROUND(100/F22*G22-100,1),IF(ROUND(100/F22*G22-100,1)&gt;999,999,-999)))</f>
        <v>33</v>
      </c>
      <c r="I22" s="11">
        <f>IFERROR(100/'Skjema total MA'!F22*G22,0)</f>
        <v>12.004937891410872</v>
      </c>
      <c r="J22" s="314">
        <f t="shared" ref="J22:K35" si="7">SUM(B22,F22)</f>
        <v>233528.65599999999</v>
      </c>
      <c r="K22" s="314">
        <f t="shared" si="7"/>
        <v>269807</v>
      </c>
      <c r="L22" s="424">
        <f t="shared" ref="L22:L35" si="8">IF(J22=0, "    ---- ", IF(ABS(ROUND(100/J22*K22-100,1))&lt;999,ROUND(100/J22*K22-100,1),IF(ROUND(100/J22*K22-100,1)&gt;999,999,-999)))</f>
        <v>15.5</v>
      </c>
      <c r="M22" s="23">
        <f>IFERROR(100/'Skjema total MA'!I22*K22,0)</f>
        <v>14.036040650468006</v>
      </c>
    </row>
    <row r="23" spans="1:14" ht="15.75" x14ac:dyDescent="0.2">
      <c r="A23" s="580" t="s">
        <v>367</v>
      </c>
      <c r="B23" s="279">
        <v>131838.848</v>
      </c>
      <c r="C23" s="279">
        <v>145274.99947501</v>
      </c>
      <c r="D23" s="165">
        <f t="shared" si="5"/>
        <v>10.199999999999999</v>
      </c>
      <c r="E23" s="11">
        <f>IFERROR(100/'Skjema total MA'!C23*C23,0)</f>
        <v>32.377915428016671</v>
      </c>
      <c r="F23" s="288">
        <v>67403.036999999997</v>
      </c>
      <c r="G23" s="288">
        <v>91539</v>
      </c>
      <c r="H23" s="165">
        <f t="shared" si="6"/>
        <v>35.799999999999997</v>
      </c>
      <c r="I23" s="414">
        <f>IFERROR(100/'Skjema total MA'!F23*G23,0)</f>
        <v>63.37723219932186</v>
      </c>
      <c r="J23" s="288">
        <f t="shared" ref="J23:J25" si="9">SUM(B23,F23)</f>
        <v>199241.88500000001</v>
      </c>
      <c r="K23" s="288">
        <f t="shared" ref="K23:K25" si="10">SUM(C23,G23)</f>
        <v>236813.99947501</v>
      </c>
      <c r="L23" s="165">
        <f t="shared" si="8"/>
        <v>18.899999999999999</v>
      </c>
      <c r="M23" s="22">
        <f>IFERROR(100/'Skjema total MA'!I23*K23,0)</f>
        <v>39.926786368344537</v>
      </c>
    </row>
    <row r="24" spans="1:14" ht="15.75" x14ac:dyDescent="0.2">
      <c r="A24" s="580" t="s">
        <v>368</v>
      </c>
      <c r="B24" s="279">
        <v>13500.983</v>
      </c>
      <c r="C24" s="279">
        <v>10294.375472490599</v>
      </c>
      <c r="D24" s="165">
        <f t="shared" si="5"/>
        <v>-23.8</v>
      </c>
      <c r="E24" s="11">
        <f>IFERROR(100/'Skjema total MA'!C24*C24,0)</f>
        <v>74.367417711914925</v>
      </c>
      <c r="F24" s="288">
        <v>15.643000000000001</v>
      </c>
      <c r="G24" s="288">
        <v>14</v>
      </c>
      <c r="H24" s="165">
        <f t="shared" si="6"/>
        <v>-10.5</v>
      </c>
      <c r="I24" s="414">
        <f>IFERROR(100/'Skjema total MA'!F24*G24,0)</f>
        <v>25.356214056434602</v>
      </c>
      <c r="J24" s="288">
        <f>SUM(B24,F24)</f>
        <v>13516.626</v>
      </c>
      <c r="K24" s="288">
        <f t="shared" si="10"/>
        <v>10308.375472490599</v>
      </c>
      <c r="L24" s="165">
        <f t="shared" si="8"/>
        <v>-23.7</v>
      </c>
      <c r="M24" s="22">
        <f>IFERROR(100/'Skjema total MA'!I24*K24,0)</f>
        <v>74.172705635999691</v>
      </c>
    </row>
    <row r="25" spans="1:14" ht="15.75" x14ac:dyDescent="0.2">
      <c r="A25" s="580" t="s">
        <v>369</v>
      </c>
      <c r="B25" s="279">
        <v>15851.164000000001</v>
      </c>
      <c r="C25" s="279">
        <v>18020.625052498901</v>
      </c>
      <c r="D25" s="165">
        <f t="shared" si="5"/>
        <v>13.7</v>
      </c>
      <c r="E25" s="11">
        <f>IFERROR(100/'Skjema total MA'!C25*C25,0)</f>
        <v>99.514208585785013</v>
      </c>
      <c r="F25" s="288">
        <v>4918.9809999999998</v>
      </c>
      <c r="G25" s="288">
        <v>4664</v>
      </c>
      <c r="H25" s="165">
        <f t="shared" si="6"/>
        <v>-5.2</v>
      </c>
      <c r="I25" s="414">
        <f>IFERROR(100/'Skjema total MA'!F25*G25,0)</f>
        <v>57.955413627861617</v>
      </c>
      <c r="J25" s="288">
        <f t="shared" si="9"/>
        <v>20770.145</v>
      </c>
      <c r="K25" s="288">
        <f t="shared" si="10"/>
        <v>22684.625052498901</v>
      </c>
      <c r="L25" s="165">
        <f t="shared" si="8"/>
        <v>9.1999999999999993</v>
      </c>
      <c r="M25" s="22">
        <f>IFERROR(100/'Skjema total MA'!I25*K25,0)</f>
        <v>86.727655674719514</v>
      </c>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v>58939.673999999999</v>
      </c>
      <c r="C28" s="285">
        <v>53789.828000000001</v>
      </c>
      <c r="D28" s="165">
        <f t="shared" si="5"/>
        <v>-8.6999999999999993</v>
      </c>
      <c r="E28" s="11">
        <f>IFERROR(100/'Skjema total MA'!C28*C28,0)</f>
        <v>4.4069291881191912</v>
      </c>
      <c r="F28" s="232"/>
      <c r="G28" s="285"/>
      <c r="H28" s="165"/>
      <c r="I28" s="26"/>
      <c r="J28" s="43">
        <f t="shared" si="7"/>
        <v>58939.673999999999</v>
      </c>
      <c r="K28" s="43">
        <f t="shared" si="7"/>
        <v>53789.828000000001</v>
      </c>
      <c r="L28" s="252">
        <f t="shared" si="8"/>
        <v>-8.6999999999999993</v>
      </c>
      <c r="M28" s="22">
        <f>IFERROR(100/'Skjema total MA'!I28*K28,0)</f>
        <v>4.4069291881191912</v>
      </c>
    </row>
    <row r="29" spans="1:14" s="3" customFormat="1" ht="15.75" x14ac:dyDescent="0.2">
      <c r="A29" s="13" t="s">
        <v>364</v>
      </c>
      <c r="B29" s="234">
        <v>24383749</v>
      </c>
      <c r="C29" s="234">
        <v>23097635</v>
      </c>
      <c r="D29" s="170">
        <f t="shared" si="5"/>
        <v>-5.3</v>
      </c>
      <c r="E29" s="11">
        <f>IFERROR(100/'Skjema total MA'!C29*C29,0)</f>
        <v>50.709685541571183</v>
      </c>
      <c r="F29" s="306">
        <v>5380863.2759999996</v>
      </c>
      <c r="G29" s="306">
        <v>5235600.1869999999</v>
      </c>
      <c r="H29" s="170">
        <f t="shared" si="6"/>
        <v>-2.7</v>
      </c>
      <c r="I29" s="11">
        <f>IFERROR(100/'Skjema total MA'!F29*G29,0)</f>
        <v>20.383225044047155</v>
      </c>
      <c r="J29" s="234">
        <f t="shared" si="7"/>
        <v>29764612.276000001</v>
      </c>
      <c r="K29" s="234">
        <f t="shared" si="7"/>
        <v>28333235.186999999</v>
      </c>
      <c r="L29" s="425">
        <f t="shared" si="8"/>
        <v>-4.8</v>
      </c>
      <c r="M29" s="23">
        <f>IFERROR(100/'Skjema total MA'!I29*K29,0)</f>
        <v>39.774545295934367</v>
      </c>
      <c r="N29" s="147"/>
    </row>
    <row r="30" spans="1:14" s="3" customFormat="1" ht="15.75" x14ac:dyDescent="0.2">
      <c r="A30" s="580" t="s">
        <v>367</v>
      </c>
      <c r="B30" s="279">
        <v>9691145.4199999999</v>
      </c>
      <c r="C30" s="279">
        <v>9179988.6758311596</v>
      </c>
      <c r="D30" s="165">
        <f t="shared" si="5"/>
        <v>-5.3</v>
      </c>
      <c r="E30" s="11">
        <f>IFERROR(100/'Skjema total MA'!C30*C30,0)</f>
        <v>67.847307790144299</v>
      </c>
      <c r="F30" s="288">
        <v>2018910.6259999999</v>
      </c>
      <c r="G30" s="288">
        <v>1623761.19</v>
      </c>
      <c r="H30" s="165">
        <f t="shared" si="6"/>
        <v>-19.600000000000001</v>
      </c>
      <c r="I30" s="414">
        <f>IFERROR(100/'Skjema total MA'!F30*G30,0)</f>
        <v>38.955606452441529</v>
      </c>
      <c r="J30" s="288">
        <f t="shared" ref="J30:J32" si="11">SUM(B30,F30)</f>
        <v>11710056.046</v>
      </c>
      <c r="K30" s="288">
        <f t="shared" ref="K30:K32" si="12">SUM(C30,G30)</f>
        <v>10803749.865831159</v>
      </c>
      <c r="L30" s="165">
        <f t="shared" si="8"/>
        <v>-7.7</v>
      </c>
      <c r="M30" s="22">
        <f>IFERROR(100/'Skjema total MA'!I30*K30,0)</f>
        <v>61.042961911014046</v>
      </c>
      <c r="N30" s="147"/>
    </row>
    <row r="31" spans="1:14" s="3" customFormat="1" ht="15.75" x14ac:dyDescent="0.2">
      <c r="A31" s="580" t="s">
        <v>368</v>
      </c>
      <c r="B31" s="279">
        <v>12189944.630000001</v>
      </c>
      <c r="C31" s="279">
        <v>11546989.416287599</v>
      </c>
      <c r="D31" s="165">
        <f t="shared" si="5"/>
        <v>-5.3</v>
      </c>
      <c r="E31" s="11">
        <f>IFERROR(100/'Skjema total MA'!C31*C31,0)</f>
        <v>50.407546241071039</v>
      </c>
      <c r="F31" s="288">
        <v>2925247.4610000001</v>
      </c>
      <c r="G31" s="288">
        <v>3091251.99</v>
      </c>
      <c r="H31" s="165">
        <f t="shared" si="6"/>
        <v>5.7</v>
      </c>
      <c r="I31" s="414">
        <f>IFERROR(100/'Skjema total MA'!F31*G31,0)</f>
        <v>31.929011785135753</v>
      </c>
      <c r="J31" s="288">
        <f t="shared" si="11"/>
        <v>15115192.091000002</v>
      </c>
      <c r="K31" s="288">
        <f t="shared" si="12"/>
        <v>14638241.406287599</v>
      </c>
      <c r="L31" s="165">
        <f t="shared" si="8"/>
        <v>-3.2</v>
      </c>
      <c r="M31" s="22">
        <f>IFERROR(100/'Skjema total MA'!I31*K31,0)</f>
        <v>44.917870310489505</v>
      </c>
      <c r="N31" s="147"/>
    </row>
    <row r="32" spans="1:14" ht="15.75" x14ac:dyDescent="0.2">
      <c r="A32" s="580" t="s">
        <v>369</v>
      </c>
      <c r="B32" s="279">
        <v>2502658.9500000002</v>
      </c>
      <c r="C32" s="279">
        <v>2370656.9078812399</v>
      </c>
      <c r="D32" s="165">
        <f t="shared" si="5"/>
        <v>-5.3</v>
      </c>
      <c r="E32" s="11">
        <f>IFERROR(100/'Skjema total MA'!C32*C32,0)</f>
        <v>80.508378834547045</v>
      </c>
      <c r="F32" s="288">
        <v>436705.18900000001</v>
      </c>
      <c r="G32" s="288">
        <v>520587.00699999998</v>
      </c>
      <c r="H32" s="165">
        <f t="shared" si="6"/>
        <v>19.2</v>
      </c>
      <c r="I32" s="414">
        <f>IFERROR(100/'Skjema total MA'!F32*G32,0)</f>
        <v>9.1703483478219265</v>
      </c>
      <c r="J32" s="288">
        <f t="shared" si="11"/>
        <v>2939364.1390000004</v>
      </c>
      <c r="K32" s="288">
        <f t="shared" si="12"/>
        <v>2891243.9148812396</v>
      </c>
      <c r="L32" s="165">
        <f t="shared" si="8"/>
        <v>-1.6</v>
      </c>
      <c r="M32" s="22">
        <f>IFERROR(100/'Skjema total MA'!I32*K32,0)</f>
        <v>33.535433188530455</v>
      </c>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v>6178</v>
      </c>
      <c r="C34" s="307">
        <v>-1697</v>
      </c>
      <c r="D34" s="170">
        <f t="shared" si="5"/>
        <v>-127.5</v>
      </c>
      <c r="E34" s="11">
        <f>IFERROR(100/'Skjema total MA'!C34*C34,0)</f>
        <v>-29.974939043303106</v>
      </c>
      <c r="F34" s="306">
        <v>-50118</v>
      </c>
      <c r="G34" s="307">
        <v>-54251</v>
      </c>
      <c r="H34" s="170">
        <f t="shared" si="6"/>
        <v>8.1999999999999993</v>
      </c>
      <c r="I34" s="11">
        <f>IFERROR(100/'Skjema total MA'!F34*G34,0)</f>
        <v>-251.28584627151128</v>
      </c>
      <c r="J34" s="234">
        <f t="shared" si="7"/>
        <v>-43940</v>
      </c>
      <c r="K34" s="234">
        <f t="shared" si="7"/>
        <v>-55948</v>
      </c>
      <c r="L34" s="425">
        <f t="shared" si="8"/>
        <v>27.3</v>
      </c>
      <c r="M34" s="23">
        <f>IFERROR(100/'Skjema total MA'!I34*K34,0)</f>
        <v>-205.30808351273774</v>
      </c>
    </row>
    <row r="35" spans="1:14" ht="15.75" x14ac:dyDescent="0.2">
      <c r="A35" s="13" t="s">
        <v>366</v>
      </c>
      <c r="B35" s="234">
        <v>-63981</v>
      </c>
      <c r="C35" s="307">
        <v>-66274</v>
      </c>
      <c r="D35" s="170">
        <f t="shared" si="5"/>
        <v>3.6</v>
      </c>
      <c r="E35" s="11">
        <f>IFERROR(100/'Skjema total MA'!C35*C35,0)</f>
        <v>100.68597070478316</v>
      </c>
      <c r="F35" s="306">
        <v>28789</v>
      </c>
      <c r="G35" s="307">
        <v>14665</v>
      </c>
      <c r="H35" s="170">
        <f t="shared" si="6"/>
        <v>-49.1</v>
      </c>
      <c r="I35" s="11">
        <f>IFERROR(100/'Skjema total MA'!F35*G35,0)</f>
        <v>13.314957670012221</v>
      </c>
      <c r="J35" s="234">
        <f t="shared" si="7"/>
        <v>-35192</v>
      </c>
      <c r="K35" s="234">
        <f t="shared" si="7"/>
        <v>-51609</v>
      </c>
      <c r="L35" s="425">
        <f t="shared" si="8"/>
        <v>46.6</v>
      </c>
      <c r="M35" s="23">
        <f>IFERROR(100/'Skjema total MA'!I35*K35,0)</f>
        <v>-116.45467086949284</v>
      </c>
    </row>
    <row r="36" spans="1:14" ht="15.75" x14ac:dyDescent="0.2">
      <c r="A36" s="12" t="s">
        <v>283</v>
      </c>
      <c r="B36" s="234">
        <v>1916</v>
      </c>
      <c r="C36" s="307">
        <v>1542</v>
      </c>
      <c r="D36" s="170">
        <f t="shared" si="5"/>
        <v>-19.5</v>
      </c>
      <c r="E36" s="11">
        <f>100/'Skjema total MA'!C36*C36</f>
        <v>97.393984563495565</v>
      </c>
      <c r="F36" s="317"/>
      <c r="G36" s="318"/>
      <c r="H36" s="170"/>
      <c r="I36" s="431"/>
      <c r="J36" s="234">
        <f t="shared" ref="J36:J39" si="13">SUM(B36,F36)</f>
        <v>1916</v>
      </c>
      <c r="K36" s="234">
        <f t="shared" ref="K36:K39" si="14">SUM(C36,G36)</f>
        <v>1542</v>
      </c>
      <c r="L36" s="425"/>
      <c r="M36" s="23">
        <f>IFERROR(100/'Skjema total MA'!I36*K36,0)</f>
        <v>97.393984563495565</v>
      </c>
    </row>
    <row r="37" spans="1:14" ht="15.75" x14ac:dyDescent="0.2">
      <c r="A37" s="12" t="s">
        <v>372</v>
      </c>
      <c r="B37" s="234">
        <v>3121615</v>
      </c>
      <c r="C37" s="307">
        <v>2903228</v>
      </c>
      <c r="D37" s="170">
        <f t="shared" si="5"/>
        <v>-7</v>
      </c>
      <c r="E37" s="11">
        <f>100/'Skjema total MA'!C37*C37</f>
        <v>86.555777497854919</v>
      </c>
      <c r="F37" s="317"/>
      <c r="G37" s="319"/>
      <c r="H37" s="170"/>
      <c r="I37" s="431"/>
      <c r="J37" s="234">
        <f t="shared" si="13"/>
        <v>3121615</v>
      </c>
      <c r="K37" s="234">
        <f t="shared" si="14"/>
        <v>2903228</v>
      </c>
      <c r="L37" s="425"/>
      <c r="M37" s="23">
        <f>IFERROR(100/'Skjema total MA'!I37*K37,0)</f>
        <v>86.555777497854919</v>
      </c>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v>0</v>
      </c>
      <c r="C39" s="313">
        <v>3</v>
      </c>
      <c r="D39" s="168" t="str">
        <f t="shared" si="5"/>
        <v xml:space="preserve">    ---- </v>
      </c>
      <c r="E39" s="35">
        <f>IFERROR(100/'Skjema total MA'!C38*C39,0)</f>
        <v>0</v>
      </c>
      <c r="F39" s="320"/>
      <c r="G39" s="321"/>
      <c r="H39" s="168"/>
      <c r="I39" s="35"/>
      <c r="J39" s="234">
        <f t="shared" si="13"/>
        <v>0</v>
      </c>
      <c r="K39" s="234">
        <f t="shared" si="14"/>
        <v>3</v>
      </c>
      <c r="L39" s="426"/>
      <c r="M39" s="35">
        <f>IFERROR(100/'Skjema total MA'!I39*K39,0)</f>
        <v>100</v>
      </c>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468756</v>
      </c>
      <c r="C47" s="309">
        <v>510360</v>
      </c>
      <c r="D47" s="424">
        <f t="shared" ref="D47:D57" si="15">IF(B47=0, "    ---- ", IF(ABS(ROUND(100/B47*C47-100,1))&lt;999,ROUND(100/B47*C47-100,1),IF(ROUND(100/B47*C47-100,1)&gt;999,999,-999)))</f>
        <v>8.9</v>
      </c>
      <c r="E47" s="11">
        <f>IFERROR(100/'Skjema total MA'!C47*C47,0)</f>
        <v>12.870465569690735</v>
      </c>
      <c r="F47" s="144"/>
      <c r="G47" s="32"/>
      <c r="H47" s="158"/>
      <c r="I47" s="158"/>
      <c r="J47" s="36"/>
      <c r="K47" s="36"/>
      <c r="L47" s="158"/>
      <c r="M47" s="158"/>
      <c r="N47" s="147"/>
    </row>
    <row r="48" spans="1:14" s="3" customFormat="1" ht="15.75" x14ac:dyDescent="0.2">
      <c r="A48" s="37" t="s">
        <v>375</v>
      </c>
      <c r="B48" s="279">
        <v>468756</v>
      </c>
      <c r="C48" s="280">
        <v>510360</v>
      </c>
      <c r="D48" s="252">
        <f t="shared" si="15"/>
        <v>8.9</v>
      </c>
      <c r="E48" s="26">
        <f>IFERROR(100/'Skjema total MA'!C48*C48,0)</f>
        <v>22.425917486708865</v>
      </c>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v>50856</v>
      </c>
      <c r="C53" s="309">
        <v>31900</v>
      </c>
      <c r="D53" s="425">
        <f t="shared" si="15"/>
        <v>-37.299999999999997</v>
      </c>
      <c r="E53" s="11">
        <f>IFERROR(100/'Skjema total MA'!C53*C53,0)</f>
        <v>13.568076885791704</v>
      </c>
      <c r="F53" s="144"/>
      <c r="G53" s="32"/>
      <c r="H53" s="144"/>
      <c r="I53" s="144"/>
      <c r="J53" s="32"/>
      <c r="K53" s="32"/>
      <c r="L53" s="158"/>
      <c r="M53" s="158"/>
      <c r="N53" s="147"/>
    </row>
    <row r="54" spans="1:14" s="3" customFormat="1" ht="15.75" x14ac:dyDescent="0.2">
      <c r="A54" s="37" t="s">
        <v>375</v>
      </c>
      <c r="B54" s="279">
        <v>50856</v>
      </c>
      <c r="C54" s="280">
        <v>31900</v>
      </c>
      <c r="D54" s="252">
        <f t="shared" si="15"/>
        <v>-37.299999999999997</v>
      </c>
      <c r="E54" s="26">
        <f>IFERROR(100/'Skjema total MA'!C54*C54,0)</f>
        <v>13.914948276697778</v>
      </c>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v>8158</v>
      </c>
      <c r="C56" s="309">
        <v>26200</v>
      </c>
      <c r="D56" s="425">
        <f t="shared" si="15"/>
        <v>221.2</v>
      </c>
      <c r="E56" s="11">
        <f>IFERROR(100/'Skjema total MA'!C56*C56,0)</f>
        <v>28.062181982243342</v>
      </c>
      <c r="F56" s="144"/>
      <c r="G56" s="32"/>
      <c r="H56" s="144"/>
      <c r="I56" s="144"/>
      <c r="J56" s="32"/>
      <c r="K56" s="32"/>
      <c r="L56" s="158"/>
      <c r="M56" s="158"/>
      <c r="N56" s="147"/>
    </row>
    <row r="57" spans="1:14" s="3" customFormat="1" ht="15.75" x14ac:dyDescent="0.2">
      <c r="A57" s="37" t="s">
        <v>375</v>
      </c>
      <c r="B57" s="279">
        <v>8158</v>
      </c>
      <c r="C57" s="280">
        <v>26200</v>
      </c>
      <c r="D57" s="252">
        <f t="shared" si="15"/>
        <v>221.2</v>
      </c>
      <c r="E57" s="26">
        <f>IFERROR(100/'Skjema total MA'!C57*C57,0)</f>
        <v>28.062181982243342</v>
      </c>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v>1235977</v>
      </c>
      <c r="C66" s="351">
        <v>1125302.7650000001</v>
      </c>
      <c r="D66" s="348">
        <f t="shared" ref="D66:D112" si="16">IF(B66=0, "    ---- ", IF(ABS(ROUND(100/B66*C66-100,1))&lt;999,ROUND(100/B66*C66-100,1),IF(ROUND(100/B66*C66-100,1)&gt;999,999,-999)))</f>
        <v>-9</v>
      </c>
      <c r="E66" s="11">
        <f>IFERROR(100/'Skjema total MA'!C66*C66,0)</f>
        <v>24.048611539959026</v>
      </c>
      <c r="F66" s="350">
        <v>4529377.4950000001</v>
      </c>
      <c r="G66" s="350">
        <v>5303611</v>
      </c>
      <c r="H66" s="348">
        <f t="shared" ref="H66:H112" si="17">IF(F66=0, "    ---- ", IF(ABS(ROUND(100/F66*G66-100,1))&lt;999,ROUND(100/F66*G66-100,1),IF(ROUND(100/F66*G66-100,1)&gt;999,999,-999)))</f>
        <v>17.100000000000001</v>
      </c>
      <c r="I66" s="11">
        <f>IFERROR(100/'Skjema total MA'!F66*G66,0)</f>
        <v>28.4889323078852</v>
      </c>
      <c r="J66" s="307">
        <f t="shared" ref="J66:K86" si="18">SUM(B66,F66)</f>
        <v>5765354.4950000001</v>
      </c>
      <c r="K66" s="314">
        <f t="shared" si="18"/>
        <v>6428913.7650000006</v>
      </c>
      <c r="L66" s="425">
        <f t="shared" ref="L66:L112" si="19">IF(J66=0, "    ---- ", IF(ABS(ROUND(100/J66*K66-100,1))&lt;999,ROUND(100/J66*K66-100,1),IF(ROUND(100/J66*K66-100,1)&gt;999,999,-999)))</f>
        <v>11.5</v>
      </c>
      <c r="M66" s="11">
        <f>IFERROR(100/'Skjema total MA'!I66*K66,0)</f>
        <v>27.59702765048058</v>
      </c>
    </row>
    <row r="67" spans="1:14" x14ac:dyDescent="0.2">
      <c r="A67" s="20" t="s">
        <v>9</v>
      </c>
      <c r="B67" s="43">
        <v>1104633</v>
      </c>
      <c r="C67" s="144">
        <v>976686</v>
      </c>
      <c r="D67" s="165">
        <f t="shared" si="16"/>
        <v>-11.6</v>
      </c>
      <c r="E67" s="26">
        <f>IFERROR(100/'Skjema total MA'!C67*C67,0)</f>
        <v>28.584348206776767</v>
      </c>
      <c r="F67" s="232"/>
      <c r="G67" s="144"/>
      <c r="H67" s="165"/>
      <c r="I67" s="26"/>
      <c r="J67" s="285">
        <f t="shared" si="18"/>
        <v>1104633</v>
      </c>
      <c r="K67" s="43">
        <f t="shared" si="18"/>
        <v>976686</v>
      </c>
      <c r="L67" s="252">
        <f t="shared" si="19"/>
        <v>-11.6</v>
      </c>
      <c r="M67" s="26">
        <f>IFERROR(100/'Skjema total MA'!I67*K67,0)</f>
        <v>28.584348206776767</v>
      </c>
    </row>
    <row r="68" spans="1:14" x14ac:dyDescent="0.2">
      <c r="A68" s="20" t="s">
        <v>10</v>
      </c>
      <c r="B68" s="290"/>
      <c r="C68" s="291"/>
      <c r="D68" s="165"/>
      <c r="E68" s="26"/>
      <c r="F68" s="290">
        <v>4529377.4950000001</v>
      </c>
      <c r="G68" s="737">
        <v>5303611</v>
      </c>
      <c r="H68" s="165">
        <f t="shared" si="17"/>
        <v>17.100000000000001</v>
      </c>
      <c r="I68" s="26">
        <f>IFERROR(100/'Skjema total MA'!F68*G68,0)</f>
        <v>29.666700001794524</v>
      </c>
      <c r="J68" s="285">
        <f t="shared" si="18"/>
        <v>4529377.4950000001</v>
      </c>
      <c r="K68" s="43">
        <f t="shared" si="18"/>
        <v>5303611</v>
      </c>
      <c r="L68" s="252">
        <f t="shared" si="19"/>
        <v>17.100000000000001</v>
      </c>
      <c r="M68" s="26">
        <f>IFERROR(100/'Skjema total MA'!I68*K68,0)</f>
        <v>29.626078429209599</v>
      </c>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v>131344</v>
      </c>
      <c r="C76" s="144">
        <v>148616.76500000001</v>
      </c>
      <c r="D76" s="165">
        <f t="shared" ref="D76" si="20">IF(B76=0, "    ---- ", IF(ABS(ROUND(100/B76*C76-100,1))&lt;999,ROUND(100/B76*C76-100,1),IF(ROUND(100/B76*C76-100,1)&gt;999,999,-999)))</f>
        <v>13.2</v>
      </c>
      <c r="E76" s="26">
        <f>IFERROR(100/'Skjema total MA'!C77*C76,0)</f>
        <v>4.42718159012556</v>
      </c>
      <c r="F76" s="232"/>
      <c r="G76" s="144"/>
      <c r="H76" s="165"/>
      <c r="I76" s="26"/>
      <c r="J76" s="285">
        <f t="shared" ref="J76" si="21">SUM(B76,F76)</f>
        <v>131344</v>
      </c>
      <c r="K76" s="43">
        <f t="shared" ref="K76" si="22">SUM(C76,G76)</f>
        <v>148616.76500000001</v>
      </c>
      <c r="L76" s="252">
        <f t="shared" ref="L76" si="23">IF(J76=0, "    ---- ", IF(ABS(ROUND(100/J76*K76-100,1))&lt;999,ROUND(100/J76*K76-100,1),IF(ROUND(100/J76*K76-100,1)&gt;999,999,-999)))</f>
        <v>13.2</v>
      </c>
      <c r="M76" s="26">
        <f>IFERROR(100/'Skjema total MA'!I77*K76,0)</f>
        <v>0.7001000537071046</v>
      </c>
      <c r="N76" s="147"/>
    </row>
    <row r="77" spans="1:14" ht="15.75" x14ac:dyDescent="0.2">
      <c r="A77" s="20" t="s">
        <v>381</v>
      </c>
      <c r="B77" s="232">
        <v>1075818</v>
      </c>
      <c r="C77" s="232">
        <v>959288</v>
      </c>
      <c r="D77" s="165">
        <f t="shared" si="16"/>
        <v>-10.8</v>
      </c>
      <c r="E77" s="26">
        <f>IFERROR(100/'Skjema total MA'!C77*C77,0)</f>
        <v>28.576467622803978</v>
      </c>
      <c r="F77" s="232">
        <v>4529377.4950000001</v>
      </c>
      <c r="G77" s="144">
        <v>5303611</v>
      </c>
      <c r="H77" s="165">
        <f t="shared" si="17"/>
        <v>17.100000000000001</v>
      </c>
      <c r="I77" s="26">
        <f>IFERROR(100/'Skjema total MA'!F77*G77,0)</f>
        <v>29.677165052806028</v>
      </c>
      <c r="J77" s="285">
        <f t="shared" si="18"/>
        <v>5605195.4950000001</v>
      </c>
      <c r="K77" s="43">
        <f t="shared" si="18"/>
        <v>6262899</v>
      </c>
      <c r="L77" s="252">
        <f t="shared" si="19"/>
        <v>11.7</v>
      </c>
      <c r="M77" s="26">
        <f>IFERROR(100/'Skjema total MA'!I77*K77,0)</f>
        <v>29.503104352070718</v>
      </c>
    </row>
    <row r="78" spans="1:14" x14ac:dyDescent="0.2">
      <c r="A78" s="20" t="s">
        <v>9</v>
      </c>
      <c r="B78" s="232">
        <v>1075818</v>
      </c>
      <c r="C78" s="144">
        <v>959288</v>
      </c>
      <c r="D78" s="165">
        <f t="shared" si="16"/>
        <v>-10.8</v>
      </c>
      <c r="E78" s="26">
        <f>IFERROR(100/'Skjema total MA'!C78*C78,0)</f>
        <v>28.775980460417422</v>
      </c>
      <c r="F78" s="232"/>
      <c r="G78" s="144"/>
      <c r="H78" s="165"/>
      <c r="I78" s="26"/>
      <c r="J78" s="285">
        <f t="shared" si="18"/>
        <v>1075818</v>
      </c>
      <c r="K78" s="43">
        <f t="shared" si="18"/>
        <v>959288</v>
      </c>
      <c r="L78" s="252">
        <f t="shared" si="19"/>
        <v>-10.8</v>
      </c>
      <c r="M78" s="26">
        <f>IFERROR(100/'Skjema total MA'!I78*K78,0)</f>
        <v>28.775980460417422</v>
      </c>
    </row>
    <row r="79" spans="1:14" x14ac:dyDescent="0.2">
      <c r="A79" s="729" t="s">
        <v>423</v>
      </c>
      <c r="B79" s="290"/>
      <c r="C79" s="291"/>
      <c r="D79" s="165"/>
      <c r="E79" s="26"/>
      <c r="F79" s="290">
        <v>4529377.4950000001</v>
      </c>
      <c r="G79" s="291">
        <v>5303611</v>
      </c>
      <c r="H79" s="165">
        <f t="shared" si="17"/>
        <v>17.100000000000001</v>
      </c>
      <c r="I79" s="26">
        <f>IFERROR(100/'Skjema total MA'!F79*G79,0)</f>
        <v>29.677165052806028</v>
      </c>
      <c r="J79" s="285">
        <f t="shared" si="18"/>
        <v>4529377.4950000001</v>
      </c>
      <c r="K79" s="43">
        <f t="shared" si="18"/>
        <v>5303611</v>
      </c>
      <c r="L79" s="252">
        <f t="shared" si="19"/>
        <v>17.100000000000001</v>
      </c>
      <c r="M79" s="26">
        <f>IFERROR(100/'Skjema total MA'!I79*K79,0)</f>
        <v>29.638564892888702</v>
      </c>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v>28815</v>
      </c>
      <c r="C86" s="144">
        <v>17397.883999999998</v>
      </c>
      <c r="D86" s="165">
        <f t="shared" si="16"/>
        <v>-39.6</v>
      </c>
      <c r="E86" s="26">
        <f>IFERROR(100/'Skjema total MA'!C86*C86,0)</f>
        <v>20.600858999264268</v>
      </c>
      <c r="F86" s="232"/>
      <c r="G86" s="144"/>
      <c r="H86" s="165"/>
      <c r="I86" s="26"/>
      <c r="J86" s="285">
        <f t="shared" si="18"/>
        <v>28815</v>
      </c>
      <c r="K86" s="43">
        <f t="shared" si="18"/>
        <v>17397.883999999998</v>
      </c>
      <c r="L86" s="252">
        <f t="shared" si="19"/>
        <v>-39.6</v>
      </c>
      <c r="M86" s="26">
        <f>IFERROR(100/'Skjema total MA'!I86*K86,0)</f>
        <v>19.169891058772684</v>
      </c>
    </row>
    <row r="87" spans="1:13" ht="15.75" x14ac:dyDescent="0.2">
      <c r="A87" s="13" t="s">
        <v>364</v>
      </c>
      <c r="B87" s="351">
        <v>156254661</v>
      </c>
      <c r="C87" s="351">
        <v>158621788.74615002</v>
      </c>
      <c r="D87" s="170">
        <f t="shared" si="16"/>
        <v>1.5</v>
      </c>
      <c r="E87" s="11">
        <f>IFERROR(100/'Skjema total MA'!C87*C87,0)</f>
        <v>39.401417268753562</v>
      </c>
      <c r="F87" s="350">
        <v>83811099.880999997</v>
      </c>
      <c r="G87" s="350">
        <v>117225364</v>
      </c>
      <c r="H87" s="170">
        <f t="shared" si="17"/>
        <v>39.9</v>
      </c>
      <c r="I87" s="11">
        <f>IFERROR(100/'Skjema total MA'!F87*G87,0)</f>
        <v>28.016863836146452</v>
      </c>
      <c r="J87" s="307">
        <f t="shared" ref="J87:K112" si="24">SUM(B87,F87)</f>
        <v>240065760.88099998</v>
      </c>
      <c r="K87" s="234">
        <f t="shared" si="24"/>
        <v>275847152.74615002</v>
      </c>
      <c r="L87" s="425">
        <f t="shared" si="19"/>
        <v>14.9</v>
      </c>
      <c r="M87" s="11">
        <f>IFERROR(100/'Skjema total MA'!I87*K87,0)</f>
        <v>33.599376421272865</v>
      </c>
    </row>
    <row r="88" spans="1:13" x14ac:dyDescent="0.2">
      <c r="A88" s="20" t="s">
        <v>9</v>
      </c>
      <c r="B88" s="232">
        <v>156121414</v>
      </c>
      <c r="C88" s="144">
        <v>158479075.16115001</v>
      </c>
      <c r="D88" s="165">
        <f t="shared" si="16"/>
        <v>1.5</v>
      </c>
      <c r="E88" s="26">
        <f>IFERROR(100/'Skjema total MA'!C88*C88,0)</f>
        <v>40.661197111681545</v>
      </c>
      <c r="F88" s="232"/>
      <c r="G88" s="144"/>
      <c r="H88" s="165"/>
      <c r="I88" s="26"/>
      <c r="J88" s="285">
        <f t="shared" si="24"/>
        <v>156121414</v>
      </c>
      <c r="K88" s="43">
        <f t="shared" si="24"/>
        <v>158479075.16115001</v>
      </c>
      <c r="L88" s="252">
        <f t="shared" si="19"/>
        <v>1.5</v>
      </c>
      <c r="M88" s="26">
        <f>IFERROR(100/'Skjema total MA'!I88*K88,0)</f>
        <v>40.661197111681545</v>
      </c>
    </row>
    <row r="89" spans="1:13" x14ac:dyDescent="0.2">
      <c r="A89" s="20" t="s">
        <v>10</v>
      </c>
      <c r="B89" s="232">
        <v>97401</v>
      </c>
      <c r="C89" s="144">
        <v>94758</v>
      </c>
      <c r="D89" s="165">
        <f t="shared" si="16"/>
        <v>-2.7</v>
      </c>
      <c r="E89" s="26">
        <f>IFERROR(100/'Skjema total MA'!C89*C89,0)</f>
        <v>3.0712026785751538</v>
      </c>
      <c r="F89" s="232">
        <v>83811099.880999997</v>
      </c>
      <c r="G89" s="144">
        <v>117225364</v>
      </c>
      <c r="H89" s="165">
        <f t="shared" si="17"/>
        <v>39.9</v>
      </c>
      <c r="I89" s="26">
        <f>IFERROR(100/'Skjema total MA'!F89*G89,0)</f>
        <v>28.293270105660497</v>
      </c>
      <c r="J89" s="285">
        <f t="shared" si="24"/>
        <v>83908500.880999997</v>
      </c>
      <c r="K89" s="43">
        <f t="shared" si="24"/>
        <v>117320122</v>
      </c>
      <c r="L89" s="252">
        <f t="shared" si="19"/>
        <v>39.799999999999997</v>
      </c>
      <c r="M89" s="26">
        <f>IFERROR(100/'Skjema total MA'!I89*K89,0)</f>
        <v>28.106835070245815</v>
      </c>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v>35846</v>
      </c>
      <c r="C97" s="144">
        <v>47955.584999999999</v>
      </c>
      <c r="D97" s="165">
        <f t="shared" ref="D97" si="25">IF(B97=0, "    ---- ", IF(ABS(ROUND(100/B97*C97-100,1))&lt;999,ROUND(100/B97*C97-100,1),IF(ROUND(100/B97*C97-100,1)&gt;999,999,-999)))</f>
        <v>33.799999999999997</v>
      </c>
      <c r="E97" s="26">
        <f>IFERROR(100/'Skjema total MA'!C98*C97,0)</f>
        <v>1.2346498340046908E-2</v>
      </c>
      <c r="F97" s="232"/>
      <c r="G97" s="144"/>
      <c r="H97" s="165"/>
      <c r="I97" s="26"/>
      <c r="J97" s="285">
        <f t="shared" ref="J97" si="26">SUM(B97,F97)</f>
        <v>35846</v>
      </c>
      <c r="K97" s="43">
        <f t="shared" ref="K97" si="27">SUM(C97,G97)</f>
        <v>47955.584999999999</v>
      </c>
      <c r="L97" s="252">
        <f t="shared" ref="L97" si="28">IF(J97=0, "    ---- ", IF(ABS(ROUND(100/J97*K97-100,1))&lt;999,ROUND(100/J97*K97-100,1),IF(ROUND(100/J97*K97-100,1)&gt;999,999,-999)))</f>
        <v>33.799999999999997</v>
      </c>
      <c r="M97" s="26">
        <f>IFERROR(100/'Skjema total MA'!I98*K97,0)</f>
        <v>5.9823284809766251E-3</v>
      </c>
    </row>
    <row r="98" spans="1:13" ht="15.75" x14ac:dyDescent="0.2">
      <c r="A98" s="20" t="s">
        <v>381</v>
      </c>
      <c r="B98" s="232">
        <v>155076093</v>
      </c>
      <c r="C98" s="232">
        <v>157428563.16115001</v>
      </c>
      <c r="D98" s="165">
        <f t="shared" si="16"/>
        <v>1.5</v>
      </c>
      <c r="E98" s="26">
        <f>IFERROR(100/'Skjema total MA'!C98*C98,0)</f>
        <v>40.531076698263789</v>
      </c>
      <c r="F98" s="290">
        <v>83710065.880999997</v>
      </c>
      <c r="G98" s="290">
        <v>117123234</v>
      </c>
      <c r="H98" s="165">
        <f t="shared" si="17"/>
        <v>39.9</v>
      </c>
      <c r="I98" s="26">
        <f>IFERROR(100/'Skjema total MA'!F98*G98,0)</f>
        <v>28.344980212371802</v>
      </c>
      <c r="J98" s="285">
        <f t="shared" si="24"/>
        <v>238786158.88099998</v>
      </c>
      <c r="K98" s="43">
        <f t="shared" si="24"/>
        <v>274551797.16114998</v>
      </c>
      <c r="L98" s="252">
        <f t="shared" si="19"/>
        <v>15</v>
      </c>
      <c r="M98" s="26">
        <f>IFERROR(100/'Skjema total MA'!I98*K98,0)</f>
        <v>34.249588148293149</v>
      </c>
    </row>
    <row r="99" spans="1:13" x14ac:dyDescent="0.2">
      <c r="A99" s="20" t="s">
        <v>9</v>
      </c>
      <c r="B99" s="290">
        <v>154978692</v>
      </c>
      <c r="C99" s="291">
        <v>157333805.16115001</v>
      </c>
      <c r="D99" s="165">
        <f t="shared" si="16"/>
        <v>1.5</v>
      </c>
      <c r="E99" s="26">
        <f>IFERROR(100/'Skjema total MA'!C99*C99,0)</f>
        <v>40.831021903164789</v>
      </c>
      <c r="F99" s="232"/>
      <c r="G99" s="144"/>
      <c r="H99" s="165"/>
      <c r="I99" s="26"/>
      <c r="J99" s="285">
        <f t="shared" si="24"/>
        <v>154978692</v>
      </c>
      <c r="K99" s="43">
        <f t="shared" si="24"/>
        <v>157333805.16115001</v>
      </c>
      <c r="L99" s="252">
        <f t="shared" si="19"/>
        <v>1.5</v>
      </c>
      <c r="M99" s="26">
        <f>IFERROR(100/'Skjema total MA'!I99*K99,0)</f>
        <v>40.831021903164789</v>
      </c>
    </row>
    <row r="100" spans="1:13" ht="15.75" x14ac:dyDescent="0.2">
      <c r="A100" s="729" t="s">
        <v>424</v>
      </c>
      <c r="B100" s="290">
        <v>97401</v>
      </c>
      <c r="C100" s="291">
        <v>94758</v>
      </c>
      <c r="D100" s="165">
        <f t="shared" si="16"/>
        <v>-2.7</v>
      </c>
      <c r="E100" s="26">
        <f>IFERROR(100/'Skjema total MA'!C100*C100,0)</f>
        <v>3.0712026785751538</v>
      </c>
      <c r="F100" s="232">
        <v>83710065.880999997</v>
      </c>
      <c r="G100" s="232">
        <v>117123234</v>
      </c>
      <c r="H100" s="165">
        <f t="shared" si="17"/>
        <v>39.9</v>
      </c>
      <c r="I100" s="26">
        <f>IFERROR(100/'Skjema total MA'!F100*G100,0)</f>
        <v>28.344980212371802</v>
      </c>
      <c r="J100" s="285">
        <f t="shared" si="24"/>
        <v>83807466.880999997</v>
      </c>
      <c r="K100" s="43">
        <f t="shared" si="24"/>
        <v>117217992</v>
      </c>
      <c r="L100" s="252">
        <f t="shared" si="19"/>
        <v>39.9</v>
      </c>
      <c r="M100" s="26">
        <f>IFERROR(100/'Skjema total MA'!I100*K100,0)</f>
        <v>28.157662053248963</v>
      </c>
    </row>
    <row r="101" spans="1:13" ht="15.75" x14ac:dyDescent="0.2">
      <c r="A101" s="729" t="s">
        <v>425</v>
      </c>
      <c r="B101" s="290"/>
      <c r="C101" s="290"/>
      <c r="D101" s="165"/>
      <c r="E101" s="26"/>
      <c r="F101" s="290"/>
      <c r="G101" s="290">
        <v>1099303.5970000001</v>
      </c>
      <c r="H101" s="165" t="str">
        <f t="shared" si="17"/>
        <v xml:space="preserve">    ---- </v>
      </c>
      <c r="I101" s="26">
        <f>IFERROR(100/'Skjema total MA'!G102*G101,0)</f>
        <v>0</v>
      </c>
      <c r="J101" s="285">
        <f t="shared" ref="J101" si="29">SUM(B101,F101)</f>
        <v>0</v>
      </c>
      <c r="K101" s="43">
        <f t="shared" ref="K101" si="30">SUM(C101,G101)</f>
        <v>1099303.5970000001</v>
      </c>
      <c r="L101" s="252" t="str">
        <f t="shared" ref="L101" si="31">IF(J101=0, "    ---- ", IF(ABS(ROUND(100/J101*K101-100,1))&lt;999,ROUND(100/J101*K101-100,1),IF(ROUND(100/J101*K101-100,1)&gt;999,999,-999)))</f>
        <v xml:space="preserve">    ---- </v>
      </c>
      <c r="M101" s="26">
        <f>IFERROR(100/'Skjema total MA'!I102*K101,0)</f>
        <v>0</v>
      </c>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v>1142721.5519999999</v>
      </c>
      <c r="C108" s="144">
        <v>1145270</v>
      </c>
      <c r="D108" s="165">
        <f t="shared" si="16"/>
        <v>0.2</v>
      </c>
      <c r="E108" s="26">
        <f>IFERROR(100/'Skjema total MA'!C108*C108,0)</f>
        <v>25.876107762698439</v>
      </c>
      <c r="F108" s="232">
        <v>101034</v>
      </c>
      <c r="G108" s="144">
        <v>102129.53200000001</v>
      </c>
      <c r="H108" s="165">
        <f t="shared" si="17"/>
        <v>1.1000000000000001</v>
      </c>
      <c r="I108" s="26">
        <f>IFERROR(100/'Skjema total MA'!F108*G108,0)</f>
        <v>9.1500479160375363</v>
      </c>
      <c r="J108" s="285">
        <f t="shared" si="24"/>
        <v>1243755.5519999999</v>
      </c>
      <c r="K108" s="43">
        <f t="shared" si="24"/>
        <v>1247399.5320000001</v>
      </c>
      <c r="L108" s="252">
        <f t="shared" si="19"/>
        <v>0.3</v>
      </c>
      <c r="M108" s="26">
        <f>IFERROR(100/'Skjema total MA'!I108*K108,0)</f>
        <v>22.507548193345389</v>
      </c>
    </row>
    <row r="109" spans="1:13" ht="15.75" x14ac:dyDescent="0.2">
      <c r="A109" s="20" t="s">
        <v>383</v>
      </c>
      <c r="B109" s="232">
        <v>136057053</v>
      </c>
      <c r="C109" s="232">
        <v>139586815</v>
      </c>
      <c r="D109" s="165">
        <f t="shared" si="16"/>
        <v>2.6</v>
      </c>
      <c r="E109" s="26">
        <f>IFERROR(100/'Skjema total MA'!C109*C109,0)</f>
        <v>41.708688985318837</v>
      </c>
      <c r="F109" s="232">
        <v>548408.522</v>
      </c>
      <c r="G109" s="232">
        <v>866538</v>
      </c>
      <c r="H109" s="165">
        <f t="shared" si="17"/>
        <v>58</v>
      </c>
      <c r="I109" s="26">
        <f>IFERROR(100/'Skjema total MA'!F109*G109,0)</f>
        <v>4.2760940471580167</v>
      </c>
      <c r="J109" s="285">
        <f t="shared" si="24"/>
        <v>136605461.52200001</v>
      </c>
      <c r="K109" s="43">
        <f t="shared" si="24"/>
        <v>140453353</v>
      </c>
      <c r="L109" s="252">
        <f t="shared" si="19"/>
        <v>2.8</v>
      </c>
      <c r="M109" s="26">
        <f>IFERROR(100/'Skjema total MA'!I109*K109,0)</f>
        <v>39.571510397255423</v>
      </c>
    </row>
    <row r="110" spans="1:13" ht="15.75" x14ac:dyDescent="0.2">
      <c r="A110" s="729" t="s">
        <v>441</v>
      </c>
      <c r="B110" s="232">
        <v>97401</v>
      </c>
      <c r="C110" s="232">
        <v>94758</v>
      </c>
      <c r="D110" s="165">
        <f t="shared" si="16"/>
        <v>-2.7</v>
      </c>
      <c r="E110" s="26">
        <f>IFERROR(100/'Skjema total MA'!C110*C110,0)</f>
        <v>5.9751653858758118</v>
      </c>
      <c r="F110" s="232">
        <v>29957349.412999999</v>
      </c>
      <c r="G110" s="232">
        <v>44196868</v>
      </c>
      <c r="H110" s="165">
        <f t="shared" si="17"/>
        <v>47.5</v>
      </c>
      <c r="I110" s="26">
        <f>IFERROR(100/'Skjema total MA'!F110*G110,0)</f>
        <v>29.822955293167119</v>
      </c>
      <c r="J110" s="285">
        <f t="shared" si="24"/>
        <v>30054750.412999999</v>
      </c>
      <c r="K110" s="43">
        <f t="shared" si="24"/>
        <v>44291626</v>
      </c>
      <c r="L110" s="252">
        <f t="shared" si="19"/>
        <v>47.4</v>
      </c>
      <c r="M110" s="26">
        <f>IFERROR(100/'Skjema total MA'!I110*K110,0)</f>
        <v>29.570461578421767</v>
      </c>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v>110839</v>
      </c>
      <c r="C112" s="158">
        <v>98705</v>
      </c>
      <c r="D112" s="170">
        <f t="shared" si="16"/>
        <v>-10.9</v>
      </c>
      <c r="E112" s="11">
        <f>IFERROR(100/'Skjema total MA'!C112*C112,0)</f>
        <v>37.996492649451554</v>
      </c>
      <c r="F112" s="306">
        <v>1398876</v>
      </c>
      <c r="G112" s="158">
        <v>10544484</v>
      </c>
      <c r="H112" s="170">
        <f t="shared" si="17"/>
        <v>653.79999999999995</v>
      </c>
      <c r="I112" s="11">
        <f>IFERROR(100/'Skjema total MA'!F112*G112,0)</f>
        <v>36.078964555715949</v>
      </c>
      <c r="J112" s="307">
        <f t="shared" si="24"/>
        <v>1509715</v>
      </c>
      <c r="K112" s="234">
        <f t="shared" si="24"/>
        <v>10643189</v>
      </c>
      <c r="L112" s="425">
        <f t="shared" si="19"/>
        <v>605</v>
      </c>
      <c r="M112" s="11">
        <f>IFERROR(100/'Skjema total MA'!I112*K112,0)</f>
        <v>36.095858185623683</v>
      </c>
    </row>
    <row r="113" spans="1:14" x14ac:dyDescent="0.2">
      <c r="A113" s="20" t="s">
        <v>9</v>
      </c>
      <c r="B113" s="232">
        <v>110839</v>
      </c>
      <c r="C113" s="144">
        <v>98705</v>
      </c>
      <c r="D113" s="165">
        <f t="shared" ref="D113:D125" si="32">IF(B113=0, "    ---- ", IF(ABS(ROUND(100/B113*C113-100,1))&lt;999,ROUND(100/B113*C113-100,1),IF(ROUND(100/B113*C113-100,1)&gt;999,999,-999)))</f>
        <v>-10.9</v>
      </c>
      <c r="E113" s="26">
        <f>IFERROR(100/'Skjema total MA'!C113*C113,0)</f>
        <v>59.352380138144305</v>
      </c>
      <c r="F113" s="232"/>
      <c r="G113" s="144"/>
      <c r="H113" s="165"/>
      <c r="I113" s="26"/>
      <c r="J113" s="285">
        <f t="shared" ref="J113:K126" si="33">SUM(B113,F113)</f>
        <v>110839</v>
      </c>
      <c r="K113" s="43">
        <f t="shared" si="33"/>
        <v>98705</v>
      </c>
      <c r="L113" s="252">
        <f t="shared" ref="L113:L126" si="34">IF(J113=0, "    ---- ", IF(ABS(ROUND(100/J113*K113-100,1))&lt;999,ROUND(100/J113*K113-100,1),IF(ROUND(100/J113*K113-100,1)&gt;999,999,-999)))</f>
        <v>-10.9</v>
      </c>
      <c r="M113" s="26">
        <f>IFERROR(100/'Skjema total MA'!I113*K113,0)</f>
        <v>55.803905552825469</v>
      </c>
    </row>
    <row r="114" spans="1:14" x14ac:dyDescent="0.2">
      <c r="A114" s="20" t="s">
        <v>10</v>
      </c>
      <c r="B114" s="232"/>
      <c r="C114" s="144"/>
      <c r="D114" s="165"/>
      <c r="E114" s="26"/>
      <c r="F114" s="232">
        <v>1398876</v>
      </c>
      <c r="G114" s="144">
        <v>10544484</v>
      </c>
      <c r="H114" s="165">
        <f t="shared" ref="H114:H126" si="35">IF(F114=0, "    ---- ", IF(ABS(ROUND(100/F114*G114-100,1))&lt;999,ROUND(100/F114*G114-100,1),IF(ROUND(100/F114*G114-100,1)&gt;999,999,-999)))</f>
        <v>653.79999999999995</v>
      </c>
      <c r="I114" s="26">
        <f>IFERROR(100/'Skjema total MA'!F114*G114,0)</f>
        <v>36.092023801187807</v>
      </c>
      <c r="J114" s="285">
        <f t="shared" si="33"/>
        <v>1398876</v>
      </c>
      <c r="K114" s="43">
        <f t="shared" si="33"/>
        <v>10544484</v>
      </c>
      <c r="L114" s="252">
        <f t="shared" si="34"/>
        <v>653.79999999999995</v>
      </c>
      <c r="M114" s="26">
        <f>IFERROR(100/'Skjema total MA'!I114*K114,0)</f>
        <v>36.091774050003011</v>
      </c>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v>41310</v>
      </c>
      <c r="C117" s="232">
        <v>38646</v>
      </c>
      <c r="D117" s="165">
        <f t="shared" si="32"/>
        <v>-6.4</v>
      </c>
      <c r="E117" s="26">
        <f>IFERROR(100/'Skjema total MA'!C117*C117,0)</f>
        <v>58.802135597341561</v>
      </c>
      <c r="F117" s="232"/>
      <c r="G117" s="232"/>
      <c r="H117" s="165"/>
      <c r="I117" s="26"/>
      <c r="J117" s="285">
        <f t="shared" si="33"/>
        <v>41310</v>
      </c>
      <c r="K117" s="43">
        <f t="shared" si="33"/>
        <v>38646</v>
      </c>
      <c r="L117" s="252">
        <f t="shared" si="34"/>
        <v>-6.4</v>
      </c>
      <c r="M117" s="26">
        <f>IFERROR(100/'Skjema total MA'!I117*K117,0)</f>
        <v>50.652025365869001</v>
      </c>
    </row>
    <row r="118" spans="1:14" ht="15.75" x14ac:dyDescent="0.2">
      <c r="A118" s="20" t="s">
        <v>387</v>
      </c>
      <c r="B118" s="232"/>
      <c r="C118" s="232"/>
      <c r="D118" s="165"/>
      <c r="E118" s="26"/>
      <c r="F118" s="232">
        <v>436466.21299999999</v>
      </c>
      <c r="G118" s="232">
        <v>351705</v>
      </c>
      <c r="H118" s="165">
        <f t="shared" si="35"/>
        <v>-19.399999999999999</v>
      </c>
      <c r="I118" s="26">
        <f>IFERROR(100/'Skjema total MA'!F118*G118,0)</f>
        <v>25.893649981193622</v>
      </c>
      <c r="J118" s="285">
        <f t="shared" si="33"/>
        <v>436466.21299999999</v>
      </c>
      <c r="K118" s="43">
        <f t="shared" si="33"/>
        <v>351705</v>
      </c>
      <c r="L118" s="252">
        <f t="shared" si="34"/>
        <v>-19.399999999999999</v>
      </c>
      <c r="M118" s="26">
        <f>IFERROR(100/'Skjema total MA'!I118*K118,0)</f>
        <v>25.893649981193622</v>
      </c>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v>345240</v>
      </c>
      <c r="C120" s="158">
        <v>55983</v>
      </c>
      <c r="D120" s="170">
        <f t="shared" si="32"/>
        <v>-83.8</v>
      </c>
      <c r="E120" s="11">
        <f>IFERROR(100/'Skjema total MA'!C120*C120,0)</f>
        <v>15.71916188626061</v>
      </c>
      <c r="F120" s="306">
        <v>5059584</v>
      </c>
      <c r="G120" s="158">
        <v>11710505</v>
      </c>
      <c r="H120" s="170">
        <f t="shared" si="35"/>
        <v>131.5</v>
      </c>
      <c r="I120" s="11">
        <f>IFERROR(100/'Skjema total MA'!F120*G120,0)</f>
        <v>34.663356035516578</v>
      </c>
      <c r="J120" s="307">
        <f t="shared" si="33"/>
        <v>5404824</v>
      </c>
      <c r="K120" s="234">
        <f t="shared" si="33"/>
        <v>11766488</v>
      </c>
      <c r="L120" s="425">
        <f t="shared" si="34"/>
        <v>117.7</v>
      </c>
      <c r="M120" s="11">
        <f>IFERROR(100/'Skjema total MA'!I120*K120,0)</f>
        <v>34.465730278895109</v>
      </c>
    </row>
    <row r="121" spans="1:14" x14ac:dyDescent="0.2">
      <c r="A121" s="20" t="s">
        <v>9</v>
      </c>
      <c r="B121" s="232">
        <v>345240</v>
      </c>
      <c r="C121" s="144">
        <v>55983</v>
      </c>
      <c r="D121" s="165">
        <f t="shared" si="32"/>
        <v>-83.8</v>
      </c>
      <c r="E121" s="26">
        <f>IFERROR(100/'Skjema total MA'!C121*C121,0)</f>
        <v>21.854586294581626</v>
      </c>
      <c r="F121" s="232"/>
      <c r="G121" s="144"/>
      <c r="H121" s="165"/>
      <c r="I121" s="26"/>
      <c r="J121" s="285">
        <f t="shared" si="33"/>
        <v>345240</v>
      </c>
      <c r="K121" s="43">
        <f t="shared" si="33"/>
        <v>55983</v>
      </c>
      <c r="L121" s="252">
        <f t="shared" si="34"/>
        <v>-83.8</v>
      </c>
      <c r="M121" s="26">
        <f>IFERROR(100/'Skjema total MA'!I121*K121,0)</f>
        <v>21.854586294581626</v>
      </c>
    </row>
    <row r="122" spans="1:14" x14ac:dyDescent="0.2">
      <c r="A122" s="20" t="s">
        <v>10</v>
      </c>
      <c r="B122" s="232"/>
      <c r="C122" s="144"/>
      <c r="D122" s="165"/>
      <c r="E122" s="26"/>
      <c r="F122" s="232">
        <v>5059584</v>
      </c>
      <c r="G122" s="144">
        <v>11710505</v>
      </c>
      <c r="H122" s="165">
        <f t="shared" si="35"/>
        <v>131.5</v>
      </c>
      <c r="I122" s="26">
        <f>IFERROR(100/'Skjema total MA'!F122*G122,0)</f>
        <v>34.663356035516578</v>
      </c>
      <c r="J122" s="285">
        <f t="shared" si="33"/>
        <v>5059584</v>
      </c>
      <c r="K122" s="43">
        <f t="shared" si="33"/>
        <v>11710505</v>
      </c>
      <c r="L122" s="252">
        <f t="shared" si="34"/>
        <v>131.5</v>
      </c>
      <c r="M122" s="26">
        <f>IFERROR(100/'Skjema total MA'!I122*K122,0)</f>
        <v>34.656558996504685</v>
      </c>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v>33611</v>
      </c>
      <c r="C125" s="232">
        <v>16690</v>
      </c>
      <c r="D125" s="165">
        <f t="shared" si="32"/>
        <v>-50.3</v>
      </c>
      <c r="E125" s="26">
        <f>IFERROR(100/'Skjema total MA'!C125*C125,0)</f>
        <v>78.553478869537784</v>
      </c>
      <c r="F125" s="232"/>
      <c r="G125" s="232"/>
      <c r="H125" s="165"/>
      <c r="I125" s="26"/>
      <c r="J125" s="285">
        <f t="shared" si="33"/>
        <v>33611</v>
      </c>
      <c r="K125" s="43">
        <f t="shared" si="33"/>
        <v>16690</v>
      </c>
      <c r="L125" s="252">
        <f t="shared" si="34"/>
        <v>-50.3</v>
      </c>
      <c r="M125" s="26">
        <f>IFERROR(100/'Skjema total MA'!I125*K125,0)</f>
        <v>33.464089232705732</v>
      </c>
    </row>
    <row r="126" spans="1:14" ht="15.75" x14ac:dyDescent="0.2">
      <c r="A126" s="20" t="s">
        <v>384</v>
      </c>
      <c r="B126" s="232"/>
      <c r="C126" s="232"/>
      <c r="D126" s="165"/>
      <c r="E126" s="26"/>
      <c r="F126" s="232">
        <v>570731.01</v>
      </c>
      <c r="G126" s="232">
        <v>535271.52399999998</v>
      </c>
      <c r="H126" s="165">
        <f t="shared" si="35"/>
        <v>-6.2</v>
      </c>
      <c r="I126" s="26">
        <f>IFERROR(100/'Skjema total MA'!F126*G126,0)</f>
        <v>4.9067012934592329</v>
      </c>
      <c r="J126" s="285">
        <f t="shared" si="33"/>
        <v>570731.01</v>
      </c>
      <c r="K126" s="43">
        <f t="shared" si="33"/>
        <v>535271.52399999998</v>
      </c>
      <c r="L126" s="252">
        <f t="shared" si="34"/>
        <v>-6.2</v>
      </c>
      <c r="M126" s="26">
        <f>IFERROR(100/'Skjema total MA'!I126*K126,0)</f>
        <v>4.9058230582734739</v>
      </c>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836" priority="132">
      <formula>kvartal &lt; 4</formula>
    </cfRule>
  </conditionalFormatting>
  <conditionalFormatting sqref="B116">
    <cfRule type="expression" dxfId="835" priority="76">
      <formula>kvartal &lt; 4</formula>
    </cfRule>
  </conditionalFormatting>
  <conditionalFormatting sqref="C116">
    <cfRule type="expression" dxfId="834" priority="75">
      <formula>kvartal &lt; 4</formula>
    </cfRule>
  </conditionalFormatting>
  <conditionalFormatting sqref="B124">
    <cfRule type="expression" dxfId="833" priority="74">
      <formula>kvartal &lt; 4</formula>
    </cfRule>
  </conditionalFormatting>
  <conditionalFormatting sqref="C124">
    <cfRule type="expression" dxfId="832" priority="73">
      <formula>kvartal &lt; 4</formula>
    </cfRule>
  </conditionalFormatting>
  <conditionalFormatting sqref="F116">
    <cfRule type="expression" dxfId="831" priority="58">
      <formula>kvartal &lt; 4</formula>
    </cfRule>
  </conditionalFormatting>
  <conditionalFormatting sqref="G116">
    <cfRule type="expression" dxfId="830" priority="57">
      <formula>kvartal &lt; 4</formula>
    </cfRule>
  </conditionalFormatting>
  <conditionalFormatting sqref="F124:G124">
    <cfRule type="expression" dxfId="829" priority="56">
      <formula>kvartal &lt; 4</formula>
    </cfRule>
  </conditionalFormatting>
  <conditionalFormatting sqref="J116:K116">
    <cfRule type="expression" dxfId="828" priority="32">
      <formula>kvartal &lt; 4</formula>
    </cfRule>
  </conditionalFormatting>
  <conditionalFormatting sqref="J124:K124">
    <cfRule type="expression" dxfId="827" priority="31">
      <formula>kvartal &lt; 4</formula>
    </cfRule>
  </conditionalFormatting>
  <conditionalFormatting sqref="A50:A52">
    <cfRule type="expression" dxfId="826" priority="12">
      <formula>kvartal &lt; 4</formula>
    </cfRule>
  </conditionalFormatting>
  <conditionalFormatting sqref="A69:A74">
    <cfRule type="expression" dxfId="825" priority="10">
      <formula>kvartal &lt; 4</formula>
    </cfRule>
  </conditionalFormatting>
  <conditionalFormatting sqref="A80:A85">
    <cfRule type="expression" dxfId="824" priority="9">
      <formula>kvartal &lt; 4</formula>
    </cfRule>
  </conditionalFormatting>
  <conditionalFormatting sqref="A90:A95">
    <cfRule type="expression" dxfId="823" priority="6">
      <formula>kvartal &lt; 4</formula>
    </cfRule>
  </conditionalFormatting>
  <conditionalFormatting sqref="A102:A107">
    <cfRule type="expression" dxfId="822" priority="5">
      <formula>kvartal &lt; 4</formula>
    </cfRule>
  </conditionalFormatting>
  <conditionalFormatting sqref="A116">
    <cfRule type="expression" dxfId="821" priority="4">
      <formula>kvartal &lt; 4</formula>
    </cfRule>
  </conditionalFormatting>
  <conditionalFormatting sqref="A124">
    <cfRule type="expression" dxfId="820" priority="3">
      <formula>kvartal &lt; 4</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124</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v>196946</v>
      </c>
      <c r="C7" s="305">
        <v>213759</v>
      </c>
      <c r="D7" s="348">
        <f>IF(B7=0, "    ---- ", IF(ABS(ROUND(100/B7*C7-100,1))&lt;999,ROUND(100/B7*C7-100,1),IF(ROUND(100/B7*C7-100,1)&gt;999,999,-999)))</f>
        <v>8.5</v>
      </c>
      <c r="E7" s="11">
        <f>IFERROR(100/'Skjema total MA'!C7*C7,0)</f>
        <v>7.7266789729046534</v>
      </c>
      <c r="F7" s="304"/>
      <c r="G7" s="305"/>
      <c r="H7" s="348"/>
      <c r="I7" s="159"/>
      <c r="J7" s="306">
        <f t="shared" ref="J7:K9" si="0">SUM(B7,F7)</f>
        <v>196946</v>
      </c>
      <c r="K7" s="307">
        <f t="shared" si="0"/>
        <v>213759</v>
      </c>
      <c r="L7" s="424">
        <f>IF(J7=0, "    ---- ", IF(ABS(ROUND(100/J7*K7-100,1))&lt;999,ROUND(100/J7*K7-100,1),IF(ROUND(100/J7*K7-100,1)&gt;999,999,-999)))</f>
        <v>8.5</v>
      </c>
      <c r="M7" s="11">
        <f>IFERROR(100/'Skjema total MA'!I7*K7,0)</f>
        <v>2.0333050003800923</v>
      </c>
    </row>
    <row r="8" spans="1:14" ht="15.75" x14ac:dyDescent="0.2">
      <c r="A8" s="20" t="s">
        <v>25</v>
      </c>
      <c r="B8" s="279">
        <v>98856</v>
      </c>
      <c r="C8" s="280">
        <v>107475</v>
      </c>
      <c r="D8" s="165">
        <f t="shared" ref="D8:D9" si="1">IF(B8=0, "    ---- ", IF(ABS(ROUND(100/B8*C8-100,1))&lt;999,ROUND(100/B8*C8-100,1),IF(ROUND(100/B8*C8-100,1)&gt;999,999,-999)))</f>
        <v>8.6999999999999993</v>
      </c>
      <c r="E8" s="26">
        <f>IFERROR(100/'Skjema total MA'!C8*C8,0)</f>
        <v>5.9365638226613848</v>
      </c>
      <c r="F8" s="283"/>
      <c r="G8" s="284"/>
      <c r="H8" s="165"/>
      <c r="I8" s="174"/>
      <c r="J8" s="232">
        <f t="shared" si="0"/>
        <v>98856</v>
      </c>
      <c r="K8" s="285">
        <f t="shared" si="0"/>
        <v>107475</v>
      </c>
      <c r="L8" s="165">
        <f t="shared" ref="L8:L9" si="2">IF(J8=0, "    ---- ", IF(ABS(ROUND(100/J8*K8-100,1))&lt;999,ROUND(100/J8*K8-100,1),IF(ROUND(100/J8*K8-100,1)&gt;999,999,-999)))</f>
        <v>8.6999999999999993</v>
      </c>
      <c r="M8" s="26">
        <f>IFERROR(100/'Skjema total MA'!I8*K8,0)</f>
        <v>5.9365638226613848</v>
      </c>
    </row>
    <row r="9" spans="1:14" ht="15.75" x14ac:dyDescent="0.2">
      <c r="A9" s="20" t="s">
        <v>24</v>
      </c>
      <c r="B9" s="279">
        <v>98090</v>
      </c>
      <c r="C9" s="280">
        <v>106284</v>
      </c>
      <c r="D9" s="165">
        <f t="shared" si="1"/>
        <v>8.4</v>
      </c>
      <c r="E9" s="26">
        <f>IFERROR(100/'Skjema total MA'!C9*C9,0)</f>
        <v>17.995934463512032</v>
      </c>
      <c r="F9" s="283"/>
      <c r="G9" s="284"/>
      <c r="H9" s="165"/>
      <c r="I9" s="174"/>
      <c r="J9" s="232">
        <f t="shared" si="0"/>
        <v>98090</v>
      </c>
      <c r="K9" s="285">
        <f t="shared" si="0"/>
        <v>106284</v>
      </c>
      <c r="L9" s="165">
        <f t="shared" si="2"/>
        <v>8.4</v>
      </c>
      <c r="M9" s="26">
        <f>IFERROR(100/'Skjema total MA'!I9*K9,0)</f>
        <v>17.995934463512032</v>
      </c>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1"/>
      <c r="J22" s="314"/>
      <c r="K22" s="314"/>
      <c r="L22" s="424"/>
      <c r="M22" s="23"/>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c r="C29" s="234"/>
      <c r="D29" s="170"/>
      <c r="E29" s="11"/>
      <c r="F29" s="306"/>
      <c r="G29" s="306"/>
      <c r="H29" s="170"/>
      <c r="I29" s="11"/>
      <c r="J29" s="234"/>
      <c r="K29" s="234"/>
      <c r="L29" s="425"/>
      <c r="M29" s="23"/>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c r="C47" s="309"/>
      <c r="D47" s="424"/>
      <c r="E47" s="11"/>
      <c r="F47" s="144"/>
      <c r="G47" s="32"/>
      <c r="H47" s="158"/>
      <c r="I47" s="158"/>
      <c r="J47" s="36"/>
      <c r="K47" s="36"/>
      <c r="L47" s="158"/>
      <c r="M47" s="158"/>
      <c r="N47" s="147"/>
    </row>
    <row r="48" spans="1:14" s="3" customFormat="1" ht="15.75" x14ac:dyDescent="0.2">
      <c r="A48" s="37" t="s">
        <v>375</v>
      </c>
      <c r="B48" s="279"/>
      <c r="C48" s="280"/>
      <c r="D48" s="252"/>
      <c r="E48" s="26"/>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819" priority="132">
      <formula>kvartal &lt; 4</formula>
    </cfRule>
  </conditionalFormatting>
  <conditionalFormatting sqref="B116">
    <cfRule type="expression" dxfId="818" priority="76">
      <formula>kvartal &lt; 4</formula>
    </cfRule>
  </conditionalFormatting>
  <conditionalFormatting sqref="C116">
    <cfRule type="expression" dxfId="817" priority="75">
      <formula>kvartal &lt; 4</formula>
    </cfRule>
  </conditionalFormatting>
  <conditionalFormatting sqref="B124">
    <cfRule type="expression" dxfId="816" priority="74">
      <formula>kvartal &lt; 4</formula>
    </cfRule>
  </conditionalFormatting>
  <conditionalFormatting sqref="C124">
    <cfRule type="expression" dxfId="815" priority="73">
      <formula>kvartal &lt; 4</formula>
    </cfRule>
  </conditionalFormatting>
  <conditionalFormatting sqref="F116">
    <cfRule type="expression" dxfId="814" priority="58">
      <formula>kvartal &lt; 4</formula>
    </cfRule>
  </conditionalFormatting>
  <conditionalFormatting sqref="G116">
    <cfRule type="expression" dxfId="813" priority="57">
      <formula>kvartal &lt; 4</formula>
    </cfRule>
  </conditionalFormatting>
  <conditionalFormatting sqref="F124:G124">
    <cfRule type="expression" dxfId="812" priority="56">
      <formula>kvartal &lt; 4</formula>
    </cfRule>
  </conditionalFormatting>
  <conditionalFormatting sqref="J116:K116">
    <cfRule type="expression" dxfId="811" priority="32">
      <formula>kvartal &lt; 4</formula>
    </cfRule>
  </conditionalFormatting>
  <conditionalFormatting sqref="J124:K124">
    <cfRule type="expression" dxfId="810" priority="31">
      <formula>kvartal &lt; 4</formula>
    </cfRule>
  </conditionalFormatting>
  <conditionalFormatting sqref="A50:A52">
    <cfRule type="expression" dxfId="809" priority="12">
      <formula>kvartal &lt; 4</formula>
    </cfRule>
  </conditionalFormatting>
  <conditionalFormatting sqref="A69:A74">
    <cfRule type="expression" dxfId="808" priority="10">
      <formula>kvartal &lt; 4</formula>
    </cfRule>
  </conditionalFormatting>
  <conditionalFormatting sqref="A80:A85">
    <cfRule type="expression" dxfId="807" priority="9">
      <formula>kvartal &lt; 4</formula>
    </cfRule>
  </conditionalFormatting>
  <conditionalFormatting sqref="A90:A95">
    <cfRule type="expression" dxfId="806" priority="6">
      <formula>kvartal &lt; 4</formula>
    </cfRule>
  </conditionalFormatting>
  <conditionalFormatting sqref="A102:A107">
    <cfRule type="expression" dxfId="805" priority="5">
      <formula>kvartal &lt; 4</formula>
    </cfRule>
  </conditionalFormatting>
  <conditionalFormatting sqref="A116">
    <cfRule type="expression" dxfId="804" priority="4">
      <formula>kvartal &lt; 4</formula>
    </cfRule>
  </conditionalFormatting>
  <conditionalFormatting sqref="A124">
    <cfRule type="expression" dxfId="803" priority="3">
      <formula>kvartal &lt; 4</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1DA9-89CE-4218-BAD2-ABC9A5D34523}">
  <dimension ref="A1:N145"/>
  <sheetViews>
    <sheetView showGridLines="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422</v>
      </c>
      <c r="D1" s="25"/>
      <c r="E1" s="25"/>
      <c r="F1" s="25"/>
      <c r="G1" s="25"/>
      <c r="H1" s="25"/>
      <c r="I1" s="25"/>
      <c r="J1" s="25"/>
      <c r="K1" s="25"/>
      <c r="L1" s="25"/>
      <c r="M1" s="25"/>
    </row>
    <row r="2" spans="1:14" ht="15.75" x14ac:dyDescent="0.25">
      <c r="A2" s="164" t="s">
        <v>28</v>
      </c>
      <c r="B2" s="782"/>
      <c r="C2" s="782"/>
      <c r="D2" s="782"/>
      <c r="E2" s="668"/>
      <c r="F2" s="782"/>
      <c r="G2" s="782"/>
      <c r="H2" s="782"/>
      <c r="I2" s="668"/>
      <c r="J2" s="782"/>
      <c r="K2" s="782"/>
      <c r="L2" s="782"/>
      <c r="M2" s="668"/>
    </row>
    <row r="3" spans="1:14" ht="15.75" x14ac:dyDescent="0.25">
      <c r="A3" s="162"/>
      <c r="B3" s="668"/>
      <c r="C3" s="668"/>
      <c r="D3" s="668"/>
      <c r="E3" s="668"/>
      <c r="F3" s="668"/>
      <c r="G3" s="668"/>
      <c r="H3" s="668"/>
      <c r="I3" s="668"/>
      <c r="J3" s="668"/>
      <c r="K3" s="668"/>
      <c r="L3" s="668"/>
      <c r="M3" s="668"/>
    </row>
    <row r="4" spans="1:14" x14ac:dyDescent="0.2">
      <c r="A4" s="143"/>
      <c r="B4" s="784" t="s">
        <v>0</v>
      </c>
      <c r="C4" s="785"/>
      <c r="D4" s="785"/>
      <c r="E4" s="666"/>
      <c r="F4" s="778" t="s">
        <v>1</v>
      </c>
      <c r="G4" s="779"/>
      <c r="H4" s="779"/>
      <c r="I4" s="667"/>
      <c r="J4" s="778" t="s">
        <v>2</v>
      </c>
      <c r="K4" s="779"/>
      <c r="L4" s="779"/>
      <c r="M4" s="667"/>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c r="C7" s="305"/>
      <c r="D7" s="348"/>
      <c r="E7" s="11"/>
      <c r="F7" s="304"/>
      <c r="G7" s="305"/>
      <c r="H7" s="348"/>
      <c r="I7" s="159"/>
      <c r="J7" s="306"/>
      <c r="K7" s="307"/>
      <c r="L7" s="424"/>
      <c r="M7" s="11"/>
    </row>
    <row r="8" spans="1:14" ht="15.75" x14ac:dyDescent="0.2">
      <c r="A8" s="20" t="s">
        <v>25</v>
      </c>
      <c r="B8" s="279"/>
      <c r="C8" s="280"/>
      <c r="D8" s="165"/>
      <c r="E8" s="26"/>
      <c r="F8" s="283"/>
      <c r="G8" s="284"/>
      <c r="H8" s="165"/>
      <c r="I8" s="174"/>
      <c r="J8" s="232"/>
      <c r="K8" s="285"/>
      <c r="L8" s="165"/>
      <c r="M8" s="26"/>
    </row>
    <row r="9" spans="1:14" ht="15.75" x14ac:dyDescent="0.2">
      <c r="A9" s="20" t="s">
        <v>24</v>
      </c>
      <c r="B9" s="279"/>
      <c r="C9" s="280"/>
      <c r="D9" s="165"/>
      <c r="E9" s="26"/>
      <c r="F9" s="283"/>
      <c r="G9" s="284"/>
      <c r="H9" s="165"/>
      <c r="I9" s="174"/>
      <c r="J9" s="232"/>
      <c r="K9" s="285"/>
      <c r="L9" s="165"/>
      <c r="M9" s="26"/>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668"/>
      <c r="F18" s="777"/>
      <c r="G18" s="777"/>
      <c r="H18" s="777"/>
      <c r="I18" s="668"/>
      <c r="J18" s="777"/>
      <c r="K18" s="777"/>
      <c r="L18" s="777"/>
      <c r="M18" s="668"/>
    </row>
    <row r="19" spans="1:14" x14ac:dyDescent="0.2">
      <c r="A19" s="143"/>
      <c r="B19" s="778" t="s">
        <v>0</v>
      </c>
      <c r="C19" s="779"/>
      <c r="D19" s="779"/>
      <c r="E19" s="666"/>
      <c r="F19" s="778" t="s">
        <v>1</v>
      </c>
      <c r="G19" s="779"/>
      <c r="H19" s="779"/>
      <c r="I19" s="667"/>
      <c r="J19" s="778" t="s">
        <v>2</v>
      </c>
      <c r="K19" s="779"/>
      <c r="L19" s="779"/>
      <c r="M19" s="667"/>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413"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59"/>
      <c r="J22" s="314"/>
      <c r="K22" s="314"/>
      <c r="L22" s="424"/>
      <c r="M22" s="23"/>
    </row>
    <row r="23" spans="1:14" ht="15.75" x14ac:dyDescent="0.2">
      <c r="A23" s="580" t="s">
        <v>367</v>
      </c>
      <c r="B23" s="279"/>
      <c r="C23" s="279"/>
      <c r="D23" s="165"/>
      <c r="E23" s="11"/>
      <c r="F23" s="288"/>
      <c r="G23" s="288"/>
      <c r="H23" s="165"/>
      <c r="I23" s="238"/>
      <c r="J23" s="288"/>
      <c r="K23" s="288"/>
      <c r="L23" s="165"/>
      <c r="M23" s="22"/>
    </row>
    <row r="24" spans="1:14" ht="15.75" x14ac:dyDescent="0.2">
      <c r="A24" s="580" t="s">
        <v>368</v>
      </c>
      <c r="B24" s="279"/>
      <c r="C24" s="279"/>
      <c r="D24" s="165"/>
      <c r="E24" s="11"/>
      <c r="F24" s="288"/>
      <c r="G24" s="288"/>
      <c r="H24" s="165"/>
      <c r="I24" s="238"/>
      <c r="J24" s="288"/>
      <c r="K24" s="288"/>
      <c r="L24" s="165"/>
      <c r="M24" s="22"/>
    </row>
    <row r="25" spans="1:14" ht="15.75" x14ac:dyDescent="0.2">
      <c r="A25" s="580" t="s">
        <v>369</v>
      </c>
      <c r="B25" s="279"/>
      <c r="C25" s="279"/>
      <c r="D25" s="165"/>
      <c r="E25" s="11"/>
      <c r="F25" s="288"/>
      <c r="G25" s="288"/>
      <c r="H25" s="165"/>
      <c r="I25" s="238"/>
      <c r="J25" s="288"/>
      <c r="K25" s="288"/>
      <c r="L25" s="165"/>
      <c r="M25" s="22"/>
    </row>
    <row r="26" spans="1:14" ht="15.75" x14ac:dyDescent="0.2">
      <c r="A26" s="580" t="s">
        <v>370</v>
      </c>
      <c r="B26" s="279"/>
      <c r="C26" s="279"/>
      <c r="D26" s="165"/>
      <c r="E26" s="11"/>
      <c r="F26" s="288"/>
      <c r="G26" s="288"/>
      <c r="H26" s="165"/>
      <c r="I26" s="238"/>
      <c r="J26" s="288"/>
      <c r="K26" s="288"/>
      <c r="L26" s="165"/>
      <c r="M26" s="22"/>
    </row>
    <row r="27" spans="1:14" x14ac:dyDescent="0.2">
      <c r="A27" s="580" t="s">
        <v>11</v>
      </c>
      <c r="B27" s="279"/>
      <c r="C27" s="279"/>
      <c r="D27" s="165"/>
      <c r="E27" s="11"/>
      <c r="F27" s="288"/>
      <c r="G27" s="288"/>
      <c r="H27" s="165"/>
      <c r="I27" s="238"/>
      <c r="J27" s="288"/>
      <c r="K27" s="288"/>
      <c r="L27" s="165"/>
      <c r="M27" s="22"/>
    </row>
    <row r="28" spans="1:14" ht="15.75" x14ac:dyDescent="0.2">
      <c r="A28" s="48" t="s">
        <v>275</v>
      </c>
      <c r="B28" s="43"/>
      <c r="C28" s="285"/>
      <c r="D28" s="165"/>
      <c r="E28" s="11"/>
      <c r="F28" s="232"/>
      <c r="G28" s="285"/>
      <c r="H28" s="165"/>
      <c r="I28" s="174"/>
      <c r="J28" s="43"/>
      <c r="K28" s="43"/>
      <c r="L28" s="252"/>
      <c r="M28" s="22"/>
    </row>
    <row r="29" spans="1:14" s="3" customFormat="1" ht="15.75" x14ac:dyDescent="0.2">
      <c r="A29" s="13" t="s">
        <v>364</v>
      </c>
      <c r="B29" s="234"/>
      <c r="C29" s="234"/>
      <c r="D29" s="170"/>
      <c r="E29" s="11"/>
      <c r="F29" s="306"/>
      <c r="G29" s="306"/>
      <c r="H29" s="170"/>
      <c r="I29" s="159"/>
      <c r="J29" s="234"/>
      <c r="K29" s="234"/>
      <c r="L29" s="425"/>
      <c r="M29" s="23"/>
      <c r="N29" s="147"/>
    </row>
    <row r="30" spans="1:14" s="3" customFormat="1" ht="15.75" x14ac:dyDescent="0.2">
      <c r="A30" s="580" t="s">
        <v>367</v>
      </c>
      <c r="B30" s="279"/>
      <c r="C30" s="279"/>
      <c r="D30" s="165"/>
      <c r="E30" s="11"/>
      <c r="F30" s="288"/>
      <c r="G30" s="288"/>
      <c r="H30" s="165"/>
      <c r="I30" s="238"/>
      <c r="J30" s="288"/>
      <c r="K30" s="288"/>
      <c r="L30" s="165"/>
      <c r="M30" s="22"/>
      <c r="N30" s="147"/>
    </row>
    <row r="31" spans="1:14" s="3" customFormat="1" ht="15.75" x14ac:dyDescent="0.2">
      <c r="A31" s="580" t="s">
        <v>368</v>
      </c>
      <c r="B31" s="279"/>
      <c r="C31" s="279"/>
      <c r="D31" s="165"/>
      <c r="E31" s="11"/>
      <c r="F31" s="288"/>
      <c r="G31" s="288"/>
      <c r="H31" s="165"/>
      <c r="I31" s="238"/>
      <c r="J31" s="288"/>
      <c r="K31" s="288"/>
      <c r="L31" s="165"/>
      <c r="M31" s="22"/>
      <c r="N31" s="147"/>
    </row>
    <row r="32" spans="1:14" ht="15.75" x14ac:dyDescent="0.2">
      <c r="A32" s="580" t="s">
        <v>369</v>
      </c>
      <c r="B32" s="279"/>
      <c r="C32" s="279"/>
      <c r="D32" s="165"/>
      <c r="E32" s="11"/>
      <c r="F32" s="288"/>
      <c r="G32" s="288"/>
      <c r="H32" s="165"/>
      <c r="I32" s="238"/>
      <c r="J32" s="288"/>
      <c r="K32" s="288"/>
      <c r="L32" s="165"/>
      <c r="M32" s="22"/>
    </row>
    <row r="33" spans="1:14" ht="15.75" x14ac:dyDescent="0.2">
      <c r="A33" s="580" t="s">
        <v>370</v>
      </c>
      <c r="B33" s="279"/>
      <c r="C33" s="279"/>
      <c r="D33" s="165"/>
      <c r="E33" s="11"/>
      <c r="F33" s="288"/>
      <c r="G33" s="288"/>
      <c r="H33" s="165"/>
      <c r="I33" s="238"/>
      <c r="J33" s="288"/>
      <c r="K33" s="288"/>
      <c r="L33" s="165"/>
      <c r="M33" s="22"/>
    </row>
    <row r="34" spans="1:14" ht="15.75" x14ac:dyDescent="0.2">
      <c r="A34" s="13" t="s">
        <v>365</v>
      </c>
      <c r="B34" s="234"/>
      <c r="C34" s="307"/>
      <c r="D34" s="170"/>
      <c r="E34" s="11"/>
      <c r="F34" s="306"/>
      <c r="G34" s="307"/>
      <c r="H34" s="170"/>
      <c r="I34" s="159"/>
      <c r="J34" s="234"/>
      <c r="K34" s="234"/>
      <c r="L34" s="425"/>
      <c r="M34" s="23"/>
    </row>
    <row r="35" spans="1:14" ht="15.75" x14ac:dyDescent="0.2">
      <c r="A35" s="13" t="s">
        <v>366</v>
      </c>
      <c r="B35" s="234"/>
      <c r="C35" s="307"/>
      <c r="D35" s="170"/>
      <c r="E35" s="11"/>
      <c r="F35" s="306"/>
      <c r="G35" s="307"/>
      <c r="H35" s="170"/>
      <c r="I35" s="159"/>
      <c r="J35" s="234"/>
      <c r="K35" s="234"/>
      <c r="L35" s="425"/>
      <c r="M35" s="23"/>
    </row>
    <row r="36" spans="1:14" ht="15.75" x14ac:dyDescent="0.2">
      <c r="A36" s="12" t="s">
        <v>283</v>
      </c>
      <c r="B36" s="234"/>
      <c r="C36" s="307"/>
      <c r="D36" s="170"/>
      <c r="E36" s="11"/>
      <c r="F36" s="317"/>
      <c r="G36" s="318"/>
      <c r="H36" s="170"/>
      <c r="I36" s="427"/>
      <c r="J36" s="234"/>
      <c r="K36" s="234"/>
      <c r="L36" s="425"/>
      <c r="M36" s="23"/>
    </row>
    <row r="37" spans="1:14" ht="15.75" x14ac:dyDescent="0.2">
      <c r="A37" s="12" t="s">
        <v>372</v>
      </c>
      <c r="B37" s="234"/>
      <c r="C37" s="307"/>
      <c r="D37" s="170"/>
      <c r="E37" s="11"/>
      <c r="F37" s="317"/>
      <c r="G37" s="319"/>
      <c r="H37" s="170"/>
      <c r="I37" s="427"/>
      <c r="J37" s="234"/>
      <c r="K37" s="234"/>
      <c r="L37" s="425"/>
      <c r="M37" s="23"/>
    </row>
    <row r="38" spans="1:14" ht="15.75" x14ac:dyDescent="0.2">
      <c r="A38" s="12" t="s">
        <v>373</v>
      </c>
      <c r="B38" s="234"/>
      <c r="C38" s="307"/>
      <c r="D38" s="170"/>
      <c r="E38" s="23"/>
      <c r="F38" s="317"/>
      <c r="G38" s="318"/>
      <c r="H38" s="170"/>
      <c r="I38" s="427"/>
      <c r="J38" s="234"/>
      <c r="K38" s="234"/>
      <c r="L38" s="425"/>
      <c r="M38" s="23"/>
    </row>
    <row r="39" spans="1:14" ht="15.75" x14ac:dyDescent="0.2">
      <c r="A39" s="18" t="s">
        <v>374</v>
      </c>
      <c r="B39" s="274"/>
      <c r="C39" s="313"/>
      <c r="D39" s="168"/>
      <c r="E39" s="35"/>
      <c r="F39" s="320"/>
      <c r="G39" s="321"/>
      <c r="H39" s="168"/>
      <c r="I39" s="168"/>
      <c r="J39" s="234"/>
      <c r="K39" s="234"/>
      <c r="L39" s="426"/>
      <c r="M39" s="35"/>
    </row>
    <row r="40" spans="1:14" ht="15.75" x14ac:dyDescent="0.25">
      <c r="A40" s="46"/>
      <c r="B40" s="251"/>
      <c r="C40" s="251"/>
      <c r="D40" s="781"/>
      <c r="E40" s="781"/>
      <c r="F40" s="781"/>
      <c r="G40" s="781"/>
      <c r="H40" s="781"/>
      <c r="I40" s="781"/>
      <c r="J40" s="781"/>
      <c r="K40" s="781"/>
      <c r="L40" s="781"/>
      <c r="M40" s="669"/>
    </row>
    <row r="41" spans="1:14" x14ac:dyDescent="0.2">
      <c r="A41" s="154"/>
    </row>
    <row r="42" spans="1:14" ht="15.75" x14ac:dyDescent="0.25">
      <c r="A42" s="146" t="s">
        <v>272</v>
      </c>
      <c r="B42" s="782"/>
      <c r="C42" s="782"/>
      <c r="D42" s="782"/>
      <c r="E42" s="668"/>
      <c r="F42" s="783"/>
      <c r="G42" s="783"/>
      <c r="H42" s="783"/>
      <c r="I42" s="669"/>
      <c r="J42" s="783"/>
      <c r="K42" s="783"/>
      <c r="L42" s="783"/>
      <c r="M42" s="669"/>
    </row>
    <row r="43" spans="1:14" ht="15.75" x14ac:dyDescent="0.25">
      <c r="A43" s="162"/>
      <c r="B43" s="664"/>
      <c r="C43" s="664"/>
      <c r="D43" s="664"/>
      <c r="E43" s="664"/>
      <c r="F43" s="669"/>
      <c r="G43" s="669"/>
      <c r="H43" s="669"/>
      <c r="I43" s="669"/>
      <c r="J43" s="669"/>
      <c r="K43" s="669"/>
      <c r="L43" s="669"/>
      <c r="M43" s="669"/>
    </row>
    <row r="44" spans="1:14" ht="15.75" x14ac:dyDescent="0.25">
      <c r="A44" s="245"/>
      <c r="B44" s="778" t="s">
        <v>0</v>
      </c>
      <c r="C44" s="779"/>
      <c r="D44" s="779"/>
      <c r="E44" s="241"/>
      <c r="F44" s="669"/>
      <c r="G44" s="669"/>
      <c r="H44" s="669"/>
      <c r="I44" s="669"/>
      <c r="J44" s="669"/>
      <c r="K44" s="669"/>
      <c r="L44" s="669"/>
      <c r="M44" s="669"/>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c r="C47" s="309">
        <v>8868.24</v>
      </c>
      <c r="D47" s="424" t="str">
        <f t="shared" ref="D47:D55" si="0">IF(B47=0, "    ---- ", IF(ABS(ROUND(100/B47*C47-100,1))&lt;999,ROUND(100/B47*C47-100,1),IF(ROUND(100/B47*C47-100,1)&gt;999,999,-999)))</f>
        <v xml:space="preserve">    ---- </v>
      </c>
      <c r="E47" s="11">
        <f>IFERROR(100/'Skjema total MA'!C47*C47,0)</f>
        <v>0.22364287480161876</v>
      </c>
      <c r="F47" s="144"/>
      <c r="G47" s="32"/>
      <c r="H47" s="158"/>
      <c r="I47" s="158"/>
      <c r="J47" s="36"/>
      <c r="K47" s="36"/>
      <c r="L47" s="158"/>
      <c r="M47" s="158"/>
      <c r="N47" s="147"/>
    </row>
    <row r="48" spans="1:14" s="3" customFormat="1" ht="15.75" x14ac:dyDescent="0.2">
      <c r="A48" s="37" t="s">
        <v>375</v>
      </c>
      <c r="B48" s="279"/>
      <c r="C48" s="280">
        <v>7926.6719999999996</v>
      </c>
      <c r="D48" s="252" t="str">
        <f t="shared" si="0"/>
        <v xml:space="preserve">    ---- </v>
      </c>
      <c r="E48" s="26">
        <f>IFERROR(100/'Skjema total MA'!C48*C48,0)</f>
        <v>0.34830882556666964</v>
      </c>
      <c r="F48" s="144"/>
      <c r="G48" s="32"/>
      <c r="H48" s="144"/>
      <c r="I48" s="144"/>
      <c r="J48" s="32"/>
      <c r="K48" s="32"/>
      <c r="L48" s="158"/>
      <c r="M48" s="158"/>
      <c r="N48" s="147"/>
    </row>
    <row r="49" spans="1:14" s="3" customFormat="1" ht="15.75" x14ac:dyDescent="0.2">
      <c r="A49" s="37" t="s">
        <v>376</v>
      </c>
      <c r="B49" s="43"/>
      <c r="C49" s="285">
        <v>941.56799999999998</v>
      </c>
      <c r="D49" s="252" t="str">
        <f>IF(B49=0, "    ---- ", IF(ABS(ROUND(100/B49*C49-100,1))&lt;999,ROUND(100/B49*C49-100,1),IF(ROUND(100/B49*C49-100,1)&gt;999,999,-999)))</f>
        <v xml:space="preserve">    ---- </v>
      </c>
      <c r="E49" s="26">
        <f>IFERROR(100/'Skjema total MA'!C49*C49,0)</f>
        <v>5.5727339150527362E-2</v>
      </c>
      <c r="F49" s="144"/>
      <c r="G49" s="32"/>
      <c r="H49" s="144"/>
      <c r="I49" s="144"/>
      <c r="J49" s="36"/>
      <c r="K49" s="36"/>
      <c r="L49" s="158"/>
      <c r="M49" s="158"/>
      <c r="N49" s="147"/>
    </row>
    <row r="50" spans="1:14" s="3" customFormat="1" x14ac:dyDescent="0.2">
      <c r="A50" s="294" t="s">
        <v>6</v>
      </c>
      <c r="B50" s="288"/>
      <c r="C50" s="289" t="s">
        <v>429</v>
      </c>
      <c r="D50" s="252"/>
      <c r="E50" s="22"/>
      <c r="F50" s="144"/>
      <c r="G50" s="32"/>
      <c r="H50" s="144"/>
      <c r="I50" s="144"/>
      <c r="J50" s="32"/>
      <c r="K50" s="32"/>
      <c r="L50" s="158"/>
      <c r="M50" s="158"/>
      <c r="N50" s="147"/>
    </row>
    <row r="51" spans="1:14" s="3" customFormat="1" x14ac:dyDescent="0.2">
      <c r="A51" s="294" t="s">
        <v>7</v>
      </c>
      <c r="B51" s="288"/>
      <c r="C51" s="289" t="s">
        <v>429</v>
      </c>
      <c r="D51" s="252"/>
      <c r="E51" s="22"/>
      <c r="F51" s="144"/>
      <c r="G51" s="32"/>
      <c r="H51" s="144"/>
      <c r="I51" s="144"/>
      <c r="J51" s="32"/>
      <c r="K51" s="32"/>
      <c r="L51" s="158"/>
      <c r="M51" s="158"/>
      <c r="N51" s="147"/>
    </row>
    <row r="52" spans="1:14" s="3" customFormat="1" x14ac:dyDescent="0.2">
      <c r="A52" s="294" t="s">
        <v>8</v>
      </c>
      <c r="B52" s="288"/>
      <c r="C52" s="289" t="s">
        <v>429</v>
      </c>
      <c r="D52" s="252"/>
      <c r="E52" s="22"/>
      <c r="F52" s="144"/>
      <c r="G52" s="32"/>
      <c r="H52" s="144"/>
      <c r="I52" s="144"/>
      <c r="J52" s="32"/>
      <c r="K52" s="32"/>
      <c r="L52" s="158"/>
      <c r="M52" s="158"/>
      <c r="N52" s="147"/>
    </row>
    <row r="53" spans="1:14" s="3" customFormat="1" ht="15.75" x14ac:dyDescent="0.2">
      <c r="A53" s="38" t="s">
        <v>377</v>
      </c>
      <c r="B53" s="308"/>
      <c r="C53" s="309">
        <v>8868.24</v>
      </c>
      <c r="D53" s="425" t="str">
        <f t="shared" si="0"/>
        <v xml:space="preserve">    ---- </v>
      </c>
      <c r="E53" s="11">
        <f>IFERROR(100/'Skjema total MA'!C53*C53,0)</f>
        <v>3.7719423875126461</v>
      </c>
      <c r="F53" s="144"/>
      <c r="G53" s="32"/>
      <c r="H53" s="144"/>
      <c r="I53" s="144"/>
      <c r="J53" s="32"/>
      <c r="K53" s="32"/>
      <c r="L53" s="158"/>
      <c r="M53" s="158"/>
      <c r="N53" s="147"/>
    </row>
    <row r="54" spans="1:14" s="3" customFormat="1" ht="15.75" x14ac:dyDescent="0.2">
      <c r="A54" s="37" t="s">
        <v>375</v>
      </c>
      <c r="B54" s="279"/>
      <c r="C54" s="280">
        <v>7926.6719999999996</v>
      </c>
      <c r="D54" s="252" t="str">
        <f t="shared" si="0"/>
        <v xml:space="preserve">    ---- </v>
      </c>
      <c r="E54" s="26">
        <f>IFERROR(100/'Skjema total MA'!C54*C54,0)</f>
        <v>3.4576561406378845</v>
      </c>
      <c r="F54" s="144"/>
      <c r="G54" s="32"/>
      <c r="H54" s="144"/>
      <c r="I54" s="144"/>
      <c r="J54" s="32"/>
      <c r="K54" s="32"/>
      <c r="L54" s="158"/>
      <c r="M54" s="158"/>
      <c r="N54" s="147"/>
    </row>
    <row r="55" spans="1:14" s="3" customFormat="1" ht="15.75" x14ac:dyDescent="0.2">
      <c r="A55" s="37" t="s">
        <v>376</v>
      </c>
      <c r="B55" s="279"/>
      <c r="C55" s="280">
        <v>941.56799999999998</v>
      </c>
      <c r="D55" s="252" t="str">
        <f t="shared" si="0"/>
        <v xml:space="preserve">    ---- </v>
      </c>
      <c r="E55" s="26">
        <f>IFERROR(100/'Skjema total MA'!C55*C55,0)</f>
        <v>16.065432348171726</v>
      </c>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668"/>
      <c r="F62" s="777"/>
      <c r="G62" s="777"/>
      <c r="H62" s="777"/>
      <c r="I62" s="668"/>
      <c r="J62" s="777"/>
      <c r="K62" s="777"/>
      <c r="L62" s="777"/>
      <c r="M62" s="668"/>
    </row>
    <row r="63" spans="1:14" x14ac:dyDescent="0.2">
      <c r="A63" s="143"/>
      <c r="B63" s="778" t="s">
        <v>0</v>
      </c>
      <c r="C63" s="779"/>
      <c r="D63" s="780"/>
      <c r="E63" s="665"/>
      <c r="F63" s="779" t="s">
        <v>1</v>
      </c>
      <c r="G63" s="779"/>
      <c r="H63" s="779"/>
      <c r="I63" s="667"/>
      <c r="J63" s="778" t="s">
        <v>2</v>
      </c>
      <c r="K63" s="779"/>
      <c r="L63" s="779"/>
      <c r="M63" s="667"/>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20"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668"/>
      <c r="F131" s="777"/>
      <c r="G131" s="777"/>
      <c r="H131" s="777"/>
      <c r="I131" s="668"/>
      <c r="J131" s="777"/>
      <c r="K131" s="777"/>
      <c r="L131" s="777"/>
      <c r="M131" s="668"/>
    </row>
    <row r="132" spans="1:14" s="3" customFormat="1" x14ac:dyDescent="0.2">
      <c r="A132" s="143"/>
      <c r="B132" s="778" t="s">
        <v>0</v>
      </c>
      <c r="C132" s="779"/>
      <c r="D132" s="779"/>
      <c r="E132" s="666"/>
      <c r="F132" s="778" t="s">
        <v>1</v>
      </c>
      <c r="G132" s="779"/>
      <c r="H132" s="779"/>
      <c r="I132" s="667"/>
      <c r="J132" s="778" t="s">
        <v>2</v>
      </c>
      <c r="K132" s="779"/>
      <c r="L132" s="779"/>
      <c r="M132" s="667"/>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1:D131"/>
    <mergeCell ref="F131:H131"/>
    <mergeCell ref="J131:L131"/>
    <mergeCell ref="B132:D132"/>
    <mergeCell ref="F132:H132"/>
    <mergeCell ref="J132:L132"/>
  </mergeCells>
  <conditionalFormatting sqref="B50:C52">
    <cfRule type="expression" dxfId="802" priority="59">
      <formula>kvartal &lt; 4</formula>
    </cfRule>
  </conditionalFormatting>
  <conditionalFormatting sqref="B116">
    <cfRule type="expression" dxfId="801" priority="42">
      <formula>kvartal &lt; 4</formula>
    </cfRule>
  </conditionalFormatting>
  <conditionalFormatting sqref="C116">
    <cfRule type="expression" dxfId="800" priority="41">
      <formula>kvartal &lt; 4</formula>
    </cfRule>
  </conditionalFormatting>
  <conditionalFormatting sqref="B124">
    <cfRule type="expression" dxfId="799" priority="40">
      <formula>kvartal &lt; 4</formula>
    </cfRule>
  </conditionalFormatting>
  <conditionalFormatting sqref="C124">
    <cfRule type="expression" dxfId="798" priority="39">
      <formula>kvartal &lt; 4</formula>
    </cfRule>
  </conditionalFormatting>
  <conditionalFormatting sqref="F116">
    <cfRule type="expression" dxfId="797" priority="28">
      <formula>kvartal &lt; 4</formula>
    </cfRule>
  </conditionalFormatting>
  <conditionalFormatting sqref="G116">
    <cfRule type="expression" dxfId="796" priority="27">
      <formula>kvartal &lt; 4</formula>
    </cfRule>
  </conditionalFormatting>
  <conditionalFormatting sqref="F124:G124">
    <cfRule type="expression" dxfId="795" priority="26">
      <formula>kvartal &lt; 4</formula>
    </cfRule>
  </conditionalFormatting>
  <conditionalFormatting sqref="J116:K116">
    <cfRule type="expression" dxfId="794" priority="9">
      <formula>kvartal &lt; 4</formula>
    </cfRule>
  </conditionalFormatting>
  <conditionalFormatting sqref="J124:K124">
    <cfRule type="expression" dxfId="793" priority="8">
      <formula>kvartal &lt; 4</formula>
    </cfRule>
  </conditionalFormatting>
  <conditionalFormatting sqref="A50:A52">
    <cfRule type="expression" dxfId="792" priority="7">
      <formula>kvartal &lt; 4</formula>
    </cfRule>
  </conditionalFormatting>
  <conditionalFormatting sqref="A69:A74">
    <cfRule type="expression" dxfId="791" priority="6">
      <formula>kvartal &lt; 4</formula>
    </cfRule>
  </conditionalFormatting>
  <conditionalFormatting sqref="A80:A85">
    <cfRule type="expression" dxfId="790" priority="5">
      <formula>kvartal &lt; 4</formula>
    </cfRule>
  </conditionalFormatting>
  <conditionalFormatting sqref="A90:A95">
    <cfRule type="expression" dxfId="789" priority="4">
      <formula>kvartal &lt; 4</formula>
    </cfRule>
  </conditionalFormatting>
  <conditionalFormatting sqref="A102:A107">
    <cfRule type="expression" dxfId="788" priority="3">
      <formula>kvartal &lt; 4</formula>
    </cfRule>
  </conditionalFormatting>
  <conditionalFormatting sqref="A116">
    <cfRule type="expression" dxfId="787" priority="2">
      <formula>kvartal &lt; 4</formula>
    </cfRule>
  </conditionalFormatting>
  <conditionalFormatting sqref="A124">
    <cfRule type="expression" dxfId="786" priority="1">
      <formula>kvartal &lt; 4</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5"/>
  <sheetViews>
    <sheetView showGridLines="0" zoomScaleNormal="100" workbookViewId="0">
      <pane xSplit="1" topLeftCell="B1" activePane="topRight" state="frozen"/>
      <selection pane="topRight"/>
    </sheetView>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401</v>
      </c>
      <c r="D1" s="25"/>
      <c r="E1" s="25"/>
      <c r="F1" s="25"/>
      <c r="G1" s="25"/>
      <c r="H1" s="25"/>
      <c r="I1" s="25"/>
      <c r="J1" s="25"/>
      <c r="K1" s="25"/>
      <c r="L1" s="25"/>
      <c r="M1" s="25"/>
    </row>
    <row r="2" spans="1:14" ht="15.75" x14ac:dyDescent="0.25">
      <c r="A2" s="164" t="s">
        <v>28</v>
      </c>
      <c r="B2" s="356"/>
      <c r="C2" s="356"/>
      <c r="D2" s="356"/>
      <c r="E2" s="356"/>
      <c r="F2" s="356"/>
      <c r="G2" s="356"/>
      <c r="H2" s="356"/>
      <c r="I2" s="356"/>
      <c r="J2" s="356"/>
      <c r="K2" s="356"/>
      <c r="L2" s="356"/>
      <c r="M2" s="356"/>
    </row>
    <row r="3" spans="1:14" ht="15.75" x14ac:dyDescent="0.25">
      <c r="A3" s="162"/>
      <c r="B3" s="356"/>
      <c r="C3" s="356"/>
      <c r="D3" s="356"/>
      <c r="E3" s="356"/>
      <c r="F3" s="356"/>
      <c r="G3" s="356"/>
      <c r="H3" s="356"/>
      <c r="I3" s="356"/>
      <c r="J3" s="356"/>
      <c r="K3" s="356"/>
      <c r="L3" s="356"/>
      <c r="M3" s="356"/>
    </row>
    <row r="4" spans="1:14" x14ac:dyDescent="0.2">
      <c r="A4" s="143"/>
      <c r="B4" s="784" t="s">
        <v>0</v>
      </c>
      <c r="C4" s="785"/>
      <c r="D4" s="785"/>
      <c r="E4" s="353"/>
      <c r="F4" s="778" t="s">
        <v>1</v>
      </c>
      <c r="G4" s="779"/>
      <c r="H4" s="779"/>
      <c r="I4" s="354"/>
      <c r="J4" s="778" t="s">
        <v>2</v>
      </c>
      <c r="K4" s="779"/>
      <c r="L4" s="779"/>
      <c r="M4" s="354"/>
    </row>
    <row r="5" spans="1:14" x14ac:dyDescent="0.2">
      <c r="A5" s="157"/>
      <c r="B5" s="151" t="s">
        <v>439</v>
      </c>
      <c r="C5" s="151" t="s">
        <v>440</v>
      </c>
      <c r="D5" s="243" t="s">
        <v>3</v>
      </c>
      <c r="E5" s="303" t="s">
        <v>29</v>
      </c>
      <c r="F5" s="151" t="s">
        <v>439</v>
      </c>
      <c r="G5" s="151" t="s">
        <v>440</v>
      </c>
      <c r="H5" s="243" t="s">
        <v>3</v>
      </c>
      <c r="I5" s="303"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59">
        <v>597132.06811999995</v>
      </c>
      <c r="C7" s="360">
        <v>587584.86980000022</v>
      </c>
      <c r="D7" s="368">
        <f t="shared" ref="D7:D10" si="0">IF(AND(_xlfn.NUMBERVALUE(B7)=0,_xlfn.NUMBERVALUE(C7)=0),,IF(B7=0, "    ---- ", IF(ABS(ROUND(100/B7*C7-100,1))&lt;999,IF(ROUND(100/B7*C7-100,1)=0,"    ---- ",ROUND(100/B7*C7-100,1)),IF(ROUND(100/B7*C7-100,1)&gt;999,999,-999))))</f>
        <v>-1.6</v>
      </c>
      <c r="E7" s="369">
        <f>IFERROR(100/'Skjema total MA'!C7*C7,0)</f>
        <v>21.239244468212238</v>
      </c>
      <c r="F7" s="359"/>
      <c r="G7" s="360"/>
      <c r="H7" s="368"/>
      <c r="I7" s="369"/>
      <c r="J7" s="370">
        <f t="shared" ref="J7:K10" si="1">SUM(B7,F7)</f>
        <v>597132.06811999995</v>
      </c>
      <c r="K7" s="365">
        <f t="shared" si="1"/>
        <v>587584.86980000022</v>
      </c>
      <c r="L7" s="368">
        <f t="shared" ref="L7:L10" si="2">IF(AND(_xlfn.NUMBERVALUE(J7)=0,_xlfn.NUMBERVALUE(K7)=0),,IF(J7=0, "    ---- ", IF(ABS(ROUND(100/J7*K7-100,1))&lt;999,IF(ROUND(100/J7*K7-100,1)=0,"    ---- ",ROUND(100/J7*K7-100,1)),IF(ROUND(100/J7*K7-100,1)&gt;999,999,-999))))</f>
        <v>-1.6</v>
      </c>
      <c r="M7" s="369">
        <f>IFERROR(100/'Skjema total MA'!I7*K7,0)</f>
        <v>5.5891880758799681</v>
      </c>
    </row>
    <row r="8" spans="1:14" ht="15.75" x14ac:dyDescent="0.2">
      <c r="A8" s="20" t="s">
        <v>25</v>
      </c>
      <c r="B8" s="362">
        <v>550215.79584000004</v>
      </c>
      <c r="C8" s="363">
        <v>521630.68782000017</v>
      </c>
      <c r="D8" s="371">
        <f t="shared" si="0"/>
        <v>-5.2</v>
      </c>
      <c r="E8" s="369">
        <f>IFERROR(100/'Skjema total MA'!C8*C8,0)</f>
        <v>28.813155339401607</v>
      </c>
      <c r="F8" s="372"/>
      <c r="G8" s="373"/>
      <c r="H8" s="371"/>
      <c r="I8" s="369"/>
      <c r="J8" s="374">
        <f t="shared" si="1"/>
        <v>550215.79584000004</v>
      </c>
      <c r="K8" s="363">
        <f t="shared" si="1"/>
        <v>521630.68782000017</v>
      </c>
      <c r="L8" s="371">
        <f t="shared" si="2"/>
        <v>-5.2</v>
      </c>
      <c r="M8" s="369">
        <f>IFERROR(100/'Skjema total MA'!I8*K8,0)</f>
        <v>28.813155339401607</v>
      </c>
    </row>
    <row r="9" spans="1:14" ht="15.75" x14ac:dyDescent="0.2">
      <c r="A9" s="20" t="s">
        <v>24</v>
      </c>
      <c r="B9" s="362">
        <v>46916.272279999997</v>
      </c>
      <c r="C9" s="363">
        <v>65954.181979999994</v>
      </c>
      <c r="D9" s="371">
        <f t="shared" si="0"/>
        <v>40.6</v>
      </c>
      <c r="E9" s="369">
        <f>IFERROR(100/'Skjema total MA'!C9*C9,0)</f>
        <v>11.167317155043337</v>
      </c>
      <c r="F9" s="372"/>
      <c r="G9" s="373"/>
      <c r="H9" s="371"/>
      <c r="I9" s="369"/>
      <c r="J9" s="374">
        <f t="shared" si="1"/>
        <v>46916.272279999997</v>
      </c>
      <c r="K9" s="363">
        <f t="shared" si="1"/>
        <v>65954.181979999994</v>
      </c>
      <c r="L9" s="371">
        <f t="shared" si="2"/>
        <v>40.6</v>
      </c>
      <c r="M9" s="369">
        <f>IFERROR(100/'Skjema total MA'!I9*K9,0)</f>
        <v>11.167317155043337</v>
      </c>
    </row>
    <row r="10" spans="1:14" ht="15.75" x14ac:dyDescent="0.2">
      <c r="A10" s="13" t="s">
        <v>364</v>
      </c>
      <c r="B10" s="364">
        <v>526222.54143999994</v>
      </c>
      <c r="C10" s="365">
        <v>587159.23323000001</v>
      </c>
      <c r="D10" s="371">
        <f t="shared" si="0"/>
        <v>11.6</v>
      </c>
      <c r="E10" s="369">
        <f>IFERROR(100/'Skjema total MA'!C10*C10,0)</f>
        <v>3.369145166302761</v>
      </c>
      <c r="F10" s="364"/>
      <c r="G10" s="365"/>
      <c r="H10" s="371"/>
      <c r="I10" s="369"/>
      <c r="J10" s="370">
        <f t="shared" si="1"/>
        <v>526222.54143999994</v>
      </c>
      <c r="K10" s="365">
        <f t="shared" si="1"/>
        <v>587159.23323000001</v>
      </c>
      <c r="L10" s="371">
        <f t="shared" si="2"/>
        <v>11.6</v>
      </c>
      <c r="M10" s="369">
        <f>IFERROR(100/'Skjema total MA'!I10*K10,0)</f>
        <v>0.66988303526909088</v>
      </c>
    </row>
    <row r="11" spans="1:14" s="42" customFormat="1" ht="15.75" x14ac:dyDescent="0.2">
      <c r="A11" s="13" t="s">
        <v>365</v>
      </c>
      <c r="B11" s="364"/>
      <c r="C11" s="365"/>
      <c r="D11" s="371"/>
      <c r="E11" s="369"/>
      <c r="F11" s="364"/>
      <c r="G11" s="365"/>
      <c r="H11" s="371"/>
      <c r="I11" s="369"/>
      <c r="J11" s="370"/>
      <c r="K11" s="365"/>
      <c r="L11" s="371"/>
      <c r="M11" s="369"/>
      <c r="N11" s="142"/>
    </row>
    <row r="12" spans="1:14" s="42" customFormat="1" ht="15.75" x14ac:dyDescent="0.2">
      <c r="A12" s="40" t="s">
        <v>366</v>
      </c>
      <c r="B12" s="366"/>
      <c r="C12" s="367"/>
      <c r="D12" s="375"/>
      <c r="E12" s="375"/>
      <c r="F12" s="366"/>
      <c r="G12" s="367"/>
      <c r="H12" s="375"/>
      <c r="I12" s="375"/>
      <c r="J12" s="376"/>
      <c r="K12" s="367"/>
      <c r="L12" s="375"/>
      <c r="M12" s="37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355"/>
      <c r="C18" s="355"/>
      <c r="D18" s="355"/>
      <c r="E18" s="356"/>
      <c r="F18" s="355"/>
      <c r="G18" s="355"/>
      <c r="H18" s="355"/>
      <c r="I18" s="356"/>
      <c r="J18" s="355"/>
      <c r="K18" s="355"/>
      <c r="L18" s="355"/>
      <c r="M18" s="356"/>
    </row>
    <row r="19" spans="1:14" x14ac:dyDescent="0.2">
      <c r="A19" s="143"/>
      <c r="B19" s="778" t="s">
        <v>0</v>
      </c>
      <c r="C19" s="779"/>
      <c r="D19" s="779"/>
      <c r="E19" s="353"/>
      <c r="F19" s="778" t="s">
        <v>1</v>
      </c>
      <c r="G19" s="779"/>
      <c r="H19" s="779"/>
      <c r="I19" s="354"/>
      <c r="J19" s="778" t="s">
        <v>2</v>
      </c>
      <c r="K19" s="779"/>
      <c r="L19" s="779"/>
      <c r="M19" s="354"/>
    </row>
    <row r="20" spans="1:14" x14ac:dyDescent="0.2">
      <c r="A20" s="139" t="s">
        <v>5</v>
      </c>
      <c r="B20" s="731" t="s">
        <v>439</v>
      </c>
      <c r="C20" s="731" t="s">
        <v>440</v>
      </c>
      <c r="D20" s="161" t="s">
        <v>3</v>
      </c>
      <c r="E20" s="303" t="s">
        <v>29</v>
      </c>
      <c r="F20" s="731" t="s">
        <v>439</v>
      </c>
      <c r="G20" s="731" t="s">
        <v>440</v>
      </c>
      <c r="H20" s="161" t="s">
        <v>3</v>
      </c>
      <c r="I20" s="303"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598">
        <v>291211.95121999999</v>
      </c>
      <c r="C22" s="364">
        <v>358368.42093999987</v>
      </c>
      <c r="D22" s="368">
        <f t="shared" ref="D22:D39" si="3">IF(AND(_xlfn.NUMBERVALUE(B22)=0,_xlfn.NUMBERVALUE(C22)=0),,IF(B22=0, "    ---- ", IF(ABS(ROUND(100/B22*C22-100,1))&lt;999,IF(ROUND(100/B22*C22-100,1)=0,"    ---- ",ROUND(100/B22*C22-100,1)),IF(ROUND(100/B22*C22-100,1)&gt;999,999,-999))))</f>
        <v>23.1</v>
      </c>
      <c r="E22" s="165">
        <f>IFERROR(100/'Skjema total MA'!C21*C22,0)</f>
        <v>0</v>
      </c>
      <c r="F22" s="377"/>
      <c r="G22" s="377"/>
      <c r="H22" s="368"/>
      <c r="I22" s="369"/>
      <c r="J22" s="359">
        <f t="shared" ref="J22:K35" si="4">SUM(B22,F22)</f>
        <v>291211.95121999999</v>
      </c>
      <c r="K22" s="359">
        <f t="shared" si="4"/>
        <v>358368.42093999987</v>
      </c>
      <c r="L22" s="368">
        <f t="shared" ref="L22:L39" si="5">IF(AND(_xlfn.NUMBERVALUE(J22)=0,_xlfn.NUMBERVALUE(K22)=0),,IF(J22=0, "    ---- ", IF(ABS(ROUND(100/J22*K22-100,1))&lt;999,IF(ROUND(100/J22*K22-100,1)=0,"    ---- ",ROUND(100/J22*K22-100,1)),IF(ROUND(100/J22*K22-100,1)&gt;999,999,-999))))</f>
        <v>23.1</v>
      </c>
      <c r="M22" s="369">
        <f>IFERROR(100/'Skjema total MA'!I22*K22,0)</f>
        <v>18.64322913845033</v>
      </c>
    </row>
    <row r="23" spans="1:14" ht="15.75" x14ac:dyDescent="0.2">
      <c r="A23" s="580" t="s">
        <v>367</v>
      </c>
      <c r="B23" s="361">
        <v>0</v>
      </c>
      <c r="C23" s="362">
        <v>0</v>
      </c>
      <c r="D23" s="371">
        <f t="shared" si="3"/>
        <v>0</v>
      </c>
      <c r="E23" s="369">
        <f>IFERROR(100/'Skjema total MA'!C23*C23,0)</f>
        <v>0</v>
      </c>
      <c r="F23" s="361"/>
      <c r="G23" s="361"/>
      <c r="H23" s="371"/>
      <c r="I23" s="369"/>
      <c r="J23" s="361">
        <f t="shared" ref="J23:J27" si="6">SUM(B23,F23)</f>
        <v>0</v>
      </c>
      <c r="K23" s="361">
        <f t="shared" ref="K23:K27" si="7">SUM(C23,G23)</f>
        <v>0</v>
      </c>
      <c r="L23" s="371">
        <f t="shared" si="5"/>
        <v>0</v>
      </c>
      <c r="M23" s="369">
        <f>IFERROR(100/'Skjema total MA'!I23*K23,0)</f>
        <v>0</v>
      </c>
    </row>
    <row r="24" spans="1:14" ht="15.75" x14ac:dyDescent="0.2">
      <c r="A24" s="580" t="s">
        <v>368</v>
      </c>
      <c r="B24" s="361">
        <v>0</v>
      </c>
      <c r="C24" s="362">
        <v>0</v>
      </c>
      <c r="D24" s="371">
        <f t="shared" si="3"/>
        <v>0</v>
      </c>
      <c r="E24" s="369">
        <f>IFERROR(100/'Skjema total MA'!C24*C24,0)</f>
        <v>0</v>
      </c>
      <c r="F24" s="361"/>
      <c r="G24" s="361"/>
      <c r="H24" s="371"/>
      <c r="I24" s="369"/>
      <c r="J24" s="361">
        <f t="shared" si="6"/>
        <v>0</v>
      </c>
      <c r="K24" s="361">
        <f t="shared" si="7"/>
        <v>0</v>
      </c>
      <c r="L24" s="371">
        <f t="shared" si="5"/>
        <v>0</v>
      </c>
      <c r="M24" s="369">
        <f>IFERROR(100/'Skjema total MA'!I24*K24,0)</f>
        <v>0</v>
      </c>
    </row>
    <row r="25" spans="1:14" ht="15.75" x14ac:dyDescent="0.2">
      <c r="A25" s="580" t="s">
        <v>369</v>
      </c>
      <c r="B25" s="361">
        <v>0</v>
      </c>
      <c r="C25" s="362">
        <v>0</v>
      </c>
      <c r="D25" s="371">
        <f t="shared" si="3"/>
        <v>0</v>
      </c>
      <c r="E25" s="369">
        <f>IFERROR(100/'Skjema total MA'!C25*C25,0)</f>
        <v>0</v>
      </c>
      <c r="F25" s="361"/>
      <c r="G25" s="361"/>
      <c r="H25" s="371"/>
      <c r="I25" s="369"/>
      <c r="J25" s="361">
        <f t="shared" si="6"/>
        <v>0</v>
      </c>
      <c r="K25" s="361">
        <f t="shared" si="7"/>
        <v>0</v>
      </c>
      <c r="L25" s="371">
        <f t="shared" si="5"/>
        <v>0</v>
      </c>
      <c r="M25" s="369">
        <f>IFERROR(100/'Skjema total MA'!I25*K25,0)</f>
        <v>0</v>
      </c>
    </row>
    <row r="26" spans="1:14" ht="15.75" x14ac:dyDescent="0.2">
      <c r="A26" s="580" t="s">
        <v>370</v>
      </c>
      <c r="B26" s="361">
        <v>0</v>
      </c>
      <c r="C26" s="362">
        <v>0</v>
      </c>
      <c r="D26" s="371">
        <f t="shared" si="3"/>
        <v>0</v>
      </c>
      <c r="E26" s="369">
        <f>IFERROR(100/'Skjema total MA'!C26*C26,0)</f>
        <v>0</v>
      </c>
      <c r="F26" s="361"/>
      <c r="G26" s="361"/>
      <c r="H26" s="371"/>
      <c r="I26" s="369"/>
      <c r="J26" s="361">
        <f t="shared" si="6"/>
        <v>0</v>
      </c>
      <c r="K26" s="361">
        <f t="shared" si="7"/>
        <v>0</v>
      </c>
      <c r="L26" s="371">
        <f t="shared" si="5"/>
        <v>0</v>
      </c>
      <c r="M26" s="369">
        <f>IFERROR(100/'Skjema total MA'!I26*K26,0)</f>
        <v>0</v>
      </c>
    </row>
    <row r="27" spans="1:14" x14ac:dyDescent="0.2">
      <c r="A27" s="580" t="s">
        <v>11</v>
      </c>
      <c r="B27" s="361">
        <v>0</v>
      </c>
      <c r="C27" s="362">
        <v>0</v>
      </c>
      <c r="D27" s="371">
        <f t="shared" si="3"/>
        <v>0</v>
      </c>
      <c r="E27" s="369">
        <f>IFERROR(100/'Skjema total MA'!C27*C27,0)</f>
        <v>0</v>
      </c>
      <c r="F27" s="361"/>
      <c r="G27" s="361"/>
      <c r="H27" s="371"/>
      <c r="I27" s="369"/>
      <c r="J27" s="361">
        <f t="shared" si="6"/>
        <v>0</v>
      </c>
      <c r="K27" s="361">
        <f t="shared" si="7"/>
        <v>0</v>
      </c>
      <c r="L27" s="371">
        <f t="shared" si="5"/>
        <v>0</v>
      </c>
      <c r="M27" s="369">
        <f>IFERROR(100/'Skjema total MA'!I27*K27,0)</f>
        <v>0</v>
      </c>
    </row>
    <row r="28" spans="1:14" ht="15.75" x14ac:dyDescent="0.2">
      <c r="A28" s="48" t="s">
        <v>275</v>
      </c>
      <c r="B28" s="361">
        <v>291211.95121999999</v>
      </c>
      <c r="C28" s="362">
        <v>358368.42093999987</v>
      </c>
      <c r="D28" s="371">
        <f t="shared" si="3"/>
        <v>23.1</v>
      </c>
      <c r="E28" s="744">
        <f>IFERROR(100/'Skjema total MA'!C28*C28,0)</f>
        <v>29.360648900767448</v>
      </c>
      <c r="F28" s="374"/>
      <c r="G28" s="363"/>
      <c r="H28" s="371"/>
      <c r="I28" s="369"/>
      <c r="J28" s="362">
        <f t="shared" si="4"/>
        <v>291211.95121999999</v>
      </c>
      <c r="K28" s="362">
        <f t="shared" si="4"/>
        <v>358368.42093999987</v>
      </c>
      <c r="L28" s="371">
        <f t="shared" si="5"/>
        <v>23.1</v>
      </c>
      <c r="M28" s="369">
        <f>IFERROR(100/'Skjema total MA'!I28*K28,0)</f>
        <v>29.360648900767448</v>
      </c>
    </row>
    <row r="29" spans="1:14" s="3" customFormat="1" ht="15.75" x14ac:dyDescent="0.2">
      <c r="A29" s="13" t="s">
        <v>364</v>
      </c>
      <c r="B29" s="364">
        <v>3061601.8433099999</v>
      </c>
      <c r="C29" s="364">
        <v>3492373.2191499998</v>
      </c>
      <c r="D29" s="371">
        <f t="shared" si="3"/>
        <v>14.1</v>
      </c>
      <c r="E29" s="744">
        <f>IFERROR(100/'Skjema total MA'!C29*C29,0)</f>
        <v>7.6673281804349731</v>
      </c>
      <c r="F29" s="370"/>
      <c r="G29" s="370"/>
      <c r="H29" s="371"/>
      <c r="I29" s="369"/>
      <c r="J29" s="364">
        <f t="shared" si="4"/>
        <v>3061601.8433099999</v>
      </c>
      <c r="K29" s="364">
        <f t="shared" si="4"/>
        <v>3492373.2191499998</v>
      </c>
      <c r="L29" s="745">
        <f t="shared" si="5"/>
        <v>14.1</v>
      </c>
      <c r="M29" s="369">
        <f>IFERROR(100/'Skjema total MA'!I29*K29,0)</f>
        <v>4.9026366342776155</v>
      </c>
      <c r="N29" s="147"/>
    </row>
    <row r="30" spans="1:14" s="3" customFormat="1" ht="15.75" x14ac:dyDescent="0.2">
      <c r="A30" s="580" t="s">
        <v>367</v>
      </c>
      <c r="B30" s="361">
        <v>0</v>
      </c>
      <c r="C30" s="361">
        <v>0</v>
      </c>
      <c r="D30" s="371">
        <f t="shared" si="3"/>
        <v>0</v>
      </c>
      <c r="E30" s="369"/>
      <c r="F30" s="361"/>
      <c r="G30" s="361"/>
      <c r="H30" s="371"/>
      <c r="I30" s="369"/>
      <c r="J30" s="361">
        <f t="shared" ref="J30:J33" si="8">SUM(B30,F30)</f>
        <v>0</v>
      </c>
      <c r="K30" s="361">
        <f t="shared" ref="K30:K33" si="9">SUM(C30,G30)</f>
        <v>0</v>
      </c>
      <c r="L30" s="371">
        <f t="shared" si="5"/>
        <v>0</v>
      </c>
      <c r="M30" s="369">
        <f>IFERROR(100/'Skjema total MA'!I30*K30,0)</f>
        <v>0</v>
      </c>
      <c r="N30" s="147"/>
    </row>
    <row r="31" spans="1:14" s="3" customFormat="1" ht="15.75" x14ac:dyDescent="0.2">
      <c r="A31" s="580" t="s">
        <v>368</v>
      </c>
      <c r="B31" s="361">
        <v>0</v>
      </c>
      <c r="C31" s="361">
        <v>0</v>
      </c>
      <c r="D31" s="371">
        <f t="shared" si="3"/>
        <v>0</v>
      </c>
      <c r="E31" s="369"/>
      <c r="F31" s="361"/>
      <c r="G31" s="361"/>
      <c r="H31" s="371"/>
      <c r="I31" s="369"/>
      <c r="J31" s="361">
        <f t="shared" si="8"/>
        <v>0</v>
      </c>
      <c r="K31" s="361">
        <f t="shared" si="9"/>
        <v>0</v>
      </c>
      <c r="L31" s="371">
        <f t="shared" si="5"/>
        <v>0</v>
      </c>
      <c r="M31" s="369">
        <f>IFERROR(100/'Skjema total MA'!I31*K31,0)</f>
        <v>0</v>
      </c>
      <c r="N31" s="147"/>
    </row>
    <row r="32" spans="1:14" ht="15.75" x14ac:dyDescent="0.2">
      <c r="A32" s="580" t="s">
        <v>369</v>
      </c>
      <c r="B32" s="361">
        <v>0</v>
      </c>
      <c r="C32" s="361">
        <v>0</v>
      </c>
      <c r="D32" s="371">
        <f t="shared" si="3"/>
        <v>0</v>
      </c>
      <c r="E32" s="369"/>
      <c r="F32" s="361"/>
      <c r="G32" s="361"/>
      <c r="H32" s="371"/>
      <c r="I32" s="369"/>
      <c r="J32" s="361">
        <f t="shared" si="8"/>
        <v>0</v>
      </c>
      <c r="K32" s="361">
        <f t="shared" si="9"/>
        <v>0</v>
      </c>
      <c r="L32" s="371">
        <f t="shared" si="5"/>
        <v>0</v>
      </c>
      <c r="M32" s="369">
        <f>IFERROR(100/'Skjema total MA'!I32*K32,0)</f>
        <v>0</v>
      </c>
    </row>
    <row r="33" spans="1:14" ht="15.75" x14ac:dyDescent="0.2">
      <c r="A33" s="580" t="s">
        <v>370</v>
      </c>
      <c r="B33" s="361">
        <v>0</v>
      </c>
      <c r="C33" s="361">
        <v>0</v>
      </c>
      <c r="D33" s="371">
        <f t="shared" si="3"/>
        <v>0</v>
      </c>
      <c r="E33" s="369"/>
      <c r="F33" s="361"/>
      <c r="G33" s="361"/>
      <c r="H33" s="371"/>
      <c r="I33" s="369"/>
      <c r="J33" s="361">
        <f t="shared" si="8"/>
        <v>0</v>
      </c>
      <c r="K33" s="361">
        <f t="shared" si="9"/>
        <v>0</v>
      </c>
      <c r="L33" s="371">
        <f t="shared" si="5"/>
        <v>0</v>
      </c>
      <c r="M33" s="369">
        <f>IFERROR(100/'Skjema total MA'!I34*K33,0)</f>
        <v>0</v>
      </c>
    </row>
    <row r="34" spans="1:14" ht="15.75" x14ac:dyDescent="0.2">
      <c r="A34" s="13" t="s">
        <v>365</v>
      </c>
      <c r="B34" s="364">
        <v>0</v>
      </c>
      <c r="C34" s="365">
        <v>0</v>
      </c>
      <c r="D34" s="371">
        <f t="shared" si="3"/>
        <v>0</v>
      </c>
      <c r="E34" s="369"/>
      <c r="F34" s="370"/>
      <c r="G34" s="365"/>
      <c r="H34" s="371"/>
      <c r="I34" s="369"/>
      <c r="J34" s="364">
        <f t="shared" si="4"/>
        <v>0</v>
      </c>
      <c r="K34" s="364">
        <f t="shared" si="4"/>
        <v>0</v>
      </c>
      <c r="L34" s="371">
        <f t="shared" si="5"/>
        <v>0</v>
      </c>
      <c r="M34" s="369">
        <f>IFERROR(100/'Skjema total MA'!I34*K34,0)</f>
        <v>0</v>
      </c>
    </row>
    <row r="35" spans="1:14" ht="15.75" x14ac:dyDescent="0.2">
      <c r="A35" s="13" t="s">
        <v>366</v>
      </c>
      <c r="B35" s="364">
        <v>0</v>
      </c>
      <c r="C35" s="365">
        <v>0</v>
      </c>
      <c r="D35" s="371">
        <f t="shared" si="3"/>
        <v>0</v>
      </c>
      <c r="E35" s="369"/>
      <c r="F35" s="370"/>
      <c r="G35" s="365"/>
      <c r="H35" s="371"/>
      <c r="I35" s="369"/>
      <c r="J35" s="364">
        <f t="shared" si="4"/>
        <v>0</v>
      </c>
      <c r="K35" s="364">
        <f t="shared" si="4"/>
        <v>0</v>
      </c>
      <c r="L35" s="371">
        <f t="shared" si="5"/>
        <v>0</v>
      </c>
      <c r="M35" s="369">
        <f>IFERROR(100/'Skjema total MA'!I35*K35,0)</f>
        <v>0</v>
      </c>
    </row>
    <row r="36" spans="1:14" ht="15.75" x14ac:dyDescent="0.2">
      <c r="A36" s="12" t="s">
        <v>283</v>
      </c>
      <c r="B36" s="364">
        <v>0</v>
      </c>
      <c r="C36" s="365">
        <v>0</v>
      </c>
      <c r="D36" s="371">
        <f t="shared" si="3"/>
        <v>0</v>
      </c>
      <c r="E36" s="369"/>
      <c r="F36" s="378"/>
      <c r="G36" s="379"/>
      <c r="H36" s="371"/>
      <c r="I36" s="369"/>
      <c r="J36" s="364">
        <f t="shared" ref="J36:J39" si="10">SUM(B36,F36)</f>
        <v>0</v>
      </c>
      <c r="K36" s="364">
        <f t="shared" ref="K36:K39" si="11">SUM(C36,G36)</f>
        <v>0</v>
      </c>
      <c r="L36" s="371">
        <f t="shared" si="5"/>
        <v>0</v>
      </c>
      <c r="M36" s="369">
        <f>IFERROR(100/'Skjema total MA'!I36*K36,0)</f>
        <v>0</v>
      </c>
    </row>
    <row r="37" spans="1:14" ht="15.75" x14ac:dyDescent="0.2">
      <c r="A37" s="12" t="s">
        <v>372</v>
      </c>
      <c r="B37" s="364">
        <v>0</v>
      </c>
      <c r="C37" s="365">
        <v>0</v>
      </c>
      <c r="D37" s="371">
        <f t="shared" si="3"/>
        <v>0</v>
      </c>
      <c r="E37" s="369"/>
      <c r="F37" s="378"/>
      <c r="G37" s="380"/>
      <c r="H37" s="371"/>
      <c r="I37" s="369"/>
      <c r="J37" s="364">
        <f t="shared" si="10"/>
        <v>0</v>
      </c>
      <c r="K37" s="364">
        <f t="shared" si="11"/>
        <v>0</v>
      </c>
      <c r="L37" s="371">
        <f t="shared" si="5"/>
        <v>0</v>
      </c>
      <c r="M37" s="369">
        <f>IFERROR(100/'Skjema total MA'!I37*K37,0)</f>
        <v>0</v>
      </c>
    </row>
    <row r="38" spans="1:14" ht="15.75" x14ac:dyDescent="0.2">
      <c r="A38" s="12" t="s">
        <v>373</v>
      </c>
      <c r="B38" s="364">
        <v>0</v>
      </c>
      <c r="C38" s="365">
        <v>0</v>
      </c>
      <c r="D38" s="371">
        <f t="shared" si="3"/>
        <v>0</v>
      </c>
      <c r="E38" s="165"/>
      <c r="F38" s="378"/>
      <c r="G38" s="379"/>
      <c r="H38" s="371"/>
      <c r="I38" s="369"/>
      <c r="J38" s="364">
        <f t="shared" si="10"/>
        <v>0</v>
      </c>
      <c r="K38" s="364">
        <f t="shared" si="11"/>
        <v>0</v>
      </c>
      <c r="L38" s="371">
        <f t="shared" si="5"/>
        <v>0</v>
      </c>
      <c r="M38" s="369">
        <f>IFERROR(100/'Skjema total MA'!I38*K38,0)</f>
        <v>0</v>
      </c>
    </row>
    <row r="39" spans="1:14" ht="15.75" x14ac:dyDescent="0.2">
      <c r="A39" s="18" t="s">
        <v>374</v>
      </c>
      <c r="B39" s="366">
        <v>0</v>
      </c>
      <c r="C39" s="367">
        <v>0</v>
      </c>
      <c r="D39" s="375">
        <f t="shared" si="3"/>
        <v>0</v>
      </c>
      <c r="E39" s="166"/>
      <c r="F39" s="381"/>
      <c r="G39" s="382"/>
      <c r="H39" s="375"/>
      <c r="I39" s="369"/>
      <c r="J39" s="364">
        <f t="shared" si="10"/>
        <v>0</v>
      </c>
      <c r="K39" s="364">
        <f t="shared" si="11"/>
        <v>0</v>
      </c>
      <c r="L39" s="375">
        <f t="shared" si="5"/>
        <v>0</v>
      </c>
      <c r="M39" s="375">
        <f>IFERROR(100/'Skjema total MA'!I39*K39,0)</f>
        <v>0</v>
      </c>
    </row>
    <row r="40" spans="1:14" ht="15.75" x14ac:dyDescent="0.25">
      <c r="A40" s="46"/>
      <c r="B40" s="251"/>
      <c r="C40" s="251"/>
      <c r="D40" s="358"/>
      <c r="E40" s="358"/>
      <c r="F40" s="358"/>
      <c r="G40" s="358"/>
      <c r="H40" s="358"/>
      <c r="I40" s="358"/>
      <c r="J40" s="358"/>
      <c r="K40" s="358"/>
      <c r="L40" s="358"/>
      <c r="M40" s="357"/>
    </row>
    <row r="41" spans="1:14" x14ac:dyDescent="0.2">
      <c r="A41" s="154"/>
    </row>
    <row r="42" spans="1:14" ht="15.75" x14ac:dyDescent="0.25">
      <c r="A42" s="146" t="s">
        <v>272</v>
      </c>
      <c r="B42" s="356"/>
      <c r="C42" s="356"/>
      <c r="D42" s="356"/>
      <c r="E42" s="356"/>
      <c r="F42" s="357"/>
      <c r="G42" s="357"/>
      <c r="H42" s="357"/>
      <c r="I42" s="357"/>
      <c r="J42" s="357"/>
      <c r="K42" s="357"/>
      <c r="L42" s="357"/>
      <c r="M42" s="357"/>
    </row>
    <row r="43" spans="1:14" ht="15.75" x14ac:dyDescent="0.25">
      <c r="A43" s="162"/>
      <c r="B43" s="355"/>
      <c r="C43" s="355"/>
      <c r="D43" s="355"/>
      <c r="E43" s="355"/>
      <c r="F43" s="357"/>
      <c r="G43" s="357"/>
      <c r="H43" s="357"/>
      <c r="I43" s="357"/>
      <c r="J43" s="357"/>
      <c r="K43" s="357"/>
      <c r="L43" s="357"/>
      <c r="M43" s="357"/>
    </row>
    <row r="44" spans="1:14" ht="15.75" x14ac:dyDescent="0.25">
      <c r="A44" s="245"/>
      <c r="B44" s="778" t="s">
        <v>0</v>
      </c>
      <c r="C44" s="779"/>
      <c r="D44" s="779"/>
      <c r="E44" s="241"/>
      <c r="F44" s="357"/>
      <c r="G44" s="357"/>
      <c r="H44" s="357"/>
      <c r="I44" s="357"/>
      <c r="J44" s="357"/>
      <c r="K44" s="357"/>
      <c r="L44" s="357"/>
      <c r="M44" s="357"/>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417" customFormat="1" ht="15.75" x14ac:dyDescent="0.2">
      <c r="A47" s="14" t="s">
        <v>23</v>
      </c>
      <c r="B47" s="364">
        <v>605793.56802999997</v>
      </c>
      <c r="C47" s="365">
        <v>608906.71060999995</v>
      </c>
      <c r="D47" s="421">
        <f>IF(AND(_xlfn.NUMBERVALUE(B47)=0,_xlfn.NUMBERVALUE(C47)=0),,IF(B47=0, "    ---- ", IF(ABS(ROUND(100/B47*C47-100,1))&lt;999,IF(ROUND(100/B47*C47-100,1)=0,"    ---- ",ROUND(100/B47*C47-100,1)),IF(ROUND(100/B47*C47-100,1)&gt;999,999,-999))))</f>
        <v>0.5</v>
      </c>
      <c r="E47" s="422">
        <f>IFERROR(100/'Skjema total MA'!C47*C47,0)</f>
        <v>15.355656505328874</v>
      </c>
      <c r="F47" s="158"/>
      <c r="G47" s="172"/>
      <c r="H47" s="158"/>
      <c r="I47" s="158"/>
      <c r="J47" s="420"/>
      <c r="K47" s="420"/>
      <c r="L47" s="158"/>
      <c r="M47" s="158"/>
      <c r="N47" s="423"/>
    </row>
    <row r="48" spans="1:14" s="3" customFormat="1" ht="15.75" x14ac:dyDescent="0.2">
      <c r="A48" s="37" t="s">
        <v>375</v>
      </c>
      <c r="B48" s="362">
        <v>87932.991269999999</v>
      </c>
      <c r="C48" s="363">
        <v>93029.586379999993</v>
      </c>
      <c r="D48" s="371">
        <f t="shared" ref="D48:D58" si="12">IF(AND(_xlfn.NUMBERVALUE(B48)=0,_xlfn.NUMBERVALUE(C48)=0),,IF(B48=0, "    ---- ", IF(ABS(ROUND(100/B48*C48-100,1))&lt;999,IF(ROUND(100/B48*C48-100,1)=0,"    ---- ",ROUND(100/B48*C48-100,1)),IF(ROUND(100/B48*C48-100,1)&gt;999,999,-999))))</f>
        <v>5.8</v>
      </c>
      <c r="E48" s="410">
        <f>IFERROR(100/'Skjema total MA'!C48*C48,0)</f>
        <v>4.0878474566590928</v>
      </c>
      <c r="F48" s="144"/>
      <c r="G48" s="32"/>
      <c r="H48" s="144"/>
      <c r="I48" s="144"/>
      <c r="J48" s="32"/>
      <c r="K48" s="32"/>
      <c r="L48" s="158"/>
      <c r="M48" s="158"/>
      <c r="N48" s="147"/>
    </row>
    <row r="49" spans="1:14" s="3" customFormat="1" ht="15.75" x14ac:dyDescent="0.2">
      <c r="A49" s="37" t="s">
        <v>376</v>
      </c>
      <c r="B49" s="362">
        <v>517860.57676000003</v>
      </c>
      <c r="C49" s="363">
        <v>515877.12423000002</v>
      </c>
      <c r="D49" s="371">
        <f t="shared" si="12"/>
        <v>-0.4</v>
      </c>
      <c r="E49" s="410">
        <f>IFERROR(100/'Skjema total MA'!C49*C49,0)</f>
        <v>30.532536643093167</v>
      </c>
      <c r="F49" s="144"/>
      <c r="G49" s="32"/>
      <c r="H49" s="144"/>
      <c r="I49" s="144"/>
      <c r="J49" s="36"/>
      <c r="K49" s="36"/>
      <c r="L49" s="158"/>
      <c r="M49" s="158"/>
      <c r="N49" s="147"/>
    </row>
    <row r="50" spans="1:14" s="3" customFormat="1" x14ac:dyDescent="0.2">
      <c r="A50" s="294" t="s">
        <v>6</v>
      </c>
      <c r="B50" s="361" t="s">
        <v>429</v>
      </c>
      <c r="C50" s="383" t="s">
        <v>429</v>
      </c>
      <c r="D50" s="371">
        <f t="shared" si="12"/>
        <v>0</v>
      </c>
      <c r="E50" s="411"/>
      <c r="F50" s="144"/>
      <c r="G50" s="32"/>
      <c r="H50" s="144"/>
      <c r="I50" s="144"/>
      <c r="J50" s="32"/>
      <c r="K50" s="32"/>
      <c r="L50" s="158"/>
      <c r="M50" s="158"/>
      <c r="N50" s="147"/>
    </row>
    <row r="51" spans="1:14" s="3" customFormat="1" x14ac:dyDescent="0.2">
      <c r="A51" s="294" t="s">
        <v>7</v>
      </c>
      <c r="B51" s="361" t="s">
        <v>429</v>
      </c>
      <c r="C51" s="383" t="s">
        <v>429</v>
      </c>
      <c r="D51" s="371">
        <f t="shared" si="12"/>
        <v>0</v>
      </c>
      <c r="E51" s="411"/>
      <c r="F51" s="144"/>
      <c r="G51" s="32"/>
      <c r="H51" s="144"/>
      <c r="I51" s="144"/>
      <c r="J51" s="32"/>
      <c r="K51" s="32"/>
      <c r="L51" s="158"/>
      <c r="M51" s="158"/>
      <c r="N51" s="147"/>
    </row>
    <row r="52" spans="1:14" s="3" customFormat="1" x14ac:dyDescent="0.2">
      <c r="A52" s="294" t="s">
        <v>8</v>
      </c>
      <c r="B52" s="361" t="s">
        <v>429</v>
      </c>
      <c r="C52" s="383" t="s">
        <v>429</v>
      </c>
      <c r="D52" s="371">
        <f t="shared" si="12"/>
        <v>0</v>
      </c>
      <c r="E52" s="411"/>
      <c r="F52" s="144"/>
      <c r="G52" s="32"/>
      <c r="H52" s="144"/>
      <c r="I52" s="144"/>
      <c r="J52" s="32"/>
      <c r="K52" s="32"/>
      <c r="L52" s="158"/>
      <c r="M52" s="158"/>
      <c r="N52" s="147"/>
    </row>
    <row r="53" spans="1:14" s="3" customFormat="1" ht="15.75" x14ac:dyDescent="0.2">
      <c r="A53" s="38" t="s">
        <v>377</v>
      </c>
      <c r="B53" s="364">
        <v>1717</v>
      </c>
      <c r="C53" s="365">
        <v>836</v>
      </c>
      <c r="D53" s="371">
        <f t="shared" si="12"/>
        <v>-51.3</v>
      </c>
      <c r="E53" s="410">
        <f>IFERROR(100/'Skjema total MA'!C53*C53,0)</f>
        <v>0.35557718735178256</v>
      </c>
      <c r="F53" s="144"/>
      <c r="G53" s="32"/>
      <c r="H53" s="144"/>
      <c r="I53" s="144"/>
      <c r="J53" s="32"/>
      <c r="K53" s="32"/>
      <c r="L53" s="158"/>
      <c r="M53" s="158"/>
      <c r="N53" s="147"/>
    </row>
    <row r="54" spans="1:14" s="3" customFormat="1" ht="15.75" x14ac:dyDescent="0.2">
      <c r="A54" s="37" t="s">
        <v>375</v>
      </c>
      <c r="B54" s="362">
        <v>1717</v>
      </c>
      <c r="C54" s="363">
        <v>836</v>
      </c>
      <c r="D54" s="371">
        <f t="shared" si="12"/>
        <v>-51.3</v>
      </c>
      <c r="E54" s="410">
        <f>IFERROR(100/'Skjema total MA'!C54*C54,0)</f>
        <v>0.36466761001001075</v>
      </c>
      <c r="F54" s="144"/>
      <c r="G54" s="32"/>
      <c r="H54" s="144"/>
      <c r="I54" s="144"/>
      <c r="J54" s="32"/>
      <c r="K54" s="32"/>
      <c r="L54" s="158"/>
      <c r="M54" s="158"/>
      <c r="N54" s="147"/>
    </row>
    <row r="55" spans="1:14" s="3" customFormat="1" ht="15.75" x14ac:dyDescent="0.2">
      <c r="A55" s="37" t="s">
        <v>376</v>
      </c>
      <c r="B55" s="362">
        <v>0</v>
      </c>
      <c r="C55" s="363">
        <v>0</v>
      </c>
      <c r="D55" s="371">
        <f t="shared" si="12"/>
        <v>0</v>
      </c>
      <c r="E55" s="410">
        <f>IFERROR(100/'Skjema total MA'!C55*C55,0)</f>
        <v>0</v>
      </c>
      <c r="F55" s="144"/>
      <c r="G55" s="32"/>
      <c r="H55" s="144"/>
      <c r="I55" s="144"/>
      <c r="J55" s="32"/>
      <c r="K55" s="32"/>
      <c r="L55" s="158"/>
      <c r="M55" s="158"/>
      <c r="N55" s="147"/>
    </row>
    <row r="56" spans="1:14" s="3" customFormat="1" ht="15.75" x14ac:dyDescent="0.2">
      <c r="A56" s="38" t="s">
        <v>378</v>
      </c>
      <c r="B56" s="364">
        <v>1201</v>
      </c>
      <c r="C56" s="365">
        <v>1764</v>
      </c>
      <c r="D56" s="371">
        <f t="shared" si="12"/>
        <v>46.9</v>
      </c>
      <c r="E56" s="410">
        <f>IFERROR(100/'Skjema total MA'!C56*C56,0)</f>
        <v>1.8893774433846282</v>
      </c>
      <c r="F56" s="144"/>
      <c r="G56" s="32"/>
      <c r="H56" s="144"/>
      <c r="I56" s="144"/>
      <c r="J56" s="32"/>
      <c r="K56" s="32"/>
      <c r="L56" s="158"/>
      <c r="M56" s="158"/>
      <c r="N56" s="147"/>
    </row>
    <row r="57" spans="1:14" s="3" customFormat="1" ht="15.75" x14ac:dyDescent="0.2">
      <c r="A57" s="37" t="s">
        <v>375</v>
      </c>
      <c r="B57" s="362">
        <v>1201</v>
      </c>
      <c r="C57" s="363">
        <v>1764</v>
      </c>
      <c r="D57" s="371">
        <f t="shared" si="12"/>
        <v>46.9</v>
      </c>
      <c r="E57" s="410">
        <f>IFERROR(100/'Skjema total MA'!C57*C57,0)</f>
        <v>1.8893774433846282</v>
      </c>
      <c r="F57" s="144"/>
      <c r="G57" s="32"/>
      <c r="H57" s="144"/>
      <c r="I57" s="144"/>
      <c r="J57" s="32"/>
      <c r="K57" s="32"/>
      <c r="L57" s="158"/>
      <c r="M57" s="158"/>
      <c r="N57" s="147"/>
    </row>
    <row r="58" spans="1:14" s="3" customFormat="1" ht="15.75" x14ac:dyDescent="0.2">
      <c r="A58" s="45" t="s">
        <v>376</v>
      </c>
      <c r="B58" s="384">
        <v>0</v>
      </c>
      <c r="C58" s="385">
        <v>0</v>
      </c>
      <c r="D58" s="375">
        <f t="shared" si="12"/>
        <v>0</v>
      </c>
      <c r="E58" s="412">
        <f>IFERROR(100/'Skjema total MA'!C58*C58,0)</f>
        <v>0</v>
      </c>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355"/>
      <c r="C62" s="355"/>
      <c r="D62" s="355"/>
      <c r="E62" s="356"/>
      <c r="F62" s="355"/>
      <c r="G62" s="355"/>
      <c r="H62" s="355"/>
      <c r="I62" s="356"/>
      <c r="J62" s="355"/>
      <c r="K62" s="355"/>
      <c r="L62" s="355"/>
      <c r="M62" s="356"/>
    </row>
    <row r="63" spans="1:14" x14ac:dyDescent="0.2">
      <c r="A63" s="143"/>
      <c r="B63" s="778" t="s">
        <v>0</v>
      </c>
      <c r="C63" s="779"/>
      <c r="D63" s="780"/>
      <c r="E63" s="352"/>
      <c r="F63" s="779" t="s">
        <v>1</v>
      </c>
      <c r="G63" s="779"/>
      <c r="H63" s="779"/>
      <c r="I63" s="354"/>
      <c r="J63" s="778" t="s">
        <v>2</v>
      </c>
      <c r="K63" s="779"/>
      <c r="L63" s="779"/>
      <c r="M63" s="354"/>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86"/>
      <c r="C66" s="386"/>
      <c r="D66" s="368"/>
      <c r="E66" s="369"/>
      <c r="F66" s="386"/>
      <c r="G66" s="386"/>
      <c r="H66" s="368"/>
      <c r="I66" s="369"/>
      <c r="J66" s="365"/>
      <c r="K66" s="359"/>
      <c r="L66" s="371"/>
      <c r="M66" s="369"/>
    </row>
    <row r="67" spans="1:14" x14ac:dyDescent="0.2">
      <c r="A67" s="20" t="s">
        <v>9</v>
      </c>
      <c r="B67" s="362"/>
      <c r="C67" s="387"/>
      <c r="D67" s="371"/>
      <c r="E67" s="369"/>
      <c r="F67" s="374"/>
      <c r="G67" s="387"/>
      <c r="H67" s="371"/>
      <c r="I67" s="369"/>
      <c r="J67" s="363"/>
      <c r="K67" s="362"/>
      <c r="L67" s="371"/>
      <c r="M67" s="369"/>
    </row>
    <row r="68" spans="1:14" x14ac:dyDescent="0.2">
      <c r="A68" s="20" t="s">
        <v>10</v>
      </c>
      <c r="B68" s="388"/>
      <c r="C68" s="389"/>
      <c r="D68" s="371"/>
      <c r="E68" s="369"/>
      <c r="F68" s="388"/>
      <c r="G68" s="747"/>
      <c r="H68" s="371"/>
      <c r="I68" s="369"/>
      <c r="J68" s="363"/>
      <c r="K68" s="362"/>
      <c r="L68" s="371"/>
      <c r="M68" s="369"/>
    </row>
    <row r="69" spans="1:14" ht="15.75" x14ac:dyDescent="0.2">
      <c r="A69" s="294" t="s">
        <v>379</v>
      </c>
      <c r="B69" s="746"/>
      <c r="C69" s="746"/>
      <c r="D69" s="371"/>
      <c r="E69" s="745"/>
      <c r="F69" s="746"/>
      <c r="G69" s="746"/>
      <c r="H69" s="371"/>
      <c r="I69" s="745"/>
      <c r="J69" s="746"/>
      <c r="K69" s="746"/>
      <c r="L69" s="371"/>
      <c r="M69" s="369"/>
    </row>
    <row r="70" spans="1:14" x14ac:dyDescent="0.2">
      <c r="A70" s="294" t="s">
        <v>12</v>
      </c>
      <c r="B70" s="390"/>
      <c r="C70" s="391"/>
      <c r="D70" s="371"/>
      <c r="E70" s="745"/>
      <c r="F70" s="746"/>
      <c r="G70" s="746"/>
      <c r="H70" s="371"/>
      <c r="I70" s="745"/>
      <c r="J70" s="746"/>
      <c r="K70" s="746"/>
      <c r="L70" s="371"/>
      <c r="M70" s="369"/>
    </row>
    <row r="71" spans="1:14" x14ac:dyDescent="0.2">
      <c r="A71" s="294" t="s">
        <v>13</v>
      </c>
      <c r="B71" s="392"/>
      <c r="C71" s="393"/>
      <c r="D71" s="371"/>
      <c r="E71" s="745"/>
      <c r="F71" s="746"/>
      <c r="G71" s="746"/>
      <c r="H71" s="371"/>
      <c r="I71" s="745"/>
      <c r="J71" s="746"/>
      <c r="K71" s="746"/>
      <c r="L71" s="371"/>
      <c r="M71" s="369"/>
    </row>
    <row r="72" spans="1:14" ht="15.75" x14ac:dyDescent="0.2">
      <c r="A72" s="294" t="s">
        <v>380</v>
      </c>
      <c r="B72" s="746"/>
      <c r="C72" s="746"/>
      <c r="D72" s="371"/>
      <c r="E72" s="745"/>
      <c r="F72" s="746"/>
      <c r="G72" s="746"/>
      <c r="H72" s="371"/>
      <c r="I72" s="745"/>
      <c r="J72" s="746"/>
      <c r="K72" s="746"/>
      <c r="L72" s="371"/>
      <c r="M72" s="369"/>
    </row>
    <row r="73" spans="1:14" x14ac:dyDescent="0.2">
      <c r="A73" s="294" t="s">
        <v>12</v>
      </c>
      <c r="B73" s="392"/>
      <c r="C73" s="393"/>
      <c r="D73" s="371"/>
      <c r="E73" s="745"/>
      <c r="F73" s="746"/>
      <c r="G73" s="746"/>
      <c r="H73" s="371"/>
      <c r="I73" s="745"/>
      <c r="J73" s="746"/>
      <c r="K73" s="746"/>
      <c r="L73" s="371"/>
      <c r="M73" s="369"/>
    </row>
    <row r="74" spans="1:14" s="3" customFormat="1" x14ac:dyDescent="0.2">
      <c r="A74" s="294" t="s">
        <v>13</v>
      </c>
      <c r="B74" s="392"/>
      <c r="C74" s="393"/>
      <c r="D74" s="371"/>
      <c r="E74" s="745"/>
      <c r="F74" s="746"/>
      <c r="G74" s="746"/>
      <c r="H74" s="371"/>
      <c r="I74" s="745"/>
      <c r="J74" s="746"/>
      <c r="K74" s="746"/>
      <c r="L74" s="371"/>
      <c r="M74" s="369"/>
      <c r="N74" s="147"/>
    </row>
    <row r="75" spans="1:14" s="3" customFormat="1" x14ac:dyDescent="0.2">
      <c r="A75" s="20" t="s">
        <v>349</v>
      </c>
      <c r="B75" s="374"/>
      <c r="C75" s="387"/>
      <c r="D75" s="371"/>
      <c r="E75" s="369"/>
      <c r="F75" s="374"/>
      <c r="G75" s="387"/>
      <c r="H75" s="371"/>
      <c r="I75" s="369"/>
      <c r="J75" s="363"/>
      <c r="K75" s="362"/>
      <c r="L75" s="371"/>
      <c r="M75" s="369"/>
      <c r="N75" s="147"/>
    </row>
    <row r="76" spans="1:14" s="3" customFormat="1" x14ac:dyDescent="0.2">
      <c r="A76" s="20" t="s">
        <v>348</v>
      </c>
      <c r="B76" s="374"/>
      <c r="C76" s="387"/>
      <c r="D76" s="371"/>
      <c r="E76" s="369"/>
      <c r="F76" s="374"/>
      <c r="G76" s="387"/>
      <c r="H76" s="371"/>
      <c r="I76" s="369"/>
      <c r="J76" s="363"/>
      <c r="K76" s="362"/>
      <c r="L76" s="371"/>
      <c r="M76" s="369"/>
      <c r="N76" s="147"/>
    </row>
    <row r="77" spans="1:14" ht="15.75" x14ac:dyDescent="0.2">
      <c r="A77" s="20" t="s">
        <v>381</v>
      </c>
      <c r="B77" s="374"/>
      <c r="C77" s="374"/>
      <c r="D77" s="371"/>
      <c r="E77" s="369"/>
      <c r="F77" s="374"/>
      <c r="G77" s="387"/>
      <c r="H77" s="371"/>
      <c r="I77" s="369"/>
      <c r="J77" s="363"/>
      <c r="K77" s="362"/>
      <c r="L77" s="371"/>
      <c r="M77" s="369"/>
    </row>
    <row r="78" spans="1:14" x14ac:dyDescent="0.2">
      <c r="A78" s="20" t="s">
        <v>9</v>
      </c>
      <c r="B78" s="374"/>
      <c r="C78" s="387"/>
      <c r="D78" s="371"/>
      <c r="E78" s="369"/>
      <c r="F78" s="374"/>
      <c r="G78" s="387"/>
      <c r="H78" s="371"/>
      <c r="I78" s="369"/>
      <c r="J78" s="363"/>
      <c r="K78" s="362"/>
      <c r="L78" s="371"/>
      <c r="M78" s="369"/>
    </row>
    <row r="79" spans="1:14" x14ac:dyDescent="0.2">
      <c r="A79" s="729" t="s">
        <v>423</v>
      </c>
      <c r="B79" s="388"/>
      <c r="C79" s="389"/>
      <c r="D79" s="371"/>
      <c r="E79" s="369"/>
      <c r="F79" s="388"/>
      <c r="G79" s="389"/>
      <c r="H79" s="371"/>
      <c r="I79" s="369"/>
      <c r="J79" s="363"/>
      <c r="K79" s="362"/>
      <c r="L79" s="371"/>
      <c r="M79" s="369"/>
    </row>
    <row r="80" spans="1:14" ht="15.75" x14ac:dyDescent="0.2">
      <c r="A80" s="294" t="s">
        <v>379</v>
      </c>
      <c r="B80" s="746"/>
      <c r="C80" s="746"/>
      <c r="D80" s="371"/>
      <c r="E80" s="745"/>
      <c r="F80" s="748"/>
      <c r="G80" s="748"/>
      <c r="H80" s="371"/>
      <c r="I80" s="744"/>
      <c r="J80" s="748"/>
      <c r="K80" s="748"/>
      <c r="L80" s="371"/>
      <c r="M80" s="369"/>
    </row>
    <row r="81" spans="1:13" x14ac:dyDescent="0.2">
      <c r="A81" s="294" t="s">
        <v>12</v>
      </c>
      <c r="B81" s="392"/>
      <c r="C81" s="393"/>
      <c r="D81" s="371"/>
      <c r="E81" s="745"/>
      <c r="F81" s="748"/>
      <c r="G81" s="748"/>
      <c r="H81" s="371"/>
      <c r="I81" s="744"/>
      <c r="J81" s="748"/>
      <c r="K81" s="748"/>
      <c r="L81" s="371"/>
      <c r="M81" s="369"/>
    </row>
    <row r="82" spans="1:13" x14ac:dyDescent="0.2">
      <c r="A82" s="294" t="s">
        <v>13</v>
      </c>
      <c r="B82" s="392"/>
      <c r="C82" s="393"/>
      <c r="D82" s="371"/>
      <c r="E82" s="745"/>
      <c r="F82" s="748"/>
      <c r="G82" s="748"/>
      <c r="H82" s="371"/>
      <c r="I82" s="744"/>
      <c r="J82" s="748"/>
      <c r="K82" s="748"/>
      <c r="L82" s="371"/>
      <c r="M82" s="369"/>
    </row>
    <row r="83" spans="1:13" ht="15.75" x14ac:dyDescent="0.2">
      <c r="A83" s="294" t="s">
        <v>380</v>
      </c>
      <c r="B83" s="748"/>
      <c r="C83" s="748"/>
      <c r="D83" s="371"/>
      <c r="E83" s="745"/>
      <c r="F83" s="748"/>
      <c r="G83" s="748"/>
      <c r="H83" s="371"/>
      <c r="I83" s="744"/>
      <c r="J83" s="748"/>
      <c r="K83" s="748"/>
      <c r="L83" s="371"/>
      <c r="M83" s="369"/>
    </row>
    <row r="84" spans="1:13" x14ac:dyDescent="0.2">
      <c r="A84" s="294" t="s">
        <v>12</v>
      </c>
      <c r="B84" s="392"/>
      <c r="C84" s="393"/>
      <c r="D84" s="371"/>
      <c r="E84" s="745"/>
      <c r="F84" s="748"/>
      <c r="G84" s="748"/>
      <c r="H84" s="371"/>
      <c r="I84" s="744"/>
      <c r="J84" s="748"/>
      <c r="K84" s="748"/>
      <c r="L84" s="371"/>
      <c r="M84" s="369"/>
    </row>
    <row r="85" spans="1:13" x14ac:dyDescent="0.2">
      <c r="A85" s="294" t="s">
        <v>13</v>
      </c>
      <c r="B85" s="392"/>
      <c r="C85" s="393"/>
      <c r="D85" s="371"/>
      <c r="E85" s="745"/>
      <c r="F85" s="748"/>
      <c r="G85" s="748"/>
      <c r="H85" s="371"/>
      <c r="I85" s="744"/>
      <c r="J85" s="748"/>
      <c r="K85" s="748"/>
      <c r="L85" s="371"/>
      <c r="M85" s="369"/>
    </row>
    <row r="86" spans="1:13" ht="15.75" x14ac:dyDescent="0.2">
      <c r="A86" s="20" t="s">
        <v>382</v>
      </c>
      <c r="B86" s="374"/>
      <c r="C86" s="387"/>
      <c r="D86" s="371"/>
      <c r="E86" s="369"/>
      <c r="F86" s="374"/>
      <c r="G86" s="387"/>
      <c r="H86" s="371"/>
      <c r="I86" s="369"/>
      <c r="J86" s="363"/>
      <c r="K86" s="362"/>
      <c r="L86" s="371"/>
      <c r="M86" s="369"/>
    </row>
    <row r="87" spans="1:13" ht="15.75" x14ac:dyDescent="0.2">
      <c r="A87" s="13" t="s">
        <v>364</v>
      </c>
      <c r="B87" s="386"/>
      <c r="C87" s="386"/>
      <c r="D87" s="371"/>
      <c r="E87" s="369"/>
      <c r="F87" s="386"/>
      <c r="G87" s="386"/>
      <c r="H87" s="371"/>
      <c r="I87" s="369"/>
      <c r="J87" s="365"/>
      <c r="K87" s="364"/>
      <c r="L87" s="371"/>
      <c r="M87" s="369"/>
    </row>
    <row r="88" spans="1:13" x14ac:dyDescent="0.2">
      <c r="A88" s="20" t="s">
        <v>9</v>
      </c>
      <c r="B88" s="374"/>
      <c r="C88" s="387"/>
      <c r="D88" s="371"/>
      <c r="E88" s="369"/>
      <c r="F88" s="374"/>
      <c r="G88" s="387"/>
      <c r="H88" s="371"/>
      <c r="I88" s="369"/>
      <c r="J88" s="363"/>
      <c r="K88" s="362"/>
      <c r="L88" s="371"/>
      <c r="M88" s="369"/>
    </row>
    <row r="89" spans="1:13" x14ac:dyDescent="0.2">
      <c r="A89" s="20" t="s">
        <v>10</v>
      </c>
      <c r="B89" s="374"/>
      <c r="C89" s="387"/>
      <c r="D89" s="371"/>
      <c r="E89" s="369"/>
      <c r="F89" s="374"/>
      <c r="G89" s="387"/>
      <c r="H89" s="371"/>
      <c r="I89" s="369"/>
      <c r="J89" s="363"/>
      <c r="K89" s="362"/>
      <c r="L89" s="371"/>
      <c r="M89" s="369"/>
    </row>
    <row r="90" spans="1:13" ht="15.75" x14ac:dyDescent="0.2">
      <c r="A90" s="294" t="s">
        <v>379</v>
      </c>
      <c r="B90" s="748"/>
      <c r="C90" s="748"/>
      <c r="D90" s="371"/>
      <c r="E90" s="745"/>
      <c r="F90" s="748"/>
      <c r="G90" s="748"/>
      <c r="H90" s="371"/>
      <c r="I90" s="744"/>
      <c r="J90" s="748"/>
      <c r="K90" s="748"/>
      <c r="L90" s="371"/>
      <c r="M90" s="369"/>
    </row>
    <row r="91" spans="1:13" x14ac:dyDescent="0.2">
      <c r="A91" s="294" t="s">
        <v>12</v>
      </c>
      <c r="B91" s="748"/>
      <c r="C91" s="748"/>
      <c r="D91" s="371"/>
      <c r="E91" s="745"/>
      <c r="F91" s="748"/>
      <c r="G91" s="748"/>
      <c r="H91" s="371"/>
      <c r="I91" s="744"/>
      <c r="J91" s="748"/>
      <c r="K91" s="748"/>
      <c r="L91" s="371"/>
      <c r="M91" s="369"/>
    </row>
    <row r="92" spans="1:13" x14ac:dyDescent="0.2">
      <c r="A92" s="294" t="s">
        <v>13</v>
      </c>
      <c r="B92" s="748"/>
      <c r="C92" s="748"/>
      <c r="D92" s="371"/>
      <c r="E92" s="745"/>
      <c r="F92" s="748"/>
      <c r="G92" s="748"/>
      <c r="H92" s="371"/>
      <c r="I92" s="744"/>
      <c r="J92" s="748"/>
      <c r="K92" s="748"/>
      <c r="L92" s="371"/>
      <c r="M92" s="369"/>
    </row>
    <row r="93" spans="1:13" ht="15.75" x14ac:dyDescent="0.2">
      <c r="A93" s="294" t="s">
        <v>380</v>
      </c>
      <c r="B93" s="748"/>
      <c r="C93" s="748"/>
      <c r="D93" s="371"/>
      <c r="E93" s="745"/>
      <c r="F93" s="748"/>
      <c r="G93" s="748"/>
      <c r="H93" s="371"/>
      <c r="I93" s="744"/>
      <c r="J93" s="748"/>
      <c r="K93" s="748"/>
      <c r="L93" s="371"/>
      <c r="M93" s="369"/>
    </row>
    <row r="94" spans="1:13" x14ac:dyDescent="0.2">
      <c r="A94" s="294" t="s">
        <v>12</v>
      </c>
      <c r="B94" s="392"/>
      <c r="C94" s="393"/>
      <c r="D94" s="371"/>
      <c r="E94" s="745"/>
      <c r="F94" s="748"/>
      <c r="G94" s="748"/>
      <c r="H94" s="371"/>
      <c r="I94" s="744"/>
      <c r="J94" s="748"/>
      <c r="K94" s="748"/>
      <c r="L94" s="371"/>
      <c r="M94" s="369"/>
    </row>
    <row r="95" spans="1:13" x14ac:dyDescent="0.2">
      <c r="A95" s="294" t="s">
        <v>13</v>
      </c>
      <c r="B95" s="392"/>
      <c r="C95" s="393"/>
      <c r="D95" s="371"/>
      <c r="E95" s="745"/>
      <c r="F95" s="748"/>
      <c r="G95" s="748"/>
      <c r="H95" s="371"/>
      <c r="I95" s="744"/>
      <c r="J95" s="748"/>
      <c r="K95" s="748"/>
      <c r="L95" s="371"/>
      <c r="M95" s="369"/>
    </row>
    <row r="96" spans="1:13" x14ac:dyDescent="0.2">
      <c r="A96" s="20" t="s">
        <v>347</v>
      </c>
      <c r="B96" s="374"/>
      <c r="C96" s="387"/>
      <c r="D96" s="371"/>
      <c r="E96" s="369"/>
      <c r="F96" s="374"/>
      <c r="G96" s="387"/>
      <c r="H96" s="371"/>
      <c r="I96" s="369"/>
      <c r="J96" s="363"/>
      <c r="K96" s="362"/>
      <c r="L96" s="371"/>
      <c r="M96" s="369"/>
    </row>
    <row r="97" spans="1:13" x14ac:dyDescent="0.2">
      <c r="A97" s="20" t="s">
        <v>346</v>
      </c>
      <c r="B97" s="374"/>
      <c r="C97" s="387"/>
      <c r="D97" s="371"/>
      <c r="E97" s="369"/>
      <c r="F97" s="374"/>
      <c r="G97" s="387"/>
      <c r="H97" s="371"/>
      <c r="I97" s="369"/>
      <c r="J97" s="363"/>
      <c r="K97" s="362"/>
      <c r="L97" s="371"/>
      <c r="M97" s="369"/>
    </row>
    <row r="98" spans="1:13" ht="15.75" x14ac:dyDescent="0.2">
      <c r="A98" s="20" t="s">
        <v>381</v>
      </c>
      <c r="B98" s="374"/>
      <c r="C98" s="374"/>
      <c r="D98" s="371"/>
      <c r="E98" s="369"/>
      <c r="F98" s="388"/>
      <c r="G98" s="388"/>
      <c r="H98" s="371"/>
      <c r="I98" s="369"/>
      <c r="J98" s="363"/>
      <c r="K98" s="362"/>
      <c r="L98" s="371"/>
      <c r="M98" s="369"/>
    </row>
    <row r="99" spans="1:13" x14ac:dyDescent="0.2">
      <c r="A99" s="20" t="s">
        <v>9</v>
      </c>
      <c r="B99" s="388"/>
      <c r="C99" s="389"/>
      <c r="D99" s="371"/>
      <c r="E99" s="369"/>
      <c r="F99" s="374"/>
      <c r="G99" s="387"/>
      <c r="H99" s="371"/>
      <c r="I99" s="369"/>
      <c r="J99" s="363"/>
      <c r="K99" s="362"/>
      <c r="L99" s="371"/>
      <c r="M99" s="369"/>
    </row>
    <row r="100" spans="1:13" ht="15.75" x14ac:dyDescent="0.2">
      <c r="A100" s="729" t="s">
        <v>424</v>
      </c>
      <c r="B100" s="388"/>
      <c r="C100" s="389"/>
      <c r="D100" s="371"/>
      <c r="E100" s="369"/>
      <c r="F100" s="374"/>
      <c r="G100" s="374"/>
      <c r="H100" s="371"/>
      <c r="I100" s="369"/>
      <c r="J100" s="363"/>
      <c r="K100" s="362"/>
      <c r="L100" s="371"/>
      <c r="M100" s="369"/>
    </row>
    <row r="101" spans="1:13" ht="15.75" x14ac:dyDescent="0.2">
      <c r="A101" s="729" t="s">
        <v>425</v>
      </c>
      <c r="B101" s="388"/>
      <c r="C101" s="388"/>
      <c r="D101" s="371"/>
      <c r="E101" s="369"/>
      <c r="F101" s="388"/>
      <c r="G101" s="388"/>
      <c r="H101" s="371"/>
      <c r="I101" s="369"/>
      <c r="J101" s="363"/>
      <c r="K101" s="362"/>
      <c r="L101" s="371"/>
      <c r="M101" s="369"/>
    </row>
    <row r="102" spans="1:13" ht="15.75" x14ac:dyDescent="0.2">
      <c r="A102" s="294" t="s">
        <v>379</v>
      </c>
      <c r="B102" s="748"/>
      <c r="C102" s="748"/>
      <c r="D102" s="371"/>
      <c r="E102" s="745"/>
      <c r="F102" s="748"/>
      <c r="G102" s="748"/>
      <c r="H102" s="371"/>
      <c r="I102" s="745"/>
      <c r="J102" s="748"/>
      <c r="K102" s="748"/>
      <c r="L102" s="371"/>
      <c r="M102" s="369"/>
    </row>
    <row r="103" spans="1:13" x14ac:dyDescent="0.2">
      <c r="A103" s="294" t="s">
        <v>12</v>
      </c>
      <c r="B103" s="748"/>
      <c r="C103" s="748"/>
      <c r="D103" s="371"/>
      <c r="E103" s="745"/>
      <c r="F103" s="748"/>
      <c r="G103" s="748"/>
      <c r="H103" s="371"/>
      <c r="I103" s="745"/>
      <c r="J103" s="748"/>
      <c r="K103" s="748"/>
      <c r="L103" s="371"/>
      <c r="M103" s="369"/>
    </row>
    <row r="104" spans="1:13" x14ac:dyDescent="0.2">
      <c r="A104" s="294" t="s">
        <v>13</v>
      </c>
      <c r="B104" s="748"/>
      <c r="C104" s="748"/>
      <c r="D104" s="371"/>
      <c r="E104" s="745"/>
      <c r="F104" s="748"/>
      <c r="G104" s="748"/>
      <c r="H104" s="371"/>
      <c r="I104" s="745"/>
      <c r="J104" s="748"/>
      <c r="K104" s="748"/>
      <c r="L104" s="371"/>
      <c r="M104" s="369"/>
    </row>
    <row r="105" spans="1:13" ht="15.75" x14ac:dyDescent="0.2">
      <c r="A105" s="294" t="s">
        <v>380</v>
      </c>
      <c r="B105" s="748"/>
      <c r="C105" s="748"/>
      <c r="D105" s="371"/>
      <c r="E105" s="745"/>
      <c r="F105" s="748"/>
      <c r="G105" s="748"/>
      <c r="H105" s="371"/>
      <c r="I105" s="745"/>
      <c r="J105" s="748"/>
      <c r="K105" s="748"/>
      <c r="L105" s="371"/>
      <c r="M105" s="369"/>
    </row>
    <row r="106" spans="1:13" x14ac:dyDescent="0.2">
      <c r="A106" s="294" t="s">
        <v>12</v>
      </c>
      <c r="B106" s="392"/>
      <c r="C106" s="393"/>
      <c r="D106" s="371"/>
      <c r="E106" s="745"/>
      <c r="F106" s="748"/>
      <c r="G106" s="748"/>
      <c r="H106" s="371"/>
      <c r="I106" s="745"/>
      <c r="J106" s="748"/>
      <c r="K106" s="748"/>
      <c r="L106" s="371"/>
      <c r="M106" s="369"/>
    </row>
    <row r="107" spans="1:13" x14ac:dyDescent="0.2">
      <c r="A107" s="294" t="s">
        <v>13</v>
      </c>
      <c r="B107" s="392"/>
      <c r="C107" s="393"/>
      <c r="D107" s="371"/>
      <c r="E107" s="745"/>
      <c r="F107" s="748"/>
      <c r="G107" s="748"/>
      <c r="H107" s="371"/>
      <c r="I107" s="745"/>
      <c r="J107" s="748"/>
      <c r="K107" s="748"/>
      <c r="L107" s="371"/>
      <c r="M107" s="369"/>
    </row>
    <row r="108" spans="1:13" ht="15.75" x14ac:dyDescent="0.2">
      <c r="A108" s="20" t="s">
        <v>382</v>
      </c>
      <c r="B108" s="374"/>
      <c r="C108" s="387"/>
      <c r="D108" s="371"/>
      <c r="E108" s="369"/>
      <c r="F108" s="374"/>
      <c r="G108" s="387"/>
      <c r="H108" s="371"/>
      <c r="I108" s="369"/>
      <c r="J108" s="363"/>
      <c r="K108" s="362"/>
      <c r="L108" s="371"/>
      <c r="M108" s="369"/>
    </row>
    <row r="109" spans="1:13" ht="15.75" x14ac:dyDescent="0.2">
      <c r="A109" s="20" t="s">
        <v>383</v>
      </c>
      <c r="B109" s="374"/>
      <c r="C109" s="374"/>
      <c r="D109" s="371"/>
      <c r="E109" s="369"/>
      <c r="F109" s="374"/>
      <c r="G109" s="374"/>
      <c r="H109" s="371"/>
      <c r="I109" s="369"/>
      <c r="J109" s="363"/>
      <c r="K109" s="362"/>
      <c r="L109" s="371"/>
      <c r="M109" s="369"/>
    </row>
    <row r="110" spans="1:13" ht="15.75" x14ac:dyDescent="0.2">
      <c r="A110" s="729" t="s">
        <v>441</v>
      </c>
      <c r="B110" s="374"/>
      <c r="C110" s="374"/>
      <c r="D110" s="371"/>
      <c r="E110" s="369"/>
      <c r="F110" s="374"/>
      <c r="G110" s="374"/>
      <c r="H110" s="371"/>
      <c r="I110" s="369"/>
      <c r="J110" s="363"/>
      <c r="K110" s="362"/>
      <c r="L110" s="371"/>
      <c r="M110" s="369"/>
    </row>
    <row r="111" spans="1:13" ht="15.75" x14ac:dyDescent="0.2">
      <c r="A111" s="20" t="s">
        <v>385</v>
      </c>
      <c r="B111" s="374"/>
      <c r="C111" s="374"/>
      <c r="D111" s="371"/>
      <c r="E111" s="369"/>
      <c r="F111" s="374"/>
      <c r="G111" s="374"/>
      <c r="H111" s="371"/>
      <c r="I111" s="369"/>
      <c r="J111" s="363"/>
      <c r="K111" s="362"/>
      <c r="L111" s="371"/>
      <c r="M111" s="369"/>
    </row>
    <row r="112" spans="1:13" ht="15.75" x14ac:dyDescent="0.2">
      <c r="A112" s="13" t="s">
        <v>365</v>
      </c>
      <c r="B112" s="370"/>
      <c r="C112" s="394"/>
      <c r="D112" s="371"/>
      <c r="E112" s="369"/>
      <c r="F112" s="370"/>
      <c r="G112" s="394"/>
      <c r="H112" s="371"/>
      <c r="I112" s="369"/>
      <c r="J112" s="365"/>
      <c r="K112" s="364"/>
      <c r="L112" s="371"/>
      <c r="M112" s="369"/>
    </row>
    <row r="113" spans="1:14" x14ac:dyDescent="0.2">
      <c r="A113" s="20" t="s">
        <v>9</v>
      </c>
      <c r="B113" s="374"/>
      <c r="C113" s="387"/>
      <c r="D113" s="371"/>
      <c r="E113" s="369"/>
      <c r="F113" s="374"/>
      <c r="G113" s="387"/>
      <c r="H113" s="371"/>
      <c r="I113" s="369"/>
      <c r="J113" s="363"/>
      <c r="K113" s="362"/>
      <c r="L113" s="371"/>
      <c r="M113" s="369"/>
    </row>
    <row r="114" spans="1:14" x14ac:dyDescent="0.2">
      <c r="A114" s="20" t="s">
        <v>10</v>
      </c>
      <c r="B114" s="374"/>
      <c r="C114" s="387"/>
      <c r="D114" s="371"/>
      <c r="E114" s="369"/>
      <c r="F114" s="374"/>
      <c r="G114" s="387"/>
      <c r="H114" s="371"/>
      <c r="I114" s="369"/>
      <c r="J114" s="363"/>
      <c r="K114" s="362"/>
      <c r="L114" s="371"/>
      <c r="M114" s="369"/>
    </row>
    <row r="115" spans="1:14" x14ac:dyDescent="0.2">
      <c r="A115" s="20" t="s">
        <v>26</v>
      </c>
      <c r="B115" s="374"/>
      <c r="C115" s="387"/>
      <c r="D115" s="371"/>
      <c r="E115" s="369"/>
      <c r="F115" s="374"/>
      <c r="G115" s="387"/>
      <c r="H115" s="371"/>
      <c r="I115" s="369"/>
      <c r="J115" s="363"/>
      <c r="K115" s="362"/>
      <c r="L115" s="371"/>
      <c r="M115" s="369"/>
    </row>
    <row r="116" spans="1:14" x14ac:dyDescent="0.2">
      <c r="A116" s="294" t="s">
        <v>15</v>
      </c>
      <c r="B116" s="362"/>
      <c r="C116" s="362"/>
      <c r="D116" s="371"/>
      <c r="E116" s="396"/>
      <c r="F116" s="362"/>
      <c r="G116" s="362"/>
      <c r="H116" s="371"/>
      <c r="I116" s="369"/>
      <c r="J116" s="361"/>
      <c r="K116" s="361"/>
      <c r="L116" s="371"/>
      <c r="M116" s="369"/>
    </row>
    <row r="117" spans="1:14" ht="15.75" x14ac:dyDescent="0.2">
      <c r="A117" s="20" t="s">
        <v>386</v>
      </c>
      <c r="B117" s="374"/>
      <c r="C117" s="374"/>
      <c r="D117" s="371"/>
      <c r="E117" s="369"/>
      <c r="F117" s="374"/>
      <c r="G117" s="374"/>
      <c r="H117" s="371"/>
      <c r="I117" s="369"/>
      <c r="J117" s="363"/>
      <c r="K117" s="362"/>
      <c r="L117" s="371"/>
      <c r="M117" s="369"/>
    </row>
    <row r="118" spans="1:14" ht="15.75" x14ac:dyDescent="0.2">
      <c r="A118" s="20" t="s">
        <v>387</v>
      </c>
      <c r="B118" s="374"/>
      <c r="C118" s="374"/>
      <c r="D118" s="371"/>
      <c r="E118" s="369"/>
      <c r="F118" s="374"/>
      <c r="G118" s="374"/>
      <c r="H118" s="371"/>
      <c r="I118" s="369"/>
      <c r="J118" s="363"/>
      <c r="K118" s="362"/>
      <c r="L118" s="371"/>
      <c r="M118" s="369"/>
    </row>
    <row r="119" spans="1:14" ht="15.75" x14ac:dyDescent="0.2">
      <c r="A119" s="20" t="s">
        <v>385</v>
      </c>
      <c r="B119" s="374"/>
      <c r="C119" s="374"/>
      <c r="D119" s="371"/>
      <c r="E119" s="369"/>
      <c r="F119" s="374"/>
      <c r="G119" s="374"/>
      <c r="H119" s="371"/>
      <c r="I119" s="369"/>
      <c r="J119" s="363"/>
      <c r="K119" s="362"/>
      <c r="L119" s="371"/>
      <c r="M119" s="369"/>
    </row>
    <row r="120" spans="1:14" ht="15.75" x14ac:dyDescent="0.2">
      <c r="A120" s="13" t="s">
        <v>366</v>
      </c>
      <c r="B120" s="370"/>
      <c r="C120" s="394"/>
      <c r="D120" s="371"/>
      <c r="E120" s="369"/>
      <c r="F120" s="370"/>
      <c r="G120" s="394"/>
      <c r="H120" s="371"/>
      <c r="I120" s="369"/>
      <c r="J120" s="365"/>
      <c r="K120" s="364"/>
      <c r="L120" s="371"/>
      <c r="M120" s="369"/>
    </row>
    <row r="121" spans="1:14" x14ac:dyDescent="0.2">
      <c r="A121" s="20" t="s">
        <v>9</v>
      </c>
      <c r="B121" s="374"/>
      <c r="C121" s="387"/>
      <c r="D121" s="371"/>
      <c r="E121" s="369"/>
      <c r="F121" s="374"/>
      <c r="G121" s="387"/>
      <c r="H121" s="371"/>
      <c r="I121" s="369"/>
      <c r="J121" s="363"/>
      <c r="K121" s="362"/>
      <c r="L121" s="371"/>
      <c r="M121" s="369"/>
    </row>
    <row r="122" spans="1:14" x14ac:dyDescent="0.2">
      <c r="A122" s="20" t="s">
        <v>10</v>
      </c>
      <c r="B122" s="374"/>
      <c r="C122" s="387"/>
      <c r="D122" s="371"/>
      <c r="E122" s="369"/>
      <c r="F122" s="374"/>
      <c r="G122" s="387"/>
      <c r="H122" s="371"/>
      <c r="I122" s="369"/>
      <c r="J122" s="363"/>
      <c r="K122" s="362"/>
      <c r="L122" s="371"/>
      <c r="M122" s="369"/>
    </row>
    <row r="123" spans="1:14" x14ac:dyDescent="0.2">
      <c r="A123" s="20" t="s">
        <v>26</v>
      </c>
      <c r="B123" s="374"/>
      <c r="C123" s="387"/>
      <c r="D123" s="371"/>
      <c r="E123" s="369"/>
      <c r="F123" s="374"/>
      <c r="G123" s="387"/>
      <c r="H123" s="371"/>
      <c r="I123" s="369"/>
      <c r="J123" s="363"/>
      <c r="K123" s="362"/>
      <c r="L123" s="371"/>
      <c r="M123" s="369"/>
    </row>
    <row r="124" spans="1:14" x14ac:dyDescent="0.2">
      <c r="A124" s="294" t="s">
        <v>14</v>
      </c>
      <c r="B124" s="362"/>
      <c r="C124" s="362"/>
      <c r="D124" s="371"/>
      <c r="E124" s="396"/>
      <c r="F124" s="362"/>
      <c r="G124" s="362"/>
      <c r="H124" s="371"/>
      <c r="I124" s="369"/>
      <c r="J124" s="361"/>
      <c r="K124" s="361"/>
      <c r="L124" s="371"/>
      <c r="M124" s="369"/>
    </row>
    <row r="125" spans="1:14" ht="15.75" x14ac:dyDescent="0.2">
      <c r="A125" s="20" t="s">
        <v>392</v>
      </c>
      <c r="B125" s="374"/>
      <c r="C125" s="374"/>
      <c r="D125" s="371"/>
      <c r="E125" s="369"/>
      <c r="F125" s="374"/>
      <c r="G125" s="374"/>
      <c r="H125" s="371"/>
      <c r="I125" s="369"/>
      <c r="J125" s="363"/>
      <c r="K125" s="362"/>
      <c r="L125" s="371"/>
      <c r="M125" s="369"/>
    </row>
    <row r="126" spans="1:14" ht="15.75" x14ac:dyDescent="0.2">
      <c r="A126" s="20" t="s">
        <v>384</v>
      </c>
      <c r="B126" s="374"/>
      <c r="C126" s="374"/>
      <c r="D126" s="371"/>
      <c r="E126" s="369"/>
      <c r="F126" s="374"/>
      <c r="G126" s="374"/>
      <c r="H126" s="371"/>
      <c r="I126" s="369"/>
      <c r="J126" s="363"/>
      <c r="K126" s="362"/>
      <c r="L126" s="371"/>
      <c r="M126" s="369"/>
    </row>
    <row r="127" spans="1:14" ht="15.75" x14ac:dyDescent="0.2">
      <c r="A127" s="10" t="s">
        <v>385</v>
      </c>
      <c r="B127" s="384"/>
      <c r="C127" s="384"/>
      <c r="D127" s="375"/>
      <c r="E127" s="395"/>
      <c r="F127" s="384"/>
      <c r="G127" s="384"/>
      <c r="H127" s="375"/>
      <c r="I127" s="375"/>
      <c r="J127" s="385"/>
      <c r="K127" s="384"/>
      <c r="L127" s="375"/>
      <c r="M127" s="375"/>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355"/>
      <c r="C131" s="355"/>
      <c r="D131" s="355"/>
      <c r="E131" s="356"/>
      <c r="F131" s="355"/>
      <c r="G131" s="355"/>
      <c r="H131" s="355"/>
      <c r="I131" s="356"/>
      <c r="J131" s="355"/>
      <c r="K131" s="355"/>
      <c r="L131" s="355"/>
      <c r="M131" s="356"/>
    </row>
    <row r="132" spans="1:14" s="3" customFormat="1" x14ac:dyDescent="0.2">
      <c r="A132" s="143"/>
      <c r="B132" s="778" t="s">
        <v>0</v>
      </c>
      <c r="C132" s="779"/>
      <c r="D132" s="779"/>
      <c r="E132" s="353"/>
      <c r="F132" s="778" t="s">
        <v>1</v>
      </c>
      <c r="G132" s="779"/>
      <c r="H132" s="779"/>
      <c r="I132" s="354"/>
      <c r="J132" s="778" t="s">
        <v>2</v>
      </c>
      <c r="K132" s="779"/>
      <c r="L132" s="779"/>
      <c r="M132" s="354"/>
      <c r="N132" s="147"/>
    </row>
    <row r="133" spans="1:14" s="3" customFormat="1" x14ac:dyDescent="0.2">
      <c r="A133" s="139"/>
      <c r="B133" s="731" t="s">
        <v>439</v>
      </c>
      <c r="C133" s="731" t="s">
        <v>440</v>
      </c>
      <c r="D133" s="243" t="s">
        <v>3</v>
      </c>
      <c r="E133" s="303" t="s">
        <v>29</v>
      </c>
      <c r="F133" s="731" t="s">
        <v>439</v>
      </c>
      <c r="G133" s="731" t="s">
        <v>440</v>
      </c>
      <c r="H133" s="204" t="s">
        <v>3</v>
      </c>
      <c r="I133" s="303"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364"/>
      <c r="C135" s="365"/>
      <c r="D135" s="368"/>
      <c r="E135" s="369"/>
      <c r="F135" s="359"/>
      <c r="G135" s="360"/>
      <c r="H135" s="397"/>
      <c r="I135" s="369"/>
      <c r="J135" s="377"/>
      <c r="K135" s="377"/>
      <c r="L135" s="368"/>
      <c r="M135" s="369"/>
      <c r="N135" s="147"/>
    </row>
    <row r="136" spans="1:14" s="3" customFormat="1" ht="15.75" x14ac:dyDescent="0.2">
      <c r="A136" s="13" t="s">
        <v>393</v>
      </c>
      <c r="B136" s="364"/>
      <c r="C136" s="365"/>
      <c r="D136" s="371"/>
      <c r="E136" s="369"/>
      <c r="F136" s="364"/>
      <c r="G136" s="365"/>
      <c r="H136" s="398"/>
      <c r="I136" s="369"/>
      <c r="J136" s="370"/>
      <c r="K136" s="370"/>
      <c r="L136" s="371"/>
      <c r="M136" s="369"/>
      <c r="N136" s="147"/>
    </row>
    <row r="137" spans="1:14" s="3" customFormat="1" ht="15.75" x14ac:dyDescent="0.2">
      <c r="A137" s="13" t="s">
        <v>390</v>
      </c>
      <c r="B137" s="364"/>
      <c r="C137" s="365"/>
      <c r="D137" s="371"/>
      <c r="E137" s="369"/>
      <c r="F137" s="364"/>
      <c r="G137" s="365"/>
      <c r="H137" s="398"/>
      <c r="I137" s="369"/>
      <c r="J137" s="370"/>
      <c r="K137" s="370"/>
      <c r="L137" s="371"/>
      <c r="M137" s="369"/>
      <c r="N137" s="147"/>
    </row>
    <row r="138" spans="1:14" s="3" customFormat="1" ht="15.75" x14ac:dyDescent="0.2">
      <c r="A138" s="40" t="s">
        <v>391</v>
      </c>
      <c r="B138" s="366"/>
      <c r="C138" s="367"/>
      <c r="D138" s="375"/>
      <c r="E138" s="395"/>
      <c r="F138" s="366"/>
      <c r="G138" s="367"/>
      <c r="H138" s="399"/>
      <c r="I138" s="395"/>
      <c r="J138" s="376"/>
      <c r="K138" s="376"/>
      <c r="L138" s="375"/>
      <c r="M138" s="37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13">
    <mergeCell ref="B44:D44"/>
    <mergeCell ref="J19:L19"/>
    <mergeCell ref="F19:H19"/>
    <mergeCell ref="B19:D19"/>
    <mergeCell ref="J4:L4"/>
    <mergeCell ref="F4:H4"/>
    <mergeCell ref="B4:D4"/>
    <mergeCell ref="J132:L132"/>
    <mergeCell ref="F132:H132"/>
    <mergeCell ref="B132:D132"/>
    <mergeCell ref="J63:L63"/>
    <mergeCell ref="F63:H63"/>
    <mergeCell ref="B63:D63"/>
  </mergeCells>
  <conditionalFormatting sqref="B50:C52">
    <cfRule type="expression" dxfId="785" priority="132">
      <formula>kvartal &lt; 4</formula>
    </cfRule>
  </conditionalFormatting>
  <conditionalFormatting sqref="B116">
    <cfRule type="expression" dxfId="784" priority="76">
      <formula>kvartal &lt; 4</formula>
    </cfRule>
  </conditionalFormatting>
  <conditionalFormatting sqref="C116">
    <cfRule type="expression" dxfId="783" priority="75">
      <formula>kvartal &lt; 4</formula>
    </cfRule>
  </conditionalFormatting>
  <conditionalFormatting sqref="B124">
    <cfRule type="expression" dxfId="782" priority="74">
      <formula>kvartal &lt; 4</formula>
    </cfRule>
  </conditionalFormatting>
  <conditionalFormatting sqref="C124">
    <cfRule type="expression" dxfId="781" priority="73">
      <formula>kvartal &lt; 4</formula>
    </cfRule>
  </conditionalFormatting>
  <conditionalFormatting sqref="F116">
    <cfRule type="expression" dxfId="780" priority="58">
      <formula>kvartal &lt; 4</formula>
    </cfRule>
  </conditionalFormatting>
  <conditionalFormatting sqref="G116">
    <cfRule type="expression" dxfId="779" priority="57">
      <formula>kvartal &lt; 4</formula>
    </cfRule>
  </conditionalFormatting>
  <conditionalFormatting sqref="F124:G124">
    <cfRule type="expression" dxfId="778" priority="56">
      <formula>kvartal &lt; 4</formula>
    </cfRule>
  </conditionalFormatting>
  <conditionalFormatting sqref="J116:K116">
    <cfRule type="expression" dxfId="777" priority="32">
      <formula>kvartal &lt; 4</formula>
    </cfRule>
  </conditionalFormatting>
  <conditionalFormatting sqref="J124:K124">
    <cfRule type="expression" dxfId="776" priority="31">
      <formula>kvartal &lt; 4</formula>
    </cfRule>
  </conditionalFormatting>
  <conditionalFormatting sqref="A50:A52">
    <cfRule type="expression" dxfId="775" priority="12">
      <formula>kvartal &lt; 4</formula>
    </cfRule>
  </conditionalFormatting>
  <conditionalFormatting sqref="A69:A74">
    <cfRule type="expression" dxfId="774" priority="10">
      <formula>kvartal &lt; 4</formula>
    </cfRule>
  </conditionalFormatting>
  <conditionalFormatting sqref="A80:A85">
    <cfRule type="expression" dxfId="773" priority="9">
      <formula>kvartal &lt; 4</formula>
    </cfRule>
  </conditionalFormatting>
  <conditionalFormatting sqref="A90:A95">
    <cfRule type="expression" dxfId="772" priority="6">
      <formula>kvartal &lt; 4</formula>
    </cfRule>
  </conditionalFormatting>
  <conditionalFormatting sqref="A102:A107">
    <cfRule type="expression" dxfId="771" priority="5">
      <formula>kvartal &lt; 4</formula>
    </cfRule>
  </conditionalFormatting>
  <conditionalFormatting sqref="A116">
    <cfRule type="expression" dxfId="770" priority="4">
      <formula>kvartal &lt; 4</formula>
    </cfRule>
  </conditionalFormatting>
  <conditionalFormatting sqref="A124">
    <cfRule type="expression" dxfId="769"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7" x14ac:dyDescent="0.2">
      <c r="A1" s="171" t="s">
        <v>135</v>
      </c>
      <c r="B1" s="752"/>
      <c r="C1" s="246" t="s">
        <v>125</v>
      </c>
      <c r="D1" s="25"/>
      <c r="E1" s="25"/>
      <c r="F1" s="25"/>
      <c r="G1" s="25"/>
      <c r="H1" s="25"/>
      <c r="I1" s="25"/>
      <c r="J1" s="25"/>
      <c r="K1" s="25"/>
      <c r="L1" s="25"/>
      <c r="M1" s="25"/>
    </row>
    <row r="2" spans="1:17" ht="15.75" x14ac:dyDescent="0.25">
      <c r="A2" s="164" t="s">
        <v>28</v>
      </c>
      <c r="B2" s="782"/>
      <c r="C2" s="782"/>
      <c r="D2" s="782"/>
      <c r="E2" s="297"/>
      <c r="F2" s="782"/>
      <c r="G2" s="782"/>
      <c r="H2" s="782"/>
      <c r="I2" s="297"/>
      <c r="J2" s="782"/>
      <c r="K2" s="782"/>
      <c r="L2" s="782"/>
      <c r="M2" s="297"/>
    </row>
    <row r="3" spans="1:17" ht="15.75" x14ac:dyDescent="0.25">
      <c r="A3" s="162"/>
      <c r="B3" s="297"/>
      <c r="C3" s="297"/>
      <c r="D3" s="297"/>
      <c r="E3" s="297"/>
      <c r="F3" s="297"/>
      <c r="G3" s="297"/>
      <c r="H3" s="297"/>
      <c r="I3" s="297"/>
      <c r="J3" s="297"/>
      <c r="K3" s="297"/>
      <c r="L3" s="297"/>
      <c r="M3" s="297"/>
    </row>
    <row r="4" spans="1:17" x14ac:dyDescent="0.2">
      <c r="A4" s="143"/>
      <c r="B4" s="784" t="s">
        <v>0</v>
      </c>
      <c r="C4" s="785"/>
      <c r="D4" s="785"/>
      <c r="E4" s="299"/>
      <c r="F4" s="778" t="s">
        <v>1</v>
      </c>
      <c r="G4" s="779"/>
      <c r="H4" s="779"/>
      <c r="I4" s="302"/>
      <c r="J4" s="778" t="s">
        <v>2</v>
      </c>
      <c r="K4" s="779"/>
      <c r="L4" s="779"/>
      <c r="M4" s="302"/>
    </row>
    <row r="5" spans="1:17"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7" x14ac:dyDescent="0.2">
      <c r="A6" s="753"/>
      <c r="B6" s="155"/>
      <c r="C6" s="155"/>
      <c r="D6" s="244" t="s">
        <v>4</v>
      </c>
      <c r="E6" s="155" t="s">
        <v>30</v>
      </c>
      <c r="F6" s="160"/>
      <c r="G6" s="160"/>
      <c r="H6" s="243" t="s">
        <v>4</v>
      </c>
      <c r="I6" s="155" t="s">
        <v>30</v>
      </c>
      <c r="J6" s="160"/>
      <c r="K6" s="160"/>
      <c r="L6" s="243" t="s">
        <v>4</v>
      </c>
      <c r="M6" s="155" t="s">
        <v>30</v>
      </c>
    </row>
    <row r="7" spans="1:17" ht="15.75" x14ac:dyDescent="0.2">
      <c r="A7" s="14" t="s">
        <v>23</v>
      </c>
      <c r="B7" s="304">
        <v>204264</v>
      </c>
      <c r="C7" s="305">
        <v>217885</v>
      </c>
      <c r="D7" s="348">
        <f>IF(B7=0, "    ---- ", IF(ABS(ROUND(100/B7*C7-100,1))&lt;999,ROUND(100/B7*C7-100,1),IF(ROUND(100/B7*C7-100,1)&gt;999,999,-999)))</f>
        <v>6.7</v>
      </c>
      <c r="E7" s="11">
        <f>IFERROR(100/'Skjema total MA'!C7*C7,0)</f>
        <v>7.8758201900800913</v>
      </c>
      <c r="F7" s="304"/>
      <c r="G7" s="305"/>
      <c r="H7" s="348"/>
      <c r="I7" s="159"/>
      <c r="J7" s="306">
        <f t="shared" ref="J7:K10" si="0">SUM(B7,F7)</f>
        <v>204264</v>
      </c>
      <c r="K7" s="307">
        <f t="shared" si="0"/>
        <v>217885</v>
      </c>
      <c r="L7" s="424">
        <f>IF(J7=0, "    ---- ", IF(ABS(ROUND(100/J7*K7-100,1))&lt;999,ROUND(100/J7*K7-100,1),IF(ROUND(100/J7*K7-100,1)&gt;999,999,-999)))</f>
        <v>6.7</v>
      </c>
      <c r="M7" s="11">
        <f>IFERROR(100/'Skjema total MA'!I7*K7,0)</f>
        <v>2.0725520797150829</v>
      </c>
    </row>
    <row r="8" spans="1:17" ht="15.75" x14ac:dyDescent="0.2">
      <c r="A8" s="20" t="s">
        <v>25</v>
      </c>
      <c r="B8" s="279">
        <v>176405</v>
      </c>
      <c r="C8" s="280">
        <v>189081</v>
      </c>
      <c r="D8" s="165">
        <f t="shared" ref="D8:D10" si="1">IF(B8=0, "    ---- ", IF(ABS(ROUND(100/B8*C8-100,1))&lt;999,ROUND(100/B8*C8-100,1),IF(ROUND(100/B8*C8-100,1)&gt;999,999,-999)))</f>
        <v>7.2</v>
      </c>
      <c r="E8" s="26">
        <f>IFERROR(100/'Skjema total MA'!C8*C8,0)</f>
        <v>10.444209575739821</v>
      </c>
      <c r="F8" s="283"/>
      <c r="G8" s="284"/>
      <c r="H8" s="165"/>
      <c r="I8" s="174"/>
      <c r="J8" s="232">
        <f t="shared" si="0"/>
        <v>176405</v>
      </c>
      <c r="K8" s="285">
        <f t="shared" si="0"/>
        <v>189081</v>
      </c>
      <c r="L8" s="165">
        <f t="shared" ref="L8:L9" si="2">IF(J8=0, "    ---- ", IF(ABS(ROUND(100/J8*K8-100,1))&lt;999,ROUND(100/J8*K8-100,1),IF(ROUND(100/J8*K8-100,1)&gt;999,999,-999)))</f>
        <v>7.2</v>
      </c>
      <c r="M8" s="26">
        <f>IFERROR(100/'Skjema total MA'!I8*K8,0)</f>
        <v>10.444209575739821</v>
      </c>
    </row>
    <row r="9" spans="1:17" ht="15.75" x14ac:dyDescent="0.2">
      <c r="A9" s="20" t="s">
        <v>24</v>
      </c>
      <c r="B9" s="279">
        <v>27859</v>
      </c>
      <c r="C9" s="280">
        <v>28804</v>
      </c>
      <c r="D9" s="165">
        <f t="shared" si="1"/>
        <v>3.4</v>
      </c>
      <c r="E9" s="26">
        <f>IFERROR(100/'Skjema total MA'!C9*C9,0)</f>
        <v>4.8770736544258826</v>
      </c>
      <c r="F9" s="283"/>
      <c r="G9" s="284"/>
      <c r="H9" s="165"/>
      <c r="I9" s="174"/>
      <c r="J9" s="232">
        <f t="shared" si="0"/>
        <v>27859</v>
      </c>
      <c r="K9" s="285">
        <f t="shared" si="0"/>
        <v>28804</v>
      </c>
      <c r="L9" s="165">
        <f t="shared" si="2"/>
        <v>3.4</v>
      </c>
      <c r="M9" s="26">
        <f>IFERROR(100/'Skjema total MA'!I9*K9,0)</f>
        <v>4.8770736544258826</v>
      </c>
    </row>
    <row r="10" spans="1:17" ht="15.75" x14ac:dyDescent="0.2">
      <c r="A10" s="13" t="s">
        <v>364</v>
      </c>
      <c r="B10" s="308">
        <v>167830</v>
      </c>
      <c r="C10" s="309">
        <v>185132</v>
      </c>
      <c r="D10" s="170">
        <f t="shared" si="1"/>
        <v>10.3</v>
      </c>
      <c r="E10" s="11">
        <f>IFERROR(100/'Skjema total MA'!C10*C10,0)</f>
        <v>1.0622954517750636</v>
      </c>
      <c r="F10" s="308"/>
      <c r="G10" s="309"/>
      <c r="H10" s="170"/>
      <c r="I10" s="159"/>
      <c r="J10" s="306">
        <f t="shared" si="0"/>
        <v>167830</v>
      </c>
      <c r="K10" s="307">
        <f t="shared" si="0"/>
        <v>185132</v>
      </c>
      <c r="L10" s="425">
        <f t="shared" ref="L10" si="3">IF(J10=0, "    ---- ", IF(ABS(ROUND(100/J10*K10-100,1))&lt;999,ROUND(100/J10*K10-100,1),IF(ROUND(100/J10*K10-100,1)&gt;999,999,-999)))</f>
        <v>10.3</v>
      </c>
      <c r="M10" s="11">
        <f>IFERROR(100/'Skjema total MA'!I10*K10,0)</f>
        <v>0.21121491252588021</v>
      </c>
    </row>
    <row r="11" spans="1:17" s="42" customFormat="1" ht="15.75" x14ac:dyDescent="0.2">
      <c r="A11" s="13" t="s">
        <v>365</v>
      </c>
      <c r="B11" s="308"/>
      <c r="C11" s="309"/>
      <c r="D11" s="170"/>
      <c r="E11" s="11"/>
      <c r="F11" s="308"/>
      <c r="G11" s="309"/>
      <c r="H11" s="170"/>
      <c r="I11" s="159"/>
      <c r="J11" s="306"/>
      <c r="K11" s="307"/>
      <c r="L11" s="425"/>
      <c r="M11" s="11"/>
      <c r="N11" s="142"/>
      <c r="Q11" s="142"/>
    </row>
    <row r="12" spans="1:17" s="42" customFormat="1" ht="15.75" x14ac:dyDescent="0.2">
      <c r="A12" s="40" t="s">
        <v>366</v>
      </c>
      <c r="B12" s="310"/>
      <c r="C12" s="311"/>
      <c r="D12" s="168"/>
      <c r="E12" s="35"/>
      <c r="F12" s="310"/>
      <c r="G12" s="311"/>
      <c r="H12" s="168"/>
      <c r="I12" s="168"/>
      <c r="J12" s="312"/>
      <c r="K12" s="313"/>
      <c r="L12" s="426"/>
      <c r="M12" s="35"/>
      <c r="N12" s="142"/>
    </row>
    <row r="13" spans="1:17" s="42" customFormat="1" x14ac:dyDescent="0.2">
      <c r="A13" s="167"/>
      <c r="B13" s="144"/>
      <c r="C13" s="32"/>
      <c r="D13" s="158"/>
      <c r="E13" s="158"/>
      <c r="F13" s="144"/>
      <c r="G13" s="32"/>
      <c r="H13" s="158"/>
      <c r="I13" s="158"/>
      <c r="J13" s="47"/>
      <c r="K13" s="47"/>
      <c r="L13" s="158"/>
      <c r="M13" s="158"/>
      <c r="N13" s="142"/>
    </row>
    <row r="14" spans="1:17" x14ac:dyDescent="0.2">
      <c r="A14" s="152" t="s">
        <v>274</v>
      </c>
      <c r="B14" s="25"/>
    </row>
    <row r="15" spans="1:17" x14ac:dyDescent="0.2">
      <c r="F15" s="145"/>
      <c r="G15" s="145"/>
      <c r="H15" s="145"/>
      <c r="I15" s="145"/>
      <c r="J15" s="145"/>
      <c r="K15" s="145"/>
      <c r="L15" s="145"/>
      <c r="M15" s="145"/>
    </row>
    <row r="16" spans="1:17"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v>192458</v>
      </c>
      <c r="C22" s="308">
        <v>207326</v>
      </c>
      <c r="D22" s="348">
        <f t="shared" ref="D22:D32" si="4">IF(B22=0, "    ---- ", IF(ABS(ROUND(100/B22*C22-100,1))&lt;999,ROUND(100/B22*C22-100,1),IF(ROUND(100/B22*C22-100,1)&gt;999,999,-999)))</f>
        <v>7.7</v>
      </c>
      <c r="E22" s="11">
        <f>IFERROR(100/'Skjema total MA'!C22*C22,0)</f>
        <v>18.498601094888677</v>
      </c>
      <c r="F22" s="316">
        <v>6354</v>
      </c>
      <c r="G22" s="316">
        <v>0</v>
      </c>
      <c r="H22" s="348">
        <f t="shared" ref="H22:H33" si="5">IF(F22=0, "    ---- ", IF(ABS(ROUND(100/F22*G22-100,1))&lt;999,ROUND(100/F22*G22-100,1),IF(ROUND(100/F22*G22-100,1)&gt;999,999,-999)))</f>
        <v>-100</v>
      </c>
      <c r="I22" s="11">
        <f>IFERROR(100/'Skjema total MA'!F22*G22,0)</f>
        <v>0</v>
      </c>
      <c r="J22" s="314">
        <f t="shared" ref="J22:K29" si="6">SUM(B22,F22)</f>
        <v>198812</v>
      </c>
      <c r="K22" s="314">
        <f t="shared" si="6"/>
        <v>207326</v>
      </c>
      <c r="L22" s="424">
        <f t="shared" ref="L22:L33" si="7">IF(J22=0, "    ---- ", IF(ABS(ROUND(100/J22*K22-100,1))&lt;999,ROUND(100/J22*K22-100,1),IF(ROUND(100/J22*K22-100,1)&gt;999,999,-999)))</f>
        <v>4.3</v>
      </c>
      <c r="M22" s="23">
        <f>IFERROR(100/'Skjema total MA'!I22*K22,0)</f>
        <v>10.785621440136579</v>
      </c>
    </row>
    <row r="23" spans="1:14" ht="15.75" x14ac:dyDescent="0.2">
      <c r="A23" s="580" t="s">
        <v>367</v>
      </c>
      <c r="B23" s="279">
        <v>192153</v>
      </c>
      <c r="C23" s="279">
        <v>207326</v>
      </c>
      <c r="D23" s="165">
        <f t="shared" si="4"/>
        <v>7.9</v>
      </c>
      <c r="E23" s="11">
        <f>IFERROR(100/'Skjema total MA'!C23*C23,0)</f>
        <v>46.207425353897236</v>
      </c>
      <c r="F23" s="288">
        <v>0</v>
      </c>
      <c r="G23" s="288">
        <v>0</v>
      </c>
      <c r="H23" s="165" t="str">
        <f t="shared" si="5"/>
        <v xml:space="preserve">    ---- </v>
      </c>
      <c r="I23" s="414">
        <f>IFERROR(100/'Skjema total MA'!F23*G23,0)</f>
        <v>0</v>
      </c>
      <c r="J23" s="288">
        <f t="shared" ref="J23:J25" si="8">SUM(B23,F23)</f>
        <v>192153</v>
      </c>
      <c r="K23" s="288">
        <f t="shared" ref="K23:K25" si="9">SUM(C23,G23)</f>
        <v>207326</v>
      </c>
      <c r="L23" s="165">
        <f t="shared" si="7"/>
        <v>7.9</v>
      </c>
      <c r="M23" s="22">
        <f>IFERROR(100/'Skjema total MA'!I23*K23,0)</f>
        <v>34.955116373839751</v>
      </c>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v>305</v>
      </c>
      <c r="C25" s="279">
        <v>0</v>
      </c>
      <c r="D25" s="165">
        <f t="shared" si="4"/>
        <v>-100</v>
      </c>
      <c r="E25" s="11">
        <f>IFERROR(100/'Skjema total MA'!C25*C25,0)</f>
        <v>0</v>
      </c>
      <c r="F25" s="288">
        <v>1774</v>
      </c>
      <c r="G25" s="288">
        <v>0</v>
      </c>
      <c r="H25" s="165">
        <f t="shared" si="5"/>
        <v>-100</v>
      </c>
      <c r="I25" s="414">
        <f>IFERROR(100/'Skjema total MA'!F25*G25,0)</f>
        <v>0</v>
      </c>
      <c r="J25" s="288">
        <f t="shared" si="8"/>
        <v>2079</v>
      </c>
      <c r="K25" s="288">
        <f t="shared" si="9"/>
        <v>0</v>
      </c>
      <c r="L25" s="165">
        <f t="shared" si="7"/>
        <v>-100</v>
      </c>
      <c r="M25" s="22">
        <f>IFERROR(100/'Skjema total MA'!I25*K25,0)</f>
        <v>0</v>
      </c>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v>192153</v>
      </c>
      <c r="C28" s="285">
        <v>207326</v>
      </c>
      <c r="D28" s="165">
        <f t="shared" si="4"/>
        <v>7.9</v>
      </c>
      <c r="E28" s="11">
        <f>IFERROR(100/'Skjema total MA'!C28*C28,0)</f>
        <v>16.985943901066189</v>
      </c>
      <c r="F28" s="232"/>
      <c r="G28" s="285"/>
      <c r="H28" s="165"/>
      <c r="I28" s="26"/>
      <c r="J28" s="43">
        <f t="shared" si="6"/>
        <v>192153</v>
      </c>
      <c r="K28" s="43">
        <f t="shared" si="6"/>
        <v>207326</v>
      </c>
      <c r="L28" s="252">
        <f t="shared" si="7"/>
        <v>7.9</v>
      </c>
      <c r="M28" s="22">
        <f>IFERROR(100/'Skjema total MA'!I28*K28,0)</f>
        <v>16.985943901066189</v>
      </c>
    </row>
    <row r="29" spans="1:14" s="3" customFormat="1" ht="15.75" x14ac:dyDescent="0.2">
      <c r="A29" s="13" t="s">
        <v>364</v>
      </c>
      <c r="B29" s="234">
        <v>762806</v>
      </c>
      <c r="C29" s="234">
        <v>949568</v>
      </c>
      <c r="D29" s="170">
        <f t="shared" si="4"/>
        <v>24.5</v>
      </c>
      <c r="E29" s="11">
        <f>IFERROR(100/'Skjema total MA'!C29*C29,0)</f>
        <v>2.0847283577014992</v>
      </c>
      <c r="F29" s="306">
        <v>159795</v>
      </c>
      <c r="G29" s="306">
        <v>0</v>
      </c>
      <c r="H29" s="170">
        <f t="shared" si="5"/>
        <v>-100</v>
      </c>
      <c r="I29" s="11">
        <f>IFERROR(100/'Skjema total MA'!F29*G29,0)</f>
        <v>0</v>
      </c>
      <c r="J29" s="234">
        <f t="shared" si="6"/>
        <v>922601</v>
      </c>
      <c r="K29" s="234">
        <f t="shared" si="6"/>
        <v>949568</v>
      </c>
      <c r="L29" s="425">
        <f t="shared" si="7"/>
        <v>2.9</v>
      </c>
      <c r="M29" s="23">
        <f>IFERROR(100/'Skjema total MA'!I29*K29,0)</f>
        <v>1.3330152796987691</v>
      </c>
      <c r="N29" s="147"/>
    </row>
    <row r="30" spans="1:14" s="3" customFormat="1" ht="15.75" x14ac:dyDescent="0.2">
      <c r="A30" s="580" t="s">
        <v>367</v>
      </c>
      <c r="B30" s="279">
        <v>760943</v>
      </c>
      <c r="C30" s="279">
        <v>949568</v>
      </c>
      <c r="D30" s="165">
        <f t="shared" si="4"/>
        <v>24.8</v>
      </c>
      <c r="E30" s="11">
        <f>IFERROR(100/'Skjema total MA'!C30*C30,0)</f>
        <v>7.0180513983955022</v>
      </c>
      <c r="F30" s="288"/>
      <c r="G30" s="288"/>
      <c r="H30" s="165"/>
      <c r="I30" s="414"/>
      <c r="J30" s="288">
        <f t="shared" ref="J30:J33" si="10">SUM(B30,F30)</f>
        <v>760943</v>
      </c>
      <c r="K30" s="288">
        <f t="shared" ref="K30:K33" si="11">SUM(C30,G30)</f>
        <v>949568</v>
      </c>
      <c r="L30" s="165">
        <f t="shared" si="7"/>
        <v>24.8</v>
      </c>
      <c r="M30" s="22">
        <f>IFERROR(100/'Skjema total MA'!I30*K30,0)</f>
        <v>5.3652152239511741</v>
      </c>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v>1863</v>
      </c>
      <c r="C32" s="279">
        <v>0</v>
      </c>
      <c r="D32" s="165">
        <f t="shared" si="4"/>
        <v>-100</v>
      </c>
      <c r="E32" s="11">
        <f>IFERROR(100/'Skjema total MA'!C32*C32,0)</f>
        <v>0</v>
      </c>
      <c r="F32" s="288">
        <v>115895</v>
      </c>
      <c r="G32" s="288">
        <v>0</v>
      </c>
      <c r="H32" s="165">
        <f t="shared" si="5"/>
        <v>-100</v>
      </c>
      <c r="I32" s="414">
        <f>IFERROR(100/'Skjema total MA'!F32*G32,0)</f>
        <v>0</v>
      </c>
      <c r="J32" s="288">
        <f t="shared" si="10"/>
        <v>117758</v>
      </c>
      <c r="K32" s="288">
        <f t="shared" si="11"/>
        <v>0</v>
      </c>
      <c r="L32" s="165">
        <f t="shared" si="7"/>
        <v>-100</v>
      </c>
      <c r="M32" s="22">
        <f>IFERROR(100/'Skjema total MA'!I32*K32,0)</f>
        <v>0</v>
      </c>
    </row>
    <row r="33" spans="1:14" ht="15.75" x14ac:dyDescent="0.2">
      <c r="A33" s="580" t="s">
        <v>370</v>
      </c>
      <c r="B33" s="279"/>
      <c r="C33" s="279"/>
      <c r="D33" s="165"/>
      <c r="E33" s="11"/>
      <c r="F33" s="288">
        <v>43900</v>
      </c>
      <c r="G33" s="288">
        <v>0</v>
      </c>
      <c r="H33" s="165">
        <f t="shared" si="5"/>
        <v>-100</v>
      </c>
      <c r="I33" s="414">
        <f>IFERROR(100/'Skjema total MA'!F34*G33,0)</f>
        <v>0</v>
      </c>
      <c r="J33" s="288">
        <f t="shared" si="10"/>
        <v>43900</v>
      </c>
      <c r="K33" s="288">
        <f t="shared" si="11"/>
        <v>0</v>
      </c>
      <c r="L33" s="165">
        <f t="shared" si="7"/>
        <v>-100</v>
      </c>
      <c r="M33" s="22">
        <f>IFERROR(100/'Skjema total MA'!I34*K33,0)</f>
        <v>0</v>
      </c>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34026</v>
      </c>
      <c r="C47" s="309">
        <v>35217</v>
      </c>
      <c r="D47" s="424">
        <v>3.5</v>
      </c>
      <c r="E47" s="11">
        <v>0.90378803840399213</v>
      </c>
      <c r="F47" s="144"/>
      <c r="G47" s="32"/>
      <c r="H47" s="158"/>
      <c r="I47" s="158"/>
      <c r="J47" s="36"/>
      <c r="K47" s="36"/>
      <c r="L47" s="158"/>
      <c r="M47" s="158"/>
      <c r="N47" s="147"/>
    </row>
    <row r="48" spans="1:14" s="3" customFormat="1" ht="15.75" x14ac:dyDescent="0.2">
      <c r="A48" s="37" t="s">
        <v>375</v>
      </c>
      <c r="B48" s="279">
        <v>34026</v>
      </c>
      <c r="C48" s="280">
        <v>35217</v>
      </c>
      <c r="D48" s="252">
        <v>3.5</v>
      </c>
      <c r="E48" s="26">
        <v>0</v>
      </c>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v>74655</v>
      </c>
      <c r="C66" s="351">
        <v>0</v>
      </c>
      <c r="D66" s="348">
        <f t="shared" ref="D66:D112" si="12">IF(B66=0, "    ---- ", IF(ABS(ROUND(100/B66*C66-100,1))&lt;999,ROUND(100/B66*C66-100,1),IF(ROUND(100/B66*C66-100,1)&gt;999,999,-999)))</f>
        <v>-100</v>
      </c>
      <c r="E66" s="11">
        <f>IFERROR(100/'Skjema total MA'!C66*C66,0)</f>
        <v>0</v>
      </c>
      <c r="F66" s="350">
        <v>205605</v>
      </c>
      <c r="G66" s="350">
        <v>0</v>
      </c>
      <c r="H66" s="348">
        <f t="shared" ref="H66:H112" si="13">IF(F66=0, "    ---- ", IF(ABS(ROUND(100/F66*G66-100,1))&lt;999,ROUND(100/F66*G66-100,1),IF(ROUND(100/F66*G66-100,1)&gt;999,999,-999)))</f>
        <v>-100</v>
      </c>
      <c r="I66" s="11">
        <f>IFERROR(100/'Skjema total MA'!F66*G66,0)</f>
        <v>0</v>
      </c>
      <c r="J66" s="307">
        <f t="shared" ref="J66:K79" si="14">SUM(B66,F66)</f>
        <v>280260</v>
      </c>
      <c r="K66" s="314">
        <f t="shared" si="14"/>
        <v>0</v>
      </c>
      <c r="L66" s="425">
        <f t="shared" ref="L66:L112" si="15">IF(J66=0, "    ---- ", IF(ABS(ROUND(100/J66*K66-100,1))&lt;999,ROUND(100/J66*K66-100,1),IF(ROUND(100/J66*K66-100,1)&gt;999,999,-999)))</f>
        <v>-100</v>
      </c>
      <c r="M66" s="11">
        <f>IFERROR(100/'Skjema total MA'!I66*K66,0)</f>
        <v>0</v>
      </c>
    </row>
    <row r="67" spans="1:14" x14ac:dyDescent="0.2">
      <c r="A67" s="416" t="s">
        <v>9</v>
      </c>
      <c r="B67" s="43"/>
      <c r="C67" s="144"/>
      <c r="D67" s="165"/>
      <c r="E67" s="26"/>
      <c r="F67" s="232"/>
      <c r="G67" s="144"/>
      <c r="H67" s="165"/>
      <c r="I67" s="26"/>
      <c r="J67" s="285"/>
      <c r="K67" s="43"/>
      <c r="L67" s="252"/>
      <c r="M67" s="26"/>
    </row>
    <row r="68" spans="1:14" x14ac:dyDescent="0.2">
      <c r="A68" s="20" t="s">
        <v>10</v>
      </c>
      <c r="B68" s="290">
        <v>74655</v>
      </c>
      <c r="C68" s="291">
        <v>0</v>
      </c>
      <c r="D68" s="165">
        <f t="shared" si="12"/>
        <v>-100</v>
      </c>
      <c r="E68" s="26">
        <f>IFERROR(100/'Skjema total MA'!C68*C68,0)</f>
        <v>0</v>
      </c>
      <c r="F68" s="290">
        <v>205605</v>
      </c>
      <c r="G68" s="737">
        <v>0</v>
      </c>
      <c r="H68" s="165">
        <f t="shared" si="13"/>
        <v>-100</v>
      </c>
      <c r="I68" s="26">
        <f>IFERROR(100/'Skjema total MA'!F68*G68,0)</f>
        <v>0</v>
      </c>
      <c r="J68" s="285">
        <f t="shared" si="14"/>
        <v>280260</v>
      </c>
      <c r="K68" s="43">
        <f t="shared" si="14"/>
        <v>0</v>
      </c>
      <c r="L68" s="252">
        <f t="shared" si="15"/>
        <v>-100</v>
      </c>
      <c r="M68" s="26">
        <f>IFERROR(100/'Skjema total MA'!I68*K68,0)</f>
        <v>0</v>
      </c>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v>74655</v>
      </c>
      <c r="C77" s="232">
        <v>0</v>
      </c>
      <c r="D77" s="165">
        <f t="shared" si="12"/>
        <v>-100</v>
      </c>
      <c r="E77" s="26">
        <f>IFERROR(100/'Skjema total MA'!C77*C77,0)</f>
        <v>0</v>
      </c>
      <c r="F77" s="232">
        <v>205605</v>
      </c>
      <c r="G77" s="144">
        <v>0</v>
      </c>
      <c r="H77" s="165">
        <f t="shared" si="13"/>
        <v>-100</v>
      </c>
      <c r="I77" s="26">
        <f>IFERROR(100/'Skjema total MA'!F77*G77,0)</f>
        <v>0</v>
      </c>
      <c r="J77" s="285">
        <f t="shared" si="14"/>
        <v>280260</v>
      </c>
      <c r="K77" s="43">
        <f t="shared" si="14"/>
        <v>0</v>
      </c>
      <c r="L77" s="252">
        <f t="shared" si="15"/>
        <v>-100</v>
      </c>
      <c r="M77" s="26">
        <f>IFERROR(100/'Skjema total MA'!I77*K77,0)</f>
        <v>0</v>
      </c>
    </row>
    <row r="78" spans="1:14" x14ac:dyDescent="0.2">
      <c r="A78" s="20" t="s">
        <v>9</v>
      </c>
      <c r="B78" s="232"/>
      <c r="C78" s="144"/>
      <c r="D78" s="165"/>
      <c r="E78" s="26"/>
      <c r="F78" s="232"/>
      <c r="G78" s="144"/>
      <c r="H78" s="165"/>
      <c r="I78" s="26"/>
      <c r="J78" s="285"/>
      <c r="K78" s="43"/>
      <c r="L78" s="252"/>
      <c r="M78" s="26"/>
    </row>
    <row r="79" spans="1:14" x14ac:dyDescent="0.2">
      <c r="A79" s="729" t="s">
        <v>423</v>
      </c>
      <c r="B79" s="290">
        <v>74655</v>
      </c>
      <c r="C79" s="291">
        <v>0</v>
      </c>
      <c r="D79" s="165">
        <f t="shared" si="12"/>
        <v>-100</v>
      </c>
      <c r="E79" s="26">
        <f>IFERROR(100/'Skjema total MA'!C79*C79,0)</f>
        <v>0</v>
      </c>
      <c r="F79" s="290">
        <v>205605</v>
      </c>
      <c r="G79" s="291">
        <v>0</v>
      </c>
      <c r="H79" s="165">
        <f t="shared" si="13"/>
        <v>-100</v>
      </c>
      <c r="I79" s="26">
        <f>IFERROR(100/'Skjema total MA'!F79*G79,0)</f>
        <v>0</v>
      </c>
      <c r="J79" s="285">
        <f t="shared" si="14"/>
        <v>280260</v>
      </c>
      <c r="K79" s="43">
        <f t="shared" si="14"/>
        <v>0</v>
      </c>
      <c r="L79" s="252">
        <f t="shared" si="15"/>
        <v>-100</v>
      </c>
      <c r="M79" s="26">
        <f>IFERROR(100/'Skjema total MA'!I79*K79,0)</f>
        <v>0</v>
      </c>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v>201716</v>
      </c>
      <c r="C87" s="351">
        <v>0</v>
      </c>
      <c r="D87" s="170">
        <f t="shared" si="12"/>
        <v>-100</v>
      </c>
      <c r="E87" s="11">
        <f>IFERROR(100/'Skjema total MA'!C87*C87,0)</f>
        <v>0</v>
      </c>
      <c r="F87" s="350">
        <v>4109473</v>
      </c>
      <c r="G87" s="350">
        <v>0</v>
      </c>
      <c r="H87" s="170">
        <f t="shared" si="13"/>
        <v>-100</v>
      </c>
      <c r="I87" s="11">
        <f>IFERROR(100/'Skjema total MA'!F87*G87,0)</f>
        <v>0</v>
      </c>
      <c r="J87" s="307">
        <f t="shared" ref="J87:K112" si="16">SUM(B87,F87)</f>
        <v>4311189</v>
      </c>
      <c r="K87" s="234">
        <f t="shared" si="16"/>
        <v>0</v>
      </c>
      <c r="L87" s="425">
        <f t="shared" si="15"/>
        <v>-100</v>
      </c>
      <c r="M87" s="11">
        <f>IFERROR(100/'Skjema total MA'!I87*K87,0)</f>
        <v>0</v>
      </c>
    </row>
    <row r="88" spans="1:13" x14ac:dyDescent="0.2">
      <c r="A88" s="20" t="s">
        <v>9</v>
      </c>
      <c r="B88" s="232"/>
      <c r="C88" s="144"/>
      <c r="D88" s="165"/>
      <c r="E88" s="26"/>
      <c r="F88" s="232"/>
      <c r="G88" s="144"/>
      <c r="H88" s="165"/>
      <c r="I88" s="26"/>
      <c r="J88" s="285"/>
      <c r="K88" s="43"/>
      <c r="L88" s="252"/>
      <c r="M88" s="26"/>
    </row>
    <row r="89" spans="1:13" x14ac:dyDescent="0.2">
      <c r="A89" s="20" t="s">
        <v>10</v>
      </c>
      <c r="B89" s="232">
        <v>201716</v>
      </c>
      <c r="C89" s="144">
        <v>0</v>
      </c>
      <c r="D89" s="165">
        <f t="shared" si="12"/>
        <v>-100</v>
      </c>
      <c r="E89" s="26">
        <f>IFERROR(100/'Skjema total MA'!C89*C89,0)</f>
        <v>0</v>
      </c>
      <c r="F89" s="232">
        <v>4109473</v>
      </c>
      <c r="G89" s="144">
        <v>0</v>
      </c>
      <c r="H89" s="165">
        <f t="shared" si="13"/>
        <v>-100</v>
      </c>
      <c r="I89" s="26">
        <f>IFERROR(100/'Skjema total MA'!F89*G89,0)</f>
        <v>0</v>
      </c>
      <c r="J89" s="285">
        <f t="shared" si="16"/>
        <v>4311189</v>
      </c>
      <c r="K89" s="43">
        <f t="shared" si="16"/>
        <v>0</v>
      </c>
      <c r="L89" s="252">
        <f t="shared" si="15"/>
        <v>-100</v>
      </c>
      <c r="M89" s="26">
        <f>IFERROR(100/'Skjema total MA'!I89*K89,0)</f>
        <v>0</v>
      </c>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v>201716</v>
      </c>
      <c r="C98" s="232">
        <v>0</v>
      </c>
      <c r="D98" s="165">
        <f t="shared" si="12"/>
        <v>-100</v>
      </c>
      <c r="E98" s="26">
        <f>IFERROR(100/'Skjema total MA'!C98*C98,0)</f>
        <v>0</v>
      </c>
      <c r="F98" s="290">
        <v>4109473</v>
      </c>
      <c r="G98" s="290">
        <v>0</v>
      </c>
      <c r="H98" s="165">
        <f t="shared" si="13"/>
        <v>-100</v>
      </c>
      <c r="I98" s="26">
        <f>IFERROR(100/'Skjema total MA'!F98*G98,0)</f>
        <v>0</v>
      </c>
      <c r="J98" s="285">
        <f t="shared" si="16"/>
        <v>4311189</v>
      </c>
      <c r="K98" s="43">
        <f t="shared" si="16"/>
        <v>0</v>
      </c>
      <c r="L98" s="252">
        <f t="shared" si="15"/>
        <v>-100</v>
      </c>
      <c r="M98" s="26">
        <f>IFERROR(100/'Skjema total MA'!I98*K98,0)</f>
        <v>0</v>
      </c>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v>201716</v>
      </c>
      <c r="C100" s="291">
        <v>0</v>
      </c>
      <c r="D100" s="165">
        <f t="shared" si="12"/>
        <v>-100</v>
      </c>
      <c r="E100" s="26">
        <f>IFERROR(100/'Skjema total MA'!C100*C100,0)</f>
        <v>0</v>
      </c>
      <c r="F100" s="232">
        <v>4109473</v>
      </c>
      <c r="G100" s="232">
        <v>0</v>
      </c>
      <c r="H100" s="165">
        <f t="shared" si="13"/>
        <v>-100</v>
      </c>
      <c r="I100" s="26">
        <f>IFERROR(100/'Skjema total MA'!F100*G100,0)</f>
        <v>0</v>
      </c>
      <c r="J100" s="285">
        <f t="shared" si="16"/>
        <v>4311189</v>
      </c>
      <c r="K100" s="43">
        <f t="shared" si="16"/>
        <v>0</v>
      </c>
      <c r="L100" s="252">
        <f t="shared" si="15"/>
        <v>-100</v>
      </c>
      <c r="M100" s="26">
        <f>IFERROR(100/'Skjema total MA'!I100*K100,0)</f>
        <v>0</v>
      </c>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v>1429871</v>
      </c>
      <c r="G110" s="232">
        <v>0</v>
      </c>
      <c r="H110" s="165">
        <f t="shared" si="13"/>
        <v>-100</v>
      </c>
      <c r="I110" s="26">
        <f>IFERROR(100/'Skjema total MA'!F110*G110,0)</f>
        <v>0</v>
      </c>
      <c r="J110" s="285">
        <f t="shared" si="16"/>
        <v>1429871</v>
      </c>
      <c r="K110" s="43">
        <f t="shared" si="16"/>
        <v>0</v>
      </c>
      <c r="L110" s="252">
        <f t="shared" si="15"/>
        <v>-100</v>
      </c>
      <c r="M110" s="26">
        <f>IFERROR(100/'Skjema total MA'!I110*K110,0)</f>
        <v>0</v>
      </c>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v>531</v>
      </c>
      <c r="C112" s="158">
        <v>0</v>
      </c>
      <c r="D112" s="170">
        <f t="shared" si="12"/>
        <v>-100</v>
      </c>
      <c r="E112" s="11">
        <f>IFERROR(100/'Skjema total MA'!C112*C112,0)</f>
        <v>0</v>
      </c>
      <c r="F112" s="306">
        <v>67514</v>
      </c>
      <c r="G112" s="158">
        <v>0</v>
      </c>
      <c r="H112" s="170">
        <f t="shared" si="13"/>
        <v>-100</v>
      </c>
      <c r="I112" s="11">
        <f>IFERROR(100/'Skjema total MA'!F112*G112,0)</f>
        <v>0</v>
      </c>
      <c r="J112" s="307">
        <f t="shared" si="16"/>
        <v>68045</v>
      </c>
      <c r="K112" s="234">
        <f t="shared" si="16"/>
        <v>0</v>
      </c>
      <c r="L112" s="425">
        <f t="shared" si="15"/>
        <v>-100</v>
      </c>
      <c r="M112" s="11">
        <f>IFERROR(100/'Skjema total MA'!I112*K112,0)</f>
        <v>0</v>
      </c>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v>531</v>
      </c>
      <c r="C114" s="144">
        <v>0</v>
      </c>
      <c r="D114" s="165">
        <f t="shared" ref="D114:D122" si="17">IF(B114=0, "    ---- ", IF(ABS(ROUND(100/B114*C114-100,1))&lt;999,ROUND(100/B114*C114-100,1),IF(ROUND(100/B114*C114-100,1)&gt;999,999,-999)))</f>
        <v>-100</v>
      </c>
      <c r="E114" s="26">
        <f>IFERROR(100/'Skjema total MA'!C114*C114,0)</f>
        <v>0</v>
      </c>
      <c r="F114" s="232">
        <v>67514</v>
      </c>
      <c r="G114" s="144">
        <v>0</v>
      </c>
      <c r="H114" s="165">
        <f t="shared" ref="H114:H122" si="18">IF(F114=0, "    ---- ", IF(ABS(ROUND(100/F114*G114-100,1))&lt;999,ROUND(100/F114*G114-100,1),IF(ROUND(100/F114*G114-100,1)&gt;999,999,-999)))</f>
        <v>-100</v>
      </c>
      <c r="I114" s="26">
        <f>IFERROR(100/'Skjema total MA'!F114*G114,0)</f>
        <v>0</v>
      </c>
      <c r="J114" s="285">
        <f t="shared" ref="J114:K122" si="19">SUM(B114,F114)</f>
        <v>68045</v>
      </c>
      <c r="K114" s="43">
        <f t="shared" si="19"/>
        <v>0</v>
      </c>
      <c r="L114" s="252">
        <f t="shared" ref="L114:L122" si="20">IF(J114=0, "    ---- ", IF(ABS(ROUND(100/J114*K114-100,1))&lt;999,ROUND(100/J114*K114-100,1),IF(ROUND(100/J114*K114-100,1)&gt;999,999,-999)))</f>
        <v>-100</v>
      </c>
      <c r="M114" s="26">
        <f>IFERROR(100/'Skjema total MA'!I114*K114,0)</f>
        <v>0</v>
      </c>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v>1626</v>
      </c>
      <c r="C120" s="158">
        <v>0</v>
      </c>
      <c r="D120" s="170">
        <f t="shared" si="17"/>
        <v>-100</v>
      </c>
      <c r="E120" s="11">
        <f>IFERROR(100/'Skjema total MA'!C120*C120,0)</f>
        <v>0</v>
      </c>
      <c r="F120" s="306">
        <v>87418</v>
      </c>
      <c r="G120" s="158">
        <v>0</v>
      </c>
      <c r="H120" s="170">
        <f t="shared" si="18"/>
        <v>-100</v>
      </c>
      <c r="I120" s="11">
        <f>IFERROR(100/'Skjema total MA'!F120*G120,0)</f>
        <v>0</v>
      </c>
      <c r="J120" s="307">
        <f t="shared" si="19"/>
        <v>89044</v>
      </c>
      <c r="K120" s="234">
        <f t="shared" si="19"/>
        <v>0</v>
      </c>
      <c r="L120" s="425">
        <f t="shared" si="20"/>
        <v>-100</v>
      </c>
      <c r="M120" s="11">
        <f>IFERROR(100/'Skjema total MA'!I120*K120,0)</f>
        <v>0</v>
      </c>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v>1626</v>
      </c>
      <c r="C122" s="144">
        <v>0</v>
      </c>
      <c r="D122" s="165">
        <f t="shared" si="17"/>
        <v>-100</v>
      </c>
      <c r="E122" s="26">
        <f>IFERROR(100/'Skjema total MA'!C122*C122,0)</f>
        <v>0</v>
      </c>
      <c r="F122" s="232">
        <v>87418</v>
      </c>
      <c r="G122" s="144">
        <v>0</v>
      </c>
      <c r="H122" s="165">
        <f t="shared" si="18"/>
        <v>-100</v>
      </c>
      <c r="I122" s="26">
        <f>IFERROR(100/'Skjema total MA'!F122*G122,0)</f>
        <v>0</v>
      </c>
      <c r="J122" s="285">
        <f t="shared" si="19"/>
        <v>89044</v>
      </c>
      <c r="K122" s="43">
        <f t="shared" si="19"/>
        <v>0</v>
      </c>
      <c r="L122" s="252">
        <f t="shared" si="20"/>
        <v>-100</v>
      </c>
      <c r="M122" s="26">
        <f>IFERROR(100/'Skjema total MA'!I122*K122,0)</f>
        <v>0</v>
      </c>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768" priority="132">
      <formula>kvartal &lt; 4</formula>
    </cfRule>
  </conditionalFormatting>
  <conditionalFormatting sqref="B116">
    <cfRule type="expression" dxfId="767" priority="76">
      <formula>kvartal &lt; 4</formula>
    </cfRule>
  </conditionalFormatting>
  <conditionalFormatting sqref="C116">
    <cfRule type="expression" dxfId="766" priority="75">
      <formula>kvartal &lt; 4</formula>
    </cfRule>
  </conditionalFormatting>
  <conditionalFormatting sqref="B124">
    <cfRule type="expression" dxfId="765" priority="74">
      <formula>kvartal &lt; 4</formula>
    </cfRule>
  </conditionalFormatting>
  <conditionalFormatting sqref="C124">
    <cfRule type="expression" dxfId="764" priority="73">
      <formula>kvartal &lt; 4</formula>
    </cfRule>
  </conditionalFormatting>
  <conditionalFormatting sqref="F116">
    <cfRule type="expression" dxfId="763" priority="58">
      <formula>kvartal &lt; 4</formula>
    </cfRule>
  </conditionalFormatting>
  <conditionalFormatting sqref="G116">
    <cfRule type="expression" dxfId="762" priority="57">
      <formula>kvartal &lt; 4</formula>
    </cfRule>
  </conditionalFormatting>
  <conditionalFormatting sqref="F124:G124">
    <cfRule type="expression" dxfId="761" priority="56">
      <formula>kvartal &lt; 4</formula>
    </cfRule>
  </conditionalFormatting>
  <conditionalFormatting sqref="J116:K116">
    <cfRule type="expression" dxfId="760" priority="32">
      <formula>kvartal &lt; 4</formula>
    </cfRule>
  </conditionalFormatting>
  <conditionalFormatting sqref="J124:K124">
    <cfRule type="expression" dxfId="759" priority="31">
      <formula>kvartal &lt; 4</formula>
    </cfRule>
  </conditionalFormatting>
  <conditionalFormatting sqref="A50:A52">
    <cfRule type="expression" dxfId="758" priority="12">
      <formula>kvartal &lt; 4</formula>
    </cfRule>
  </conditionalFormatting>
  <conditionalFormatting sqref="A69:A74">
    <cfRule type="expression" dxfId="757" priority="10">
      <formula>kvartal &lt; 4</formula>
    </cfRule>
  </conditionalFormatting>
  <conditionalFormatting sqref="A80:A85">
    <cfRule type="expression" dxfId="756" priority="9">
      <formula>kvartal &lt; 4</formula>
    </cfRule>
  </conditionalFormatting>
  <conditionalFormatting sqref="A90:A95">
    <cfRule type="expression" dxfId="755" priority="6">
      <formula>kvartal &lt; 4</formula>
    </cfRule>
  </conditionalFormatting>
  <conditionalFormatting sqref="A102:A107">
    <cfRule type="expression" dxfId="754" priority="5">
      <formula>kvartal &lt; 4</formula>
    </cfRule>
  </conditionalFormatting>
  <conditionalFormatting sqref="A116">
    <cfRule type="expression" dxfId="753" priority="4">
      <formula>kvartal &lt; 4</formula>
    </cfRule>
  </conditionalFormatting>
  <conditionalFormatting sqref="A124">
    <cfRule type="expression" dxfId="752"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126</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c r="C7" s="305"/>
      <c r="D7" s="348"/>
      <c r="E7" s="11"/>
      <c r="F7" s="304"/>
      <c r="G7" s="305"/>
      <c r="H7" s="348"/>
      <c r="I7" s="159"/>
      <c r="J7" s="306"/>
      <c r="K7" s="307"/>
      <c r="L7" s="424"/>
      <c r="M7" s="11"/>
    </row>
    <row r="8" spans="1:14" ht="15.75" x14ac:dyDescent="0.2">
      <c r="A8" s="20" t="s">
        <v>25</v>
      </c>
      <c r="B8" s="279"/>
      <c r="C8" s="280"/>
      <c r="D8" s="165"/>
      <c r="E8" s="26"/>
      <c r="F8" s="283"/>
      <c r="G8" s="284"/>
      <c r="H8" s="165"/>
      <c r="I8" s="174"/>
      <c r="J8" s="232"/>
      <c r="K8" s="285"/>
      <c r="L8" s="165"/>
      <c r="M8" s="26"/>
    </row>
    <row r="9" spans="1:14" ht="15.75" x14ac:dyDescent="0.2">
      <c r="A9" s="20" t="s">
        <v>24</v>
      </c>
      <c r="B9" s="279"/>
      <c r="C9" s="280"/>
      <c r="D9" s="165"/>
      <c r="E9" s="26"/>
      <c r="F9" s="283"/>
      <c r="G9" s="284"/>
      <c r="H9" s="165"/>
      <c r="I9" s="174"/>
      <c r="J9" s="232"/>
      <c r="K9" s="285"/>
      <c r="L9" s="165"/>
      <c r="M9" s="26"/>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1"/>
      <c r="J22" s="314"/>
      <c r="K22" s="314"/>
      <c r="L22" s="424"/>
      <c r="M22" s="23"/>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c r="C29" s="234"/>
      <c r="D29" s="170"/>
      <c r="E29" s="11"/>
      <c r="F29" s="306"/>
      <c r="G29" s="306"/>
      <c r="H29" s="170"/>
      <c r="I29" s="11"/>
      <c r="J29" s="234"/>
      <c r="K29" s="234"/>
      <c r="L29" s="425"/>
      <c r="M29" s="23"/>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622.01300000000003</v>
      </c>
      <c r="C47" s="309">
        <v>5314.415</v>
      </c>
      <c r="D47" s="424">
        <f t="shared" ref="D47:D57" si="0">IF(B47=0, "    ---- ", IF(ABS(ROUND(100/B47*C47-100,1))&lt;999,ROUND(100/B47*C47-100,1),IF(ROUND(100/B47*C47-100,1)&gt;999,999,-999)))</f>
        <v>754.4</v>
      </c>
      <c r="E47" s="11">
        <f>IFERROR(100/'Skjema total MA'!C47*C47,0)</f>
        <v>0.13402107390968723</v>
      </c>
      <c r="F47" s="144"/>
      <c r="G47" s="32"/>
      <c r="H47" s="158"/>
      <c r="I47" s="158"/>
      <c r="J47" s="36"/>
      <c r="K47" s="36"/>
      <c r="L47" s="158"/>
      <c r="M47" s="158"/>
      <c r="N47" s="147"/>
    </row>
    <row r="48" spans="1:14" s="3" customFormat="1" ht="15.75" x14ac:dyDescent="0.2">
      <c r="A48" s="37" t="s">
        <v>375</v>
      </c>
      <c r="B48" s="279">
        <v>622.01300000000003</v>
      </c>
      <c r="C48" s="280">
        <v>5314.415</v>
      </c>
      <c r="D48" s="252">
        <f t="shared" si="0"/>
        <v>754.4</v>
      </c>
      <c r="E48" s="26">
        <f>IFERROR(100/'Skjema total MA'!C48*C48,0)</f>
        <v>0.23352267473965024</v>
      </c>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v>177.88800000000001</v>
      </c>
      <c r="C53" s="309">
        <v>371.29</v>
      </c>
      <c r="D53" s="425">
        <f t="shared" si="0"/>
        <v>108.7</v>
      </c>
      <c r="E53" s="11">
        <f>IFERROR(100/'Skjema total MA'!C53*C53,0)</f>
        <v>0.15792135632995619</v>
      </c>
      <c r="F53" s="144"/>
      <c r="G53" s="32"/>
      <c r="H53" s="144"/>
      <c r="I53" s="144"/>
      <c r="J53" s="32"/>
      <c r="K53" s="32"/>
      <c r="L53" s="158"/>
      <c r="M53" s="158"/>
      <c r="N53" s="147"/>
    </row>
    <row r="54" spans="1:14" s="3" customFormat="1" ht="15.75" x14ac:dyDescent="0.2">
      <c r="A54" s="37" t="s">
        <v>375</v>
      </c>
      <c r="B54" s="279">
        <v>177.88800000000001</v>
      </c>
      <c r="C54" s="280">
        <v>371.29</v>
      </c>
      <c r="D54" s="252">
        <f t="shared" si="0"/>
        <v>108.7</v>
      </c>
      <c r="E54" s="26">
        <f>IFERROR(100/'Skjema total MA'!C54*C54,0)</f>
        <v>0.16195865660360872</v>
      </c>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v>0</v>
      </c>
      <c r="C56" s="309">
        <v>137.988</v>
      </c>
      <c r="D56" s="425" t="str">
        <f t="shared" si="0"/>
        <v xml:space="preserve">    ---- </v>
      </c>
      <c r="E56" s="11">
        <f>IFERROR(100/'Skjema total MA'!C56*C56,0)</f>
        <v>0.14779558654067917</v>
      </c>
      <c r="F56" s="144"/>
      <c r="G56" s="32"/>
      <c r="H56" s="144"/>
      <c r="I56" s="144"/>
      <c r="J56" s="32"/>
      <c r="K56" s="32"/>
      <c r="L56" s="158"/>
      <c r="M56" s="158"/>
      <c r="N56" s="147"/>
    </row>
    <row r="57" spans="1:14" s="3" customFormat="1" ht="15.75" x14ac:dyDescent="0.2">
      <c r="A57" s="37" t="s">
        <v>375</v>
      </c>
      <c r="B57" s="279">
        <v>0</v>
      </c>
      <c r="C57" s="280">
        <v>137.988</v>
      </c>
      <c r="D57" s="252" t="str">
        <f t="shared" si="0"/>
        <v xml:space="preserve">    ---- </v>
      </c>
      <c r="E57" s="26">
        <f>IFERROR(100/'Skjema total MA'!C57*C57,0)</f>
        <v>0.14779558654067917</v>
      </c>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751" priority="132">
      <formula>kvartal &lt; 4</formula>
    </cfRule>
  </conditionalFormatting>
  <conditionalFormatting sqref="B116">
    <cfRule type="expression" dxfId="750" priority="76">
      <formula>kvartal &lt; 4</formula>
    </cfRule>
  </conditionalFormatting>
  <conditionalFormatting sqref="C116">
    <cfRule type="expression" dxfId="749" priority="75">
      <formula>kvartal &lt; 4</formula>
    </cfRule>
  </conditionalFormatting>
  <conditionalFormatting sqref="B124">
    <cfRule type="expression" dxfId="748" priority="74">
      <formula>kvartal &lt; 4</formula>
    </cfRule>
  </conditionalFormatting>
  <conditionalFormatting sqref="C124">
    <cfRule type="expression" dxfId="747" priority="73">
      <formula>kvartal &lt; 4</formula>
    </cfRule>
  </conditionalFormatting>
  <conditionalFormatting sqref="F116">
    <cfRule type="expression" dxfId="746" priority="58">
      <formula>kvartal &lt; 4</formula>
    </cfRule>
  </conditionalFormatting>
  <conditionalFormatting sqref="G116">
    <cfRule type="expression" dxfId="745" priority="57">
      <formula>kvartal &lt; 4</formula>
    </cfRule>
  </conditionalFormatting>
  <conditionalFormatting sqref="F124:G124">
    <cfRule type="expression" dxfId="744" priority="56">
      <formula>kvartal &lt; 4</formula>
    </cfRule>
  </conditionalFormatting>
  <conditionalFormatting sqref="J116:K116">
    <cfRule type="expression" dxfId="743" priority="32">
      <formula>kvartal &lt; 4</formula>
    </cfRule>
  </conditionalFormatting>
  <conditionalFormatting sqref="J124:K124">
    <cfRule type="expression" dxfId="742" priority="31">
      <formula>kvartal &lt; 4</formula>
    </cfRule>
  </conditionalFormatting>
  <conditionalFormatting sqref="A50:A52">
    <cfRule type="expression" dxfId="741" priority="12">
      <formula>kvartal &lt; 4</formula>
    </cfRule>
  </conditionalFormatting>
  <conditionalFormatting sqref="A69:A74">
    <cfRule type="expression" dxfId="740" priority="10">
      <formula>kvartal &lt; 4</formula>
    </cfRule>
  </conditionalFormatting>
  <conditionalFormatting sqref="A80:A85">
    <cfRule type="expression" dxfId="739" priority="9">
      <formula>kvartal &lt; 4</formula>
    </cfRule>
  </conditionalFormatting>
  <conditionalFormatting sqref="A90:A95">
    <cfRule type="expression" dxfId="738" priority="6">
      <formula>kvartal &lt; 4</formula>
    </cfRule>
  </conditionalFormatting>
  <conditionalFormatting sqref="A102:A107">
    <cfRule type="expression" dxfId="737" priority="5">
      <formula>kvartal &lt; 4</formula>
    </cfRule>
  </conditionalFormatting>
  <conditionalFormatting sqref="A116">
    <cfRule type="expression" dxfId="736" priority="4">
      <formula>kvartal &lt; 4</formula>
    </cfRule>
  </conditionalFormatting>
  <conditionalFormatting sqref="A124">
    <cfRule type="expression" dxfId="735" priority="3">
      <formula>kvartal &lt; 4</formula>
    </cfRule>
  </conditionalFormatting>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5"/>
  <sheetViews>
    <sheetView showGridLines="0" zoomScaleNormal="100" zoomScaleSheetLayoutView="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127</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v>548490</v>
      </c>
      <c r="C7" s="305">
        <v>568961.08900000004</v>
      </c>
      <c r="D7" s="348">
        <f>IF(B7=0, "    ---- ", IF(ABS(ROUND(100/B7*C7-100,1))&lt;999,ROUND(100/B7*C7-100,1),IF(ROUND(100/B7*C7-100,1)&gt;999,999,-999)))</f>
        <v>3.7</v>
      </c>
      <c r="E7" s="11">
        <f>IFERROR(100/'Skjema total MA'!C7*C7,0)</f>
        <v>20.56605655330177</v>
      </c>
      <c r="F7" s="304"/>
      <c r="G7" s="305"/>
      <c r="H7" s="348"/>
      <c r="I7" s="159"/>
      <c r="J7" s="306">
        <f t="shared" ref="J7:K9" si="0">SUM(B7,F7)</f>
        <v>548490</v>
      </c>
      <c r="K7" s="307">
        <f t="shared" si="0"/>
        <v>568961.08900000004</v>
      </c>
      <c r="L7" s="424">
        <f>IF(J7=0, "    ---- ", IF(ABS(ROUND(100/J7*K7-100,1))&lt;999,ROUND(100/J7*K7-100,1),IF(ROUND(100/J7*K7-100,1)&gt;999,999,-999)))</f>
        <v>3.7</v>
      </c>
      <c r="M7" s="11">
        <f>IFERROR(100/'Skjema total MA'!I7*K7,0)</f>
        <v>5.4120361120954108</v>
      </c>
    </row>
    <row r="8" spans="1:14" ht="15.75" x14ac:dyDescent="0.2">
      <c r="A8" s="20" t="s">
        <v>25</v>
      </c>
      <c r="B8" s="279">
        <v>388355</v>
      </c>
      <c r="C8" s="280">
        <v>361856.66899999999</v>
      </c>
      <c r="D8" s="165">
        <f t="shared" ref="D8:D9" si="1">IF(B8=0, "    ---- ", IF(ABS(ROUND(100/B8*C8-100,1))&lt;999,ROUND(100/B8*C8-100,1),IF(ROUND(100/B8*C8-100,1)&gt;999,999,-999)))</f>
        <v>-6.8</v>
      </c>
      <c r="E8" s="26">
        <f>IFERROR(100/'Skjema total MA'!C8*C8,0)</f>
        <v>19.987766551980975</v>
      </c>
      <c r="F8" s="283"/>
      <c r="G8" s="284"/>
      <c r="H8" s="165"/>
      <c r="I8" s="174"/>
      <c r="J8" s="232">
        <f t="shared" si="0"/>
        <v>388355</v>
      </c>
      <c r="K8" s="285">
        <f t="shared" si="0"/>
        <v>361856.66899999999</v>
      </c>
      <c r="L8" s="165">
        <f t="shared" ref="L8:L9" si="2">IF(J8=0, "    ---- ", IF(ABS(ROUND(100/J8*K8-100,1))&lt;999,ROUND(100/J8*K8-100,1),IF(ROUND(100/J8*K8-100,1)&gt;999,999,-999)))</f>
        <v>-6.8</v>
      </c>
      <c r="M8" s="26">
        <f>IFERROR(100/'Skjema total MA'!I8*K8,0)</f>
        <v>19.987766551980975</v>
      </c>
    </row>
    <row r="9" spans="1:14" ht="15.75" x14ac:dyDescent="0.2">
      <c r="A9" s="20" t="s">
        <v>24</v>
      </c>
      <c r="B9" s="279">
        <v>160135</v>
      </c>
      <c r="C9" s="280">
        <v>207104.42</v>
      </c>
      <c r="D9" s="165">
        <f t="shared" si="1"/>
        <v>29.3</v>
      </c>
      <c r="E9" s="26">
        <f>IFERROR(100/'Skjema total MA'!C9*C9,0)</f>
        <v>35.066779284028364</v>
      </c>
      <c r="F9" s="283"/>
      <c r="G9" s="284"/>
      <c r="H9" s="165"/>
      <c r="I9" s="174"/>
      <c r="J9" s="232">
        <f t="shared" si="0"/>
        <v>160135</v>
      </c>
      <c r="K9" s="285">
        <f t="shared" si="0"/>
        <v>207104.42</v>
      </c>
      <c r="L9" s="165">
        <f t="shared" si="2"/>
        <v>29.3</v>
      </c>
      <c r="M9" s="26">
        <f>IFERROR(100/'Skjema total MA'!I9*K9,0)</f>
        <v>35.066779284028364</v>
      </c>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1"/>
      <c r="J22" s="314"/>
      <c r="K22" s="314"/>
      <c r="L22" s="424"/>
      <c r="M22" s="23"/>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c r="C29" s="234"/>
      <c r="D29" s="170"/>
      <c r="E29" s="11"/>
      <c r="F29" s="306"/>
      <c r="G29" s="306"/>
      <c r="H29" s="170"/>
      <c r="I29" s="11"/>
      <c r="J29" s="234"/>
      <c r="K29" s="234"/>
      <c r="L29" s="425"/>
      <c r="M29" s="23"/>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715903</v>
      </c>
      <c r="C47" s="309">
        <v>905251.70799999998</v>
      </c>
      <c r="D47" s="424">
        <f t="shared" ref="D47:D57" si="3">IF(B47=0, "    ---- ", IF(ABS(ROUND(100/B47*C47-100,1))&lt;999,ROUND(100/B47*C47-100,1),IF(ROUND(100/B47*C47-100,1)&gt;999,999,-999)))</f>
        <v>26.4</v>
      </c>
      <c r="E47" s="11">
        <f>IFERROR(100/'Skjema total MA'!C47*C47,0)</f>
        <v>22.829004897949936</v>
      </c>
      <c r="F47" s="144"/>
      <c r="G47" s="32"/>
      <c r="H47" s="158"/>
      <c r="I47" s="158"/>
      <c r="J47" s="36"/>
      <c r="K47" s="36"/>
      <c r="L47" s="158"/>
      <c r="M47" s="158"/>
      <c r="N47" s="147"/>
    </row>
    <row r="48" spans="1:14" s="3" customFormat="1" ht="15.75" x14ac:dyDescent="0.2">
      <c r="A48" s="37" t="s">
        <v>375</v>
      </c>
      <c r="B48" s="279">
        <v>433825</v>
      </c>
      <c r="C48" s="280">
        <v>586946.875</v>
      </c>
      <c r="D48" s="252">
        <f t="shared" si="3"/>
        <v>35.299999999999997</v>
      </c>
      <c r="E48" s="26">
        <f>IFERROR(100/'Skjema total MA'!C48*C48,0)</f>
        <v>25.791249682247084</v>
      </c>
      <c r="F48" s="144"/>
      <c r="G48" s="32"/>
      <c r="H48" s="144"/>
      <c r="I48" s="144"/>
      <c r="J48" s="32"/>
      <c r="K48" s="32"/>
      <c r="L48" s="158"/>
      <c r="M48" s="158"/>
      <c r="N48" s="147"/>
    </row>
    <row r="49" spans="1:14" s="3" customFormat="1" ht="15.75" x14ac:dyDescent="0.2">
      <c r="A49" s="37" t="s">
        <v>376</v>
      </c>
      <c r="B49" s="43">
        <v>282078</v>
      </c>
      <c r="C49" s="285">
        <v>318304.83299999998</v>
      </c>
      <c r="D49" s="252">
        <f>IF(B49=0, "    ---- ", IF(ABS(ROUND(100/B49*C49-100,1))&lt;999,ROUND(100/B49*C49-100,1),IF(ROUND(100/B49*C49-100,1)&gt;999,999,-999)))</f>
        <v>12.8</v>
      </c>
      <c r="E49" s="26">
        <f>IFERROR(100/'Skjema total MA'!C49*C49,0)</f>
        <v>18.839086908054409</v>
      </c>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v>58234</v>
      </c>
      <c r="C53" s="309">
        <v>163993</v>
      </c>
      <c r="D53" s="425">
        <f t="shared" si="3"/>
        <v>181.6</v>
      </c>
      <c r="E53" s="11">
        <f>IFERROR(100/'Skjema total MA'!C53*C53,0)</f>
        <v>69.751399145192437</v>
      </c>
      <c r="F53" s="144"/>
      <c r="G53" s="32"/>
      <c r="H53" s="144"/>
      <c r="I53" s="144"/>
      <c r="J53" s="32"/>
      <c r="K53" s="32"/>
      <c r="L53" s="158"/>
      <c r="M53" s="158"/>
      <c r="N53" s="147"/>
    </row>
    <row r="54" spans="1:14" s="3" customFormat="1" ht="15.75" x14ac:dyDescent="0.2">
      <c r="A54" s="37" t="s">
        <v>375</v>
      </c>
      <c r="B54" s="279">
        <v>58234</v>
      </c>
      <c r="C54" s="280">
        <v>163993</v>
      </c>
      <c r="D54" s="252">
        <f t="shared" si="3"/>
        <v>181.6</v>
      </c>
      <c r="E54" s="26">
        <f>IFERROR(100/'Skjema total MA'!C54*C54,0)</f>
        <v>71.534611684655133</v>
      </c>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v>28218</v>
      </c>
      <c r="C56" s="309">
        <v>24332</v>
      </c>
      <c r="D56" s="425">
        <f t="shared" si="3"/>
        <v>-13.8</v>
      </c>
      <c r="E56" s="11">
        <f>IFERROR(100/'Skjema total MA'!C56*C56,0)</f>
        <v>26.061412671448284</v>
      </c>
      <c r="F56" s="144"/>
      <c r="G56" s="32"/>
      <c r="H56" s="144"/>
      <c r="I56" s="144"/>
      <c r="J56" s="32"/>
      <c r="K56" s="32"/>
      <c r="L56" s="158"/>
      <c r="M56" s="158"/>
      <c r="N56" s="147"/>
    </row>
    <row r="57" spans="1:14" s="3" customFormat="1" ht="15.75" x14ac:dyDescent="0.2">
      <c r="A57" s="37" t="s">
        <v>375</v>
      </c>
      <c r="B57" s="279">
        <v>28218</v>
      </c>
      <c r="C57" s="280">
        <v>24332</v>
      </c>
      <c r="D57" s="252">
        <f t="shared" si="3"/>
        <v>-13.8</v>
      </c>
      <c r="E57" s="26">
        <f>IFERROR(100/'Skjema total MA'!C57*C57,0)</f>
        <v>26.061412671448284</v>
      </c>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734" priority="132">
      <formula>kvartal &lt; 4</formula>
    </cfRule>
  </conditionalFormatting>
  <conditionalFormatting sqref="B116">
    <cfRule type="expression" dxfId="733" priority="76">
      <formula>kvartal &lt; 4</formula>
    </cfRule>
  </conditionalFormatting>
  <conditionalFormatting sqref="C116">
    <cfRule type="expression" dxfId="732" priority="75">
      <formula>kvartal &lt; 4</formula>
    </cfRule>
  </conditionalFormatting>
  <conditionalFormatting sqref="B124">
    <cfRule type="expression" dxfId="731" priority="74">
      <formula>kvartal &lt; 4</formula>
    </cfRule>
  </conditionalFormatting>
  <conditionalFormatting sqref="C124">
    <cfRule type="expression" dxfId="730" priority="73">
      <formula>kvartal &lt; 4</formula>
    </cfRule>
  </conditionalFormatting>
  <conditionalFormatting sqref="F116">
    <cfRule type="expression" dxfId="729" priority="58">
      <formula>kvartal &lt; 4</formula>
    </cfRule>
  </conditionalFormatting>
  <conditionalFormatting sqref="G116">
    <cfRule type="expression" dxfId="728" priority="57">
      <formula>kvartal &lt; 4</formula>
    </cfRule>
  </conditionalFormatting>
  <conditionalFormatting sqref="F124:G124">
    <cfRule type="expression" dxfId="727" priority="56">
      <formula>kvartal &lt; 4</formula>
    </cfRule>
  </conditionalFormatting>
  <conditionalFormatting sqref="J116:K116">
    <cfRule type="expression" dxfId="726" priority="32">
      <formula>kvartal &lt; 4</formula>
    </cfRule>
  </conditionalFormatting>
  <conditionalFormatting sqref="J124:K124">
    <cfRule type="expression" dxfId="725" priority="31">
      <formula>kvartal &lt; 4</formula>
    </cfRule>
  </conditionalFormatting>
  <conditionalFormatting sqref="A50:A52">
    <cfRule type="expression" dxfId="724" priority="12">
      <formula>kvartal &lt; 4</formula>
    </cfRule>
  </conditionalFormatting>
  <conditionalFormatting sqref="A69:A74">
    <cfRule type="expression" dxfId="723" priority="10">
      <formula>kvartal &lt; 4</formula>
    </cfRule>
  </conditionalFormatting>
  <conditionalFormatting sqref="A80:A85">
    <cfRule type="expression" dxfId="722" priority="9">
      <formula>kvartal &lt; 4</formula>
    </cfRule>
  </conditionalFormatting>
  <conditionalFormatting sqref="A90:A95">
    <cfRule type="expression" dxfId="721" priority="6">
      <formula>kvartal &lt; 4</formula>
    </cfRule>
  </conditionalFormatting>
  <conditionalFormatting sqref="A102:A107">
    <cfRule type="expression" dxfId="720" priority="5">
      <formula>kvartal &lt; 4</formula>
    </cfRule>
  </conditionalFormatting>
  <conditionalFormatting sqref="A116">
    <cfRule type="expression" dxfId="719" priority="4">
      <formula>kvartal &lt; 4</formula>
    </cfRule>
  </conditionalFormatting>
  <conditionalFormatting sqref="A124">
    <cfRule type="expression" dxfId="718" priority="3">
      <formula>kvartal &lt; 4</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128</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c r="C7" s="305"/>
      <c r="D7" s="348"/>
      <c r="E7" s="11"/>
      <c r="F7" s="304">
        <v>74532.399999999994</v>
      </c>
      <c r="G7" s="305">
        <v>91362</v>
      </c>
      <c r="H7" s="348">
        <f>IF(F7=0, "    ---- ", IF(ABS(ROUND(100/F7*G7-100,1))&lt;999,ROUND(100/F7*G7-100,1),IF(ROUND(100/F7*G7-100,1)&gt;999,999,-999)))</f>
        <v>22.6</v>
      </c>
      <c r="I7" s="159">
        <f>IFERROR(100/'Skjema total MA'!F7*G7,0)</f>
        <v>1.1794156185727713</v>
      </c>
      <c r="J7" s="306">
        <f t="shared" ref="J7:K12" si="0">SUM(B7,F7)</f>
        <v>74532.399999999994</v>
      </c>
      <c r="K7" s="307">
        <f t="shared" si="0"/>
        <v>91362</v>
      </c>
      <c r="L7" s="424">
        <f>IF(J7=0, "    ---- ", IF(ABS(ROUND(100/J7*K7-100,1))&lt;999,ROUND(100/J7*K7-100,1),IF(ROUND(100/J7*K7-100,1)&gt;999,999,-999)))</f>
        <v>22.6</v>
      </c>
      <c r="M7" s="11">
        <f>IFERROR(100/'Skjema total MA'!I7*K7,0)</f>
        <v>0.86904790649622243</v>
      </c>
    </row>
    <row r="8" spans="1:14" ht="15.75" x14ac:dyDescent="0.2">
      <c r="A8" s="20" t="s">
        <v>25</v>
      </c>
      <c r="B8" s="279"/>
      <c r="C8" s="280"/>
      <c r="D8" s="165"/>
      <c r="E8" s="26"/>
      <c r="F8" s="283"/>
      <c r="G8" s="284"/>
      <c r="H8" s="165"/>
      <c r="I8" s="174"/>
      <c r="J8" s="232"/>
      <c r="K8" s="285"/>
      <c r="L8" s="165"/>
      <c r="M8" s="26"/>
    </row>
    <row r="9" spans="1:14" ht="15.75" x14ac:dyDescent="0.2">
      <c r="A9" s="20" t="s">
        <v>24</v>
      </c>
      <c r="B9" s="279"/>
      <c r="C9" s="280"/>
      <c r="D9" s="165"/>
      <c r="E9" s="26"/>
      <c r="F9" s="283"/>
      <c r="G9" s="284"/>
      <c r="H9" s="165"/>
      <c r="I9" s="174"/>
      <c r="J9" s="232"/>
      <c r="K9" s="285"/>
      <c r="L9" s="165"/>
      <c r="M9" s="26"/>
    </row>
    <row r="10" spans="1:14" ht="15.75" x14ac:dyDescent="0.2">
      <c r="A10" s="13" t="s">
        <v>364</v>
      </c>
      <c r="B10" s="308"/>
      <c r="C10" s="309"/>
      <c r="D10" s="170"/>
      <c r="E10" s="11"/>
      <c r="F10" s="308">
        <v>685689.9</v>
      </c>
      <c r="G10" s="309">
        <v>967438</v>
      </c>
      <c r="H10" s="170">
        <f t="shared" ref="H10:H12" si="1">IF(F10=0, "    ---- ", IF(ABS(ROUND(100/F10*G10-100,1))&lt;999,ROUND(100/F10*G10-100,1),IF(ROUND(100/F10*G10-100,1)&gt;999,999,-999)))</f>
        <v>41.1</v>
      </c>
      <c r="I10" s="159">
        <f>IFERROR(100/'Skjema total MA'!F10*G10,0)</f>
        <v>1.3776563197744978</v>
      </c>
      <c r="J10" s="306">
        <f t="shared" si="0"/>
        <v>685689.9</v>
      </c>
      <c r="K10" s="307">
        <f t="shared" si="0"/>
        <v>967438</v>
      </c>
      <c r="L10" s="425">
        <f t="shared" ref="L10:L12" si="2">IF(J10=0, "    ---- ", IF(ABS(ROUND(100/J10*K10-100,1))&lt;999,ROUND(100/J10*K10-100,1),IF(ROUND(100/J10*K10-100,1)&gt;999,999,-999)))</f>
        <v>41.1</v>
      </c>
      <c r="M10" s="11">
        <f>IFERROR(100/'Skjema total MA'!I10*K10,0)</f>
        <v>1.1037385894616407</v>
      </c>
    </row>
    <row r="11" spans="1:14" s="42" customFormat="1" ht="15.75" x14ac:dyDescent="0.2">
      <c r="A11" s="13" t="s">
        <v>365</v>
      </c>
      <c r="B11" s="308"/>
      <c r="C11" s="309"/>
      <c r="D11" s="170"/>
      <c r="E11" s="11"/>
      <c r="F11" s="308">
        <v>3325.8</v>
      </c>
      <c r="G11" s="309">
        <v>4572</v>
      </c>
      <c r="H11" s="170">
        <f t="shared" si="1"/>
        <v>37.5</v>
      </c>
      <c r="I11" s="159">
        <f>IFERROR(100/'Skjema total MA'!F11*G11,0)</f>
        <v>1.7640689538453151</v>
      </c>
      <c r="J11" s="306">
        <f t="shared" si="0"/>
        <v>3325.8</v>
      </c>
      <c r="K11" s="307">
        <f t="shared" si="0"/>
        <v>4572</v>
      </c>
      <c r="L11" s="425">
        <f t="shared" si="2"/>
        <v>37.5</v>
      </c>
      <c r="M11" s="11">
        <f>IFERROR(100/'Skjema total MA'!I11*K11,0)</f>
        <v>1.6115754685604451</v>
      </c>
      <c r="N11" s="142"/>
    </row>
    <row r="12" spans="1:14" s="42" customFormat="1" ht="15.75" x14ac:dyDescent="0.2">
      <c r="A12" s="40" t="s">
        <v>366</v>
      </c>
      <c r="B12" s="310"/>
      <c r="C12" s="311"/>
      <c r="D12" s="168"/>
      <c r="E12" s="35"/>
      <c r="F12" s="310">
        <v>4087.2</v>
      </c>
      <c r="G12" s="311">
        <v>5401</v>
      </c>
      <c r="H12" s="168">
        <f t="shared" si="1"/>
        <v>32.1</v>
      </c>
      <c r="I12" s="168">
        <f>IFERROR(100/'Skjema total MA'!F12*G12,0)</f>
        <v>5.4460467106895987</v>
      </c>
      <c r="J12" s="312">
        <f t="shared" si="0"/>
        <v>4087.2</v>
      </c>
      <c r="K12" s="313">
        <f t="shared" si="0"/>
        <v>5401</v>
      </c>
      <c r="L12" s="426">
        <f t="shared" si="2"/>
        <v>32.1</v>
      </c>
      <c r="M12" s="35">
        <f>IFERROR(100/'Skjema total MA'!I12*K12,0)</f>
        <v>5.2501702294062298</v>
      </c>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v>239603.1</v>
      </c>
      <c r="C22" s="308">
        <v>264529</v>
      </c>
      <c r="D22" s="348">
        <f t="shared" ref="D22:D29" si="3">IF(B22=0, "    ---- ", IF(ABS(ROUND(100/B22*C22-100,1))&lt;999,ROUND(100/B22*C22-100,1),IF(ROUND(100/B22*C22-100,1)&gt;999,999,-999)))</f>
        <v>10.4</v>
      </c>
      <c r="E22" s="11">
        <f>IFERROR(100/'Skjema total MA'!C22*C22,0)</f>
        <v>23.602521869084473</v>
      </c>
      <c r="F22" s="316">
        <v>36333</v>
      </c>
      <c r="G22" s="316">
        <v>44703</v>
      </c>
      <c r="H22" s="348">
        <f t="shared" ref="H22:H35" si="4">IF(F22=0, "    ---- ", IF(ABS(ROUND(100/F22*G22-100,1))&lt;999,ROUND(100/F22*G22-100,1),IF(ROUND(100/F22*G22-100,1)&gt;999,999,-999)))</f>
        <v>23</v>
      </c>
      <c r="I22" s="11">
        <f>IFERROR(100/'Skjema total MA'!F22*G22,0)</f>
        <v>5.5775667351896256</v>
      </c>
      <c r="J22" s="314">
        <f t="shared" ref="J22:K35" si="5">SUM(B22,F22)</f>
        <v>275936.09999999998</v>
      </c>
      <c r="K22" s="314">
        <f t="shared" si="5"/>
        <v>309232</v>
      </c>
      <c r="L22" s="424">
        <f t="shared" ref="L22:L35" si="6">IF(J22=0, "    ---- ", IF(ABS(ROUND(100/J22*K22-100,1))&lt;999,ROUND(100/J22*K22-100,1),IF(ROUND(100/J22*K22-100,1)&gt;999,999,-999)))</f>
        <v>12.1</v>
      </c>
      <c r="M22" s="23">
        <f>IFERROR(100/'Skjema total MA'!I22*K22,0)</f>
        <v>16.087028588678287</v>
      </c>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v>36333</v>
      </c>
      <c r="G26" s="288">
        <v>44703</v>
      </c>
      <c r="H26" s="165">
        <f t="shared" si="4"/>
        <v>23</v>
      </c>
      <c r="I26" s="414">
        <f>IFERROR(100/'Skjema total MA'!F26*G26,0)</f>
        <v>6.888611953021659</v>
      </c>
      <c r="J26" s="288">
        <f t="shared" ref="J26" si="7">SUM(B26,F26)</f>
        <v>36333</v>
      </c>
      <c r="K26" s="288">
        <f t="shared" ref="K26" si="8">SUM(C26,G26)</f>
        <v>44703</v>
      </c>
      <c r="L26" s="165">
        <f t="shared" si="6"/>
        <v>23</v>
      </c>
      <c r="M26" s="22">
        <f>IFERROR(100/'Skjema total MA'!I26*K26,0)</f>
        <v>6.888611953021659</v>
      </c>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v>239603.1</v>
      </c>
      <c r="C28" s="285">
        <v>264529</v>
      </c>
      <c r="D28" s="165">
        <f t="shared" si="3"/>
        <v>10.4</v>
      </c>
      <c r="E28" s="11">
        <f>IFERROR(100/'Skjema total MA'!C28*C28,0)</f>
        <v>21.672509739276009</v>
      </c>
      <c r="F28" s="232"/>
      <c r="G28" s="285"/>
      <c r="H28" s="165"/>
      <c r="I28" s="26"/>
      <c r="J28" s="43">
        <f t="shared" si="5"/>
        <v>239603.1</v>
      </c>
      <c r="K28" s="43">
        <f t="shared" si="5"/>
        <v>264529</v>
      </c>
      <c r="L28" s="252">
        <f t="shared" si="6"/>
        <v>10.4</v>
      </c>
      <c r="M28" s="22">
        <f>IFERROR(100/'Skjema total MA'!I28*K28,0)</f>
        <v>21.672509739276009</v>
      </c>
    </row>
    <row r="29" spans="1:14" s="3" customFormat="1" ht="15.75" x14ac:dyDescent="0.2">
      <c r="A29" s="13" t="s">
        <v>364</v>
      </c>
      <c r="B29" s="234">
        <v>2118243</v>
      </c>
      <c r="C29" s="234">
        <v>2485401</v>
      </c>
      <c r="D29" s="170">
        <f t="shared" si="3"/>
        <v>17.3</v>
      </c>
      <c r="E29" s="11">
        <f>IFERROR(100/'Skjema total MA'!C29*C29,0)</f>
        <v>5.4565717725951837</v>
      </c>
      <c r="F29" s="306">
        <v>1539897.7</v>
      </c>
      <c r="G29" s="306">
        <v>1723554</v>
      </c>
      <c r="H29" s="170">
        <f t="shared" si="4"/>
        <v>11.9</v>
      </c>
      <c r="I29" s="11">
        <f>IFERROR(100/'Skjema total MA'!F29*G29,0)</f>
        <v>6.7101359543838761</v>
      </c>
      <c r="J29" s="234">
        <f t="shared" si="5"/>
        <v>3658140.7</v>
      </c>
      <c r="K29" s="234">
        <f t="shared" si="5"/>
        <v>4208955</v>
      </c>
      <c r="L29" s="425">
        <f t="shared" si="6"/>
        <v>15.1</v>
      </c>
      <c r="M29" s="23">
        <f>IFERROR(100/'Skjema total MA'!I29*K29,0)</f>
        <v>5.9085829835930994</v>
      </c>
      <c r="N29" s="147"/>
    </row>
    <row r="30" spans="1:14" s="3" customFormat="1" ht="15.75" x14ac:dyDescent="0.2">
      <c r="A30" s="580" t="s">
        <v>367</v>
      </c>
      <c r="B30" s="279"/>
      <c r="C30" s="279"/>
      <c r="D30" s="165"/>
      <c r="E30" s="11"/>
      <c r="F30" s="288">
        <v>26220.799999999999</v>
      </c>
      <c r="G30" s="288">
        <v>26463</v>
      </c>
      <c r="H30" s="165">
        <f t="shared" si="4"/>
        <v>0.9</v>
      </c>
      <c r="I30" s="414">
        <f>IFERROR(100/'Skjema total MA'!F30*G30,0)</f>
        <v>0.63487304654138221</v>
      </c>
      <c r="J30" s="288">
        <f t="shared" ref="J30:J33" si="9">SUM(B30,F30)</f>
        <v>26220.799999999999</v>
      </c>
      <c r="K30" s="288">
        <f t="shared" ref="K30:K33" si="10">SUM(C30,G30)</f>
        <v>26463</v>
      </c>
      <c r="L30" s="165">
        <f t="shared" si="6"/>
        <v>0.9</v>
      </c>
      <c r="M30" s="22">
        <f>IFERROR(100/'Skjema total MA'!I30*K30,0)</f>
        <v>0.14952029814759968</v>
      </c>
      <c r="N30" s="147"/>
    </row>
    <row r="31" spans="1:14" s="3" customFormat="1" ht="15.75" x14ac:dyDescent="0.2">
      <c r="A31" s="580" t="s">
        <v>368</v>
      </c>
      <c r="B31" s="279"/>
      <c r="C31" s="279"/>
      <c r="D31" s="165"/>
      <c r="E31" s="11"/>
      <c r="F31" s="288">
        <v>1091512.8999999999</v>
      </c>
      <c r="G31" s="288">
        <v>1088178</v>
      </c>
      <c r="H31" s="165">
        <f t="shared" si="4"/>
        <v>-0.3</v>
      </c>
      <c r="I31" s="414">
        <f>IFERROR(100/'Skjema total MA'!F31*G31,0)</f>
        <v>11.239603985285408</v>
      </c>
      <c r="J31" s="288">
        <f t="shared" si="9"/>
        <v>1091512.8999999999</v>
      </c>
      <c r="K31" s="288">
        <f t="shared" si="10"/>
        <v>1088178</v>
      </c>
      <c r="L31" s="165">
        <f t="shared" si="6"/>
        <v>-0.3</v>
      </c>
      <c r="M31" s="22">
        <f>IFERROR(100/'Skjema total MA'!I31*K31,0)</f>
        <v>3.3391059022795515</v>
      </c>
      <c r="N31" s="147"/>
    </row>
    <row r="32" spans="1:14" ht="15.75" x14ac:dyDescent="0.2">
      <c r="A32" s="580" t="s">
        <v>369</v>
      </c>
      <c r="B32" s="279"/>
      <c r="C32" s="279"/>
      <c r="D32" s="165"/>
      <c r="E32" s="11"/>
      <c r="F32" s="288">
        <v>122181.2</v>
      </c>
      <c r="G32" s="288">
        <v>134127</v>
      </c>
      <c r="H32" s="165">
        <f t="shared" si="4"/>
        <v>9.8000000000000007</v>
      </c>
      <c r="I32" s="414">
        <f>IFERROR(100/'Skjema total MA'!F32*G32,0)</f>
        <v>2.3627007518616607</v>
      </c>
      <c r="J32" s="288">
        <f t="shared" si="9"/>
        <v>122181.2</v>
      </c>
      <c r="K32" s="288">
        <f t="shared" si="10"/>
        <v>134127</v>
      </c>
      <c r="L32" s="165">
        <f t="shared" si="6"/>
        <v>9.8000000000000007</v>
      </c>
      <c r="M32" s="22">
        <f>IFERROR(100/'Skjema total MA'!I32*K32,0)</f>
        <v>1.5557342028898948</v>
      </c>
    </row>
    <row r="33" spans="1:14" ht="15.75" x14ac:dyDescent="0.2">
      <c r="A33" s="580" t="s">
        <v>370</v>
      </c>
      <c r="B33" s="279"/>
      <c r="C33" s="279"/>
      <c r="D33" s="165"/>
      <c r="E33" s="11"/>
      <c r="F33" s="288">
        <v>299982.8</v>
      </c>
      <c r="G33" s="288">
        <v>474786</v>
      </c>
      <c r="H33" s="165">
        <f t="shared" si="4"/>
        <v>58.3</v>
      </c>
      <c r="I33" s="414">
        <f>IFERROR(100/'Skjema total MA'!F34*G33,0)</f>
        <v>2199.1668689584662</v>
      </c>
      <c r="J33" s="288">
        <f t="shared" si="9"/>
        <v>299982.8</v>
      </c>
      <c r="K33" s="288">
        <f t="shared" si="10"/>
        <v>474786</v>
      </c>
      <c r="L33" s="165">
        <f t="shared" si="6"/>
        <v>58.3</v>
      </c>
      <c r="M33" s="22">
        <f>IFERROR(100/'Skjema total MA'!I34*K33,0)</f>
        <v>1742.2857606827536</v>
      </c>
    </row>
    <row r="34" spans="1:14" ht="15.75" x14ac:dyDescent="0.2">
      <c r="A34" s="13" t="s">
        <v>365</v>
      </c>
      <c r="B34" s="234"/>
      <c r="C34" s="307"/>
      <c r="D34" s="170"/>
      <c r="E34" s="11"/>
      <c r="F34" s="306">
        <v>8219.7999999999993</v>
      </c>
      <c r="G34" s="307">
        <v>28020</v>
      </c>
      <c r="H34" s="170">
        <f t="shared" si="4"/>
        <v>240.9</v>
      </c>
      <c r="I34" s="11">
        <f>IFERROR(100/'Skjema total MA'!F34*G34,0)</f>
        <v>129.78616822782521</v>
      </c>
      <c r="J34" s="234">
        <f t="shared" si="5"/>
        <v>8219.7999999999993</v>
      </c>
      <c r="K34" s="234">
        <f t="shared" si="5"/>
        <v>28020</v>
      </c>
      <c r="L34" s="425">
        <f t="shared" si="6"/>
        <v>240.9</v>
      </c>
      <c r="M34" s="23">
        <f>IFERROR(100/'Skjema total MA'!I34*K34,0)</f>
        <v>102.8228444274489</v>
      </c>
    </row>
    <row r="35" spans="1:14" ht="15.75" x14ac:dyDescent="0.2">
      <c r="A35" s="13" t="s">
        <v>366</v>
      </c>
      <c r="B35" s="234"/>
      <c r="C35" s="307"/>
      <c r="D35" s="170"/>
      <c r="E35" s="11"/>
      <c r="F35" s="306">
        <v>4608.7</v>
      </c>
      <c r="G35" s="307">
        <v>9127</v>
      </c>
      <c r="H35" s="170">
        <f t="shared" si="4"/>
        <v>98</v>
      </c>
      <c r="I35" s="11">
        <f>IFERROR(100/'Skjema total MA'!F35*G35,0)</f>
        <v>8.286779314981354</v>
      </c>
      <c r="J35" s="234">
        <f t="shared" si="5"/>
        <v>4608.7</v>
      </c>
      <c r="K35" s="234">
        <f t="shared" si="5"/>
        <v>9127</v>
      </c>
      <c r="L35" s="425">
        <f t="shared" si="6"/>
        <v>98</v>
      </c>
      <c r="M35" s="23">
        <f>IFERROR(100/'Skjema total MA'!I35*K35,0)</f>
        <v>20.594891996083266</v>
      </c>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c r="C47" s="309"/>
      <c r="D47" s="424"/>
      <c r="E47" s="11"/>
      <c r="F47" s="144"/>
      <c r="G47" s="32"/>
      <c r="H47" s="158"/>
      <c r="I47" s="158"/>
      <c r="J47" s="36"/>
      <c r="K47" s="36"/>
      <c r="L47" s="158"/>
      <c r="M47" s="158"/>
      <c r="N47" s="147"/>
    </row>
    <row r="48" spans="1:14" s="3" customFormat="1" ht="15.75" x14ac:dyDescent="0.2">
      <c r="A48" s="37" t="s">
        <v>375</v>
      </c>
      <c r="B48" s="279"/>
      <c r="C48" s="280"/>
      <c r="D48" s="252"/>
      <c r="E48" s="26"/>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v>122545.3</v>
      </c>
      <c r="C66" s="351">
        <v>131341</v>
      </c>
      <c r="D66" s="348">
        <f t="shared" ref="D66:D112" si="11">IF(B66=0, "    ---- ", IF(ABS(ROUND(100/B66*C66-100,1))&lt;999,ROUND(100/B66*C66-100,1),IF(ROUND(100/B66*C66-100,1)&gt;999,999,-999)))</f>
        <v>7.2</v>
      </c>
      <c r="E66" s="11">
        <f>IFERROR(100/'Skjema total MA'!C66*C66,0)</f>
        <v>2.8068612168297284</v>
      </c>
      <c r="F66" s="350">
        <v>1469045.6</v>
      </c>
      <c r="G66" s="350">
        <v>1677454</v>
      </c>
      <c r="H66" s="348">
        <f t="shared" ref="H66:H112" si="12">IF(F66=0, "    ---- ", IF(ABS(ROUND(100/F66*G66-100,1))&lt;999,ROUND(100/F66*G66-100,1),IF(ROUND(100/F66*G66-100,1)&gt;999,999,-999)))</f>
        <v>14.2</v>
      </c>
      <c r="I66" s="11">
        <f>IFERROR(100/'Skjema total MA'!F66*G66,0)</f>
        <v>9.0106294476708904</v>
      </c>
      <c r="J66" s="307">
        <f t="shared" ref="J66:K86" si="13">SUM(B66,F66)</f>
        <v>1591590.9000000001</v>
      </c>
      <c r="K66" s="314">
        <f t="shared" si="13"/>
        <v>1808795</v>
      </c>
      <c r="L66" s="425">
        <f t="shared" ref="L66:L112" si="14">IF(J66=0, "    ---- ", IF(ABS(ROUND(100/J66*K66-100,1))&lt;999,ROUND(100/J66*K66-100,1),IF(ROUND(100/J66*K66-100,1)&gt;999,999,-999)))</f>
        <v>13.6</v>
      </c>
      <c r="M66" s="11">
        <f>IFERROR(100/'Skjema total MA'!I66*K66,0)</f>
        <v>7.7645100640187259</v>
      </c>
    </row>
    <row r="67" spans="1:14" x14ac:dyDescent="0.2">
      <c r="A67" s="416" t="s">
        <v>9</v>
      </c>
      <c r="B67" s="43">
        <v>122545.3</v>
      </c>
      <c r="C67" s="144">
        <v>131341</v>
      </c>
      <c r="D67" s="165">
        <f t="shared" si="11"/>
        <v>7.2</v>
      </c>
      <c r="E67" s="26">
        <f>IFERROR(100/'Skjema total MA'!C67*C67,0)</f>
        <v>3.8439138861683975</v>
      </c>
      <c r="F67" s="232"/>
      <c r="G67" s="144"/>
      <c r="H67" s="165"/>
      <c r="I67" s="26"/>
      <c r="J67" s="285">
        <f t="shared" si="13"/>
        <v>122545.3</v>
      </c>
      <c r="K67" s="43">
        <f t="shared" si="13"/>
        <v>131341</v>
      </c>
      <c r="L67" s="252">
        <f t="shared" si="14"/>
        <v>7.2</v>
      </c>
      <c r="M67" s="26">
        <f>IFERROR(100/'Skjema total MA'!I67*K67,0)</f>
        <v>3.8439138861683975</v>
      </c>
    </row>
    <row r="68" spans="1:14" x14ac:dyDescent="0.2">
      <c r="A68" s="20" t="s">
        <v>10</v>
      </c>
      <c r="B68" s="290"/>
      <c r="C68" s="291"/>
      <c r="D68" s="165"/>
      <c r="E68" s="26"/>
      <c r="F68" s="290">
        <v>1469045.6</v>
      </c>
      <c r="G68" s="736">
        <v>1677454</v>
      </c>
      <c r="H68" s="165">
        <f t="shared" si="12"/>
        <v>14.2</v>
      </c>
      <c r="I68" s="26">
        <f>IFERROR(100/'Skjema total MA'!F68*G68,0)</f>
        <v>9.3831400124953035</v>
      </c>
      <c r="J68" s="285">
        <f t="shared" si="13"/>
        <v>1469045.6</v>
      </c>
      <c r="K68" s="43">
        <f t="shared" si="13"/>
        <v>1677454</v>
      </c>
      <c r="L68" s="252">
        <f t="shared" si="14"/>
        <v>14.2</v>
      </c>
      <c r="M68" s="26">
        <f>IFERROR(100/'Skjema total MA'!I68*K68,0)</f>
        <v>9.3702920077266914</v>
      </c>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v>122239.3</v>
      </c>
      <c r="C77" s="232">
        <v>130971</v>
      </c>
      <c r="D77" s="165">
        <f t="shared" si="11"/>
        <v>7.1</v>
      </c>
      <c r="E77" s="26">
        <f>IFERROR(100/'Skjema total MA'!C77*C77,0)</f>
        <v>3.9015275298203038</v>
      </c>
      <c r="F77" s="232">
        <v>1469045.6</v>
      </c>
      <c r="G77" s="144">
        <v>1677454</v>
      </c>
      <c r="H77" s="165">
        <f t="shared" si="12"/>
        <v>14.2</v>
      </c>
      <c r="I77" s="26">
        <f>IFERROR(100/'Skjema total MA'!F77*G77,0)</f>
        <v>9.3864499539068156</v>
      </c>
      <c r="J77" s="285">
        <f t="shared" si="13"/>
        <v>1591284.9000000001</v>
      </c>
      <c r="K77" s="43">
        <f t="shared" si="13"/>
        <v>1808425</v>
      </c>
      <c r="L77" s="252">
        <f t="shared" si="14"/>
        <v>13.6</v>
      </c>
      <c r="M77" s="26">
        <f>IFERROR(100/'Skjema total MA'!I77*K77,0)</f>
        <v>8.5190822154234791</v>
      </c>
    </row>
    <row r="78" spans="1:14" x14ac:dyDescent="0.2">
      <c r="A78" s="20" t="s">
        <v>9</v>
      </c>
      <c r="B78" s="232">
        <v>122239.3</v>
      </c>
      <c r="C78" s="144">
        <v>130971</v>
      </c>
      <c r="D78" s="165">
        <f t="shared" si="11"/>
        <v>7.1</v>
      </c>
      <c r="E78" s="26">
        <f>IFERROR(100/'Skjema total MA'!C78*C78,0)</f>
        <v>3.928766894698287</v>
      </c>
      <c r="F78" s="232"/>
      <c r="G78" s="144"/>
      <c r="H78" s="165"/>
      <c r="I78" s="26"/>
      <c r="J78" s="285">
        <f t="shared" si="13"/>
        <v>122239.3</v>
      </c>
      <c r="K78" s="43">
        <f t="shared" si="13"/>
        <v>130971</v>
      </c>
      <c r="L78" s="252">
        <f t="shared" si="14"/>
        <v>7.1</v>
      </c>
      <c r="M78" s="26">
        <f>IFERROR(100/'Skjema total MA'!I78*K78,0)</f>
        <v>3.928766894698287</v>
      </c>
    </row>
    <row r="79" spans="1:14" x14ac:dyDescent="0.2">
      <c r="A79" s="729" t="s">
        <v>423</v>
      </c>
      <c r="B79" s="290"/>
      <c r="C79" s="291"/>
      <c r="D79" s="165"/>
      <c r="E79" s="26"/>
      <c r="F79" s="290">
        <v>1469045.6</v>
      </c>
      <c r="G79" s="291">
        <v>1677454</v>
      </c>
      <c r="H79" s="165">
        <f t="shared" si="12"/>
        <v>14.2</v>
      </c>
      <c r="I79" s="26">
        <f>IFERROR(100/'Skjema total MA'!F79*G79,0)</f>
        <v>9.3864499539068156</v>
      </c>
      <c r="J79" s="285">
        <f t="shared" si="13"/>
        <v>1469045.6</v>
      </c>
      <c r="K79" s="43">
        <f t="shared" si="13"/>
        <v>1677454</v>
      </c>
      <c r="L79" s="252">
        <f t="shared" si="14"/>
        <v>14.2</v>
      </c>
      <c r="M79" s="26">
        <f>IFERROR(100/'Skjema total MA'!I79*K79,0)</f>
        <v>9.3742412921754106</v>
      </c>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v>306</v>
      </c>
      <c r="C86" s="144">
        <v>370</v>
      </c>
      <c r="D86" s="165">
        <f t="shared" si="11"/>
        <v>20.9</v>
      </c>
      <c r="E86" s="26">
        <f>IFERROR(100/'Skjema total MA'!C86*C86,0)</f>
        <v>0.43811752220717071</v>
      </c>
      <c r="F86" s="232"/>
      <c r="G86" s="144"/>
      <c r="H86" s="165"/>
      <c r="I86" s="26"/>
      <c r="J86" s="285">
        <f t="shared" si="13"/>
        <v>306</v>
      </c>
      <c r="K86" s="43">
        <f t="shared" si="13"/>
        <v>370</v>
      </c>
      <c r="L86" s="252">
        <f t="shared" si="14"/>
        <v>20.9</v>
      </c>
      <c r="M86" s="26">
        <f>IFERROR(100/'Skjema total MA'!I86*K86,0)</f>
        <v>0.40768519273642095</v>
      </c>
    </row>
    <row r="87" spans="1:13" ht="15.75" x14ac:dyDescent="0.2">
      <c r="A87" s="13" t="s">
        <v>364</v>
      </c>
      <c r="B87" s="351">
        <v>5256815.8</v>
      </c>
      <c r="C87" s="351">
        <v>5502984</v>
      </c>
      <c r="D87" s="170">
        <f t="shared" si="11"/>
        <v>4.7</v>
      </c>
      <c r="E87" s="11">
        <f>IFERROR(100/'Skjema total MA'!C87*C87,0)</f>
        <v>1.3669330709305674</v>
      </c>
      <c r="F87" s="350">
        <v>27529275.199999999</v>
      </c>
      <c r="G87" s="350">
        <v>35961198</v>
      </c>
      <c r="H87" s="170">
        <f t="shared" si="12"/>
        <v>30.6</v>
      </c>
      <c r="I87" s="11">
        <f>IFERROR(100/'Skjema total MA'!F87*G87,0)</f>
        <v>8.594726886501304</v>
      </c>
      <c r="J87" s="307">
        <f t="shared" ref="J87:K112" si="15">SUM(B87,F87)</f>
        <v>32786091</v>
      </c>
      <c r="K87" s="234">
        <f t="shared" si="15"/>
        <v>41464182</v>
      </c>
      <c r="L87" s="425">
        <f t="shared" si="14"/>
        <v>26.5</v>
      </c>
      <c r="M87" s="11">
        <f>IFERROR(100/'Skjema total MA'!I87*K87,0)</f>
        <v>5.0505167269217397</v>
      </c>
    </row>
    <row r="88" spans="1:13" x14ac:dyDescent="0.2">
      <c r="A88" s="20" t="s">
        <v>9</v>
      </c>
      <c r="B88" s="232">
        <v>5256815.8</v>
      </c>
      <c r="C88" s="144">
        <v>5502984</v>
      </c>
      <c r="D88" s="165">
        <f t="shared" si="11"/>
        <v>4.7</v>
      </c>
      <c r="E88" s="26">
        <f>IFERROR(100/'Skjema total MA'!C88*C88,0)</f>
        <v>1.4119082717948772</v>
      </c>
      <c r="F88" s="232">
        <v>0</v>
      </c>
      <c r="G88" s="144">
        <v>0</v>
      </c>
      <c r="H88" s="165" t="str">
        <f t="shared" si="12"/>
        <v xml:space="preserve">    ---- </v>
      </c>
      <c r="I88" s="26">
        <f>IFERROR(100/'Skjema total MA'!F88*G88,0)</f>
        <v>0</v>
      </c>
      <c r="J88" s="285">
        <f t="shared" si="15"/>
        <v>5256815.8</v>
      </c>
      <c r="K88" s="43">
        <f t="shared" si="15"/>
        <v>5502984</v>
      </c>
      <c r="L88" s="252">
        <f t="shared" si="14"/>
        <v>4.7</v>
      </c>
      <c r="M88" s="26">
        <f>IFERROR(100/'Skjema total MA'!I88*K88,0)</f>
        <v>1.4119082717948772</v>
      </c>
    </row>
    <row r="89" spans="1:13" x14ac:dyDescent="0.2">
      <c r="A89" s="20" t="s">
        <v>10</v>
      </c>
      <c r="B89" s="232"/>
      <c r="C89" s="144"/>
      <c r="D89" s="165"/>
      <c r="E89" s="26"/>
      <c r="F89" s="232">
        <v>27529275.199999999</v>
      </c>
      <c r="G89" s="144">
        <v>35961198</v>
      </c>
      <c r="H89" s="165">
        <f t="shared" si="12"/>
        <v>30.6</v>
      </c>
      <c r="I89" s="26">
        <f>IFERROR(100/'Skjema total MA'!F89*G89,0)</f>
        <v>8.6795199743388132</v>
      </c>
      <c r="J89" s="285">
        <f t="shared" si="15"/>
        <v>27529275.199999999</v>
      </c>
      <c r="K89" s="43">
        <f t="shared" si="15"/>
        <v>35961198</v>
      </c>
      <c r="L89" s="252">
        <f t="shared" si="14"/>
        <v>30.6</v>
      </c>
      <c r="M89" s="26">
        <f>IFERROR(100/'Skjema total MA'!I89*K89,0)</f>
        <v>8.615363195023388</v>
      </c>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v>5255598.8</v>
      </c>
      <c r="C98" s="232">
        <v>5501147</v>
      </c>
      <c r="D98" s="165">
        <f t="shared" si="11"/>
        <v>4.7</v>
      </c>
      <c r="E98" s="26">
        <f>IFERROR(100/'Skjema total MA'!C98*C98,0)</f>
        <v>1.416308492615699</v>
      </c>
      <c r="F98" s="290">
        <v>27529275.199999999</v>
      </c>
      <c r="G98" s="290">
        <v>35961198</v>
      </c>
      <c r="H98" s="165">
        <f t="shared" si="12"/>
        <v>30.6</v>
      </c>
      <c r="I98" s="26">
        <f>IFERROR(100/'Skjema total MA'!F98*G98,0)</f>
        <v>8.7029653375451055</v>
      </c>
      <c r="J98" s="285">
        <f t="shared" si="15"/>
        <v>32784874</v>
      </c>
      <c r="K98" s="43">
        <f t="shared" si="15"/>
        <v>41462345</v>
      </c>
      <c r="L98" s="252">
        <f t="shared" si="14"/>
        <v>26.5</v>
      </c>
      <c r="M98" s="26">
        <f>IFERROR(100/'Skjema total MA'!I98*K98,0)</f>
        <v>5.1723144943717978</v>
      </c>
    </row>
    <row r="99" spans="1:13" x14ac:dyDescent="0.2">
      <c r="A99" s="20" t="s">
        <v>9</v>
      </c>
      <c r="B99" s="290">
        <v>5255598.8</v>
      </c>
      <c r="C99" s="291">
        <v>5501147</v>
      </c>
      <c r="D99" s="165">
        <f t="shared" si="11"/>
        <v>4.7</v>
      </c>
      <c r="E99" s="26">
        <f>IFERROR(100/'Skjema total MA'!C99*C99,0)</f>
        <v>1.4276490257097871</v>
      </c>
      <c r="F99" s="232"/>
      <c r="G99" s="144"/>
      <c r="H99" s="165"/>
      <c r="I99" s="26"/>
      <c r="J99" s="285">
        <f t="shared" si="15"/>
        <v>5255598.8</v>
      </c>
      <c r="K99" s="43">
        <f t="shared" si="15"/>
        <v>5501147</v>
      </c>
      <c r="L99" s="252">
        <f t="shared" si="14"/>
        <v>4.7</v>
      </c>
      <c r="M99" s="26">
        <f>IFERROR(100/'Skjema total MA'!I99*K99,0)</f>
        <v>1.4276490257097871</v>
      </c>
    </row>
    <row r="100" spans="1:13" ht="15.75" x14ac:dyDescent="0.2">
      <c r="A100" s="729" t="s">
        <v>424</v>
      </c>
      <c r="B100" s="290"/>
      <c r="C100" s="291"/>
      <c r="D100" s="165"/>
      <c r="E100" s="26"/>
      <c r="F100" s="232">
        <v>27529275.199999999</v>
      </c>
      <c r="G100" s="232">
        <v>35961198</v>
      </c>
      <c r="H100" s="165">
        <f t="shared" si="12"/>
        <v>30.6</v>
      </c>
      <c r="I100" s="26">
        <f>IFERROR(100/'Skjema total MA'!F100*G100,0)</f>
        <v>8.7029653375451055</v>
      </c>
      <c r="J100" s="285">
        <f t="shared" si="15"/>
        <v>27529275.199999999</v>
      </c>
      <c r="K100" s="43">
        <f t="shared" si="15"/>
        <v>35961198</v>
      </c>
      <c r="L100" s="252">
        <f t="shared" si="14"/>
        <v>30.6</v>
      </c>
      <c r="M100" s="26">
        <f>IFERROR(100/'Skjema total MA'!I100*K100,0)</f>
        <v>8.6384627738203577</v>
      </c>
    </row>
    <row r="101" spans="1:13" ht="15.75" x14ac:dyDescent="0.2">
      <c r="A101" s="729" t="s">
        <v>425</v>
      </c>
      <c r="B101" s="290"/>
      <c r="C101" s="290"/>
      <c r="D101" s="165"/>
      <c r="E101" s="26"/>
      <c r="F101" s="290">
        <v>0</v>
      </c>
      <c r="G101" s="290">
        <v>22626</v>
      </c>
      <c r="H101" s="165" t="str">
        <f t="shared" si="12"/>
        <v xml:space="preserve">    ---- </v>
      </c>
      <c r="I101" s="26">
        <f>IFERROR(100/'Skjema total MA'!G102*G101,0)</f>
        <v>0</v>
      </c>
      <c r="J101" s="285">
        <f t="shared" ref="J101" si="16">SUM(B101,F101)</f>
        <v>0</v>
      </c>
      <c r="K101" s="43">
        <f t="shared" ref="K101" si="17">SUM(C101,G101)</f>
        <v>22626</v>
      </c>
      <c r="L101" s="252" t="str">
        <f t="shared" ref="L101" si="18">IF(J101=0, "    ---- ", IF(ABS(ROUND(100/J101*K101-100,1))&lt;999,ROUND(100/J101*K101-100,1),IF(ROUND(100/J101*K101-100,1)&gt;999,999,-999)))</f>
        <v xml:space="preserve">    ---- </v>
      </c>
      <c r="M101" s="26">
        <f>IFERROR(100/'Skjema total MA'!I102*K101,0)</f>
        <v>0</v>
      </c>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v>1217</v>
      </c>
      <c r="C108" s="144">
        <v>1837</v>
      </c>
      <c r="D108" s="165">
        <f t="shared" si="11"/>
        <v>50.9</v>
      </c>
      <c r="E108" s="26">
        <f>IFERROR(100/'Skjema total MA'!C108*C108,0)</f>
        <v>4.1504981323248695E-2</v>
      </c>
      <c r="F108" s="232"/>
      <c r="G108" s="144"/>
      <c r="H108" s="165"/>
      <c r="I108" s="26"/>
      <c r="J108" s="285">
        <f t="shared" si="15"/>
        <v>1217</v>
      </c>
      <c r="K108" s="43">
        <f t="shared" si="15"/>
        <v>1837</v>
      </c>
      <c r="L108" s="252">
        <f t="shared" si="14"/>
        <v>50.9</v>
      </c>
      <c r="M108" s="26">
        <f>IFERROR(100/'Skjema total MA'!I108*K108,0)</f>
        <v>3.3146049016776029E-2</v>
      </c>
    </row>
    <row r="109" spans="1:13" ht="15.75" x14ac:dyDescent="0.2">
      <c r="A109" s="20" t="s">
        <v>383</v>
      </c>
      <c r="B109" s="232">
        <v>4089012.1</v>
      </c>
      <c r="C109" s="232">
        <v>4177814</v>
      </c>
      <c r="D109" s="165">
        <f t="shared" si="11"/>
        <v>2.2000000000000002</v>
      </c>
      <c r="E109" s="26">
        <f>IFERROR(100/'Skjema total MA'!C109*C109,0)</f>
        <v>1.2483352726725001</v>
      </c>
      <c r="F109" s="232"/>
      <c r="G109" s="232"/>
      <c r="H109" s="165"/>
      <c r="I109" s="26"/>
      <c r="J109" s="285">
        <f t="shared" si="15"/>
        <v>4089012.1</v>
      </c>
      <c r="K109" s="43">
        <f t="shared" si="15"/>
        <v>4177814</v>
      </c>
      <c r="L109" s="252">
        <f t="shared" si="14"/>
        <v>2.2000000000000002</v>
      </c>
      <c r="M109" s="26">
        <f>IFERROR(100/'Skjema total MA'!I109*K109,0)</f>
        <v>1.1770627514944356</v>
      </c>
    </row>
    <row r="110" spans="1:13" ht="15.75" x14ac:dyDescent="0.2">
      <c r="A110" s="729" t="s">
        <v>441</v>
      </c>
      <c r="B110" s="232"/>
      <c r="C110" s="232"/>
      <c r="D110" s="165"/>
      <c r="E110" s="26"/>
      <c r="F110" s="232">
        <v>10081599.4</v>
      </c>
      <c r="G110" s="232">
        <v>13954639</v>
      </c>
      <c r="H110" s="165">
        <f t="shared" si="12"/>
        <v>38.4</v>
      </c>
      <c r="I110" s="26">
        <f>IFERROR(100/'Skjema total MA'!F110*G110,0)</f>
        <v>9.4162458531967985</v>
      </c>
      <c r="J110" s="285">
        <f t="shared" si="15"/>
        <v>10081599.4</v>
      </c>
      <c r="K110" s="43">
        <f t="shared" si="15"/>
        <v>13954639</v>
      </c>
      <c r="L110" s="252">
        <f t="shared" si="14"/>
        <v>38.4</v>
      </c>
      <c r="M110" s="26">
        <f>IFERROR(100/'Skjema total MA'!I110*K110,0)</f>
        <v>9.3165492815785527</v>
      </c>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v>27292.400000000001</v>
      </c>
      <c r="C112" s="158">
        <v>44890</v>
      </c>
      <c r="D112" s="170">
        <f t="shared" si="11"/>
        <v>64.5</v>
      </c>
      <c r="E112" s="11">
        <f>IFERROR(100/'Skjema total MA'!C112*C112,0)</f>
        <v>17.280406818640195</v>
      </c>
      <c r="F112" s="306">
        <v>794371.9</v>
      </c>
      <c r="G112" s="158">
        <v>3504049</v>
      </c>
      <c r="H112" s="170">
        <f t="shared" si="12"/>
        <v>341.1</v>
      </c>
      <c r="I112" s="11">
        <f>IFERROR(100/'Skjema total MA'!F112*G112,0)</f>
        <v>11.989440135002521</v>
      </c>
      <c r="J112" s="307">
        <f t="shared" si="15"/>
        <v>821664.3</v>
      </c>
      <c r="K112" s="234">
        <f t="shared" si="15"/>
        <v>3548939</v>
      </c>
      <c r="L112" s="425">
        <f t="shared" si="14"/>
        <v>331.9</v>
      </c>
      <c r="M112" s="11">
        <f>IFERROR(100/'Skjema total MA'!I112*K112,0)</f>
        <v>12.036054123762073</v>
      </c>
    </row>
    <row r="113" spans="1:14" x14ac:dyDescent="0.2">
      <c r="A113" s="20" t="s">
        <v>9</v>
      </c>
      <c r="B113" s="232">
        <v>27292.400000000001</v>
      </c>
      <c r="C113" s="144">
        <v>44890</v>
      </c>
      <c r="D113" s="165">
        <f t="shared" ref="D113:D121" si="19">IF(B113=0, "    ---- ", IF(ABS(ROUND(100/B113*C113-100,1))&lt;999,ROUND(100/B113*C113-100,1),IF(ROUND(100/B113*C113-100,1)&gt;999,999,-999)))</f>
        <v>64.5</v>
      </c>
      <c r="E113" s="26">
        <f>IFERROR(100/'Skjema total MA'!C113*C113,0)</f>
        <v>26.992840731485717</v>
      </c>
      <c r="F113" s="232"/>
      <c r="G113" s="144"/>
      <c r="H113" s="165"/>
      <c r="I113" s="26"/>
      <c r="J113" s="285">
        <f t="shared" ref="J113:K126" si="20">SUM(B113,F113)</f>
        <v>27292.400000000001</v>
      </c>
      <c r="K113" s="43">
        <f t="shared" si="20"/>
        <v>44890</v>
      </c>
      <c r="L113" s="252">
        <f t="shared" ref="L113:L126" si="21">IF(J113=0, "    ---- ", IF(ABS(ROUND(100/J113*K113-100,1))&lt;999,ROUND(100/J113*K113-100,1),IF(ROUND(100/J113*K113-100,1)&gt;999,999,-999)))</f>
        <v>64.5</v>
      </c>
      <c r="M113" s="26">
        <f>IFERROR(100/'Skjema total MA'!I113*K113,0)</f>
        <v>25.379031662695255</v>
      </c>
    </row>
    <row r="114" spans="1:14" x14ac:dyDescent="0.2">
      <c r="A114" s="20" t="s">
        <v>10</v>
      </c>
      <c r="B114" s="232"/>
      <c r="C114" s="144"/>
      <c r="D114" s="165"/>
      <c r="E114" s="26"/>
      <c r="F114" s="232">
        <v>794371.9</v>
      </c>
      <c r="G114" s="144">
        <v>3504049</v>
      </c>
      <c r="H114" s="165">
        <f t="shared" ref="H114:H126" si="22">IF(F114=0, "    ---- ", IF(ABS(ROUND(100/F114*G114-100,1))&lt;999,ROUND(100/F114*G114-100,1),IF(ROUND(100/F114*G114-100,1)&gt;999,999,-999)))</f>
        <v>341.1</v>
      </c>
      <c r="I114" s="26">
        <f>IFERROR(100/'Skjema total MA'!F114*G114,0)</f>
        <v>11.993779867135114</v>
      </c>
      <c r="J114" s="285">
        <f t="shared" si="20"/>
        <v>794371.9</v>
      </c>
      <c r="K114" s="43">
        <f t="shared" si="20"/>
        <v>3504049</v>
      </c>
      <c r="L114" s="252">
        <f t="shared" si="21"/>
        <v>341.1</v>
      </c>
      <c r="M114" s="26">
        <f>IFERROR(100/'Skjema total MA'!I114*K114,0)</f>
        <v>11.993696872045991</v>
      </c>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t="s">
        <v>429</v>
      </c>
      <c r="C116" s="279" t="s">
        <v>429</v>
      </c>
      <c r="D116" s="165"/>
      <c r="E116" s="414"/>
      <c r="F116" s="279"/>
      <c r="G116" s="279"/>
      <c r="H116" s="165"/>
      <c r="I116" s="414"/>
      <c r="J116" s="288"/>
      <c r="K116" s="288"/>
      <c r="L116" s="165"/>
      <c r="M116" s="22"/>
    </row>
    <row r="117" spans="1:14" ht="15.75" x14ac:dyDescent="0.2">
      <c r="A117" s="20" t="s">
        <v>386</v>
      </c>
      <c r="B117" s="232">
        <v>4193.8</v>
      </c>
      <c r="C117" s="232">
        <v>23366</v>
      </c>
      <c r="D117" s="165">
        <f t="shared" si="19"/>
        <v>457.2</v>
      </c>
      <c r="E117" s="26">
        <f>IFERROR(100/'Skjema total MA'!C117*C117,0)</f>
        <v>35.552727329283314</v>
      </c>
      <c r="F117" s="232"/>
      <c r="G117" s="232"/>
      <c r="H117" s="165"/>
      <c r="I117" s="26"/>
      <c r="J117" s="285">
        <f t="shared" si="20"/>
        <v>4193.8</v>
      </c>
      <c r="K117" s="43">
        <f t="shared" si="20"/>
        <v>23366</v>
      </c>
      <c r="L117" s="252">
        <f t="shared" si="21"/>
        <v>457.2</v>
      </c>
      <c r="M117" s="26">
        <f>IFERROR(100/'Skjema total MA'!I117*K117,0)</f>
        <v>30.625038159159942</v>
      </c>
    </row>
    <row r="118" spans="1:14" ht="15.75" x14ac:dyDescent="0.2">
      <c r="A118" s="20" t="s">
        <v>387</v>
      </c>
      <c r="B118" s="232"/>
      <c r="C118" s="232"/>
      <c r="D118" s="165"/>
      <c r="E118" s="26"/>
      <c r="F118" s="232">
        <v>103965.6</v>
      </c>
      <c r="G118" s="232">
        <v>103963</v>
      </c>
      <c r="H118" s="165">
        <f t="shared" si="22"/>
        <v>0</v>
      </c>
      <c r="I118" s="26">
        <f>IFERROR(100/'Skjema total MA'!F118*G118,0)</f>
        <v>7.6540894584803532</v>
      </c>
      <c r="J118" s="285">
        <f t="shared" si="20"/>
        <v>103965.6</v>
      </c>
      <c r="K118" s="43">
        <f t="shared" si="20"/>
        <v>103963</v>
      </c>
      <c r="L118" s="252">
        <f t="shared" si="21"/>
        <v>0</v>
      </c>
      <c r="M118" s="26">
        <f>IFERROR(100/'Skjema total MA'!I118*K118,0)</f>
        <v>7.6540894584803532</v>
      </c>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v>81411</v>
      </c>
      <c r="C120" s="158">
        <v>50712</v>
      </c>
      <c r="D120" s="170">
        <f t="shared" si="19"/>
        <v>-37.700000000000003</v>
      </c>
      <c r="E120" s="11">
        <f>IFERROR(100/'Skjema total MA'!C120*C120,0)</f>
        <v>14.239146483326152</v>
      </c>
      <c r="F120" s="306">
        <v>1578477.4</v>
      </c>
      <c r="G120" s="158">
        <v>3864379</v>
      </c>
      <c r="H120" s="170">
        <f t="shared" si="22"/>
        <v>144.80000000000001</v>
      </c>
      <c r="I120" s="11">
        <f>IFERROR(100/'Skjema total MA'!F120*G120,0)</f>
        <v>11.438648045765191</v>
      </c>
      <c r="J120" s="307">
        <f t="shared" si="20"/>
        <v>1659888.4</v>
      </c>
      <c r="K120" s="234">
        <f t="shared" si="20"/>
        <v>3915091</v>
      </c>
      <c r="L120" s="425">
        <f t="shared" si="21"/>
        <v>135.9</v>
      </c>
      <c r="M120" s="11">
        <f>IFERROR(100/'Skjema total MA'!I120*K120,0)</f>
        <v>11.467862834120913</v>
      </c>
    </row>
    <row r="121" spans="1:14" x14ac:dyDescent="0.2">
      <c r="A121" s="20" t="s">
        <v>9</v>
      </c>
      <c r="B121" s="232">
        <v>81411</v>
      </c>
      <c r="C121" s="144">
        <v>50712</v>
      </c>
      <c r="D121" s="165">
        <f t="shared" si="19"/>
        <v>-37.700000000000003</v>
      </c>
      <c r="E121" s="26">
        <f>IFERROR(100/'Skjema total MA'!C121*C121,0)</f>
        <v>19.796898704442839</v>
      </c>
      <c r="F121" s="232"/>
      <c r="G121" s="144"/>
      <c r="H121" s="165"/>
      <c r="I121" s="26"/>
      <c r="J121" s="285">
        <f t="shared" si="20"/>
        <v>81411</v>
      </c>
      <c r="K121" s="43">
        <f t="shared" si="20"/>
        <v>50712</v>
      </c>
      <c r="L121" s="252">
        <f t="shared" si="21"/>
        <v>-37.700000000000003</v>
      </c>
      <c r="M121" s="26">
        <f>IFERROR(100/'Skjema total MA'!I121*K121,0)</f>
        <v>19.796898704442839</v>
      </c>
    </row>
    <row r="122" spans="1:14" x14ac:dyDescent="0.2">
      <c r="A122" s="20" t="s">
        <v>10</v>
      </c>
      <c r="B122" s="232"/>
      <c r="C122" s="144"/>
      <c r="D122" s="165"/>
      <c r="E122" s="26"/>
      <c r="F122" s="232">
        <v>1578477.4</v>
      </c>
      <c r="G122" s="144">
        <v>3864379</v>
      </c>
      <c r="H122" s="165">
        <f t="shared" si="22"/>
        <v>144.80000000000001</v>
      </c>
      <c r="I122" s="26">
        <f>IFERROR(100/'Skjema total MA'!F122*G122,0)</f>
        <v>11.438648045765191</v>
      </c>
      <c r="J122" s="285">
        <f t="shared" si="20"/>
        <v>1578477.4</v>
      </c>
      <c r="K122" s="43">
        <f t="shared" si="20"/>
        <v>3864379</v>
      </c>
      <c r="L122" s="252">
        <f t="shared" si="21"/>
        <v>144.80000000000001</v>
      </c>
      <c r="M122" s="26">
        <f>IFERROR(100/'Skjema total MA'!I122*K122,0)</f>
        <v>11.43640507376529</v>
      </c>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v>238957.4</v>
      </c>
      <c r="G126" s="232">
        <v>147129</v>
      </c>
      <c r="H126" s="165">
        <f t="shared" si="22"/>
        <v>-38.4</v>
      </c>
      <c r="I126" s="26">
        <f>IFERROR(100/'Skjema total MA'!F126*G126,0)</f>
        <v>1.3486950495901282</v>
      </c>
      <c r="J126" s="285">
        <f t="shared" si="20"/>
        <v>238957.4</v>
      </c>
      <c r="K126" s="43">
        <f t="shared" si="20"/>
        <v>147129</v>
      </c>
      <c r="L126" s="252">
        <f t="shared" si="21"/>
        <v>-38.4</v>
      </c>
      <c r="M126" s="26">
        <f>IFERROR(100/'Skjema total MA'!I126*K126,0)</f>
        <v>1.3484536508628431</v>
      </c>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717" priority="133">
      <formula>kvartal &lt; 4</formula>
    </cfRule>
  </conditionalFormatting>
  <conditionalFormatting sqref="B116">
    <cfRule type="expression" dxfId="716" priority="77">
      <formula>kvartal &lt; 4</formula>
    </cfRule>
  </conditionalFormatting>
  <conditionalFormatting sqref="C116">
    <cfRule type="expression" dxfId="715" priority="76">
      <formula>kvartal &lt; 4</formula>
    </cfRule>
  </conditionalFormatting>
  <conditionalFormatting sqref="B124">
    <cfRule type="expression" dxfId="714" priority="75">
      <formula>kvartal &lt; 4</formula>
    </cfRule>
  </conditionalFormatting>
  <conditionalFormatting sqref="C124">
    <cfRule type="expression" dxfId="713" priority="74">
      <formula>kvartal &lt; 4</formula>
    </cfRule>
  </conditionalFormatting>
  <conditionalFormatting sqref="F116">
    <cfRule type="expression" dxfId="712" priority="59">
      <formula>kvartal &lt; 4</formula>
    </cfRule>
  </conditionalFormatting>
  <conditionalFormatting sqref="G116">
    <cfRule type="expression" dxfId="711" priority="58">
      <formula>kvartal &lt; 4</formula>
    </cfRule>
  </conditionalFormatting>
  <conditionalFormatting sqref="F124:G124">
    <cfRule type="expression" dxfId="710" priority="57">
      <formula>kvartal &lt; 4</formula>
    </cfRule>
  </conditionalFormatting>
  <conditionalFormatting sqref="J116:K116">
    <cfRule type="expression" dxfId="709" priority="33">
      <formula>kvartal &lt; 4</formula>
    </cfRule>
  </conditionalFormatting>
  <conditionalFormatting sqref="J124:K124">
    <cfRule type="expression" dxfId="708" priority="32">
      <formula>kvartal &lt; 4</formula>
    </cfRule>
  </conditionalFormatting>
  <conditionalFormatting sqref="A50:A52">
    <cfRule type="expression" dxfId="707" priority="13">
      <formula>kvartal &lt; 4</formula>
    </cfRule>
  </conditionalFormatting>
  <conditionalFormatting sqref="A69:A74">
    <cfRule type="expression" dxfId="706" priority="11">
      <formula>kvartal &lt; 4</formula>
    </cfRule>
  </conditionalFormatting>
  <conditionalFormatting sqref="A80:A85">
    <cfRule type="expression" dxfId="705" priority="10">
      <formula>kvartal &lt; 4</formula>
    </cfRule>
  </conditionalFormatting>
  <conditionalFormatting sqref="A90:A95">
    <cfRule type="expression" dxfId="704" priority="7">
      <formula>kvartal &lt; 4</formula>
    </cfRule>
  </conditionalFormatting>
  <conditionalFormatting sqref="A102:A107">
    <cfRule type="expression" dxfId="703" priority="6">
      <formula>kvartal &lt; 4</formula>
    </cfRule>
  </conditionalFormatting>
  <conditionalFormatting sqref="A116">
    <cfRule type="expression" dxfId="702" priority="5">
      <formula>kvartal &lt; 4</formula>
    </cfRule>
  </conditionalFormatting>
  <conditionalFormatting sqref="A124">
    <cfRule type="expression" dxfId="701" priority="4">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90</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v>17560.796999999999</v>
      </c>
      <c r="C7" s="305">
        <v>17560.796999999999</v>
      </c>
      <c r="D7" s="348">
        <f>IF(B7=0, "    ---- ", IF(ABS(ROUND(100/B7*C7-100,1))&lt;999,ROUND(100/B7*C7-100,1),IF(ROUND(100/B7*C7-100,1)&gt;999,999,-999)))</f>
        <v>0</v>
      </c>
      <c r="E7" s="11">
        <f>IFERROR(100/'Skjema total MA'!C7*C7,0)</f>
        <v>0.63476457565457878</v>
      </c>
      <c r="F7" s="304"/>
      <c r="G7" s="305"/>
      <c r="H7" s="348"/>
      <c r="I7" s="159"/>
      <c r="J7" s="306">
        <f t="shared" ref="J7:K10" si="0">SUM(B7,F7)</f>
        <v>17560.796999999999</v>
      </c>
      <c r="K7" s="307">
        <f t="shared" si="0"/>
        <v>17560.796999999999</v>
      </c>
      <c r="L7" s="348">
        <f>IF(J7=0, "    ---- ", IF(ABS(ROUND(100/J7*K7-100,1))&lt;999,ROUND(100/J7*K7-100,1),IF(ROUND(100/J7*K7-100,1)&gt;999,999,-999)))</f>
        <v>0</v>
      </c>
      <c r="M7" s="11">
        <f>IFERROR(100/'Skjema total MA'!I7*K7,0)</f>
        <v>0.1670407157161089</v>
      </c>
    </row>
    <row r="8" spans="1:14" ht="15.75" x14ac:dyDescent="0.2">
      <c r="A8" s="20" t="s">
        <v>25</v>
      </c>
      <c r="B8" s="279">
        <v>10823.042281800001</v>
      </c>
      <c r="C8" s="280">
        <v>10723.1120161</v>
      </c>
      <c r="D8" s="165">
        <f t="shared" ref="D8:D10" si="1">IF(B8=0, "    ---- ", IF(ABS(ROUND(100/B8*C8-100,1))&lt;999,ROUND(100/B8*C8-100,1),IF(ROUND(100/B8*C8-100,1)&gt;999,999,-999)))</f>
        <v>-0.9</v>
      </c>
      <c r="E8" s="26">
        <f>IFERROR(100/'Skjema total MA'!C8*C8,0)</f>
        <v>0.59230927063154082</v>
      </c>
      <c r="F8" s="283"/>
      <c r="G8" s="284"/>
      <c r="H8" s="165"/>
      <c r="I8" s="174"/>
      <c r="J8" s="232">
        <f t="shared" si="0"/>
        <v>10823.042281800001</v>
      </c>
      <c r="K8" s="285">
        <f t="shared" si="0"/>
        <v>10723.1120161</v>
      </c>
      <c r="L8" s="165">
        <f t="shared" ref="L8:L9" si="2">IF(J8=0, "    ---- ", IF(ABS(ROUND(100/J8*K8-100,1))&lt;999,ROUND(100/J8*K8-100,1),IF(ROUND(100/J8*K8-100,1)&gt;999,999,-999)))</f>
        <v>-0.9</v>
      </c>
      <c r="M8" s="26">
        <f>IFERROR(100/'Skjema total MA'!I8*K8,0)</f>
        <v>0.59230927063154082</v>
      </c>
    </row>
    <row r="9" spans="1:14" ht="15.75" x14ac:dyDescent="0.2">
      <c r="A9" s="20" t="s">
        <v>24</v>
      </c>
      <c r="B9" s="279">
        <v>6483.2837105999997</v>
      </c>
      <c r="C9" s="280">
        <v>6434.7464136999997</v>
      </c>
      <c r="D9" s="165">
        <f t="shared" si="1"/>
        <v>-0.7</v>
      </c>
      <c r="E9" s="26">
        <f>IFERROR(100/'Skjema total MA'!C9*C9,0)</f>
        <v>1.0895268784602035</v>
      </c>
      <c r="F9" s="283"/>
      <c r="G9" s="284"/>
      <c r="H9" s="165"/>
      <c r="I9" s="174"/>
      <c r="J9" s="232">
        <f t="shared" si="0"/>
        <v>6483.2837105999997</v>
      </c>
      <c r="K9" s="285">
        <f t="shared" si="0"/>
        <v>6434.7464136999997</v>
      </c>
      <c r="L9" s="165">
        <f t="shared" si="2"/>
        <v>-0.7</v>
      </c>
      <c r="M9" s="26">
        <f>IFERROR(100/'Skjema total MA'!I9*K9,0)</f>
        <v>1.0895268784602035</v>
      </c>
    </row>
    <row r="10" spans="1:14" ht="15.75" x14ac:dyDescent="0.2">
      <c r="A10" s="13" t="s">
        <v>364</v>
      </c>
      <c r="B10" s="308">
        <v>22992.677187740701</v>
      </c>
      <c r="C10" s="309">
        <v>18796.744812458899</v>
      </c>
      <c r="D10" s="170">
        <f t="shared" si="1"/>
        <v>-18.2</v>
      </c>
      <c r="E10" s="11">
        <f>IFERROR(100/'Skjema total MA'!C10*C10,0)</f>
        <v>0.10785653761884281</v>
      </c>
      <c r="F10" s="308"/>
      <c r="G10" s="309"/>
      <c r="H10" s="170"/>
      <c r="I10" s="159"/>
      <c r="J10" s="306">
        <f t="shared" si="0"/>
        <v>22992.677187740701</v>
      </c>
      <c r="K10" s="307">
        <f t="shared" si="0"/>
        <v>18796.744812458899</v>
      </c>
      <c r="L10" s="425">
        <f t="shared" ref="L10" si="3">IF(J10=0, "    ---- ", IF(ABS(ROUND(100/J10*K10-100,1))&lt;999,ROUND(100/J10*K10-100,1),IF(ROUND(100/J10*K10-100,1)&gt;999,999,-999)))</f>
        <v>-18.2</v>
      </c>
      <c r="M10" s="11">
        <f>IFERROR(100/'Skjema total MA'!I10*K10,0)</f>
        <v>2.1444984180664598E-2</v>
      </c>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v>83.232900000000001</v>
      </c>
      <c r="C22" s="308">
        <v>83.232900000000001</v>
      </c>
      <c r="D22" s="348">
        <f t="shared" ref="D22:D31" si="4">IF(B22=0, "    ---- ", IF(ABS(ROUND(100/B22*C22-100,1))&lt;999,ROUND(100/B22*C22-100,1),IF(ROUND(100/B22*C22-100,1)&gt;999,999,-999)))</f>
        <v>0</v>
      </c>
      <c r="E22" s="11">
        <f>IFERROR(100/'Skjema total MA'!C22*C22,0)</f>
        <v>7.4264309110809064E-3</v>
      </c>
      <c r="F22" s="316"/>
      <c r="G22" s="316"/>
      <c r="H22" s="348"/>
      <c r="I22" s="11"/>
      <c r="J22" s="314">
        <f t="shared" ref="J22:K29" si="5">SUM(B22,F22)</f>
        <v>83.232900000000001</v>
      </c>
      <c r="K22" s="314">
        <f t="shared" si="5"/>
        <v>83.232900000000001</v>
      </c>
      <c r="L22" s="424">
        <f t="shared" ref="L22:L31" si="6">IF(J22=0, "    ---- ", IF(ABS(ROUND(100/J22*K22-100,1))&lt;999,ROUND(100/J22*K22-100,1),IF(ROUND(100/J22*K22-100,1)&gt;999,999,-999)))</f>
        <v>0</v>
      </c>
      <c r="M22" s="23">
        <f>IFERROR(100/'Skjema total MA'!I22*K22,0)</f>
        <v>4.3299853890237782E-3</v>
      </c>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v>83.232900000000001</v>
      </c>
      <c r="C24" s="279">
        <v>83.232900000000001</v>
      </c>
      <c r="D24" s="165">
        <f t="shared" si="4"/>
        <v>0</v>
      </c>
      <c r="E24" s="11">
        <f>IFERROR(100/'Skjema total MA'!C24*C24,0)</f>
        <v>0.60128133641666104</v>
      </c>
      <c r="F24" s="288"/>
      <c r="G24" s="288"/>
      <c r="H24" s="165"/>
      <c r="I24" s="414"/>
      <c r="J24" s="288">
        <f t="shared" ref="J24" si="7">SUM(B24,F24)</f>
        <v>83.232900000000001</v>
      </c>
      <c r="K24" s="288">
        <f t="shared" ref="K24" si="8">SUM(C24,G24)</f>
        <v>83.232900000000001</v>
      </c>
      <c r="L24" s="165">
        <f t="shared" si="6"/>
        <v>0</v>
      </c>
      <c r="M24" s="22">
        <f>IFERROR(100/'Skjema total MA'!I24*K24,0)</f>
        <v>0.59889256143276637</v>
      </c>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v>83.232900000000001</v>
      </c>
      <c r="C28" s="285">
        <v>83.232900000000001</v>
      </c>
      <c r="D28" s="165">
        <f t="shared" si="4"/>
        <v>0</v>
      </c>
      <c r="E28" s="11">
        <f>IFERROR(100/'Skjema total MA'!C28*C28,0)</f>
        <v>6.8191609837794202E-3</v>
      </c>
      <c r="F28" s="232"/>
      <c r="G28" s="285"/>
      <c r="H28" s="165"/>
      <c r="I28" s="26"/>
      <c r="J28" s="43">
        <f t="shared" si="5"/>
        <v>83.232900000000001</v>
      </c>
      <c r="K28" s="43">
        <f t="shared" si="5"/>
        <v>83.232900000000001</v>
      </c>
      <c r="L28" s="252">
        <f t="shared" si="6"/>
        <v>0</v>
      </c>
      <c r="M28" s="22">
        <f>IFERROR(100/'Skjema total MA'!I28*K28,0)</f>
        <v>6.8191609837794202E-3</v>
      </c>
    </row>
    <row r="29" spans="1:14" s="3" customFormat="1" ht="15.75" x14ac:dyDescent="0.2">
      <c r="A29" s="13" t="s">
        <v>364</v>
      </c>
      <c r="B29" s="234">
        <v>1715.09553781818</v>
      </c>
      <c r="C29" s="234">
        <v>1624.6421352918201</v>
      </c>
      <c r="D29" s="170">
        <f t="shared" si="4"/>
        <v>-5.3</v>
      </c>
      <c r="E29" s="11">
        <f>IFERROR(100/'Skjema total MA'!C29*C29,0)</f>
        <v>3.5668193647633165E-3</v>
      </c>
      <c r="F29" s="306"/>
      <c r="G29" s="306"/>
      <c r="H29" s="170"/>
      <c r="I29" s="11"/>
      <c r="J29" s="234">
        <f t="shared" si="5"/>
        <v>1715.09553781818</v>
      </c>
      <c r="K29" s="234">
        <f t="shared" si="5"/>
        <v>1624.6421352918201</v>
      </c>
      <c r="L29" s="425">
        <f t="shared" si="6"/>
        <v>-5.3</v>
      </c>
      <c r="M29" s="23">
        <f>IFERROR(100/'Skjema total MA'!I29*K29,0)</f>
        <v>2.2806926838166734E-3</v>
      </c>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v>1715.09553781818</v>
      </c>
      <c r="C31" s="279">
        <v>1624.6421352918201</v>
      </c>
      <c r="D31" s="165">
        <f t="shared" si="4"/>
        <v>-5.3</v>
      </c>
      <c r="E31" s="11">
        <f>IFERROR(100/'Skjema total MA'!C31*C31,0)</f>
        <v>7.0922576099705231E-3</v>
      </c>
      <c r="F31" s="288"/>
      <c r="G31" s="288"/>
      <c r="H31" s="165"/>
      <c r="I31" s="414"/>
      <c r="J31" s="288">
        <f t="shared" ref="J31" si="9">SUM(B31,F31)</f>
        <v>1715.09553781818</v>
      </c>
      <c r="K31" s="288">
        <f t="shared" ref="K31" si="10">SUM(C31,G31)</f>
        <v>1624.6421352918201</v>
      </c>
      <c r="L31" s="165">
        <f t="shared" si="6"/>
        <v>-5.3</v>
      </c>
      <c r="M31" s="22">
        <f>IFERROR(100/'Skjema total MA'!I31*K31,0)</f>
        <v>4.9852617338753125E-3</v>
      </c>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c r="C47" s="309"/>
      <c r="D47" s="424"/>
      <c r="E47" s="11"/>
      <c r="F47" s="144"/>
      <c r="G47" s="32"/>
      <c r="H47" s="158"/>
      <c r="I47" s="158"/>
      <c r="J47" s="36"/>
      <c r="K47" s="36"/>
      <c r="L47" s="158"/>
      <c r="M47" s="158"/>
      <c r="N47" s="147"/>
    </row>
    <row r="48" spans="1:14" s="3" customFormat="1" ht="15.75" x14ac:dyDescent="0.2">
      <c r="A48" s="37" t="s">
        <v>375</v>
      </c>
      <c r="B48" s="279"/>
      <c r="C48" s="280"/>
      <c r="D48" s="252"/>
      <c r="E48" s="26"/>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700" priority="132">
      <formula>kvartal &lt; 4</formula>
    </cfRule>
  </conditionalFormatting>
  <conditionalFormatting sqref="B116">
    <cfRule type="expression" dxfId="699" priority="76">
      <formula>kvartal &lt; 4</formula>
    </cfRule>
  </conditionalFormatting>
  <conditionalFormatting sqref="C116">
    <cfRule type="expression" dxfId="698" priority="75">
      <formula>kvartal &lt; 4</formula>
    </cfRule>
  </conditionalFormatting>
  <conditionalFormatting sqref="B124">
    <cfRule type="expression" dxfId="697" priority="74">
      <formula>kvartal &lt; 4</formula>
    </cfRule>
  </conditionalFormatting>
  <conditionalFormatting sqref="C124">
    <cfRule type="expression" dxfId="696" priority="73">
      <formula>kvartal &lt; 4</formula>
    </cfRule>
  </conditionalFormatting>
  <conditionalFormatting sqref="F116">
    <cfRule type="expression" dxfId="695" priority="58">
      <formula>kvartal &lt; 4</formula>
    </cfRule>
  </conditionalFormatting>
  <conditionalFormatting sqref="G116">
    <cfRule type="expression" dxfId="694" priority="57">
      <formula>kvartal &lt; 4</formula>
    </cfRule>
  </conditionalFormatting>
  <conditionalFormatting sqref="F124:G124">
    <cfRule type="expression" dxfId="693" priority="56">
      <formula>kvartal &lt; 4</formula>
    </cfRule>
  </conditionalFormatting>
  <conditionalFormatting sqref="J116:K116">
    <cfRule type="expression" dxfId="692" priority="32">
      <formula>kvartal &lt; 4</formula>
    </cfRule>
  </conditionalFormatting>
  <conditionalFormatting sqref="J124:K124">
    <cfRule type="expression" dxfId="691" priority="31">
      <formula>kvartal &lt; 4</formula>
    </cfRule>
  </conditionalFormatting>
  <conditionalFormatting sqref="A50:A52">
    <cfRule type="expression" dxfId="690" priority="12">
      <formula>kvartal &lt; 4</formula>
    </cfRule>
  </conditionalFormatting>
  <conditionalFormatting sqref="A69:A74">
    <cfRule type="expression" dxfId="689" priority="10">
      <formula>kvartal &lt; 4</formula>
    </cfRule>
  </conditionalFormatting>
  <conditionalFormatting sqref="A80:A85">
    <cfRule type="expression" dxfId="688" priority="9">
      <formula>kvartal &lt; 4</formula>
    </cfRule>
  </conditionalFormatting>
  <conditionalFormatting sqref="A90:A95">
    <cfRule type="expression" dxfId="687" priority="6">
      <formula>kvartal &lt; 4</formula>
    </cfRule>
  </conditionalFormatting>
  <conditionalFormatting sqref="A102:A107">
    <cfRule type="expression" dxfId="686" priority="5">
      <formula>kvartal &lt; 4</formula>
    </cfRule>
  </conditionalFormatting>
  <conditionalFormatting sqref="A116">
    <cfRule type="expression" dxfId="685" priority="4">
      <formula>kvartal &lt; 4</formula>
    </cfRule>
  </conditionalFormatting>
  <conditionalFormatting sqref="A124">
    <cfRule type="expression" dxfId="684" priority="3">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A3" sqref="A3"/>
    </sheetView>
  </sheetViews>
  <sheetFormatPr baseColWidth="10" defaultColWidth="11.42578125" defaultRowHeight="25.5" x14ac:dyDescent="0.35"/>
  <cols>
    <col min="1" max="1" width="11.42578125" style="66"/>
    <col min="2" max="2" width="25" style="66" customWidth="1"/>
    <col min="3" max="3" width="141.7109375" style="66" customWidth="1"/>
    <col min="4" max="16384" width="11.42578125" style="66"/>
  </cols>
  <sheetData>
    <row r="1" spans="1:14" ht="20.100000000000001" customHeight="1" x14ac:dyDescent="0.35">
      <c r="C1" s="67"/>
      <c r="D1" s="68"/>
      <c r="E1" s="68"/>
      <c r="F1" s="68"/>
      <c r="G1" s="68"/>
      <c r="H1" s="68"/>
      <c r="I1" s="68"/>
      <c r="J1" s="68"/>
      <c r="K1" s="68"/>
      <c r="L1" s="68"/>
      <c r="M1" s="68"/>
      <c r="N1" s="68"/>
    </row>
    <row r="2" spans="1:14" ht="20.100000000000001" customHeight="1" x14ac:dyDescent="0.35">
      <c r="C2" s="273" t="s">
        <v>31</v>
      </c>
      <c r="D2" s="68"/>
      <c r="E2" s="68"/>
      <c r="F2" s="68"/>
      <c r="G2" s="68"/>
      <c r="H2" s="68"/>
      <c r="I2" s="68"/>
      <c r="J2" s="68"/>
      <c r="K2" s="68"/>
      <c r="L2" s="68"/>
      <c r="M2" s="68"/>
      <c r="N2" s="68"/>
    </row>
    <row r="3" spans="1:14" ht="20.100000000000001" customHeight="1" x14ac:dyDescent="0.35">
      <c r="C3" s="69"/>
      <c r="D3" s="68"/>
      <c r="E3" s="68"/>
      <c r="F3" s="68"/>
      <c r="G3" s="68"/>
      <c r="H3" s="68"/>
      <c r="I3" s="68"/>
      <c r="J3" s="68"/>
      <c r="K3" s="68"/>
      <c r="L3" s="68"/>
      <c r="M3" s="68"/>
      <c r="N3" s="68"/>
    </row>
    <row r="4" spans="1:14" ht="20.100000000000001" customHeight="1" x14ac:dyDescent="0.35">
      <c r="C4" s="69"/>
      <c r="D4" s="68"/>
      <c r="E4" s="68"/>
      <c r="F4" s="68"/>
      <c r="G4" s="68"/>
      <c r="H4" s="68"/>
      <c r="I4" s="68"/>
      <c r="J4" s="68"/>
      <c r="K4" s="68"/>
      <c r="L4" s="68"/>
      <c r="M4" s="68"/>
      <c r="N4" s="68"/>
    </row>
    <row r="5" spans="1:14" ht="20.100000000000001" customHeight="1" x14ac:dyDescent="0.35">
      <c r="A5" s="69"/>
      <c r="B5" s="69"/>
      <c r="C5" s="69"/>
      <c r="D5" s="68"/>
      <c r="E5" s="68"/>
      <c r="F5" s="68"/>
      <c r="G5" s="68"/>
      <c r="H5" s="68"/>
      <c r="I5" s="68"/>
      <c r="J5" s="68"/>
      <c r="K5" s="68"/>
      <c r="L5" s="68"/>
      <c r="M5" s="68"/>
      <c r="N5" s="68"/>
    </row>
    <row r="6" spans="1:14" ht="20.100000000000001" customHeight="1" x14ac:dyDescent="0.35">
      <c r="A6" s="70" t="s">
        <v>32</v>
      </c>
      <c r="B6" s="70"/>
      <c r="C6" s="69"/>
      <c r="D6" s="68"/>
      <c r="E6" s="68"/>
      <c r="F6" s="68"/>
      <c r="G6" s="68"/>
      <c r="H6" s="68"/>
      <c r="I6" s="68"/>
      <c r="J6" s="68"/>
      <c r="K6" s="68"/>
      <c r="L6" s="68"/>
      <c r="M6" s="68"/>
      <c r="N6" s="68"/>
    </row>
    <row r="7" spans="1:14" ht="20.100000000000001" customHeight="1" x14ac:dyDescent="0.35">
      <c r="A7" s="69"/>
      <c r="B7" s="69" t="s">
        <v>33</v>
      </c>
      <c r="C7" s="69" t="s">
        <v>34</v>
      </c>
      <c r="D7" s="68"/>
      <c r="E7" s="68"/>
      <c r="F7" s="68"/>
      <c r="G7" s="68"/>
      <c r="H7" s="68"/>
      <c r="I7" s="68"/>
      <c r="J7" s="68"/>
      <c r="K7" s="68"/>
      <c r="L7" s="68"/>
      <c r="M7" s="68"/>
      <c r="N7" s="68"/>
    </row>
    <row r="8" spans="1:14" ht="20.100000000000001" customHeight="1" x14ac:dyDescent="0.35">
      <c r="A8" s="69"/>
      <c r="B8" s="69" t="s">
        <v>35</v>
      </c>
      <c r="C8" s="69" t="s">
        <v>36</v>
      </c>
      <c r="D8" s="68"/>
      <c r="E8" s="68"/>
      <c r="F8" s="68"/>
      <c r="G8" s="68"/>
      <c r="H8" s="68"/>
      <c r="I8" s="68"/>
      <c r="J8" s="68"/>
      <c r="K8" s="68"/>
      <c r="L8" s="68"/>
      <c r="M8" s="68"/>
      <c r="N8" s="68"/>
    </row>
    <row r="9" spans="1:14" ht="20.100000000000001" customHeight="1" x14ac:dyDescent="0.35">
      <c r="A9" s="69"/>
      <c r="B9" s="69" t="s">
        <v>37</v>
      </c>
      <c r="C9" s="69" t="s">
        <v>40</v>
      </c>
      <c r="D9" s="68"/>
      <c r="E9" s="68"/>
      <c r="F9" s="68"/>
      <c r="G9" s="68"/>
      <c r="H9" s="68"/>
      <c r="I9" s="68"/>
      <c r="J9" s="68"/>
      <c r="K9" s="68"/>
      <c r="L9" s="68"/>
      <c r="M9" s="68"/>
      <c r="N9" s="68"/>
    </row>
    <row r="10" spans="1:14" ht="20.100000000000001" customHeight="1" x14ac:dyDescent="0.35">
      <c r="A10" s="69"/>
      <c r="B10" s="69" t="s">
        <v>38</v>
      </c>
      <c r="C10" s="69" t="s">
        <v>42</v>
      </c>
      <c r="D10" s="68"/>
      <c r="E10" s="68"/>
      <c r="F10" s="68"/>
      <c r="G10" s="68"/>
      <c r="H10" s="68"/>
      <c r="I10" s="68"/>
      <c r="J10" s="68"/>
      <c r="K10" s="68"/>
      <c r="L10" s="68"/>
      <c r="M10" s="68"/>
      <c r="N10" s="68"/>
    </row>
    <row r="11" spans="1:14" ht="20.100000000000001" customHeight="1" x14ac:dyDescent="0.35">
      <c r="A11" s="69"/>
      <c r="B11" s="69" t="s">
        <v>39</v>
      </c>
      <c r="C11" s="69" t="s">
        <v>43</v>
      </c>
      <c r="D11" s="68"/>
      <c r="E11" s="68"/>
      <c r="F11" s="68"/>
      <c r="G11" s="68"/>
      <c r="H11" s="68"/>
      <c r="I11" s="68"/>
      <c r="J11" s="68"/>
      <c r="K11" s="68"/>
      <c r="L11" s="68"/>
      <c r="M11" s="68"/>
      <c r="N11" s="68"/>
    </row>
    <row r="12" spans="1:14" ht="20.100000000000001" customHeight="1" x14ac:dyDescent="0.35">
      <c r="A12" s="69"/>
      <c r="B12" s="69" t="s">
        <v>41</v>
      </c>
      <c r="C12" s="69" t="s">
        <v>44</v>
      </c>
      <c r="D12" s="68"/>
      <c r="E12" s="68"/>
      <c r="F12" s="68"/>
      <c r="G12" s="68"/>
      <c r="H12" s="68"/>
      <c r="I12" s="68"/>
      <c r="J12" s="68"/>
      <c r="K12" s="68"/>
      <c r="L12" s="68"/>
      <c r="M12" s="68"/>
      <c r="N12" s="68"/>
    </row>
    <row r="13" spans="1:14" ht="18.75" customHeight="1" x14ac:dyDescent="0.35">
      <c r="A13" s="69"/>
      <c r="B13" s="69"/>
      <c r="C13" s="69"/>
      <c r="D13" s="68"/>
      <c r="E13" s="68"/>
      <c r="F13" s="68"/>
      <c r="G13" s="68"/>
      <c r="H13" s="68"/>
      <c r="I13" s="68"/>
      <c r="J13" s="68"/>
      <c r="K13" s="68"/>
      <c r="L13" s="68"/>
      <c r="M13" s="68"/>
      <c r="N13" s="68"/>
    </row>
    <row r="14" spans="1:14" ht="20.100000000000001" customHeight="1" x14ac:dyDescent="0.35">
      <c r="A14" s="272" t="s">
        <v>45</v>
      </c>
      <c r="B14" s="70"/>
      <c r="C14" s="69"/>
      <c r="D14" s="68"/>
      <c r="E14" s="68"/>
      <c r="F14" s="68"/>
      <c r="G14" s="68"/>
      <c r="H14" s="68"/>
      <c r="I14" s="68"/>
      <c r="J14" s="68"/>
      <c r="K14" s="68"/>
      <c r="L14" s="68"/>
      <c r="M14" s="68"/>
      <c r="N14" s="68"/>
    </row>
    <row r="15" spans="1:14" ht="20.100000000000001" customHeight="1" x14ac:dyDescent="0.35">
      <c r="A15" s="69"/>
      <c r="B15" s="69" t="s">
        <v>46</v>
      </c>
      <c r="C15" s="69"/>
      <c r="D15" s="68"/>
      <c r="E15" s="68"/>
      <c r="F15" s="68"/>
      <c r="G15" s="68"/>
      <c r="H15" s="68"/>
      <c r="I15" s="68"/>
      <c r="J15" s="68"/>
      <c r="K15" s="68"/>
      <c r="L15" s="68"/>
      <c r="M15" s="68"/>
      <c r="N15" s="68"/>
    </row>
    <row r="16" spans="1:14" ht="20.100000000000001" customHeight="1" x14ac:dyDescent="0.35">
      <c r="A16" s="69"/>
      <c r="B16" s="70" t="s">
        <v>47</v>
      </c>
      <c r="C16" s="69" t="s">
        <v>48</v>
      </c>
      <c r="D16" s="68"/>
      <c r="E16" s="68"/>
      <c r="F16" s="68"/>
      <c r="G16" s="68"/>
      <c r="H16" s="68"/>
      <c r="I16" s="68"/>
      <c r="J16" s="68"/>
      <c r="K16" s="68"/>
      <c r="L16" s="68"/>
      <c r="M16" s="68"/>
      <c r="N16" s="68"/>
    </row>
    <row r="17" spans="1:14" ht="20.100000000000001" customHeight="1" x14ac:dyDescent="0.35">
      <c r="A17" s="69"/>
      <c r="B17" s="70" t="s">
        <v>49</v>
      </c>
      <c r="C17" s="69" t="s">
        <v>50</v>
      </c>
      <c r="D17" s="68"/>
      <c r="E17" s="68"/>
      <c r="F17" s="68"/>
      <c r="G17" s="68"/>
      <c r="H17" s="68"/>
      <c r="I17" s="68"/>
      <c r="J17" s="68"/>
      <c r="K17" s="68"/>
      <c r="L17" s="68"/>
      <c r="M17" s="68"/>
      <c r="N17" s="68"/>
    </row>
    <row r="18" spans="1:14" ht="20.100000000000001" customHeight="1" x14ac:dyDescent="0.35">
      <c r="A18" s="69"/>
      <c r="B18" s="70" t="s">
        <v>340</v>
      </c>
      <c r="C18" s="69" t="s">
        <v>341</v>
      </c>
      <c r="D18" s="68"/>
      <c r="E18" s="68"/>
      <c r="F18" s="68"/>
      <c r="G18" s="68"/>
      <c r="H18" s="68"/>
      <c r="I18" s="68"/>
      <c r="J18" s="68"/>
      <c r="K18" s="68"/>
      <c r="L18" s="68"/>
      <c r="M18" s="68"/>
      <c r="N18" s="68"/>
    </row>
    <row r="19" spans="1:14" ht="20.100000000000001" customHeight="1" x14ac:dyDescent="0.35">
      <c r="A19" s="69"/>
      <c r="B19" s="69" t="s">
        <v>342</v>
      </c>
      <c r="C19" s="69" t="s">
        <v>270</v>
      </c>
      <c r="D19" s="68"/>
      <c r="E19" s="68"/>
      <c r="F19" s="68"/>
      <c r="G19" s="68"/>
      <c r="H19" s="68"/>
      <c r="I19" s="68"/>
      <c r="J19" s="68"/>
      <c r="K19" s="68"/>
      <c r="L19" s="68"/>
      <c r="M19" s="68"/>
      <c r="N19" s="68"/>
    </row>
    <row r="20" spans="1:14" s="346" customFormat="1" ht="20.100000000000001" customHeight="1" x14ac:dyDescent="0.35">
      <c r="A20" s="344"/>
      <c r="B20" s="344" t="s">
        <v>344</v>
      </c>
      <c r="C20" s="344" t="s">
        <v>343</v>
      </c>
      <c r="D20" s="345"/>
      <c r="E20" s="345"/>
      <c r="F20" s="345"/>
      <c r="G20" s="345"/>
      <c r="H20" s="345"/>
      <c r="I20" s="345"/>
      <c r="J20" s="345"/>
      <c r="K20" s="345"/>
      <c r="L20" s="345"/>
      <c r="M20" s="345"/>
      <c r="N20" s="345"/>
    </row>
    <row r="21" spans="1:14" ht="20.100000000000001" customHeight="1" x14ac:dyDescent="0.35">
      <c r="A21" s="69"/>
      <c r="B21" s="69"/>
      <c r="C21" s="69"/>
    </row>
    <row r="22" spans="1:14" ht="18.75" customHeight="1" x14ac:dyDescent="0.35">
      <c r="A22" s="69"/>
      <c r="B22" s="344" t="s">
        <v>254</v>
      </c>
      <c r="C22" s="344"/>
    </row>
    <row r="23" spans="1:14" ht="20.100000000000001" customHeight="1" x14ac:dyDescent="0.35">
      <c r="A23" s="69"/>
      <c r="B23" s="347" t="s">
        <v>255</v>
      </c>
      <c r="C23" s="344" t="s">
        <v>256</v>
      </c>
    </row>
    <row r="24" spans="1:14" ht="20.100000000000001" hidden="1" customHeight="1" x14ac:dyDescent="0.35">
      <c r="A24" s="69"/>
      <c r="B24" s="347" t="s">
        <v>257</v>
      </c>
      <c r="C24" s="344" t="s">
        <v>258</v>
      </c>
    </row>
    <row r="25" spans="1:14" ht="20.100000000000001" hidden="1" customHeight="1" x14ac:dyDescent="0.35">
      <c r="A25" s="69"/>
      <c r="B25" s="347" t="s">
        <v>259</v>
      </c>
      <c r="C25" s="344" t="s">
        <v>260</v>
      </c>
    </row>
    <row r="26" spans="1:14" ht="20.100000000000001" hidden="1" customHeight="1" x14ac:dyDescent="0.35">
      <c r="A26" s="69"/>
      <c r="B26" s="347" t="s">
        <v>261</v>
      </c>
      <c r="C26" s="344" t="s">
        <v>262</v>
      </c>
    </row>
    <row r="27" spans="1:14" ht="20.100000000000001" customHeight="1" x14ac:dyDescent="0.35">
      <c r="A27" s="69"/>
      <c r="B27" s="347" t="s">
        <v>173</v>
      </c>
      <c r="C27" s="344" t="s">
        <v>263</v>
      </c>
    </row>
    <row r="28" spans="1:14" ht="20.100000000000001" hidden="1" customHeight="1" x14ac:dyDescent="0.35">
      <c r="A28" s="69"/>
      <c r="B28" s="341" t="s">
        <v>264</v>
      </c>
      <c r="C28" s="271" t="s">
        <v>265</v>
      </c>
    </row>
    <row r="29" spans="1:14" ht="20.100000000000001" hidden="1" customHeight="1" x14ac:dyDescent="0.35">
      <c r="A29" s="69"/>
      <c r="B29" s="341" t="s">
        <v>266</v>
      </c>
      <c r="C29" s="271" t="s">
        <v>267</v>
      </c>
    </row>
    <row r="30" spans="1:14" ht="18.75" customHeight="1" x14ac:dyDescent="0.35">
      <c r="A30" s="69"/>
      <c r="B30" s="347" t="s">
        <v>268</v>
      </c>
      <c r="C30" s="344" t="s">
        <v>269</v>
      </c>
    </row>
    <row r="31" spans="1:14" ht="18.75" customHeight="1" x14ac:dyDescent="0.35">
      <c r="A31" s="69"/>
      <c r="B31" s="347"/>
      <c r="C31" s="344"/>
    </row>
    <row r="32" spans="1:14" ht="20.100000000000001" customHeight="1" x14ac:dyDescent="0.35">
      <c r="A32" s="69"/>
      <c r="B32" s="69"/>
      <c r="C32" s="69"/>
    </row>
    <row r="33" spans="1:14" x14ac:dyDescent="0.35">
      <c r="A33" s="70" t="s">
        <v>51</v>
      </c>
      <c r="B33" s="69"/>
      <c r="C33" s="69"/>
    </row>
    <row r="34" spans="1:14" ht="26.25" hidden="1" customHeight="1" x14ac:dyDescent="0.4">
      <c r="C34" s="71"/>
    </row>
    <row r="35" spans="1:14" ht="26.25" hidden="1" customHeight="1" x14ac:dyDescent="0.4">
      <c r="C35" s="71"/>
    </row>
    <row r="36" spans="1:14" ht="18.75" customHeight="1" x14ac:dyDescent="0.4">
      <c r="C36" s="342"/>
      <c r="D36" s="343"/>
    </row>
    <row r="37" spans="1:14" ht="26.25" x14ac:dyDescent="0.4">
      <c r="C37" s="71"/>
    </row>
    <row r="38" spans="1:14" ht="26.25" x14ac:dyDescent="0.4">
      <c r="C38" s="71"/>
    </row>
    <row r="39" spans="1:14" ht="26.25" x14ac:dyDescent="0.4">
      <c r="C39" s="342"/>
      <c r="D39" s="346"/>
      <c r="E39" s="346"/>
      <c r="F39" s="346"/>
      <c r="G39" s="346"/>
      <c r="H39" s="346"/>
      <c r="I39" s="346"/>
      <c r="J39" s="346"/>
      <c r="K39" s="346"/>
      <c r="L39" s="346"/>
      <c r="M39" s="346"/>
      <c r="N39" s="346"/>
    </row>
    <row r="40" spans="1:14" ht="26.25" x14ac:dyDescent="0.4">
      <c r="C40" s="71"/>
    </row>
    <row r="41" spans="1:14" ht="26.25" x14ac:dyDescent="0.4">
      <c r="C41" s="71"/>
    </row>
    <row r="42" spans="1:14" ht="26.25" x14ac:dyDescent="0.4">
      <c r="C42" s="71"/>
    </row>
    <row r="43" spans="1:14" ht="26.25" x14ac:dyDescent="0.4">
      <c r="C43" s="71"/>
    </row>
    <row r="44" spans="1:14" ht="26.25" x14ac:dyDescent="0.4">
      <c r="C44" s="71"/>
    </row>
    <row r="45" spans="1:14" ht="26.25" x14ac:dyDescent="0.4">
      <c r="C45" s="71"/>
    </row>
    <row r="46" spans="1:14" ht="26.25" x14ac:dyDescent="0.4">
      <c r="C46" s="71"/>
    </row>
    <row r="47" spans="1:14" ht="26.25" x14ac:dyDescent="0.4">
      <c r="C47" s="71"/>
    </row>
    <row r="48" spans="1:14" ht="26.25" x14ac:dyDescent="0.4">
      <c r="C48" s="71"/>
    </row>
    <row r="49" spans="3:3" ht="26.25" x14ac:dyDescent="0.4">
      <c r="C49" s="71"/>
    </row>
    <row r="50" spans="3:3" ht="26.25" x14ac:dyDescent="0.4">
      <c r="C50" s="71"/>
    </row>
    <row r="51" spans="3:3" ht="26.25" x14ac:dyDescent="0.4">
      <c r="C51" s="71"/>
    </row>
    <row r="52" spans="3:3" ht="26.25" x14ac:dyDescent="0.4">
      <c r="C52" s="71"/>
    </row>
    <row r="53" spans="3:3" ht="26.25" x14ac:dyDescent="0.4">
      <c r="C53" s="71"/>
    </row>
    <row r="54" spans="3:3" ht="26.25" x14ac:dyDescent="0.4">
      <c r="C54" s="71"/>
    </row>
    <row r="55" spans="3:3" ht="26.25" x14ac:dyDescent="0.4">
      <c r="C55" s="71"/>
    </row>
    <row r="56" spans="3:3" ht="26.25" x14ac:dyDescent="0.4">
      <c r="C56" s="71"/>
    </row>
    <row r="57" spans="3:3" ht="26.25" x14ac:dyDescent="0.4">
      <c r="C57" s="71"/>
    </row>
    <row r="58" spans="3:3" ht="26.25" x14ac:dyDescent="0.4">
      <c r="C58" s="71"/>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129</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v>198251.223</v>
      </c>
      <c r="C7" s="305">
        <v>212665.79478698201</v>
      </c>
      <c r="D7" s="348">
        <f>IF(B7=0, "    ---- ", IF(ABS(ROUND(100/B7*C7-100,1))&lt;999,ROUND(100/B7*C7-100,1),IF(ROUND(100/B7*C7-100,1)&gt;999,999,-999)))</f>
        <v>7.3</v>
      </c>
      <c r="E7" s="11">
        <f>IFERROR(100/'Skjema total MA'!C7*C7,0)</f>
        <v>7.6871632297897623</v>
      </c>
      <c r="F7" s="304"/>
      <c r="G7" s="305"/>
      <c r="H7" s="348"/>
      <c r="I7" s="159"/>
      <c r="J7" s="306">
        <f t="shared" ref="J7:K9" si="0">SUM(B7,F7)</f>
        <v>198251.223</v>
      </c>
      <c r="K7" s="307">
        <f t="shared" si="0"/>
        <v>212665.79478698201</v>
      </c>
      <c r="L7" s="424">
        <f>IF(J7=0, "    ---- ", IF(ABS(ROUND(100/J7*K7-100,1))&lt;999,ROUND(100/J7*K7-100,1),IF(ROUND(100/J7*K7-100,1)&gt;999,999,-999)))</f>
        <v>7.3</v>
      </c>
      <c r="M7" s="11">
        <f>IFERROR(100/'Skjema total MA'!I7*K7,0)</f>
        <v>2.0229062820755015</v>
      </c>
    </row>
    <row r="8" spans="1:14" ht="15.75" x14ac:dyDescent="0.2">
      <c r="A8" s="20" t="s">
        <v>25</v>
      </c>
      <c r="B8" s="279">
        <v>134812.658</v>
      </c>
      <c r="C8" s="280">
        <v>147987.35501556599</v>
      </c>
      <c r="D8" s="165">
        <f t="shared" ref="D8:D9" si="1">IF(B8=0, "    ---- ", IF(ABS(ROUND(100/B8*C8-100,1))&lt;999,ROUND(100/B8*C8-100,1),IF(ROUND(100/B8*C8-100,1)&gt;999,999,-999)))</f>
        <v>9.8000000000000007</v>
      </c>
      <c r="E8" s="26">
        <f>IFERROR(100/'Skjema total MA'!C8*C8,0)</f>
        <v>8.1743324307676755</v>
      </c>
      <c r="F8" s="283"/>
      <c r="G8" s="284"/>
      <c r="H8" s="165"/>
      <c r="I8" s="174"/>
      <c r="J8" s="232">
        <f t="shared" si="0"/>
        <v>134812.658</v>
      </c>
      <c r="K8" s="285">
        <f t="shared" si="0"/>
        <v>147987.35501556599</v>
      </c>
      <c r="L8" s="165">
        <f t="shared" ref="L8:L9" si="2">IF(J8=0, "    ---- ", IF(ABS(ROUND(100/J8*K8-100,1))&lt;999,ROUND(100/J8*K8-100,1),IF(ROUND(100/J8*K8-100,1)&gt;999,999,-999)))</f>
        <v>9.8000000000000007</v>
      </c>
      <c r="M8" s="26">
        <f>IFERROR(100/'Skjema total MA'!I8*K8,0)</f>
        <v>8.1743324307676755</v>
      </c>
    </row>
    <row r="9" spans="1:14" ht="15.75" x14ac:dyDescent="0.2">
      <c r="A9" s="20" t="s">
        <v>24</v>
      </c>
      <c r="B9" s="279">
        <v>63438.565000000002</v>
      </c>
      <c r="C9" s="280">
        <v>64678.439771415899</v>
      </c>
      <c r="D9" s="165">
        <f t="shared" si="1"/>
        <v>2</v>
      </c>
      <c r="E9" s="26">
        <f>IFERROR(100/'Skjema total MA'!C9*C9,0)</f>
        <v>10.951309353511446</v>
      </c>
      <c r="F9" s="283"/>
      <c r="G9" s="284"/>
      <c r="H9" s="165"/>
      <c r="I9" s="174"/>
      <c r="J9" s="232">
        <f t="shared" si="0"/>
        <v>63438.565000000002</v>
      </c>
      <c r="K9" s="285">
        <f t="shared" si="0"/>
        <v>64678.439771415899</v>
      </c>
      <c r="L9" s="165">
        <f t="shared" si="2"/>
        <v>2</v>
      </c>
      <c r="M9" s="26">
        <f>IFERROR(100/'Skjema total MA'!I9*K9,0)</f>
        <v>10.951309353511446</v>
      </c>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1"/>
      <c r="J22" s="314"/>
      <c r="K22" s="314"/>
      <c r="L22" s="424"/>
      <c r="M22" s="23"/>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v>94189.657999999996</v>
      </c>
      <c r="C28" s="285">
        <v>107889.36030423699</v>
      </c>
      <c r="D28" s="165">
        <f t="shared" ref="D28" si="3">IF(B28=0, "    ---- ", IF(ABS(ROUND(100/B28*C28-100,1))&lt;999,ROUND(100/B28*C28-100,1),IF(ROUND(100/B28*C28-100,1)&gt;999,999,-999)))</f>
        <v>14.5</v>
      </c>
      <c r="E28" s="728">
        <f>IFERROR(100/'Skjema total MA'!C28*C28,0)</f>
        <v>8.8392320386718843</v>
      </c>
      <c r="F28" s="232"/>
      <c r="G28" s="285"/>
      <c r="H28" s="165"/>
      <c r="I28" s="26"/>
      <c r="J28" s="43">
        <f t="shared" ref="J28:K28" si="4">SUM(B28,F28)</f>
        <v>94189.657999999996</v>
      </c>
      <c r="K28" s="43">
        <f t="shared" si="4"/>
        <v>107889.36030423699</v>
      </c>
      <c r="L28" s="252">
        <f t="shared" ref="L28" si="5">IF(J28=0, "    ---- ", IF(ABS(ROUND(100/J28*K28-100,1))&lt;999,ROUND(100/J28*K28-100,1),IF(ROUND(100/J28*K28-100,1)&gt;999,999,-999)))</f>
        <v>14.5</v>
      </c>
      <c r="M28" s="22">
        <f>IFERROR(100/'Skjema total MA'!I28*K28,0)</f>
        <v>8.8392320386718843</v>
      </c>
    </row>
    <row r="29" spans="1:14" s="3" customFormat="1" ht="15.75" x14ac:dyDescent="0.2">
      <c r="A29" s="13" t="s">
        <v>364</v>
      </c>
      <c r="B29" s="234"/>
      <c r="C29" s="234"/>
      <c r="D29" s="170"/>
      <c r="E29" s="11"/>
      <c r="F29" s="306"/>
      <c r="G29" s="306"/>
      <c r="H29" s="170"/>
      <c r="I29" s="11"/>
      <c r="J29" s="234"/>
      <c r="K29" s="234"/>
      <c r="L29" s="425"/>
      <c r="M29" s="23"/>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103651.518</v>
      </c>
      <c r="C47" s="309">
        <v>102436.05684999999</v>
      </c>
      <c r="D47" s="424">
        <f t="shared" ref="D47:D57" si="6">IF(B47=0, "    ---- ", IF(ABS(ROUND(100/B47*C47-100,1))&lt;999,ROUND(100/B47*C47-100,1),IF(ROUND(100/B47*C47-100,1)&gt;999,999,-999)))</f>
        <v>-1.2</v>
      </c>
      <c r="E47" s="11">
        <f>IFERROR(100/'Skjema total MA'!C47*C47,0)</f>
        <v>2.5832740473054465</v>
      </c>
      <c r="F47" s="144"/>
      <c r="G47" s="32"/>
      <c r="H47" s="158"/>
      <c r="I47" s="158"/>
      <c r="J47" s="36"/>
      <c r="K47" s="36"/>
      <c r="L47" s="158"/>
      <c r="M47" s="158"/>
      <c r="N47" s="147"/>
    </row>
    <row r="48" spans="1:14" s="3" customFormat="1" ht="15.75" x14ac:dyDescent="0.2">
      <c r="A48" s="37" t="s">
        <v>375</v>
      </c>
      <c r="B48" s="279">
        <v>103651.518</v>
      </c>
      <c r="C48" s="280">
        <v>102436.05684999999</v>
      </c>
      <c r="D48" s="252">
        <f t="shared" si="6"/>
        <v>-1.2</v>
      </c>
      <c r="E48" s="26">
        <f>IFERROR(100/'Skjema total MA'!C48*C48,0)</f>
        <v>4.5011806540126935</v>
      </c>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v>2507.6089999999999</v>
      </c>
      <c r="C53" s="309">
        <v>4134.22</v>
      </c>
      <c r="D53" s="425">
        <f t="shared" si="6"/>
        <v>64.900000000000006</v>
      </c>
      <c r="E53" s="11">
        <f>IFERROR(100/'Skjema total MA'!C53*C53,0)</f>
        <v>1.7584142577673285</v>
      </c>
      <c r="F53" s="144"/>
      <c r="G53" s="32"/>
      <c r="H53" s="144"/>
      <c r="I53" s="144"/>
      <c r="J53" s="32"/>
      <c r="K53" s="32"/>
      <c r="L53" s="158"/>
      <c r="M53" s="158"/>
      <c r="N53" s="147"/>
    </row>
    <row r="54" spans="1:14" s="3" customFormat="1" ht="15.75" x14ac:dyDescent="0.2">
      <c r="A54" s="37" t="s">
        <v>375</v>
      </c>
      <c r="B54" s="279">
        <v>2507.6089999999999</v>
      </c>
      <c r="C54" s="280">
        <v>4134.22</v>
      </c>
      <c r="D54" s="252">
        <f t="shared" si="6"/>
        <v>64.900000000000006</v>
      </c>
      <c r="E54" s="26">
        <f>IFERROR(100/'Skjema total MA'!C54*C54,0)</f>
        <v>1.8033685725545294</v>
      </c>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v>5523.6350000000002</v>
      </c>
      <c r="C56" s="309">
        <v>654.79</v>
      </c>
      <c r="D56" s="425">
        <f t="shared" si="6"/>
        <v>-88.1</v>
      </c>
      <c r="E56" s="11">
        <f>IFERROR(100/'Skjema total MA'!C56*C56,0)</f>
        <v>0.70132962366996632</v>
      </c>
      <c r="F56" s="144"/>
      <c r="G56" s="32"/>
      <c r="H56" s="144"/>
      <c r="I56" s="144"/>
      <c r="J56" s="32"/>
      <c r="K56" s="32"/>
      <c r="L56" s="158"/>
      <c r="M56" s="158"/>
      <c r="N56" s="147"/>
    </row>
    <row r="57" spans="1:14" s="3" customFormat="1" ht="15.75" x14ac:dyDescent="0.2">
      <c r="A57" s="37" t="s">
        <v>375</v>
      </c>
      <c r="B57" s="279">
        <v>5523.6350000000002</v>
      </c>
      <c r="C57" s="280">
        <v>654.79</v>
      </c>
      <c r="D57" s="252">
        <f t="shared" si="6"/>
        <v>-88.1</v>
      </c>
      <c r="E57" s="26">
        <f>IFERROR(100/'Skjema total MA'!C57*C57,0)</f>
        <v>0.70132962366996632</v>
      </c>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683" priority="132">
      <formula>kvartal &lt; 4</formula>
    </cfRule>
  </conditionalFormatting>
  <conditionalFormatting sqref="B116">
    <cfRule type="expression" dxfId="682" priority="76">
      <formula>kvartal &lt; 4</formula>
    </cfRule>
  </conditionalFormatting>
  <conditionalFormatting sqref="C116">
    <cfRule type="expression" dxfId="681" priority="75">
      <formula>kvartal &lt; 4</formula>
    </cfRule>
  </conditionalFormatting>
  <conditionalFormatting sqref="B124">
    <cfRule type="expression" dxfId="680" priority="74">
      <formula>kvartal &lt; 4</formula>
    </cfRule>
  </conditionalFormatting>
  <conditionalFormatting sqref="C124">
    <cfRule type="expression" dxfId="679" priority="73">
      <formula>kvartal &lt; 4</formula>
    </cfRule>
  </conditionalFormatting>
  <conditionalFormatting sqref="F116">
    <cfRule type="expression" dxfId="678" priority="58">
      <formula>kvartal &lt; 4</formula>
    </cfRule>
  </conditionalFormatting>
  <conditionalFormatting sqref="G116">
    <cfRule type="expression" dxfId="677" priority="57">
      <formula>kvartal &lt; 4</formula>
    </cfRule>
  </conditionalFormatting>
  <conditionalFormatting sqref="F124:G124">
    <cfRule type="expression" dxfId="676" priority="56">
      <formula>kvartal &lt; 4</formula>
    </cfRule>
  </conditionalFormatting>
  <conditionalFormatting sqref="J116:K116">
    <cfRule type="expression" dxfId="675" priority="32">
      <formula>kvartal &lt; 4</formula>
    </cfRule>
  </conditionalFormatting>
  <conditionalFormatting sqref="J124:K124">
    <cfRule type="expression" dxfId="674" priority="31">
      <formula>kvartal &lt; 4</formula>
    </cfRule>
  </conditionalFormatting>
  <conditionalFormatting sqref="A50:A52">
    <cfRule type="expression" dxfId="673" priority="12">
      <formula>kvartal &lt; 4</formula>
    </cfRule>
  </conditionalFormatting>
  <conditionalFormatting sqref="A69:A74">
    <cfRule type="expression" dxfId="672" priority="10">
      <formula>kvartal &lt; 4</formula>
    </cfRule>
  </conditionalFormatting>
  <conditionalFormatting sqref="A80:A85">
    <cfRule type="expression" dxfId="671" priority="9">
      <formula>kvartal &lt; 4</formula>
    </cfRule>
  </conditionalFormatting>
  <conditionalFormatting sqref="A90:A95">
    <cfRule type="expression" dxfId="670" priority="6">
      <formula>kvartal &lt; 4</formula>
    </cfRule>
  </conditionalFormatting>
  <conditionalFormatting sqref="A102:A107">
    <cfRule type="expression" dxfId="669" priority="5">
      <formula>kvartal &lt; 4</formula>
    </cfRule>
  </conditionalFormatting>
  <conditionalFormatting sqref="A116">
    <cfRule type="expression" dxfId="668" priority="4">
      <formula>kvartal &lt; 4</formula>
    </cfRule>
  </conditionalFormatting>
  <conditionalFormatting sqref="A124">
    <cfRule type="expression" dxfId="667" priority="3">
      <formula>kvartal &lt; 4</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579" t="s">
        <v>406</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609"/>
      <c r="B3" s="602"/>
      <c r="C3" s="610"/>
      <c r="D3" s="602"/>
      <c r="E3" s="602"/>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v>5681</v>
      </c>
      <c r="C7" s="305"/>
      <c r="D7" s="348">
        <f>IF(B7=0, "    ---- ", IF(ABS(ROUND(100/B7*C7-100,1))&lt;999,ROUND(100/B7*C7-100,1),IF(ROUND(100/B7*C7-100,1)&gt;999,999,-999)))</f>
        <v>-100</v>
      </c>
      <c r="E7" s="11">
        <f>IFERROR(100/'Skjema total MA'!C7*C7,0)</f>
        <v>0</v>
      </c>
      <c r="F7" s="304"/>
      <c r="G7" s="305"/>
      <c r="H7" s="348"/>
      <c r="I7" s="159"/>
      <c r="J7" s="306">
        <f t="shared" ref="J7:K9" si="0">SUM(B7,F7)</f>
        <v>5681</v>
      </c>
      <c r="K7" s="307">
        <f t="shared" si="0"/>
        <v>0</v>
      </c>
      <c r="L7" s="424">
        <f>IF(J7=0, "    ---- ", IF(ABS(ROUND(100/J7*K7-100,1))&lt;999,ROUND(100/J7*K7-100,1),IF(ROUND(100/J7*K7-100,1)&gt;999,999,-999)))</f>
        <v>-100</v>
      </c>
      <c r="M7" s="11">
        <f>IFERROR(100/'Skjema total MA'!I7*K7,0)</f>
        <v>0</v>
      </c>
    </row>
    <row r="8" spans="1:14" ht="15.75" x14ac:dyDescent="0.2">
      <c r="A8" s="20" t="s">
        <v>25</v>
      </c>
      <c r="B8" s="279">
        <v>3764</v>
      </c>
      <c r="C8" s="280"/>
      <c r="D8" s="165">
        <f t="shared" ref="D8:D9" si="1">IF(B8=0, "    ---- ", IF(ABS(ROUND(100/B8*C8-100,1))&lt;999,ROUND(100/B8*C8-100,1),IF(ROUND(100/B8*C8-100,1)&gt;999,999,-999)))</f>
        <v>-100</v>
      </c>
      <c r="E8" s="26">
        <f>IFERROR(100/'Skjema total MA'!C8*C8,0)</f>
        <v>0</v>
      </c>
      <c r="F8" s="283"/>
      <c r="G8" s="284"/>
      <c r="H8" s="165"/>
      <c r="I8" s="174"/>
      <c r="J8" s="232">
        <f t="shared" si="0"/>
        <v>3764</v>
      </c>
      <c r="K8" s="285">
        <f t="shared" si="0"/>
        <v>0</v>
      </c>
      <c r="L8" s="165">
        <f t="shared" ref="L8:L9" si="2">IF(J8=0, "    ---- ", IF(ABS(ROUND(100/J8*K8-100,1))&lt;999,ROUND(100/J8*K8-100,1),IF(ROUND(100/J8*K8-100,1)&gt;999,999,-999)))</f>
        <v>-100</v>
      </c>
      <c r="M8" s="26">
        <f>IFERROR(100/'Skjema total MA'!I8*K8,0)</f>
        <v>0</v>
      </c>
    </row>
    <row r="9" spans="1:14" ht="15.75" x14ac:dyDescent="0.2">
      <c r="A9" s="20" t="s">
        <v>24</v>
      </c>
      <c r="B9" s="279">
        <v>1917</v>
      </c>
      <c r="C9" s="280"/>
      <c r="D9" s="165">
        <f t="shared" si="1"/>
        <v>-100</v>
      </c>
      <c r="E9" s="26">
        <f>IFERROR(100/'Skjema total MA'!C9*C9,0)</f>
        <v>0</v>
      </c>
      <c r="F9" s="283"/>
      <c r="G9" s="284"/>
      <c r="H9" s="165"/>
      <c r="I9" s="174"/>
      <c r="J9" s="232">
        <f t="shared" si="0"/>
        <v>1917</v>
      </c>
      <c r="K9" s="285">
        <f t="shared" si="0"/>
        <v>0</v>
      </c>
      <c r="L9" s="165">
        <f t="shared" si="2"/>
        <v>-100</v>
      </c>
      <c r="M9" s="26">
        <f>IFERROR(100/'Skjema total MA'!I9*K9,0)</f>
        <v>0</v>
      </c>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1"/>
      <c r="J22" s="314"/>
      <c r="K22" s="314"/>
      <c r="L22" s="424"/>
      <c r="M22" s="23"/>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c r="C29" s="234"/>
      <c r="D29" s="170"/>
      <c r="E29" s="11"/>
      <c r="F29" s="306"/>
      <c r="G29" s="306"/>
      <c r="H29" s="170"/>
      <c r="I29" s="11"/>
      <c r="J29" s="234"/>
      <c r="K29" s="234"/>
      <c r="L29" s="425"/>
      <c r="M29" s="23"/>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2487</v>
      </c>
      <c r="C47" s="309"/>
      <c r="D47" s="424">
        <f t="shared" ref="D47:D57" si="3">IF(B47=0, "    ---- ", IF(ABS(ROUND(100/B47*C47-100,1))&lt;999,ROUND(100/B47*C47-100,1),IF(ROUND(100/B47*C47-100,1)&gt;999,999,-999)))</f>
        <v>-100</v>
      </c>
      <c r="E47" s="11">
        <f>IFERROR(100/'Skjema total MA'!C47*C47,0)</f>
        <v>0</v>
      </c>
      <c r="F47" s="144"/>
      <c r="G47" s="32"/>
      <c r="H47" s="158"/>
      <c r="I47" s="158"/>
      <c r="J47" s="36"/>
      <c r="K47" s="36"/>
      <c r="L47" s="158"/>
      <c r="M47" s="158"/>
      <c r="N47" s="147"/>
    </row>
    <row r="48" spans="1:14" s="3" customFormat="1" ht="15.75" x14ac:dyDescent="0.2">
      <c r="A48" s="37" t="s">
        <v>375</v>
      </c>
      <c r="B48" s="279">
        <v>2487</v>
      </c>
      <c r="C48" s="280"/>
      <c r="D48" s="252">
        <f t="shared" si="3"/>
        <v>-100</v>
      </c>
      <c r="E48" s="26">
        <f>IFERROR(100/'Skjema total MA'!C48*C48,0)</f>
        <v>0</v>
      </c>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v>15</v>
      </c>
      <c r="C53" s="309"/>
      <c r="D53" s="425">
        <f t="shared" si="3"/>
        <v>-100</v>
      </c>
      <c r="E53" s="11">
        <f>IFERROR(100/'Skjema total MA'!C53*C53,0)</f>
        <v>0</v>
      </c>
      <c r="F53" s="144"/>
      <c r="G53" s="32"/>
      <c r="H53" s="144"/>
      <c r="I53" s="144"/>
      <c r="J53" s="32"/>
      <c r="K53" s="32"/>
      <c r="L53" s="158"/>
      <c r="M53" s="158"/>
      <c r="N53" s="147"/>
    </row>
    <row r="54" spans="1:14" s="3" customFormat="1" ht="15.75" x14ac:dyDescent="0.2">
      <c r="A54" s="37" t="s">
        <v>375</v>
      </c>
      <c r="B54" s="279">
        <v>15</v>
      </c>
      <c r="C54" s="280"/>
      <c r="D54" s="252">
        <f t="shared" si="3"/>
        <v>-100</v>
      </c>
      <c r="E54" s="26">
        <f>IFERROR(100/'Skjema total MA'!C54*C54,0)</f>
        <v>0</v>
      </c>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v>220</v>
      </c>
      <c r="C56" s="309"/>
      <c r="D56" s="425">
        <f t="shared" si="3"/>
        <v>-100</v>
      </c>
      <c r="E56" s="11">
        <f>IFERROR(100/'Skjema total MA'!C56*C56,0)</f>
        <v>0</v>
      </c>
      <c r="F56" s="144"/>
      <c r="G56" s="32"/>
      <c r="H56" s="144"/>
      <c r="I56" s="144"/>
      <c r="J56" s="32"/>
      <c r="K56" s="32"/>
      <c r="L56" s="158"/>
      <c r="M56" s="158"/>
      <c r="N56" s="147"/>
    </row>
    <row r="57" spans="1:14" s="3" customFormat="1" ht="15.75" x14ac:dyDescent="0.2">
      <c r="A57" s="37" t="s">
        <v>375</v>
      </c>
      <c r="B57" s="279">
        <v>220</v>
      </c>
      <c r="C57" s="280"/>
      <c r="D57" s="252">
        <f t="shared" si="3"/>
        <v>-100</v>
      </c>
      <c r="E57" s="26">
        <f>IFERROR(100/'Skjema total MA'!C57*C57,0)</f>
        <v>0</v>
      </c>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666" priority="132">
      <formula>kvartal &lt; 4</formula>
    </cfRule>
  </conditionalFormatting>
  <conditionalFormatting sqref="B116">
    <cfRule type="expression" dxfId="665" priority="76">
      <formula>kvartal &lt; 4</formula>
    </cfRule>
  </conditionalFormatting>
  <conditionalFormatting sqref="C116">
    <cfRule type="expression" dxfId="664" priority="75">
      <formula>kvartal &lt; 4</formula>
    </cfRule>
  </conditionalFormatting>
  <conditionalFormatting sqref="B124">
    <cfRule type="expression" dxfId="663" priority="74">
      <formula>kvartal &lt; 4</formula>
    </cfRule>
  </conditionalFormatting>
  <conditionalFormatting sqref="C124">
    <cfRule type="expression" dxfId="662" priority="73">
      <formula>kvartal &lt; 4</formula>
    </cfRule>
  </conditionalFormatting>
  <conditionalFormatting sqref="F116">
    <cfRule type="expression" dxfId="661" priority="58">
      <formula>kvartal &lt; 4</formula>
    </cfRule>
  </conditionalFormatting>
  <conditionalFormatting sqref="G116">
    <cfRule type="expression" dxfId="660" priority="57">
      <formula>kvartal &lt; 4</formula>
    </cfRule>
  </conditionalFormatting>
  <conditionalFormatting sqref="F124:G124">
    <cfRule type="expression" dxfId="659" priority="56">
      <formula>kvartal &lt; 4</formula>
    </cfRule>
  </conditionalFormatting>
  <conditionalFormatting sqref="J116:K116">
    <cfRule type="expression" dxfId="658" priority="32">
      <formula>kvartal &lt; 4</formula>
    </cfRule>
  </conditionalFormatting>
  <conditionalFormatting sqref="J124:K124">
    <cfRule type="expression" dxfId="657" priority="31">
      <formula>kvartal &lt; 4</formula>
    </cfRule>
  </conditionalFormatting>
  <conditionalFormatting sqref="A50:A52">
    <cfRule type="expression" dxfId="656" priority="12">
      <formula>kvartal &lt; 4</formula>
    </cfRule>
  </conditionalFormatting>
  <conditionalFormatting sqref="A69:A74">
    <cfRule type="expression" dxfId="655" priority="10">
      <formula>kvartal &lt; 4</formula>
    </cfRule>
  </conditionalFormatting>
  <conditionalFormatting sqref="A80:A85">
    <cfRule type="expression" dxfId="654" priority="9">
      <formula>kvartal &lt; 4</formula>
    </cfRule>
  </conditionalFormatting>
  <conditionalFormatting sqref="A90:A95">
    <cfRule type="expression" dxfId="653" priority="6">
      <formula>kvartal &lt; 4</formula>
    </cfRule>
  </conditionalFormatting>
  <conditionalFormatting sqref="A102:A107">
    <cfRule type="expression" dxfId="652" priority="5">
      <formula>kvartal &lt; 4</formula>
    </cfRule>
  </conditionalFormatting>
  <conditionalFormatting sqref="A116">
    <cfRule type="expression" dxfId="651" priority="4">
      <formula>kvartal &lt; 4</formula>
    </cfRule>
  </conditionalFormatting>
  <conditionalFormatting sqref="A124">
    <cfRule type="expression" dxfId="650"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5"/>
  <sheetViews>
    <sheetView showGridLines="0" topLeftCell="A118" zoomScaleNormal="100" workbookViewId="0">
      <selection activeCell="B18" sqref="B18:D18"/>
    </sheetView>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63</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c r="C7" s="305"/>
      <c r="D7" s="348"/>
      <c r="E7" s="11"/>
      <c r="F7" s="304"/>
      <c r="G7" s="305"/>
      <c r="H7" s="348"/>
      <c r="I7" s="159"/>
      <c r="J7" s="306"/>
      <c r="K7" s="307"/>
      <c r="L7" s="424"/>
      <c r="M7" s="11"/>
    </row>
    <row r="8" spans="1:14" ht="15.75" x14ac:dyDescent="0.2">
      <c r="A8" s="20" t="s">
        <v>25</v>
      </c>
      <c r="B8" s="279"/>
      <c r="C8" s="280"/>
      <c r="D8" s="165"/>
      <c r="E8" s="26"/>
      <c r="F8" s="283"/>
      <c r="G8" s="284"/>
      <c r="H8" s="165"/>
      <c r="I8" s="174"/>
      <c r="J8" s="232"/>
      <c r="K8" s="285"/>
      <c r="L8" s="165"/>
      <c r="M8" s="26"/>
    </row>
    <row r="9" spans="1:14" ht="15.75" x14ac:dyDescent="0.2">
      <c r="A9" s="20" t="s">
        <v>24</v>
      </c>
      <c r="B9" s="279"/>
      <c r="C9" s="280"/>
      <c r="D9" s="165"/>
      <c r="E9" s="26"/>
      <c r="F9" s="283"/>
      <c r="G9" s="284"/>
      <c r="H9" s="165"/>
      <c r="I9" s="174"/>
      <c r="J9" s="232"/>
      <c r="K9" s="285"/>
      <c r="L9" s="165"/>
      <c r="M9" s="26"/>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1"/>
      <c r="J22" s="314"/>
      <c r="K22" s="314"/>
      <c r="L22" s="424"/>
      <c r="M22" s="23"/>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c r="C29" s="234"/>
      <c r="D29" s="170"/>
      <c r="E29" s="11"/>
      <c r="F29" s="306"/>
      <c r="G29" s="306"/>
      <c r="H29" s="170"/>
      <c r="I29" s="11"/>
      <c r="J29" s="234"/>
      <c r="K29" s="234"/>
      <c r="L29" s="425"/>
      <c r="M29" s="23"/>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2502.45282</v>
      </c>
      <c r="C47" s="309">
        <v>-8.3049999999957436E-2</v>
      </c>
      <c r="D47" s="424">
        <f t="shared" ref="D47:D48" si="0">IF(B47=0, "    ---- ", IF(ABS(ROUND(100/B47*C47-100,1))&lt;999,ROUND(100/B47*C47-100,1),IF(ROUND(100/B47*C47-100,1)&gt;999,999,-999)))</f>
        <v>-100</v>
      </c>
      <c r="E47" s="11">
        <f>IFERROR(100/'Skjema total MA'!C47*C47,0)</f>
        <v>-2.0943885993460846E-6</v>
      </c>
      <c r="F47" s="144"/>
      <c r="G47" s="32"/>
      <c r="H47" s="158"/>
      <c r="I47" s="158"/>
      <c r="J47" s="36"/>
      <c r="K47" s="36"/>
      <c r="L47" s="158"/>
      <c r="M47" s="158"/>
      <c r="N47" s="147"/>
    </row>
    <row r="48" spans="1:14" s="3" customFormat="1" ht="15.75" x14ac:dyDescent="0.2">
      <c r="A48" s="37" t="s">
        <v>375</v>
      </c>
      <c r="B48" s="279">
        <v>924.69836999999995</v>
      </c>
      <c r="C48" s="280">
        <v>1001.35307</v>
      </c>
      <c r="D48" s="252">
        <f t="shared" si="0"/>
        <v>8.3000000000000007</v>
      </c>
      <c r="E48" s="26">
        <f>IFERROR(100/'Skjema total MA'!C48*C48,0)</f>
        <v>4.4000825540564711E-2</v>
      </c>
      <c r="F48" s="144"/>
      <c r="G48" s="32"/>
      <c r="H48" s="144"/>
      <c r="I48" s="144"/>
      <c r="J48" s="32"/>
      <c r="K48" s="32"/>
      <c r="L48" s="158"/>
      <c r="M48" s="158"/>
      <c r="N48" s="147"/>
    </row>
    <row r="49" spans="1:14" s="3" customFormat="1" ht="15.75" x14ac:dyDescent="0.2">
      <c r="A49" s="37" t="s">
        <v>376</v>
      </c>
      <c r="B49" s="43">
        <v>1577.7544499999999</v>
      </c>
      <c r="C49" s="285">
        <v>-1001.43612</v>
      </c>
      <c r="D49" s="252">
        <f>IF(B49=0, "    ---- ", IF(ABS(ROUND(100/B49*C49-100,1))&lt;999,ROUND(100/B49*C49-100,1),IF(ROUND(100/B49*C49-100,1)&gt;999,999,-999)))</f>
        <v>-163.5</v>
      </c>
      <c r="E49" s="26">
        <f>IFERROR(100/'Skjema total MA'!C49*C49,0)</f>
        <v>-5.9270674339854598E-2</v>
      </c>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v>14223024.93014</v>
      </c>
      <c r="C135" s="307">
        <v>33537381.302000001</v>
      </c>
      <c r="D135" s="348">
        <v>135.80000000000001</v>
      </c>
      <c r="E135" s="11">
        <v>0</v>
      </c>
      <c r="F135" s="314">
        <v>32970.711000000003</v>
      </c>
      <c r="G135" s="315">
        <v>96259.103000000003</v>
      </c>
      <c r="H135" s="428">
        <v>192</v>
      </c>
      <c r="I135" s="23">
        <v>0</v>
      </c>
      <c r="J135" s="316">
        <v>14255995.641139999</v>
      </c>
      <c r="K135" s="316">
        <v>33633640.405000001</v>
      </c>
      <c r="L135" s="424">
        <v>135.9</v>
      </c>
      <c r="M135" s="11">
        <v>0</v>
      </c>
      <c r="N135" s="147"/>
    </row>
    <row r="136" spans="1:14" s="3" customFormat="1" ht="15.75" x14ac:dyDescent="0.2">
      <c r="A136" s="13" t="s">
        <v>393</v>
      </c>
      <c r="B136" s="234">
        <v>516931786.69641</v>
      </c>
      <c r="C136" s="307">
        <v>563636708.30683994</v>
      </c>
      <c r="D136" s="170">
        <v>9</v>
      </c>
      <c r="E136" s="11">
        <v>0</v>
      </c>
      <c r="F136" s="234">
        <v>1933154.62115</v>
      </c>
      <c r="G136" s="307">
        <v>2232813.0127599998</v>
      </c>
      <c r="H136" s="429">
        <v>15.5</v>
      </c>
      <c r="I136" s="23">
        <v>0</v>
      </c>
      <c r="J136" s="306">
        <v>518864941.31756002</v>
      </c>
      <c r="K136" s="306">
        <v>565869521.31959999</v>
      </c>
      <c r="L136" s="425">
        <v>9.1</v>
      </c>
      <c r="M136" s="11">
        <v>0</v>
      </c>
      <c r="N136" s="147"/>
    </row>
    <row r="137" spans="1:14" s="3" customFormat="1" ht="15.75" x14ac:dyDescent="0.2">
      <c r="A137" s="13" t="s">
        <v>390</v>
      </c>
      <c r="B137" s="234">
        <v>3328031.82</v>
      </c>
      <c r="C137" s="307">
        <v>0</v>
      </c>
      <c r="D137" s="170">
        <v>-100</v>
      </c>
      <c r="E137" s="11">
        <v>0</v>
      </c>
      <c r="F137" s="234">
        <v>-462823.85</v>
      </c>
      <c r="G137" s="307">
        <v>0</v>
      </c>
      <c r="H137" s="429">
        <v>-100</v>
      </c>
      <c r="I137" s="23">
        <v>0</v>
      </c>
      <c r="J137" s="306">
        <v>2865207.9699999997</v>
      </c>
      <c r="K137" s="306">
        <v>0</v>
      </c>
      <c r="L137" s="425">
        <v>-100</v>
      </c>
      <c r="M137" s="11">
        <v>0</v>
      </c>
      <c r="N137" s="147"/>
    </row>
    <row r="138" spans="1:14" s="3" customFormat="1" ht="15.75" x14ac:dyDescent="0.2">
      <c r="A138" s="40" t="s">
        <v>391</v>
      </c>
      <c r="B138" s="274">
        <v>7655459.3569999998</v>
      </c>
      <c r="C138" s="313">
        <v>8346122.3590000002</v>
      </c>
      <c r="D138" s="168">
        <v>9</v>
      </c>
      <c r="E138" s="9">
        <v>0</v>
      </c>
      <c r="F138" s="274"/>
      <c r="G138" s="313"/>
      <c r="H138" s="430"/>
      <c r="I138" s="35"/>
      <c r="J138" s="312">
        <v>7655459.3569999998</v>
      </c>
      <c r="K138" s="312">
        <v>8346122.3590000002</v>
      </c>
      <c r="L138" s="426">
        <v>9</v>
      </c>
      <c r="M138" s="35">
        <v>0</v>
      </c>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649" priority="132">
      <formula>kvartal &lt; 4</formula>
    </cfRule>
  </conditionalFormatting>
  <conditionalFormatting sqref="B116">
    <cfRule type="expression" dxfId="648" priority="76">
      <formula>kvartal &lt; 4</formula>
    </cfRule>
  </conditionalFormatting>
  <conditionalFormatting sqref="C116">
    <cfRule type="expression" dxfId="647" priority="75">
      <formula>kvartal &lt; 4</formula>
    </cfRule>
  </conditionalFormatting>
  <conditionalFormatting sqref="B124">
    <cfRule type="expression" dxfId="646" priority="74">
      <formula>kvartal &lt; 4</formula>
    </cfRule>
  </conditionalFormatting>
  <conditionalFormatting sqref="C124">
    <cfRule type="expression" dxfId="645" priority="73">
      <formula>kvartal &lt; 4</formula>
    </cfRule>
  </conditionalFormatting>
  <conditionalFormatting sqref="F116">
    <cfRule type="expression" dxfId="644" priority="58">
      <formula>kvartal &lt; 4</formula>
    </cfRule>
  </conditionalFormatting>
  <conditionalFormatting sqref="G116">
    <cfRule type="expression" dxfId="643" priority="57">
      <formula>kvartal &lt; 4</formula>
    </cfRule>
  </conditionalFormatting>
  <conditionalFormatting sqref="F124:G124">
    <cfRule type="expression" dxfId="642" priority="56">
      <formula>kvartal &lt; 4</formula>
    </cfRule>
  </conditionalFormatting>
  <conditionalFormatting sqref="J116:K116">
    <cfRule type="expression" dxfId="641" priority="32">
      <formula>kvartal &lt; 4</formula>
    </cfRule>
  </conditionalFormatting>
  <conditionalFormatting sqref="J124:K124">
    <cfRule type="expression" dxfId="640" priority="31">
      <formula>kvartal &lt; 4</formula>
    </cfRule>
  </conditionalFormatting>
  <conditionalFormatting sqref="A50:A52">
    <cfRule type="expression" dxfId="639" priority="12">
      <formula>kvartal &lt; 4</formula>
    </cfRule>
  </conditionalFormatting>
  <conditionalFormatting sqref="A69:A74">
    <cfRule type="expression" dxfId="638" priority="10">
      <formula>kvartal &lt; 4</formula>
    </cfRule>
  </conditionalFormatting>
  <conditionalFormatting sqref="A80:A85">
    <cfRule type="expression" dxfId="637" priority="9">
      <formula>kvartal &lt; 4</formula>
    </cfRule>
  </conditionalFormatting>
  <conditionalFormatting sqref="A90:A95">
    <cfRule type="expression" dxfId="636" priority="6">
      <formula>kvartal &lt; 4</formula>
    </cfRule>
  </conditionalFormatting>
  <conditionalFormatting sqref="A102:A107">
    <cfRule type="expression" dxfId="635" priority="5">
      <formula>kvartal &lt; 4</formula>
    </cfRule>
  </conditionalFormatting>
  <conditionalFormatting sqref="A116">
    <cfRule type="expression" dxfId="634" priority="4">
      <formula>kvartal &lt; 4</formula>
    </cfRule>
  </conditionalFormatting>
  <conditionalFormatting sqref="A124">
    <cfRule type="expression" dxfId="633" priority="3">
      <formula>kvartal &lt; 4</formula>
    </cfRule>
  </conditionalFormatting>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134</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v>7412.9530000000004</v>
      </c>
      <c r="C7" s="305">
        <v>12221.714</v>
      </c>
      <c r="D7" s="348">
        <f>IF(B7=0, "    ---- ", IF(ABS(ROUND(100/B7*C7-100,1))&lt;999,ROUND(100/B7*C7-100,1),IF(ROUND(100/B7*C7-100,1)&gt;999,999,-999)))</f>
        <v>64.900000000000006</v>
      </c>
      <c r="E7" s="11">
        <f>IFERROR(100/'Skjema total MA'!C7*C7,0)</f>
        <v>0.44177443090889468</v>
      </c>
      <c r="F7" s="304"/>
      <c r="G7" s="305"/>
      <c r="H7" s="348"/>
      <c r="I7" s="159"/>
      <c r="J7" s="306">
        <f t="shared" ref="J7:K10" si="0">SUM(B7,F7)</f>
        <v>7412.9530000000004</v>
      </c>
      <c r="K7" s="307">
        <f t="shared" si="0"/>
        <v>12221.714</v>
      </c>
      <c r="L7" s="424">
        <f>IF(J7=0, "    ---- ", IF(ABS(ROUND(100/J7*K7-100,1))&lt;999,ROUND(100/J7*K7-100,1),IF(ROUND(100/J7*K7-100,1)&gt;999,999,-999)))</f>
        <v>64.900000000000006</v>
      </c>
      <c r="M7" s="11">
        <f>IFERROR(100/'Skjema total MA'!I7*K7,0)</f>
        <v>0.11625462408326846</v>
      </c>
    </row>
    <row r="8" spans="1:14" ht="15.75" x14ac:dyDescent="0.2">
      <c r="A8" s="20" t="s">
        <v>25</v>
      </c>
      <c r="B8" s="279">
        <v>7020.0280000000002</v>
      </c>
      <c r="C8" s="280">
        <v>11612.184999999999</v>
      </c>
      <c r="D8" s="165">
        <f t="shared" ref="D8:D10" si="1">IF(B8=0, "    ---- ", IF(ABS(ROUND(100/B8*C8-100,1))&lt;999,ROUND(100/B8*C8-100,1),IF(ROUND(100/B8*C8-100,1)&gt;999,999,-999)))</f>
        <v>65.400000000000006</v>
      </c>
      <c r="E8" s="26">
        <f>IFERROR(100/'Skjema total MA'!C8*C8,0)</f>
        <v>0.64141872410375611</v>
      </c>
      <c r="F8" s="283"/>
      <c r="G8" s="284"/>
      <c r="H8" s="165"/>
      <c r="I8" s="174"/>
      <c r="J8" s="232">
        <f t="shared" si="0"/>
        <v>7020.0280000000002</v>
      </c>
      <c r="K8" s="285">
        <f t="shared" si="0"/>
        <v>11612.184999999999</v>
      </c>
      <c r="L8" s="165">
        <f t="shared" ref="L8:L9" si="2">IF(J8=0, "    ---- ", IF(ABS(ROUND(100/J8*K8-100,1))&lt;999,ROUND(100/J8*K8-100,1),IF(ROUND(100/J8*K8-100,1)&gt;999,999,-999)))</f>
        <v>65.400000000000006</v>
      </c>
      <c r="M8" s="26">
        <f>IFERROR(100/'Skjema total MA'!I8*K8,0)</f>
        <v>0.64141872410375611</v>
      </c>
    </row>
    <row r="9" spans="1:14" ht="15.75" x14ac:dyDescent="0.2">
      <c r="A9" s="20" t="s">
        <v>24</v>
      </c>
      <c r="B9" s="279">
        <v>392.92500000000001</v>
      </c>
      <c r="C9" s="280">
        <v>609.529</v>
      </c>
      <c r="D9" s="165">
        <f t="shared" si="1"/>
        <v>55.1</v>
      </c>
      <c r="E9" s="26">
        <f>IFERROR(100/'Skjema total MA'!C9*C9,0)</f>
        <v>0.10320503497807784</v>
      </c>
      <c r="F9" s="283"/>
      <c r="G9" s="284"/>
      <c r="H9" s="165"/>
      <c r="I9" s="174"/>
      <c r="J9" s="232">
        <f t="shared" si="0"/>
        <v>392.92500000000001</v>
      </c>
      <c r="K9" s="285">
        <f t="shared" si="0"/>
        <v>609.529</v>
      </c>
      <c r="L9" s="165">
        <f t="shared" si="2"/>
        <v>55.1</v>
      </c>
      <c r="M9" s="26">
        <f>IFERROR(100/'Skjema total MA'!I9*K9,0)</f>
        <v>0.10320503497807784</v>
      </c>
    </row>
    <row r="10" spans="1:14" ht="15.75" x14ac:dyDescent="0.2">
      <c r="A10" s="13" t="s">
        <v>364</v>
      </c>
      <c r="B10" s="309">
        <v>13953.448</v>
      </c>
      <c r="C10" s="309">
        <v>17641.626</v>
      </c>
      <c r="D10" s="170">
        <f t="shared" si="1"/>
        <v>26.4</v>
      </c>
      <c r="E10" s="11">
        <f>IFERROR(100/'Skjema total MA'!C10*C10,0)</f>
        <v>0.10122841573426909</v>
      </c>
      <c r="F10" s="308"/>
      <c r="G10" s="309"/>
      <c r="H10" s="170"/>
      <c r="I10" s="159"/>
      <c r="J10" s="306">
        <f t="shared" si="0"/>
        <v>13953.448</v>
      </c>
      <c r="K10" s="307">
        <f t="shared" si="0"/>
        <v>17641.626</v>
      </c>
      <c r="L10" s="425">
        <f t="shared" ref="L10" si="3">IF(J10=0, "    ---- ", IF(ABS(ROUND(100/J10*K10-100,1))&lt;999,ROUND(100/J10*K10-100,1),IF(ROUND(100/J10*K10-100,1)&gt;999,999,-999)))</f>
        <v>26.4</v>
      </c>
      <c r="M10" s="11">
        <f>IFERROR(100/'Skjema total MA'!I10*K10,0)</f>
        <v>2.0127122768642342E-2</v>
      </c>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v>7439.9759999999997</v>
      </c>
      <c r="C22" s="308">
        <v>10231.873</v>
      </c>
      <c r="D22" s="348">
        <f t="shared" ref="D22:D29" si="4">IF(B22=0, "    ---- ", IF(ABS(ROUND(100/B22*C22-100,1))&lt;999,ROUND(100/B22*C22-100,1),IF(ROUND(100/B22*C22-100,1)&gt;999,999,-999)))</f>
        <v>37.5</v>
      </c>
      <c r="E22" s="11">
        <f>IFERROR(100/'Skjema total MA'!C22*C22,0)</f>
        <v>0.91293584538630901</v>
      </c>
      <c r="F22" s="316"/>
      <c r="G22" s="316"/>
      <c r="H22" s="348"/>
      <c r="I22" s="11"/>
      <c r="J22" s="314">
        <f t="shared" ref="J22:K29" si="5">SUM(B22,F22)</f>
        <v>7439.9759999999997</v>
      </c>
      <c r="K22" s="314">
        <f t="shared" si="5"/>
        <v>10231.873</v>
      </c>
      <c r="L22" s="424">
        <f t="shared" ref="L22:L29" si="6">IF(J22=0, "    ---- ", IF(ABS(ROUND(100/J22*K22-100,1))&lt;999,ROUND(100/J22*K22-100,1),IF(ROUND(100/J22*K22-100,1)&gt;999,999,-999)))</f>
        <v>37.5</v>
      </c>
      <c r="M22" s="23">
        <f>IFERROR(100/'Skjema total MA'!I22*K22,0)</f>
        <v>0.53228784041342891</v>
      </c>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v>7439.9759999999997</v>
      </c>
      <c r="C28" s="285">
        <v>10231.873</v>
      </c>
      <c r="D28" s="165">
        <f t="shared" si="4"/>
        <v>37.5</v>
      </c>
      <c r="E28" s="11">
        <f>IFERROR(100/'Skjema total MA'!C28*C28,0)</f>
        <v>0.83828376942994998</v>
      </c>
      <c r="F28" s="232"/>
      <c r="G28" s="285"/>
      <c r="H28" s="165"/>
      <c r="I28" s="26"/>
      <c r="J28" s="43">
        <f t="shared" si="5"/>
        <v>7439.9759999999997</v>
      </c>
      <c r="K28" s="43">
        <f t="shared" si="5"/>
        <v>10231.873</v>
      </c>
      <c r="L28" s="252">
        <f t="shared" si="6"/>
        <v>37.5</v>
      </c>
      <c r="M28" s="22">
        <f>IFERROR(100/'Skjema total MA'!I28*K28,0)</f>
        <v>0.83828376942994998</v>
      </c>
    </row>
    <row r="29" spans="1:14" s="3" customFormat="1" ht="15.75" x14ac:dyDescent="0.2">
      <c r="A29" s="13" t="s">
        <v>364</v>
      </c>
      <c r="B29" s="703">
        <v>32023.416000000001</v>
      </c>
      <c r="C29" s="234">
        <v>49807.194000000003</v>
      </c>
      <c r="D29" s="170">
        <f t="shared" si="4"/>
        <v>55.5</v>
      </c>
      <c r="E29" s="11">
        <f>IFERROR(100/'Skjema total MA'!C29*C29,0)</f>
        <v>0.10934916693626993</v>
      </c>
      <c r="F29" s="306"/>
      <c r="G29" s="306"/>
      <c r="H29" s="170"/>
      <c r="I29" s="11"/>
      <c r="J29" s="234"/>
      <c r="K29" s="234">
        <f t="shared" si="5"/>
        <v>49807.194000000003</v>
      </c>
      <c r="L29" s="425" t="str">
        <f t="shared" si="6"/>
        <v xml:space="preserve">    ---- </v>
      </c>
      <c r="M29" s="23">
        <f>IFERROR(100/'Skjema total MA'!I29*K29,0)</f>
        <v>6.9919953748358049E-2</v>
      </c>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159009.068</v>
      </c>
      <c r="C47" s="309">
        <v>197037.22700000001</v>
      </c>
      <c r="D47" s="424">
        <f t="shared" ref="D47:D48" si="7">IF(B47=0, "    ---- ", IF(ABS(ROUND(100/B47*C47-100,1))&lt;999,ROUND(100/B47*C47-100,1),IF(ROUND(100/B47*C47-100,1)&gt;999,999,-999)))</f>
        <v>23.9</v>
      </c>
      <c r="E47" s="11">
        <f>IFERROR(100/'Skjema total MA'!C47*C47,0)</f>
        <v>4.9689647426342924</v>
      </c>
      <c r="F47" s="144"/>
      <c r="G47" s="32"/>
      <c r="H47" s="158"/>
      <c r="I47" s="158"/>
      <c r="J47" s="36"/>
      <c r="K47" s="36"/>
      <c r="L47" s="158"/>
      <c r="M47" s="158"/>
      <c r="N47" s="147"/>
    </row>
    <row r="48" spans="1:14" s="3" customFormat="1" ht="15.75" x14ac:dyDescent="0.2">
      <c r="A48" s="37" t="s">
        <v>375</v>
      </c>
      <c r="B48" s="279">
        <v>159009.068</v>
      </c>
      <c r="C48" s="280">
        <v>197037.22700000001</v>
      </c>
      <c r="D48" s="252">
        <f t="shared" si="7"/>
        <v>23.9</v>
      </c>
      <c r="E48" s="26">
        <f>IFERROR(100/'Skjema total MA'!C48*C48,0)</f>
        <v>8.6580856542674276</v>
      </c>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632" priority="132">
      <formula>kvartal &lt; 4</formula>
    </cfRule>
  </conditionalFormatting>
  <conditionalFormatting sqref="B116">
    <cfRule type="expression" dxfId="631" priority="76">
      <formula>kvartal &lt; 4</formula>
    </cfRule>
  </conditionalFormatting>
  <conditionalFormatting sqref="C116">
    <cfRule type="expression" dxfId="630" priority="75">
      <formula>kvartal &lt; 4</formula>
    </cfRule>
  </conditionalFormatting>
  <conditionalFormatting sqref="B124">
    <cfRule type="expression" dxfId="629" priority="74">
      <formula>kvartal &lt; 4</formula>
    </cfRule>
  </conditionalFormatting>
  <conditionalFormatting sqref="C124">
    <cfRule type="expression" dxfId="628" priority="73">
      <formula>kvartal &lt; 4</formula>
    </cfRule>
  </conditionalFormatting>
  <conditionalFormatting sqref="F116">
    <cfRule type="expression" dxfId="627" priority="58">
      <formula>kvartal &lt; 4</formula>
    </cfRule>
  </conditionalFormatting>
  <conditionalFormatting sqref="G116">
    <cfRule type="expression" dxfId="626" priority="57">
      <formula>kvartal &lt; 4</formula>
    </cfRule>
  </conditionalFormatting>
  <conditionalFormatting sqref="F124:G124">
    <cfRule type="expression" dxfId="625" priority="56">
      <formula>kvartal &lt; 4</formula>
    </cfRule>
  </conditionalFormatting>
  <conditionalFormatting sqref="J116:K116">
    <cfRule type="expression" dxfId="624" priority="32">
      <formula>kvartal &lt; 4</formula>
    </cfRule>
  </conditionalFormatting>
  <conditionalFormatting sqref="J124:K124">
    <cfRule type="expression" dxfId="623" priority="31">
      <formula>kvartal &lt; 4</formula>
    </cfRule>
  </conditionalFormatting>
  <conditionalFormatting sqref="A50:A52">
    <cfRule type="expression" dxfId="622" priority="12">
      <formula>kvartal &lt; 4</formula>
    </cfRule>
  </conditionalFormatting>
  <conditionalFormatting sqref="A69:A74">
    <cfRule type="expression" dxfId="621" priority="10">
      <formula>kvartal &lt; 4</formula>
    </cfRule>
  </conditionalFormatting>
  <conditionalFormatting sqref="A80:A85">
    <cfRule type="expression" dxfId="620" priority="9">
      <formula>kvartal &lt; 4</formula>
    </cfRule>
  </conditionalFormatting>
  <conditionalFormatting sqref="A90:A95">
    <cfRule type="expression" dxfId="619" priority="6">
      <formula>kvartal &lt; 4</formula>
    </cfRule>
  </conditionalFormatting>
  <conditionalFormatting sqref="A102:A107">
    <cfRule type="expression" dxfId="618" priority="5">
      <formula>kvartal &lt; 4</formula>
    </cfRule>
  </conditionalFormatting>
  <conditionalFormatting sqref="A116">
    <cfRule type="expression" dxfId="617" priority="4">
      <formula>kvartal &lt; 4</formula>
    </cfRule>
  </conditionalFormatting>
  <conditionalFormatting sqref="A124">
    <cfRule type="expression" dxfId="616" priority="3">
      <formula>kvartal &lt; 4</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579" t="s">
        <v>413</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c r="C7" s="305"/>
      <c r="D7" s="348"/>
      <c r="E7" s="11"/>
      <c r="F7" s="304"/>
      <c r="G7" s="305"/>
      <c r="H7" s="348"/>
      <c r="I7" s="159"/>
      <c r="J7" s="306"/>
      <c r="K7" s="307"/>
      <c r="L7" s="424"/>
      <c r="M7" s="11"/>
    </row>
    <row r="8" spans="1:14" ht="15.75" x14ac:dyDescent="0.2">
      <c r="A8" s="20" t="s">
        <v>25</v>
      </c>
      <c r="B8" s="279"/>
      <c r="C8" s="280"/>
      <c r="D8" s="165"/>
      <c r="E8" s="26"/>
      <c r="F8" s="283"/>
      <c r="G8" s="284"/>
      <c r="H8" s="165"/>
      <c r="I8" s="174"/>
      <c r="J8" s="232"/>
      <c r="K8" s="285"/>
      <c r="L8" s="165"/>
      <c r="M8" s="26"/>
    </row>
    <row r="9" spans="1:14" ht="15.75" x14ac:dyDescent="0.2">
      <c r="A9" s="20" t="s">
        <v>24</v>
      </c>
      <c r="B9" s="279"/>
      <c r="C9" s="280"/>
      <c r="D9" s="165"/>
      <c r="E9" s="26"/>
      <c r="F9" s="283"/>
      <c r="G9" s="284"/>
      <c r="H9" s="165"/>
      <c r="I9" s="174"/>
      <c r="J9" s="232"/>
      <c r="K9" s="285"/>
      <c r="L9" s="165"/>
      <c r="M9" s="26"/>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1"/>
      <c r="J22" s="314"/>
      <c r="K22" s="314"/>
      <c r="L22" s="424"/>
      <c r="M22" s="23"/>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c r="C29" s="234"/>
      <c r="D29" s="170"/>
      <c r="E29" s="11"/>
      <c r="F29" s="306"/>
      <c r="G29" s="306"/>
      <c r="H29" s="170"/>
      <c r="I29" s="11"/>
      <c r="J29" s="234"/>
      <c r="K29" s="234"/>
      <c r="L29" s="425"/>
      <c r="M29" s="23"/>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36699</v>
      </c>
      <c r="C47" s="309">
        <v>39431</v>
      </c>
      <c r="D47" s="424">
        <f t="shared" ref="D47:D57" si="0">IF(B47=0, "    ---- ", IF(ABS(ROUND(100/B47*C47-100,1))&lt;999,ROUND(100/B47*C47-100,1),IF(ROUND(100/B47*C47-100,1)&gt;999,999,-999)))</f>
        <v>7.4</v>
      </c>
      <c r="E47" s="11">
        <f>IFERROR(100/'Skjema total MA'!C47*C47,0)</f>
        <v>0.99438695798745069</v>
      </c>
      <c r="F47" s="144"/>
      <c r="G47" s="32"/>
      <c r="H47" s="158"/>
      <c r="I47" s="158"/>
      <c r="J47" s="36"/>
      <c r="K47" s="36"/>
      <c r="L47" s="158"/>
      <c r="M47" s="158"/>
      <c r="N47" s="147"/>
    </row>
    <row r="48" spans="1:14" s="3" customFormat="1" ht="15.75" x14ac:dyDescent="0.2">
      <c r="A48" s="37" t="s">
        <v>375</v>
      </c>
      <c r="B48" s="279">
        <v>36699</v>
      </c>
      <c r="C48" s="280">
        <v>39431</v>
      </c>
      <c r="D48" s="252">
        <f t="shared" si="0"/>
        <v>7.4</v>
      </c>
      <c r="E48" s="26">
        <f>IFERROR(100/'Skjema total MA'!C48*C48,0)</f>
        <v>1.7326521522423726</v>
      </c>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v>8309</v>
      </c>
      <c r="C53" s="309">
        <v>3061</v>
      </c>
      <c r="D53" s="425">
        <f t="shared" si="0"/>
        <v>-63.2</v>
      </c>
      <c r="E53" s="11">
        <f>IFERROR(100/'Skjema total MA'!C53*C53,0)</f>
        <v>1.3019399168466586</v>
      </c>
      <c r="F53" s="144"/>
      <c r="G53" s="32"/>
      <c r="H53" s="144"/>
      <c r="I53" s="144"/>
      <c r="J53" s="32"/>
      <c r="K53" s="32"/>
      <c r="L53" s="158"/>
      <c r="M53" s="158"/>
      <c r="N53" s="147"/>
    </row>
    <row r="54" spans="1:14" s="3" customFormat="1" ht="15.75" x14ac:dyDescent="0.2">
      <c r="A54" s="37" t="s">
        <v>375</v>
      </c>
      <c r="B54" s="279">
        <v>8309</v>
      </c>
      <c r="C54" s="280">
        <v>3061</v>
      </c>
      <c r="D54" s="252">
        <f t="shared" si="0"/>
        <v>-63.2</v>
      </c>
      <c r="E54" s="26">
        <f>IFERROR(100/'Skjema total MA'!C54*C54,0)</f>
        <v>1.3352243471778025</v>
      </c>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v>163</v>
      </c>
      <c r="C56" s="309">
        <v>292</v>
      </c>
      <c r="D56" s="425">
        <f t="shared" si="0"/>
        <v>79.099999999999994</v>
      </c>
      <c r="E56" s="11">
        <f>IFERROR(100/'Skjema total MA'!C56*C56,0)</f>
        <v>0.31275408926775022</v>
      </c>
      <c r="F56" s="144"/>
      <c r="G56" s="32"/>
      <c r="H56" s="144"/>
      <c r="I56" s="144"/>
      <c r="J56" s="32"/>
      <c r="K56" s="32"/>
      <c r="L56" s="158"/>
      <c r="M56" s="158"/>
      <c r="N56" s="147"/>
    </row>
    <row r="57" spans="1:14" s="3" customFormat="1" ht="15.75" x14ac:dyDescent="0.2">
      <c r="A57" s="37" t="s">
        <v>375</v>
      </c>
      <c r="B57" s="279">
        <v>163</v>
      </c>
      <c r="C57" s="280">
        <v>292</v>
      </c>
      <c r="D57" s="252">
        <f t="shared" si="0"/>
        <v>79.099999999999994</v>
      </c>
      <c r="E57" s="26">
        <f>IFERROR(100/'Skjema total MA'!C57*C57,0)</f>
        <v>0.31275408926775022</v>
      </c>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615" priority="132">
      <formula>kvartal &lt; 4</formula>
    </cfRule>
  </conditionalFormatting>
  <conditionalFormatting sqref="B116">
    <cfRule type="expression" dxfId="614" priority="76">
      <formula>kvartal &lt; 4</formula>
    </cfRule>
  </conditionalFormatting>
  <conditionalFormatting sqref="C116">
    <cfRule type="expression" dxfId="613" priority="75">
      <formula>kvartal &lt; 4</formula>
    </cfRule>
  </conditionalFormatting>
  <conditionalFormatting sqref="B124">
    <cfRule type="expression" dxfId="612" priority="74">
      <formula>kvartal &lt; 4</formula>
    </cfRule>
  </conditionalFormatting>
  <conditionalFormatting sqref="C124">
    <cfRule type="expression" dxfId="611" priority="73">
      <formula>kvartal &lt; 4</formula>
    </cfRule>
  </conditionalFormatting>
  <conditionalFormatting sqref="F116">
    <cfRule type="expression" dxfId="610" priority="58">
      <formula>kvartal &lt; 4</formula>
    </cfRule>
  </conditionalFormatting>
  <conditionalFormatting sqref="G116">
    <cfRule type="expression" dxfId="609" priority="57">
      <formula>kvartal &lt; 4</formula>
    </cfRule>
  </conditionalFormatting>
  <conditionalFormatting sqref="F124:G124">
    <cfRule type="expression" dxfId="608" priority="56">
      <formula>kvartal &lt; 4</formula>
    </cfRule>
  </conditionalFormatting>
  <conditionalFormatting sqref="J116:K116">
    <cfRule type="expression" dxfId="607" priority="32">
      <formula>kvartal &lt; 4</formula>
    </cfRule>
  </conditionalFormatting>
  <conditionalFormatting sqref="J124:K124">
    <cfRule type="expression" dxfId="606" priority="31">
      <formula>kvartal &lt; 4</formula>
    </cfRule>
  </conditionalFormatting>
  <conditionalFormatting sqref="A50:A52">
    <cfRule type="expression" dxfId="605" priority="12">
      <formula>kvartal &lt; 4</formula>
    </cfRule>
  </conditionalFormatting>
  <conditionalFormatting sqref="A69:A74">
    <cfRule type="expression" dxfId="604" priority="10">
      <formula>kvartal &lt; 4</formula>
    </cfRule>
  </conditionalFormatting>
  <conditionalFormatting sqref="A80:A85">
    <cfRule type="expression" dxfId="603" priority="9">
      <formula>kvartal &lt; 4</formula>
    </cfRule>
  </conditionalFormatting>
  <conditionalFormatting sqref="A90:A95">
    <cfRule type="expression" dxfId="602" priority="6">
      <formula>kvartal &lt; 4</formula>
    </cfRule>
  </conditionalFormatting>
  <conditionalFormatting sqref="A102:A107">
    <cfRule type="expression" dxfId="601" priority="5">
      <formula>kvartal &lt; 4</formula>
    </cfRule>
  </conditionalFormatting>
  <conditionalFormatting sqref="A116">
    <cfRule type="expression" dxfId="600" priority="4">
      <formula>kvartal &lt; 4</formula>
    </cfRule>
  </conditionalFormatting>
  <conditionalFormatting sqref="A124">
    <cfRule type="expression" dxfId="599" priority="3">
      <formula>kvartal &lt; 4</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130</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v>244377.627944854</v>
      </c>
      <c r="C7" s="305">
        <v>255556.77027792</v>
      </c>
      <c r="D7" s="348">
        <f>IF(B7=0, "    ---- ", IF(ABS(ROUND(100/B7*C7-100,1))&lt;999,ROUND(100/B7*C7-100,1),IF(ROUND(100/B7*C7-100,1)&gt;999,999,-999)))</f>
        <v>4.5999999999999996</v>
      </c>
      <c r="E7" s="11">
        <f>IFERROR(100/'Skjema total MA'!C7*C7,0)</f>
        <v>9.2375297568281542</v>
      </c>
      <c r="F7" s="304">
        <v>3295340.7623600001</v>
      </c>
      <c r="G7" s="305">
        <v>5956364.9827300003</v>
      </c>
      <c r="H7" s="348">
        <f>IF(F7=0, "    ---- ", IF(ABS(ROUND(100/F7*G7-100,1))&lt;999,ROUND(100/F7*G7-100,1),IF(ROUND(100/F7*G7-100,1)&gt;999,999,-999)))</f>
        <v>80.8</v>
      </c>
      <c r="I7" s="159">
        <f>IFERROR(100/'Skjema total MA'!F7*G7,0)</f>
        <v>76.892251598604432</v>
      </c>
      <c r="J7" s="306">
        <f t="shared" ref="J7:K12" si="0">SUM(B7,F7)</f>
        <v>3539718.3903048541</v>
      </c>
      <c r="K7" s="307">
        <f t="shared" si="0"/>
        <v>6211921.7530079205</v>
      </c>
      <c r="L7" s="424">
        <f>IF(J7=0, "    ---- ", IF(ABS(ROUND(100/J7*K7-100,1))&lt;999,ROUND(100/J7*K7-100,1),IF(ROUND(100/J7*K7-100,1)&gt;999,999,-999)))</f>
        <v>75.5</v>
      </c>
      <c r="M7" s="11">
        <f>IFERROR(100/'Skjema total MA'!I7*K7,0)</f>
        <v>59.088653868893822</v>
      </c>
    </row>
    <row r="8" spans="1:14" ht="15.75" x14ac:dyDescent="0.2">
      <c r="A8" s="20" t="s">
        <v>25</v>
      </c>
      <c r="B8" s="279">
        <v>203502.45393589401</v>
      </c>
      <c r="C8" s="280">
        <v>215920.553231211</v>
      </c>
      <c r="D8" s="165">
        <f t="shared" ref="D8:D10" si="1">IF(B8=0, "    ---- ", IF(ABS(ROUND(100/B8*C8-100,1))&lt;999,ROUND(100/B8*C8-100,1),IF(ROUND(100/B8*C8-100,1)&gt;999,999,-999)))</f>
        <v>6.1</v>
      </c>
      <c r="E8" s="26">
        <f>IFERROR(100/'Skjema total MA'!C8*C8,0)</f>
        <v>11.926737798385103</v>
      </c>
      <c r="F8" s="283"/>
      <c r="G8" s="284"/>
      <c r="H8" s="165"/>
      <c r="I8" s="174"/>
      <c r="J8" s="232">
        <f t="shared" si="0"/>
        <v>203502.45393589401</v>
      </c>
      <c r="K8" s="285">
        <f t="shared" si="0"/>
        <v>215920.553231211</v>
      </c>
      <c r="L8" s="165">
        <f t="shared" ref="L8:L9" si="2">IF(J8=0, "    ---- ", IF(ABS(ROUND(100/J8*K8-100,1))&lt;999,ROUND(100/J8*K8-100,1),IF(ROUND(100/J8*K8-100,1)&gt;999,999,-999)))</f>
        <v>6.1</v>
      </c>
      <c r="M8" s="26">
        <f>IFERROR(100/'Skjema total MA'!I8*K8,0)</f>
        <v>11.926737798385103</v>
      </c>
    </row>
    <row r="9" spans="1:14" ht="15.75" x14ac:dyDescent="0.2">
      <c r="A9" s="20" t="s">
        <v>24</v>
      </c>
      <c r="B9" s="279">
        <v>37301.4366423795</v>
      </c>
      <c r="C9" s="280">
        <v>36276.696887652201</v>
      </c>
      <c r="D9" s="165">
        <f t="shared" si="1"/>
        <v>-2.7</v>
      </c>
      <c r="E9" s="26">
        <f>IFERROR(100/'Skjema total MA'!C9*C9,0)</f>
        <v>6.1423455999292447</v>
      </c>
      <c r="F9" s="283"/>
      <c r="G9" s="284"/>
      <c r="H9" s="165"/>
      <c r="I9" s="174"/>
      <c r="J9" s="232">
        <f t="shared" si="0"/>
        <v>37301.4366423795</v>
      </c>
      <c r="K9" s="285">
        <f t="shared" si="0"/>
        <v>36276.696887652201</v>
      </c>
      <c r="L9" s="165">
        <f t="shared" si="2"/>
        <v>-2.7</v>
      </c>
      <c r="M9" s="26">
        <f>IFERROR(100/'Skjema total MA'!I9*K9,0)</f>
        <v>6.1423455999292447</v>
      </c>
    </row>
    <row r="10" spans="1:14" ht="15.75" x14ac:dyDescent="0.2">
      <c r="A10" s="13" t="s">
        <v>364</v>
      </c>
      <c r="B10" s="308">
        <v>760825.460028111</v>
      </c>
      <c r="C10" s="309">
        <v>750259.935029543</v>
      </c>
      <c r="D10" s="170">
        <f t="shared" si="1"/>
        <v>-1.4</v>
      </c>
      <c r="E10" s="11">
        <f>IFERROR(100/'Skjema total MA'!C10*C10,0)</f>
        <v>4.3050240727207516</v>
      </c>
      <c r="F10" s="308">
        <v>31513059.754829999</v>
      </c>
      <c r="G10" s="309">
        <v>43304159.491669998</v>
      </c>
      <c r="H10" s="170">
        <f t="shared" ref="H10:H12" si="3">IF(F10=0, "    ---- ", IF(ABS(ROUND(100/F10*G10-100,1))&lt;999,ROUND(100/F10*G10-100,1),IF(ROUND(100/F10*G10-100,1)&gt;999,999,-999)))</f>
        <v>37.4</v>
      </c>
      <c r="I10" s="159">
        <f>IFERROR(100/'Skjema total MA'!F10*G10,0)</f>
        <v>61.666224601702616</v>
      </c>
      <c r="J10" s="306">
        <f t="shared" si="0"/>
        <v>32273885.214858111</v>
      </c>
      <c r="K10" s="307">
        <f t="shared" si="0"/>
        <v>44054419.426699542</v>
      </c>
      <c r="L10" s="425">
        <f t="shared" ref="L10:L12" si="4">IF(J10=0, "    ---- ", IF(ABS(ROUND(100/J10*K10-100,1))&lt;999,ROUND(100/J10*K10-100,1),IF(ROUND(100/J10*K10-100,1)&gt;999,999,-999)))</f>
        <v>36.5</v>
      </c>
      <c r="M10" s="11">
        <f>IFERROR(100/'Skjema total MA'!I10*K10,0)</f>
        <v>50.261166873305427</v>
      </c>
    </row>
    <row r="11" spans="1:14" s="42" customFormat="1" ht="15.75" x14ac:dyDescent="0.2">
      <c r="A11" s="13" t="s">
        <v>365</v>
      </c>
      <c r="B11" s="308"/>
      <c r="C11" s="309"/>
      <c r="D11" s="170"/>
      <c r="E11" s="11"/>
      <c r="F11" s="308">
        <v>130181.77864</v>
      </c>
      <c r="G11" s="309">
        <v>199027.62635999999</v>
      </c>
      <c r="H11" s="170">
        <f t="shared" si="3"/>
        <v>52.9</v>
      </c>
      <c r="I11" s="159">
        <f>IFERROR(100/'Skjema total MA'!F11*G11,0)</f>
        <v>76.793188236920699</v>
      </c>
      <c r="J11" s="306">
        <f t="shared" si="0"/>
        <v>130181.77864</v>
      </c>
      <c r="K11" s="307">
        <f t="shared" si="0"/>
        <v>199027.62635999999</v>
      </c>
      <c r="L11" s="425">
        <f t="shared" si="4"/>
        <v>52.9</v>
      </c>
      <c r="M11" s="11">
        <f>IFERROR(100/'Skjema total MA'!I11*K11,0)</f>
        <v>70.154864437355684</v>
      </c>
      <c r="N11" s="142"/>
    </row>
    <row r="12" spans="1:14" s="42" customFormat="1" ht="15.75" x14ac:dyDescent="0.2">
      <c r="A12" s="40" t="s">
        <v>366</v>
      </c>
      <c r="B12" s="310"/>
      <c r="C12" s="311"/>
      <c r="D12" s="168"/>
      <c r="E12" s="35"/>
      <c r="F12" s="310">
        <v>28867.636299999998</v>
      </c>
      <c r="G12" s="311">
        <v>29503.59434</v>
      </c>
      <c r="H12" s="168">
        <f t="shared" si="3"/>
        <v>2.2000000000000002</v>
      </c>
      <c r="I12" s="168">
        <f>IFERROR(100/'Skjema total MA'!F12*G12,0)</f>
        <v>29.749667266964867</v>
      </c>
      <c r="J12" s="312">
        <f t="shared" si="0"/>
        <v>28867.636299999998</v>
      </c>
      <c r="K12" s="313">
        <f t="shared" si="0"/>
        <v>29503.59434</v>
      </c>
      <c r="L12" s="426">
        <f t="shared" si="4"/>
        <v>2.2000000000000002</v>
      </c>
      <c r="M12" s="35">
        <f>IFERROR(100/'Skjema total MA'!I12*K12,0)</f>
        <v>28.679669073198692</v>
      </c>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v>83036.3796215271</v>
      </c>
      <c r="C22" s="308">
        <v>93033.2201320233</v>
      </c>
      <c r="D22" s="348">
        <f t="shared" ref="D22:D32" si="5">IF(B22=0, "    ---- ", IF(ABS(ROUND(100/B22*C22-100,1))&lt;999,ROUND(100/B22*C22-100,1),IF(ROUND(100/B22*C22-100,1)&gt;999,999,-999)))</f>
        <v>12</v>
      </c>
      <c r="E22" s="11">
        <f>IFERROR(100/'Skjema total MA'!C22*C22,0)</f>
        <v>8.3008615793256304</v>
      </c>
      <c r="F22" s="316">
        <v>149750.13855999999</v>
      </c>
      <c r="G22" s="316">
        <v>170987.64564999999</v>
      </c>
      <c r="H22" s="348">
        <f t="shared" ref="H22:H35" si="6">IF(F22=0, "    ---- ", IF(ABS(ROUND(100/F22*G22-100,1))&lt;999,ROUND(100/F22*G22-100,1),IF(ROUND(100/F22*G22-100,1)&gt;999,999,-999)))</f>
        <v>14.2</v>
      </c>
      <c r="I22" s="11">
        <f>IFERROR(100/'Skjema total MA'!F22*G22,0)</f>
        <v>21.334026899891082</v>
      </c>
      <c r="J22" s="314">
        <f t="shared" ref="J22:K35" si="7">SUM(B22,F22)</f>
        <v>232786.51818152709</v>
      </c>
      <c r="K22" s="314">
        <f t="shared" si="7"/>
        <v>264020.86578202329</v>
      </c>
      <c r="L22" s="424">
        <f t="shared" ref="L22:L35" si="8">IF(J22=0, "    ---- ", IF(ABS(ROUND(100/J22*K22-100,1))&lt;999,ROUND(100/J22*K22-100,1),IF(ROUND(100/J22*K22-100,1)&gt;999,999,-999)))</f>
        <v>13.4</v>
      </c>
      <c r="M22" s="23">
        <f>IFERROR(100/'Skjema total MA'!I22*K22,0)</f>
        <v>13.73503135459138</v>
      </c>
    </row>
    <row r="23" spans="1:14" ht="15.75" x14ac:dyDescent="0.2">
      <c r="A23" s="580" t="s">
        <v>367</v>
      </c>
      <c r="B23" s="279">
        <v>82762.028621527104</v>
      </c>
      <c r="C23" s="279">
        <v>92543.352132023298</v>
      </c>
      <c r="D23" s="165">
        <f t="shared" si="5"/>
        <v>11.8</v>
      </c>
      <c r="E23" s="11">
        <f>IFERROR(100/'Skjema total MA'!C23*C23,0)</f>
        <v>20.625440300010094</v>
      </c>
      <c r="F23" s="288">
        <v>1870.627</v>
      </c>
      <c r="G23" s="288">
        <v>1736.56161</v>
      </c>
      <c r="H23" s="165">
        <f t="shared" si="6"/>
        <v>-7.2</v>
      </c>
      <c r="I23" s="414">
        <f>IFERROR(100/'Skjema total MA'!F23*G23,0)</f>
        <v>1.202312330104089</v>
      </c>
      <c r="J23" s="288">
        <f t="shared" ref="J23:J26" si="9">SUM(B23,F23)</f>
        <v>84632.655621527098</v>
      </c>
      <c r="K23" s="288">
        <f t="shared" ref="K23:K26" si="10">SUM(C23,G23)</f>
        <v>94279.913742023302</v>
      </c>
      <c r="L23" s="165">
        <f t="shared" si="8"/>
        <v>11.4</v>
      </c>
      <c r="M23" s="22">
        <f>IFERROR(100/'Skjema total MA'!I23*K23,0)</f>
        <v>15.895571981169741</v>
      </c>
    </row>
    <row r="24" spans="1:14" ht="15.75" x14ac:dyDescent="0.2">
      <c r="A24" s="580" t="s">
        <v>368</v>
      </c>
      <c r="B24" s="279">
        <v>274.351</v>
      </c>
      <c r="C24" s="279">
        <v>401.89800000000002</v>
      </c>
      <c r="D24" s="165">
        <f t="shared" si="5"/>
        <v>46.5</v>
      </c>
      <c r="E24" s="11">
        <f>IFERROR(100/'Skjema total MA'!C24*C24,0)</f>
        <v>2.9033443090795017</v>
      </c>
      <c r="F24" s="288"/>
      <c r="G24" s="288"/>
      <c r="H24" s="165"/>
      <c r="I24" s="414"/>
      <c r="J24" s="288">
        <f t="shared" si="9"/>
        <v>274.351</v>
      </c>
      <c r="K24" s="288">
        <f t="shared" si="10"/>
        <v>401.89800000000002</v>
      </c>
      <c r="L24" s="165">
        <f t="shared" si="8"/>
        <v>46.5</v>
      </c>
      <c r="M24" s="22">
        <f>IFERROR(100/'Skjema total MA'!I24*K24,0)</f>
        <v>2.8918098811252033</v>
      </c>
    </row>
    <row r="25" spans="1:14" ht="15.75" x14ac:dyDescent="0.2">
      <c r="A25" s="580" t="s">
        <v>369</v>
      </c>
      <c r="B25" s="279">
        <v>0</v>
      </c>
      <c r="C25" s="279">
        <v>87.97</v>
      </c>
      <c r="D25" s="165" t="str">
        <f t="shared" si="5"/>
        <v xml:space="preserve">    ---- </v>
      </c>
      <c r="E25" s="11">
        <f>IFERROR(100/'Skjema total MA'!C25*C25,0)</f>
        <v>0.48579141421498934</v>
      </c>
      <c r="F25" s="288">
        <v>508.74799999999999</v>
      </c>
      <c r="G25" s="288">
        <v>499.49799999999999</v>
      </c>
      <c r="H25" s="165">
        <f t="shared" si="6"/>
        <v>-1.8</v>
      </c>
      <c r="I25" s="414">
        <f>IFERROR(100/'Skjema total MA'!F25*G25,0)</f>
        <v>6.2068210112113258</v>
      </c>
      <c r="J25" s="288">
        <f t="shared" si="9"/>
        <v>508.74799999999999</v>
      </c>
      <c r="K25" s="288">
        <f t="shared" si="10"/>
        <v>587.46799999999996</v>
      </c>
      <c r="L25" s="165">
        <f t="shared" si="8"/>
        <v>15.5</v>
      </c>
      <c r="M25" s="22">
        <f>IFERROR(100/'Skjema total MA'!I25*K25,0)</f>
        <v>2.2460024049770917</v>
      </c>
    </row>
    <row r="26" spans="1:14" ht="15.75" x14ac:dyDescent="0.2">
      <c r="A26" s="580" t="s">
        <v>370</v>
      </c>
      <c r="B26" s="279"/>
      <c r="C26" s="279"/>
      <c r="D26" s="165"/>
      <c r="E26" s="11"/>
      <c r="F26" s="288">
        <v>147370.76355999999</v>
      </c>
      <c r="G26" s="288">
        <v>168751.58603999999</v>
      </c>
      <c r="H26" s="165">
        <f t="shared" si="6"/>
        <v>14.5</v>
      </c>
      <c r="I26" s="414">
        <f>IFERROR(100/'Skjema total MA'!F26*G26,0)</f>
        <v>26.004165104948367</v>
      </c>
      <c r="J26" s="288">
        <f t="shared" si="9"/>
        <v>147370.76355999999</v>
      </c>
      <c r="K26" s="288">
        <f t="shared" si="10"/>
        <v>168751.58603999999</v>
      </c>
      <c r="L26" s="165">
        <f t="shared" si="8"/>
        <v>14.5</v>
      </c>
      <c r="M26" s="22">
        <f>IFERROR(100/'Skjema total MA'!I26*K26,0)</f>
        <v>26.004165104948367</v>
      </c>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v>85450.986914553505</v>
      </c>
      <c r="C28" s="285">
        <v>95823.213071417995</v>
      </c>
      <c r="D28" s="165">
        <f t="shared" si="5"/>
        <v>12.1</v>
      </c>
      <c r="E28" s="11">
        <f>IFERROR(100/'Skjema total MA'!C28*C28,0)</f>
        <v>7.8506686168209407</v>
      </c>
      <c r="F28" s="232"/>
      <c r="G28" s="285"/>
      <c r="H28" s="165"/>
      <c r="I28" s="26"/>
      <c r="J28" s="43">
        <f t="shared" si="7"/>
        <v>85450.986914553505</v>
      </c>
      <c r="K28" s="43">
        <f t="shared" si="7"/>
        <v>95823.213071417995</v>
      </c>
      <c r="L28" s="252">
        <f t="shared" si="8"/>
        <v>12.1</v>
      </c>
      <c r="M28" s="22">
        <f>IFERROR(100/'Skjema total MA'!I28*K28,0)</f>
        <v>7.8506686168209407</v>
      </c>
    </row>
    <row r="29" spans="1:14" s="3" customFormat="1" ht="15.75" x14ac:dyDescent="0.2">
      <c r="A29" s="13" t="s">
        <v>364</v>
      </c>
      <c r="B29" s="234">
        <v>3816434.5322365202</v>
      </c>
      <c r="C29" s="234">
        <v>3986156.1058492502</v>
      </c>
      <c r="D29" s="170">
        <f t="shared" si="5"/>
        <v>4.4000000000000004</v>
      </c>
      <c r="E29" s="11">
        <f>IFERROR(100/'Skjema total MA'!C29*C29,0)</f>
        <v>8.751403450926011</v>
      </c>
      <c r="F29" s="306">
        <v>4281149.5599999996</v>
      </c>
      <c r="G29" s="306">
        <v>5381935.5199999996</v>
      </c>
      <c r="H29" s="170">
        <f t="shared" si="6"/>
        <v>25.7</v>
      </c>
      <c r="I29" s="11">
        <f>IFERROR(100/'Skjema total MA'!F29*G29,0)</f>
        <v>20.952937382250678</v>
      </c>
      <c r="J29" s="234">
        <f t="shared" si="7"/>
        <v>8097584.0922365198</v>
      </c>
      <c r="K29" s="234">
        <f t="shared" si="7"/>
        <v>9368091.6258492507</v>
      </c>
      <c r="L29" s="425">
        <f t="shared" si="8"/>
        <v>15.7</v>
      </c>
      <c r="M29" s="23">
        <f>IFERROR(100/'Skjema total MA'!I29*K29,0)</f>
        <v>13.151042662426635</v>
      </c>
      <c r="N29" s="147"/>
    </row>
    <row r="30" spans="1:14" s="3" customFormat="1" ht="15.75" x14ac:dyDescent="0.2">
      <c r="A30" s="580" t="s">
        <v>367</v>
      </c>
      <c r="B30" s="279">
        <v>669447.42810134206</v>
      </c>
      <c r="C30" s="279">
        <v>624918.15930594003</v>
      </c>
      <c r="D30" s="165">
        <f t="shared" si="5"/>
        <v>-6.7</v>
      </c>
      <c r="E30" s="11">
        <f>IFERROR(100/'Skjema total MA'!C30*C30,0)</f>
        <v>4.6186347494858673</v>
      </c>
      <c r="F30" s="288">
        <v>464710.73523409199</v>
      </c>
      <c r="G30" s="288">
        <v>486165.57861181698</v>
      </c>
      <c r="H30" s="165">
        <f t="shared" si="6"/>
        <v>4.5999999999999996</v>
      </c>
      <c r="I30" s="414">
        <f>IFERROR(100/'Skjema total MA'!F30*G30,0)</f>
        <v>11.663583948034542</v>
      </c>
      <c r="J30" s="288">
        <f t="shared" ref="J30:J33" si="11">SUM(B30,F30)</f>
        <v>1134158.1633354342</v>
      </c>
      <c r="K30" s="288">
        <f t="shared" ref="K30:K33" si="12">SUM(C30,G30)</f>
        <v>1111083.7379177571</v>
      </c>
      <c r="L30" s="165">
        <f t="shared" si="8"/>
        <v>-2</v>
      </c>
      <c r="M30" s="22">
        <f>IFERROR(100/'Skjema total MA'!I30*K30,0)</f>
        <v>6.2778056819110661</v>
      </c>
      <c r="N30" s="147"/>
    </row>
    <row r="31" spans="1:14" s="3" customFormat="1" ht="15.75" x14ac:dyDescent="0.2">
      <c r="A31" s="580" t="s">
        <v>368</v>
      </c>
      <c r="B31" s="279">
        <v>2704148.5430506798</v>
      </c>
      <c r="C31" s="279">
        <v>2787285.9302364402</v>
      </c>
      <c r="D31" s="165">
        <f t="shared" si="5"/>
        <v>3.1</v>
      </c>
      <c r="E31" s="11">
        <f>IFERROR(100/'Skjema total MA'!C31*C31,0)</f>
        <v>12.167694915983688</v>
      </c>
      <c r="F31" s="288">
        <v>811024.81426187197</v>
      </c>
      <c r="G31" s="288">
        <v>844764.89620558999</v>
      </c>
      <c r="H31" s="165">
        <f t="shared" si="6"/>
        <v>4.2</v>
      </c>
      <c r="I31" s="414">
        <f>IFERROR(100/'Skjema total MA'!F31*G31,0)</f>
        <v>8.7254317712925307</v>
      </c>
      <c r="J31" s="288">
        <f t="shared" si="11"/>
        <v>3515173.3573125517</v>
      </c>
      <c r="K31" s="288">
        <f t="shared" si="12"/>
        <v>3632050.8264420303</v>
      </c>
      <c r="L31" s="165">
        <f t="shared" si="8"/>
        <v>3.3</v>
      </c>
      <c r="M31" s="22">
        <f>IFERROR(100/'Skjema total MA'!I31*K31,0)</f>
        <v>11.145053798139557</v>
      </c>
      <c r="N31" s="147"/>
    </row>
    <row r="32" spans="1:14" ht="15.75" x14ac:dyDescent="0.2">
      <c r="A32" s="580" t="s">
        <v>369</v>
      </c>
      <c r="B32" s="279">
        <v>442838.56108449498</v>
      </c>
      <c r="C32" s="279">
        <v>573952.01630686503</v>
      </c>
      <c r="D32" s="165">
        <f t="shared" si="5"/>
        <v>29.6</v>
      </c>
      <c r="E32" s="11">
        <f>IFERROR(100/'Skjema total MA'!C32*C32,0)</f>
        <v>19.491621165452948</v>
      </c>
      <c r="F32" s="288">
        <v>2012093.8020459099</v>
      </c>
      <c r="G32" s="288">
        <v>2445245.7448207201</v>
      </c>
      <c r="H32" s="165">
        <f t="shared" si="6"/>
        <v>21.5</v>
      </c>
      <c r="I32" s="414">
        <f>IFERROR(100/'Skjema total MA'!F32*G32,0)</f>
        <v>43.073981821515744</v>
      </c>
      <c r="J32" s="288">
        <f t="shared" si="11"/>
        <v>2454932.3631304051</v>
      </c>
      <c r="K32" s="288">
        <f t="shared" si="12"/>
        <v>3019197.7611275851</v>
      </c>
      <c r="L32" s="165">
        <f t="shared" si="8"/>
        <v>23</v>
      </c>
      <c r="M32" s="22">
        <f>IFERROR(100/'Skjema total MA'!I32*K32,0)</f>
        <v>35.019565205177024</v>
      </c>
    </row>
    <row r="33" spans="1:14" ht="15.75" x14ac:dyDescent="0.2">
      <c r="A33" s="580" t="s">
        <v>370</v>
      </c>
      <c r="B33" s="279"/>
      <c r="C33" s="279"/>
      <c r="D33" s="165"/>
      <c r="E33" s="11"/>
      <c r="F33" s="288">
        <v>993320.20845812897</v>
      </c>
      <c r="G33" s="288">
        <v>1605759.3003618701</v>
      </c>
      <c r="H33" s="165">
        <f t="shared" si="6"/>
        <v>61.7</v>
      </c>
      <c r="I33" s="414">
        <f>IFERROR(100/'Skjema total MA'!F34*G33,0)</f>
        <v>7437.7354279143683</v>
      </c>
      <c r="J33" s="288">
        <f t="shared" si="11"/>
        <v>993320.20845812897</v>
      </c>
      <c r="K33" s="288">
        <f t="shared" si="12"/>
        <v>1605759.3003618701</v>
      </c>
      <c r="L33" s="165">
        <f t="shared" si="8"/>
        <v>61.7</v>
      </c>
      <c r="M33" s="22">
        <f>IFERROR(100/'Skjema total MA'!I34*K33,0)</f>
        <v>5892.5317176673007</v>
      </c>
    </row>
    <row r="34" spans="1:14" ht="15.75" x14ac:dyDescent="0.2">
      <c r="A34" s="13" t="s">
        <v>365</v>
      </c>
      <c r="B34" s="234"/>
      <c r="C34" s="307"/>
      <c r="D34" s="170"/>
      <c r="E34" s="11"/>
      <c r="F34" s="306">
        <v>4218.7230200000004</v>
      </c>
      <c r="G34" s="307">
        <v>8454.43037</v>
      </c>
      <c r="H34" s="170">
        <f t="shared" si="6"/>
        <v>100.4</v>
      </c>
      <c r="I34" s="11">
        <f>IFERROR(100/'Skjema total MA'!F34*G34,0)</f>
        <v>39.160175669923433</v>
      </c>
      <c r="J34" s="234">
        <f t="shared" si="7"/>
        <v>4218.7230200000004</v>
      </c>
      <c r="K34" s="234">
        <f t="shared" si="7"/>
        <v>8454.43037</v>
      </c>
      <c r="L34" s="425">
        <f t="shared" si="8"/>
        <v>100.4</v>
      </c>
      <c r="M34" s="23">
        <f>IFERROR(100/'Skjema total MA'!I34*K34,0)</f>
        <v>31.024574541656293</v>
      </c>
    </row>
    <row r="35" spans="1:14" ht="15.75" x14ac:dyDescent="0.2">
      <c r="A35" s="13" t="s">
        <v>366</v>
      </c>
      <c r="B35" s="234"/>
      <c r="C35" s="307"/>
      <c r="D35" s="170"/>
      <c r="E35" s="11"/>
      <c r="F35" s="306">
        <v>10921.795760000001</v>
      </c>
      <c r="G35" s="307">
        <v>23926.34319</v>
      </c>
      <c r="H35" s="170">
        <f t="shared" si="6"/>
        <v>119.1</v>
      </c>
      <c r="I35" s="11">
        <f>IFERROR(100/'Skjema total MA'!F35*G35,0)</f>
        <v>21.723712701877613</v>
      </c>
      <c r="J35" s="234">
        <f t="shared" si="7"/>
        <v>10921.795760000001</v>
      </c>
      <c r="K35" s="234">
        <f t="shared" si="7"/>
        <v>23926.34319</v>
      </c>
      <c r="L35" s="425">
        <f t="shared" si="8"/>
        <v>119.1</v>
      </c>
      <c r="M35" s="23">
        <f>IFERROR(100/'Skjema total MA'!I35*K35,0)</f>
        <v>53.989312354472702</v>
      </c>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c r="C47" s="309"/>
      <c r="D47" s="424"/>
      <c r="E47" s="11"/>
      <c r="F47" s="144"/>
      <c r="G47" s="32"/>
      <c r="H47" s="158"/>
      <c r="I47" s="158"/>
      <c r="J47" s="36"/>
      <c r="K47" s="36"/>
      <c r="L47" s="158"/>
      <c r="M47" s="158"/>
      <c r="N47" s="147"/>
    </row>
    <row r="48" spans="1:14" s="3" customFormat="1" ht="15.75" x14ac:dyDescent="0.2">
      <c r="A48" s="37" t="s">
        <v>375</v>
      </c>
      <c r="B48" s="279"/>
      <c r="C48" s="280"/>
      <c r="D48" s="252"/>
      <c r="E48" s="26"/>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v>576025.99999999965</v>
      </c>
      <c r="C66" s="351">
        <v>587066</v>
      </c>
      <c r="D66" s="348">
        <f t="shared" ref="D66:D112" si="13">IF(B66=0, "    ---- ", IF(ABS(ROUND(100/B66*C66-100,1))&lt;999,ROUND(100/B66*C66-100,1),IF(ROUND(100/B66*C66-100,1)&gt;999,999,-999)))</f>
        <v>1.9</v>
      </c>
      <c r="E66" s="11">
        <f>IFERROR(100/'Skjema total MA'!C66*C66,0)</f>
        <v>12.546065486933719</v>
      </c>
      <c r="F66" s="350">
        <v>2418460.0639999998</v>
      </c>
      <c r="G66" s="350">
        <v>3013325.0890000002</v>
      </c>
      <c r="H66" s="348">
        <f t="shared" ref="H66:H112" si="14">IF(F66=0, "    ---- ", IF(ABS(ROUND(100/F66*G66-100,1))&lt;999,ROUND(100/F66*G66-100,1),IF(ROUND(100/F66*G66-100,1)&gt;999,999,-999)))</f>
        <v>24.6</v>
      </c>
      <c r="I66" s="11">
        <f>IFERROR(100/'Skjema total MA'!F66*G66,0)</f>
        <v>16.18640855865431</v>
      </c>
      <c r="J66" s="307">
        <f t="shared" ref="J66:K86" si="15">SUM(B66,F66)</f>
        <v>2994486.0639999993</v>
      </c>
      <c r="K66" s="314">
        <f t="shared" si="15"/>
        <v>3600391.0890000002</v>
      </c>
      <c r="L66" s="425">
        <f t="shared" ref="L66:L112" si="16">IF(J66=0, "    ---- ", IF(ABS(ROUND(100/J66*K66-100,1))&lt;999,ROUND(100/J66*K66-100,1),IF(ROUND(100/J66*K66-100,1)&gt;999,999,-999)))</f>
        <v>20.2</v>
      </c>
      <c r="M66" s="11">
        <f>IFERROR(100/'Skjema total MA'!I66*K66,0)</f>
        <v>15.455191353881363</v>
      </c>
    </row>
    <row r="67" spans="1:14" x14ac:dyDescent="0.2">
      <c r="A67" s="416" t="s">
        <v>9</v>
      </c>
      <c r="B67" s="43">
        <v>468433.18541485001</v>
      </c>
      <c r="C67" s="144">
        <v>477103.80108201498</v>
      </c>
      <c r="D67" s="165">
        <f t="shared" si="13"/>
        <v>1.9</v>
      </c>
      <c r="E67" s="26">
        <f>IFERROR(100/'Skjema total MA'!C67*C67,0)</f>
        <v>13.963240162042943</v>
      </c>
      <c r="F67" s="232"/>
      <c r="G67" s="144"/>
      <c r="H67" s="165"/>
      <c r="I67" s="26"/>
      <c r="J67" s="285">
        <f t="shared" si="15"/>
        <v>468433.18541485001</v>
      </c>
      <c r="K67" s="43">
        <f t="shared" si="15"/>
        <v>477103.80108201498</v>
      </c>
      <c r="L67" s="252">
        <f t="shared" si="16"/>
        <v>1.9</v>
      </c>
      <c r="M67" s="26">
        <f>IFERROR(100/'Skjema total MA'!I67*K67,0)</f>
        <v>13.963240162042943</v>
      </c>
    </row>
    <row r="68" spans="1:14" x14ac:dyDescent="0.2">
      <c r="A68" s="20" t="s">
        <v>10</v>
      </c>
      <c r="B68" s="290">
        <v>8982</v>
      </c>
      <c r="C68" s="291">
        <v>7321</v>
      </c>
      <c r="D68" s="165">
        <f t="shared" si="13"/>
        <v>-18.5</v>
      </c>
      <c r="E68" s="26">
        <f>IFERROR(100/'Skjema total MA'!C68*C68,0)</f>
        <v>29.866574864678235</v>
      </c>
      <c r="F68" s="290">
        <v>2418460.0639999998</v>
      </c>
      <c r="G68" s="737">
        <v>3013325.0890000002</v>
      </c>
      <c r="H68" s="165">
        <f t="shared" si="14"/>
        <v>24.6</v>
      </c>
      <c r="I68" s="26">
        <f>IFERROR(100/'Skjema total MA'!F68*G68,0)</f>
        <v>16.855574706222569</v>
      </c>
      <c r="J68" s="285">
        <f t="shared" si="15"/>
        <v>2427442.0639999998</v>
      </c>
      <c r="K68" s="43">
        <f t="shared" si="15"/>
        <v>3020646.0890000002</v>
      </c>
      <c r="L68" s="252">
        <f t="shared" si="16"/>
        <v>24.4</v>
      </c>
      <c r="M68" s="26">
        <f>IFERROR(100/'Skjema total MA'!I68*K68,0)</f>
        <v>16.87339021274359</v>
      </c>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v>98610.814585149594</v>
      </c>
      <c r="C76" s="144">
        <v>102641.19891798501</v>
      </c>
      <c r="D76" s="165">
        <f t="shared" ref="D76" si="17">IF(B76=0, "    ---- ", IF(ABS(ROUND(100/B76*C76-100,1))&lt;999,ROUND(100/B76*C76-100,1),IF(ROUND(100/B76*C76-100,1)&gt;999,999,-999)))</f>
        <v>4.0999999999999996</v>
      </c>
      <c r="E76" s="26">
        <f>IFERROR(100/'Skjema total MA'!C77*C76,0)</f>
        <v>3.057604074736243</v>
      </c>
      <c r="F76" s="232"/>
      <c r="G76" s="144"/>
      <c r="H76" s="165"/>
      <c r="I76" s="26"/>
      <c r="J76" s="285">
        <f t="shared" ref="J76" si="18">SUM(B76,F76)</f>
        <v>98610.814585149594</v>
      </c>
      <c r="K76" s="43">
        <f t="shared" ref="K76" si="19">SUM(C76,G76)</f>
        <v>102641.19891798501</v>
      </c>
      <c r="L76" s="252">
        <f t="shared" ref="L76" si="20">IF(J76=0, "    ---- ", IF(ABS(ROUND(100/J76*K76-100,1))&lt;999,ROUND(100/J76*K76-100,1),IF(ROUND(100/J76*K76-100,1)&gt;999,999,-999)))</f>
        <v>4.0999999999999996</v>
      </c>
      <c r="M76" s="26">
        <f>IFERROR(100/'Skjema total MA'!I77*K76,0)</f>
        <v>0.48351953344592652</v>
      </c>
      <c r="N76" s="147"/>
    </row>
    <row r="77" spans="1:14" ht="15.75" x14ac:dyDescent="0.2">
      <c r="A77" s="20" t="s">
        <v>381</v>
      </c>
      <c r="B77" s="232">
        <v>470649.56341484998</v>
      </c>
      <c r="C77" s="232">
        <v>477659.21108201495</v>
      </c>
      <c r="D77" s="165">
        <f t="shared" si="13"/>
        <v>1.5</v>
      </c>
      <c r="E77" s="26">
        <f>IFERROR(100/'Skjema total MA'!C77*C77,0)</f>
        <v>14.229108443157104</v>
      </c>
      <c r="F77" s="232">
        <v>2417069.2239999999</v>
      </c>
      <c r="G77" s="144">
        <v>3012087.3739999998</v>
      </c>
      <c r="H77" s="165">
        <f t="shared" si="14"/>
        <v>24.6</v>
      </c>
      <c r="I77" s="26">
        <f>IFERROR(100/'Skjema total MA'!F77*G77,0)</f>
        <v>16.854594756604712</v>
      </c>
      <c r="J77" s="285">
        <f t="shared" si="15"/>
        <v>2887718.7874148497</v>
      </c>
      <c r="K77" s="43">
        <f t="shared" si="15"/>
        <v>3489746.585082015</v>
      </c>
      <c r="L77" s="252">
        <f t="shared" si="16"/>
        <v>20.8</v>
      </c>
      <c r="M77" s="26">
        <f>IFERROR(100/'Skjema total MA'!I77*K77,0)</f>
        <v>16.439408916215498</v>
      </c>
    </row>
    <row r="78" spans="1:14" x14ac:dyDescent="0.2">
      <c r="A78" s="20" t="s">
        <v>9</v>
      </c>
      <c r="B78" s="232">
        <v>463058.56341484998</v>
      </c>
      <c r="C78" s="144">
        <v>471576.01908201497</v>
      </c>
      <c r="D78" s="165">
        <f t="shared" si="13"/>
        <v>1.8</v>
      </c>
      <c r="E78" s="26">
        <f>IFERROR(100/'Skjema total MA'!C78*C78,0)</f>
        <v>14.145973170419619</v>
      </c>
      <c r="F78" s="232"/>
      <c r="G78" s="144"/>
      <c r="H78" s="165"/>
      <c r="I78" s="26"/>
      <c r="J78" s="285">
        <f t="shared" si="15"/>
        <v>463058.56341484998</v>
      </c>
      <c r="K78" s="43">
        <f t="shared" si="15"/>
        <v>471576.01908201497</v>
      </c>
      <c r="L78" s="252">
        <f t="shared" si="16"/>
        <v>1.8</v>
      </c>
      <c r="M78" s="26">
        <f>IFERROR(100/'Skjema total MA'!I78*K78,0)</f>
        <v>14.145973170419619</v>
      </c>
    </row>
    <row r="79" spans="1:14" x14ac:dyDescent="0.2">
      <c r="A79" s="729" t="s">
        <v>423</v>
      </c>
      <c r="B79" s="290">
        <v>7591</v>
      </c>
      <c r="C79" s="291">
        <v>6083.192</v>
      </c>
      <c r="D79" s="165">
        <f t="shared" si="13"/>
        <v>-19.899999999999999</v>
      </c>
      <c r="E79" s="26">
        <f>IFERROR(100/'Skjema total MA'!C79*C79,0)</f>
        <v>26.136675184795557</v>
      </c>
      <c r="F79" s="290">
        <v>2417069.2239999999</v>
      </c>
      <c r="G79" s="291">
        <v>3012087.3739999998</v>
      </c>
      <c r="H79" s="165">
        <f t="shared" si="14"/>
        <v>24.6</v>
      </c>
      <c r="I79" s="26">
        <f>IFERROR(100/'Skjema total MA'!F79*G79,0)</f>
        <v>16.854594756604712</v>
      </c>
      <c r="J79" s="285">
        <f t="shared" si="15"/>
        <v>2424660.2239999999</v>
      </c>
      <c r="K79" s="43">
        <f t="shared" si="15"/>
        <v>3018170.5659999996</v>
      </c>
      <c r="L79" s="252">
        <f t="shared" si="16"/>
        <v>24.5</v>
      </c>
      <c r="M79" s="26">
        <f>IFERROR(100/'Skjema total MA'!I79*K79,0)</f>
        <v>16.86666766815998</v>
      </c>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v>6765.5529999999999</v>
      </c>
      <c r="C86" s="144">
        <v>6765.59</v>
      </c>
      <c r="D86" s="165">
        <f t="shared" si="13"/>
        <v>0</v>
      </c>
      <c r="E86" s="26">
        <f>IFERROR(100/'Skjema total MA'!C86*C86,0)</f>
        <v>8.0111446677557083</v>
      </c>
      <c r="F86" s="232">
        <v>1390.84</v>
      </c>
      <c r="G86" s="144">
        <v>1237.7149999999999</v>
      </c>
      <c r="H86" s="165">
        <f t="shared" si="14"/>
        <v>-11</v>
      </c>
      <c r="I86" s="26">
        <f>IFERROR(100/'Skjema total MA'!F86*G86,0)</f>
        <v>19.633570847645579</v>
      </c>
      <c r="J86" s="285">
        <f t="shared" si="15"/>
        <v>8156.393</v>
      </c>
      <c r="K86" s="43">
        <f t="shared" si="15"/>
        <v>8003.3050000000003</v>
      </c>
      <c r="L86" s="252">
        <f t="shared" si="16"/>
        <v>-1.9</v>
      </c>
      <c r="M86" s="26">
        <f>IFERROR(100/'Skjema total MA'!I86*K86,0)</f>
        <v>8.818456598522598</v>
      </c>
    </row>
    <row r="87" spans="1:13" ht="15.75" x14ac:dyDescent="0.2">
      <c r="A87" s="13" t="s">
        <v>364</v>
      </c>
      <c r="B87" s="351">
        <v>47278838.77896671</v>
      </c>
      <c r="C87" s="351">
        <v>50064243.959105276</v>
      </c>
      <c r="D87" s="170">
        <f t="shared" si="13"/>
        <v>5.9</v>
      </c>
      <c r="E87" s="11">
        <f>IFERROR(100/'Skjema total MA'!C87*C87,0)</f>
        <v>12.435884011081422</v>
      </c>
      <c r="F87" s="350">
        <v>43892830.685170002</v>
      </c>
      <c r="G87" s="350">
        <v>65365404.988329999</v>
      </c>
      <c r="H87" s="170">
        <f t="shared" si="14"/>
        <v>48.9</v>
      </c>
      <c r="I87" s="11">
        <f>IFERROR(100/'Skjema total MA'!F87*G87,0)</f>
        <v>15.62233281828504</v>
      </c>
      <c r="J87" s="307">
        <f t="shared" ref="J87:K112" si="21">SUM(B87,F87)</f>
        <v>91171669.46413672</v>
      </c>
      <c r="K87" s="234">
        <f t="shared" si="21"/>
        <v>115429648.94743527</v>
      </c>
      <c r="L87" s="425">
        <f t="shared" si="16"/>
        <v>26.6</v>
      </c>
      <c r="M87" s="11">
        <f>IFERROR(100/'Skjema total MA'!I87*K87,0)</f>
        <v>14.059830549454135</v>
      </c>
    </row>
    <row r="88" spans="1:13" x14ac:dyDescent="0.2">
      <c r="A88" s="20" t="s">
        <v>9</v>
      </c>
      <c r="B88" s="232">
        <v>45844485.934693202</v>
      </c>
      <c r="C88" s="144">
        <v>48499765.653930701</v>
      </c>
      <c r="D88" s="165">
        <f t="shared" si="13"/>
        <v>5.8</v>
      </c>
      <c r="E88" s="26">
        <f>IFERROR(100/'Skjema total MA'!C88*C88,0)</f>
        <v>12.443652445091216</v>
      </c>
      <c r="F88" s="232"/>
      <c r="G88" s="144"/>
      <c r="H88" s="165"/>
      <c r="I88" s="26"/>
      <c r="J88" s="285">
        <f t="shared" si="21"/>
        <v>45844485.934693202</v>
      </c>
      <c r="K88" s="43">
        <f t="shared" si="21"/>
        <v>48499765.653930701</v>
      </c>
      <c r="L88" s="252">
        <f t="shared" si="16"/>
        <v>5.8</v>
      </c>
      <c r="M88" s="26">
        <f>IFERROR(100/'Skjema total MA'!I88*K88,0)</f>
        <v>12.443652445091216</v>
      </c>
    </row>
    <row r="89" spans="1:13" x14ac:dyDescent="0.2">
      <c r="A89" s="20" t="s">
        <v>10</v>
      </c>
      <c r="B89" s="232">
        <v>1206173.4152735099</v>
      </c>
      <c r="C89" s="144">
        <v>1286987.70417457</v>
      </c>
      <c r="D89" s="165">
        <f t="shared" si="13"/>
        <v>6.7</v>
      </c>
      <c r="E89" s="26">
        <f>IFERROR(100/'Skjema total MA'!C89*C89,0)</f>
        <v>41.712573971107737</v>
      </c>
      <c r="F89" s="232">
        <v>43892830.685170002</v>
      </c>
      <c r="G89" s="144">
        <v>65365404.988329999</v>
      </c>
      <c r="H89" s="165">
        <f t="shared" si="14"/>
        <v>48.9</v>
      </c>
      <c r="I89" s="26">
        <f>IFERROR(100/'Skjema total MA'!F89*G89,0)</f>
        <v>15.77645823220228</v>
      </c>
      <c r="J89" s="285">
        <f t="shared" si="21"/>
        <v>45099004.100443512</v>
      </c>
      <c r="K89" s="43">
        <f t="shared" si="21"/>
        <v>66652392.69250457</v>
      </c>
      <c r="L89" s="252">
        <f t="shared" si="16"/>
        <v>47.8</v>
      </c>
      <c r="M89" s="26">
        <f>IFERROR(100/'Skjema total MA'!I89*K89,0)</f>
        <v>15.968171329087804</v>
      </c>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v>228179.429</v>
      </c>
      <c r="C97" s="144">
        <v>277490.60100000002</v>
      </c>
      <c r="D97" s="165">
        <f t="shared" ref="D97" si="22">IF(B97=0, "    ---- ", IF(ABS(ROUND(100/B97*C97-100,1))&lt;999,ROUND(100/B97*C97-100,1),IF(ROUND(100/B97*C97-100,1)&gt;999,999,-999)))</f>
        <v>21.6</v>
      </c>
      <c r="E97" s="26">
        <f>IFERROR(100/'Skjema total MA'!C98*C97,0)</f>
        <v>7.1441881996124515E-2</v>
      </c>
      <c r="F97" s="232"/>
      <c r="G97" s="144"/>
      <c r="H97" s="165"/>
      <c r="I97" s="26"/>
      <c r="J97" s="285">
        <f t="shared" ref="J97" si="23">SUM(B97,F97)</f>
        <v>228179.429</v>
      </c>
      <c r="K97" s="43">
        <f t="shared" ref="K97" si="24">SUM(C97,G97)</f>
        <v>277490.60100000002</v>
      </c>
      <c r="L97" s="252">
        <f t="shared" ref="L97" si="25">IF(J97=0, "    ---- ", IF(ABS(ROUND(100/J97*K97-100,1))&lt;999,ROUND(100/J97*K97-100,1),IF(ROUND(100/J97*K97-100,1)&gt;999,999,-999)))</f>
        <v>21.6</v>
      </c>
      <c r="M97" s="26">
        <f>IFERROR(100/'Skjema total MA'!I98*K97,0)</f>
        <v>3.4616195914732785E-2</v>
      </c>
    </row>
    <row r="98" spans="1:13" ht="15.75" x14ac:dyDescent="0.2">
      <c r="A98" s="20" t="s">
        <v>381</v>
      </c>
      <c r="B98" s="232">
        <v>47032207.221966706</v>
      </c>
      <c r="C98" s="232">
        <v>49763229.42710527</v>
      </c>
      <c r="D98" s="165">
        <f t="shared" si="13"/>
        <v>5.8</v>
      </c>
      <c r="E98" s="26">
        <f>IFERROR(100/'Skjema total MA'!C98*C98,0)</f>
        <v>12.811888949266882</v>
      </c>
      <c r="F98" s="290">
        <v>43879760.98917</v>
      </c>
      <c r="G98" s="290">
        <v>65352830.488329999</v>
      </c>
      <c r="H98" s="165">
        <f t="shared" si="14"/>
        <v>48.9</v>
      </c>
      <c r="I98" s="26">
        <f>IFERROR(100/'Skjema total MA'!F98*G98,0)</f>
        <v>15.81603089113986</v>
      </c>
      <c r="J98" s="285">
        <f t="shared" si="21"/>
        <v>90911968.211136699</v>
      </c>
      <c r="K98" s="43">
        <f t="shared" si="21"/>
        <v>115116059.91543527</v>
      </c>
      <c r="L98" s="252">
        <f t="shared" si="16"/>
        <v>26.6</v>
      </c>
      <c r="M98" s="26">
        <f>IFERROR(100/'Skjema total MA'!I98*K98,0)</f>
        <v>14.360414618024574</v>
      </c>
    </row>
    <row r="99" spans="1:13" x14ac:dyDescent="0.2">
      <c r="A99" s="20" t="s">
        <v>9</v>
      </c>
      <c r="B99" s="290">
        <v>45826033.806693196</v>
      </c>
      <c r="C99" s="291">
        <v>48476241.7229307</v>
      </c>
      <c r="D99" s="165">
        <f t="shared" si="13"/>
        <v>5.8</v>
      </c>
      <c r="E99" s="26">
        <f>IFERROR(100/'Skjema total MA'!C99*C99,0)</f>
        <v>12.580478083173226</v>
      </c>
      <c r="F99" s="232"/>
      <c r="G99" s="144"/>
      <c r="H99" s="165"/>
      <c r="I99" s="26"/>
      <c r="J99" s="285">
        <f t="shared" si="21"/>
        <v>45826033.806693196</v>
      </c>
      <c r="K99" s="43">
        <f t="shared" si="21"/>
        <v>48476241.7229307</v>
      </c>
      <c r="L99" s="252">
        <f t="shared" si="16"/>
        <v>5.8</v>
      </c>
      <c r="M99" s="26">
        <f>IFERROR(100/'Skjema total MA'!I99*K99,0)</f>
        <v>12.580478083173226</v>
      </c>
    </row>
    <row r="100" spans="1:13" ht="15.75" x14ac:dyDescent="0.2">
      <c r="A100" s="729" t="s">
        <v>424</v>
      </c>
      <c r="B100" s="290">
        <v>1206173.4152735099</v>
      </c>
      <c r="C100" s="291">
        <v>1286987.70417457</v>
      </c>
      <c r="D100" s="165">
        <f t="shared" si="13"/>
        <v>6.7</v>
      </c>
      <c r="E100" s="26">
        <f>IFERROR(100/'Skjema total MA'!C100*C100,0)</f>
        <v>41.712573971107737</v>
      </c>
      <c r="F100" s="232">
        <v>43879760.98917</v>
      </c>
      <c r="G100" s="232">
        <v>65352830.488329999</v>
      </c>
      <c r="H100" s="165">
        <f t="shared" si="14"/>
        <v>48.9</v>
      </c>
      <c r="I100" s="26">
        <f>IFERROR(100/'Skjema total MA'!F100*G100,0)</f>
        <v>15.81603089113986</v>
      </c>
      <c r="J100" s="285">
        <f t="shared" si="21"/>
        <v>45085934.40444351</v>
      </c>
      <c r="K100" s="43">
        <f t="shared" si="21"/>
        <v>66639818.19250457</v>
      </c>
      <c r="L100" s="252">
        <f t="shared" si="16"/>
        <v>47.8</v>
      </c>
      <c r="M100" s="26">
        <f>IFERROR(100/'Skjema total MA'!I100*K100,0)</f>
        <v>16.007964715472141</v>
      </c>
    </row>
    <row r="101" spans="1:13" ht="15.75" x14ac:dyDescent="0.2">
      <c r="A101" s="729" t="s">
        <v>425</v>
      </c>
      <c r="B101" s="290"/>
      <c r="C101" s="290"/>
      <c r="D101" s="165"/>
      <c r="E101" s="26"/>
      <c r="F101" s="290"/>
      <c r="G101" s="290">
        <v>1132335.622</v>
      </c>
      <c r="H101" s="165" t="str">
        <f t="shared" si="14"/>
        <v xml:space="preserve">    ---- </v>
      </c>
      <c r="I101" s="26">
        <f>IFERROR(100/'Skjema total MA'!G102*G101,0)</f>
        <v>0</v>
      </c>
      <c r="J101" s="285">
        <f t="shared" ref="J101" si="26">SUM(B101,F101)</f>
        <v>0</v>
      </c>
      <c r="K101" s="43">
        <f t="shared" ref="K101" si="27">SUM(C101,G101)</f>
        <v>1132335.622</v>
      </c>
      <c r="L101" s="252" t="str">
        <f t="shared" ref="L101" si="28">IF(J101=0, "    ---- ", IF(ABS(ROUND(100/J101*K101-100,1))&lt;999,ROUND(100/J101*K101-100,1),IF(ROUND(100/J101*K101-100,1)&gt;999,999,-999)))</f>
        <v xml:space="preserve">    ---- </v>
      </c>
      <c r="M101" s="26">
        <f>IFERROR(100/'Skjema total MA'!I102*K101,0)</f>
        <v>0</v>
      </c>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v>18452.128000000001</v>
      </c>
      <c r="C108" s="144">
        <v>23523.931</v>
      </c>
      <c r="D108" s="165">
        <f t="shared" si="13"/>
        <v>27.5</v>
      </c>
      <c r="E108" s="26">
        <f>IFERROR(100/'Skjema total MA'!C108*C108,0)</f>
        <v>0.53149717844550404</v>
      </c>
      <c r="F108" s="232">
        <v>13069.696</v>
      </c>
      <c r="G108" s="144">
        <v>12574.5</v>
      </c>
      <c r="H108" s="165">
        <f t="shared" si="14"/>
        <v>-3.8</v>
      </c>
      <c r="I108" s="26">
        <f>IFERROR(100/'Skjema total MA'!F108*G108,0)</f>
        <v>1.1265818541126182</v>
      </c>
      <c r="J108" s="285">
        <f t="shared" si="21"/>
        <v>31521.824000000001</v>
      </c>
      <c r="K108" s="43">
        <f t="shared" si="21"/>
        <v>36098.430999999997</v>
      </c>
      <c r="L108" s="252">
        <f t="shared" si="16"/>
        <v>14.5</v>
      </c>
      <c r="M108" s="26">
        <f>IFERROR(100/'Skjema total MA'!I108*K108,0)</f>
        <v>0.65134478135803331</v>
      </c>
    </row>
    <row r="109" spans="1:13" ht="15.75" x14ac:dyDescent="0.2">
      <c r="A109" s="20" t="s">
        <v>383</v>
      </c>
      <c r="B109" s="232">
        <v>36353177.0412504</v>
      </c>
      <c r="C109" s="232">
        <v>39272375.641019002</v>
      </c>
      <c r="D109" s="165">
        <f t="shared" si="13"/>
        <v>8</v>
      </c>
      <c r="E109" s="26">
        <f>IFERROR(100/'Skjema total MA'!C109*C109,0)</f>
        <v>11.734627667562105</v>
      </c>
      <c r="F109" s="232"/>
      <c r="G109" s="232"/>
      <c r="H109" s="165"/>
      <c r="I109" s="26"/>
      <c r="J109" s="285">
        <f t="shared" si="21"/>
        <v>36353177.0412504</v>
      </c>
      <c r="K109" s="43">
        <f t="shared" si="21"/>
        <v>39272375.641019002</v>
      </c>
      <c r="L109" s="252">
        <f t="shared" si="16"/>
        <v>8</v>
      </c>
      <c r="M109" s="26">
        <f>IFERROR(100/'Skjema total MA'!I109*K109,0)</f>
        <v>11.064650204566522</v>
      </c>
    </row>
    <row r="110" spans="1:13" ht="15.75" x14ac:dyDescent="0.2">
      <c r="A110" s="729" t="s">
        <v>441</v>
      </c>
      <c r="B110" s="232">
        <v>615173.58073695202</v>
      </c>
      <c r="C110" s="232">
        <v>789705.53827758494</v>
      </c>
      <c r="D110" s="165">
        <f t="shared" si="13"/>
        <v>28.4</v>
      </c>
      <c r="E110" s="26">
        <f>IFERROR(100/'Skjema total MA'!C110*C110,0)</f>
        <v>49.796546965434601</v>
      </c>
      <c r="F110" s="232">
        <v>17211620.862596001</v>
      </c>
      <c r="G110" s="232">
        <v>24901863.811315995</v>
      </c>
      <c r="H110" s="165">
        <f t="shared" si="14"/>
        <v>44.7</v>
      </c>
      <c r="I110" s="26">
        <f>IFERROR(100/'Skjema total MA'!F110*G110,0)</f>
        <v>16.803162865780738</v>
      </c>
      <c r="J110" s="285">
        <f t="shared" si="21"/>
        <v>17826794.443332955</v>
      </c>
      <c r="K110" s="43">
        <f t="shared" si="21"/>
        <v>25691569.34959358</v>
      </c>
      <c r="L110" s="252">
        <f t="shared" si="16"/>
        <v>44.1</v>
      </c>
      <c r="M110" s="26">
        <f>IFERROR(100/'Skjema total MA'!I110*K110,0)</f>
        <v>17.152487568225997</v>
      </c>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v>165.28</v>
      </c>
      <c r="C112" s="158">
        <v>177.893</v>
      </c>
      <c r="D112" s="170">
        <f t="shared" si="13"/>
        <v>7.6</v>
      </c>
      <c r="E112" s="11">
        <f>IFERROR(100/'Skjema total MA'!C112*C112,0)</f>
        <v>6.8479915575592784E-2</v>
      </c>
      <c r="F112" s="306">
        <v>3492660.7080000001</v>
      </c>
      <c r="G112" s="158">
        <v>4838624.8609999996</v>
      </c>
      <c r="H112" s="170">
        <f t="shared" si="14"/>
        <v>38.5</v>
      </c>
      <c r="I112" s="11">
        <f>IFERROR(100/'Skjema total MA'!F112*G112,0)</f>
        <v>16.55581959804055</v>
      </c>
      <c r="J112" s="307">
        <f t="shared" si="21"/>
        <v>3492825.9879999999</v>
      </c>
      <c r="K112" s="234">
        <f t="shared" si="21"/>
        <v>4838802.7539999997</v>
      </c>
      <c r="L112" s="425">
        <f t="shared" si="16"/>
        <v>38.5</v>
      </c>
      <c r="M112" s="11">
        <f>IFERROR(100/'Skjema total MA'!I112*K112,0)</f>
        <v>16.410564352149464</v>
      </c>
    </row>
    <row r="113" spans="1:14" x14ac:dyDescent="0.2">
      <c r="A113" s="20" t="s">
        <v>9</v>
      </c>
      <c r="B113" s="232">
        <v>165.28</v>
      </c>
      <c r="C113" s="144">
        <v>177.893</v>
      </c>
      <c r="D113" s="165">
        <f t="shared" ref="D113:D121" si="29">IF(B113=0, "    ---- ", IF(ABS(ROUND(100/B113*C113-100,1))&lt;999,ROUND(100/B113*C113-100,1),IF(ROUND(100/B113*C113-100,1)&gt;999,999,-999)))</f>
        <v>7.6</v>
      </c>
      <c r="E113" s="26">
        <f>IFERROR(100/'Skjema total MA'!C113*C113,0)</f>
        <v>0.10696897786246801</v>
      </c>
      <c r="F113" s="232"/>
      <c r="G113" s="144"/>
      <c r="H113" s="165"/>
      <c r="I113" s="26"/>
      <c r="J113" s="285">
        <f t="shared" ref="J113:K126" si="30">SUM(B113,F113)</f>
        <v>165.28</v>
      </c>
      <c r="K113" s="43">
        <f t="shared" si="30"/>
        <v>177.893</v>
      </c>
      <c r="L113" s="252">
        <f t="shared" ref="L113:L126" si="31">IF(J113=0, "    ---- ", IF(ABS(ROUND(100/J113*K113-100,1))&lt;999,ROUND(100/J113*K113-100,1),IF(ROUND(100/J113*K113-100,1)&gt;999,999,-999)))</f>
        <v>7.6</v>
      </c>
      <c r="M113" s="26">
        <f>IFERROR(100/'Skjema total MA'!I113*K113,0)</f>
        <v>0.10057367074118617</v>
      </c>
    </row>
    <row r="114" spans="1:14" x14ac:dyDescent="0.2">
      <c r="A114" s="20" t="s">
        <v>10</v>
      </c>
      <c r="B114" s="232"/>
      <c r="C114" s="144"/>
      <c r="D114" s="165"/>
      <c r="E114" s="26"/>
      <c r="F114" s="232">
        <v>3492660.7080000001</v>
      </c>
      <c r="G114" s="144">
        <v>4838624.8609999996</v>
      </c>
      <c r="H114" s="165">
        <f t="shared" ref="H114:H126" si="32">IF(F114=0, "    ---- ", IF(ABS(ROUND(100/F114*G114-100,1))&lt;999,ROUND(100/F114*G114-100,1),IF(ROUND(100/F114*G114-100,1)&gt;999,999,-999)))</f>
        <v>38.5</v>
      </c>
      <c r="I114" s="26">
        <f>IFERROR(100/'Skjema total MA'!F114*G114,0)</f>
        <v>16.561812189978287</v>
      </c>
      <c r="J114" s="285">
        <f t="shared" si="30"/>
        <v>3492660.7080000001</v>
      </c>
      <c r="K114" s="43">
        <f t="shared" si="30"/>
        <v>4838624.8609999996</v>
      </c>
      <c r="L114" s="252">
        <f t="shared" si="31"/>
        <v>38.5</v>
      </c>
      <c r="M114" s="26">
        <f>IFERROR(100/'Skjema total MA'!I114*K114,0)</f>
        <v>16.561697584816784</v>
      </c>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v>279001.88299999997</v>
      </c>
      <c r="G118" s="232">
        <v>266235.45400000003</v>
      </c>
      <c r="H118" s="165">
        <f t="shared" si="32"/>
        <v>-4.5999999999999996</v>
      </c>
      <c r="I118" s="26">
        <f>IFERROR(100/'Skjema total MA'!F118*G118,0)</f>
        <v>19.601107912768303</v>
      </c>
      <c r="J118" s="285">
        <f t="shared" si="30"/>
        <v>279001.88299999997</v>
      </c>
      <c r="K118" s="43">
        <f t="shared" si="30"/>
        <v>266235.45400000003</v>
      </c>
      <c r="L118" s="252">
        <f t="shared" si="31"/>
        <v>-4.5999999999999996</v>
      </c>
      <c r="M118" s="26">
        <f>IFERROR(100/'Skjema total MA'!I118*K118,0)</f>
        <v>19.601107912768303</v>
      </c>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v>6333.8179399999699</v>
      </c>
      <c r="C120" s="158">
        <v>40.597459999844403</v>
      </c>
      <c r="D120" s="170">
        <f t="shared" si="29"/>
        <v>-99.4</v>
      </c>
      <c r="E120" s="11">
        <f>IFERROR(100/'Skjema total MA'!C120*C120,0)</f>
        <v>1.1399139844391044E-2</v>
      </c>
      <c r="F120" s="306">
        <v>1223876.75</v>
      </c>
      <c r="G120" s="158">
        <v>4979529.4650100004</v>
      </c>
      <c r="H120" s="170">
        <f t="shared" si="32"/>
        <v>306.89999999999998</v>
      </c>
      <c r="I120" s="11">
        <f>IFERROR(100/'Skjema total MA'!F120*G120,0)</f>
        <v>14.739518298740064</v>
      </c>
      <c r="J120" s="307">
        <f t="shared" si="30"/>
        <v>1230210.56794</v>
      </c>
      <c r="K120" s="234">
        <f t="shared" si="30"/>
        <v>4979570.0624700002</v>
      </c>
      <c r="L120" s="425">
        <f t="shared" si="31"/>
        <v>304.8</v>
      </c>
      <c r="M120" s="11">
        <f>IFERROR(100/'Skjema total MA'!I120*K120,0)</f>
        <v>14.585874619338572</v>
      </c>
    </row>
    <row r="121" spans="1:14" x14ac:dyDescent="0.2">
      <c r="A121" s="20" t="s">
        <v>9</v>
      </c>
      <c r="B121" s="232">
        <v>6333.8179399999699</v>
      </c>
      <c r="C121" s="144">
        <v>40.597459999844403</v>
      </c>
      <c r="D121" s="165">
        <f t="shared" si="29"/>
        <v>-99.4</v>
      </c>
      <c r="E121" s="26">
        <f>IFERROR(100/'Skjema total MA'!C121*C121,0)</f>
        <v>1.5848394921805287E-2</v>
      </c>
      <c r="F121" s="232"/>
      <c r="G121" s="144"/>
      <c r="H121" s="165"/>
      <c r="I121" s="26"/>
      <c r="J121" s="285">
        <f t="shared" si="30"/>
        <v>6333.8179399999699</v>
      </c>
      <c r="K121" s="43">
        <f t="shared" si="30"/>
        <v>40.597459999844403</v>
      </c>
      <c r="L121" s="252">
        <f t="shared" si="31"/>
        <v>-99.4</v>
      </c>
      <c r="M121" s="26">
        <f>IFERROR(100/'Skjema total MA'!I121*K121,0)</f>
        <v>1.5848394921805287E-2</v>
      </c>
    </row>
    <row r="122" spans="1:14" x14ac:dyDescent="0.2">
      <c r="A122" s="20" t="s">
        <v>10</v>
      </c>
      <c r="B122" s="232"/>
      <c r="C122" s="144"/>
      <c r="D122" s="165"/>
      <c r="E122" s="26"/>
      <c r="F122" s="232">
        <v>1223876.75</v>
      </c>
      <c r="G122" s="144">
        <v>4979529.4650100004</v>
      </c>
      <c r="H122" s="165">
        <f t="shared" si="32"/>
        <v>306.89999999999998</v>
      </c>
      <c r="I122" s="26">
        <f>IFERROR(100/'Skjema total MA'!F122*G122,0)</f>
        <v>14.739518298740064</v>
      </c>
      <c r="J122" s="285">
        <f t="shared" si="30"/>
        <v>1223876.75</v>
      </c>
      <c r="K122" s="43">
        <f t="shared" si="30"/>
        <v>4979529.4650100004</v>
      </c>
      <c r="L122" s="252">
        <f t="shared" si="31"/>
        <v>306.89999999999998</v>
      </c>
      <c r="M122" s="26">
        <f>IFERROR(100/'Skjema total MA'!I122*K122,0)</f>
        <v>14.736628068469507</v>
      </c>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v>367968.16899999999</v>
      </c>
      <c r="G126" s="232">
        <v>3302415.7379999999</v>
      </c>
      <c r="H126" s="165">
        <f t="shared" si="32"/>
        <v>797.5</v>
      </c>
      <c r="I126" s="26">
        <f>IFERROR(100/'Skjema total MA'!F126*G126,0)</f>
        <v>30.272425949534963</v>
      </c>
      <c r="J126" s="285">
        <f t="shared" si="30"/>
        <v>367968.16899999999</v>
      </c>
      <c r="K126" s="43">
        <f t="shared" si="30"/>
        <v>3302415.7379999999</v>
      </c>
      <c r="L126" s="252">
        <f t="shared" si="31"/>
        <v>797.5</v>
      </c>
      <c r="M126" s="26">
        <f>IFERROR(100/'Skjema total MA'!I126*K126,0)</f>
        <v>30.267007582278204</v>
      </c>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598" priority="132">
      <formula>kvartal &lt; 4</formula>
    </cfRule>
  </conditionalFormatting>
  <conditionalFormatting sqref="B116">
    <cfRule type="expression" dxfId="597" priority="76">
      <formula>kvartal &lt; 4</formula>
    </cfRule>
  </conditionalFormatting>
  <conditionalFormatting sqref="C116">
    <cfRule type="expression" dxfId="596" priority="75">
      <formula>kvartal &lt; 4</formula>
    </cfRule>
  </conditionalFormatting>
  <conditionalFormatting sqref="B124">
    <cfRule type="expression" dxfId="595" priority="74">
      <formula>kvartal &lt; 4</formula>
    </cfRule>
  </conditionalFormatting>
  <conditionalFormatting sqref="C124">
    <cfRule type="expression" dxfId="594" priority="73">
      <formula>kvartal &lt; 4</formula>
    </cfRule>
  </conditionalFormatting>
  <conditionalFormatting sqref="F116">
    <cfRule type="expression" dxfId="593" priority="58">
      <formula>kvartal &lt; 4</formula>
    </cfRule>
  </conditionalFormatting>
  <conditionalFormatting sqref="G116">
    <cfRule type="expression" dxfId="592" priority="57">
      <formula>kvartal &lt; 4</formula>
    </cfRule>
  </conditionalFormatting>
  <conditionalFormatting sqref="F124:G124">
    <cfRule type="expression" dxfId="591" priority="56">
      <formula>kvartal &lt; 4</formula>
    </cfRule>
  </conditionalFormatting>
  <conditionalFormatting sqref="J116:K116">
    <cfRule type="expression" dxfId="590" priority="32">
      <formula>kvartal &lt; 4</formula>
    </cfRule>
  </conditionalFormatting>
  <conditionalFormatting sqref="J124:K124">
    <cfRule type="expression" dxfId="589" priority="31">
      <formula>kvartal &lt; 4</formula>
    </cfRule>
  </conditionalFormatting>
  <conditionalFormatting sqref="A50:A52">
    <cfRule type="expression" dxfId="588" priority="12">
      <formula>kvartal &lt; 4</formula>
    </cfRule>
  </conditionalFormatting>
  <conditionalFormatting sqref="A69:A74">
    <cfRule type="expression" dxfId="587" priority="10">
      <formula>kvartal &lt; 4</formula>
    </cfRule>
  </conditionalFormatting>
  <conditionalFormatting sqref="A80:A85">
    <cfRule type="expression" dxfId="586" priority="9">
      <formula>kvartal &lt; 4</formula>
    </cfRule>
  </conditionalFormatting>
  <conditionalFormatting sqref="A90:A95">
    <cfRule type="expression" dxfId="585" priority="6">
      <formula>kvartal &lt; 4</formula>
    </cfRule>
  </conditionalFormatting>
  <conditionalFormatting sqref="A102:A107">
    <cfRule type="expression" dxfId="584" priority="5">
      <formula>kvartal &lt; 4</formula>
    </cfRule>
  </conditionalFormatting>
  <conditionalFormatting sqref="A116">
    <cfRule type="expression" dxfId="583" priority="4">
      <formula>kvartal &lt; 4</formula>
    </cfRule>
  </conditionalFormatting>
  <conditionalFormatting sqref="A124">
    <cfRule type="expression" dxfId="582" priority="3">
      <formula>kvartal &lt; 4</formula>
    </cfRule>
  </conditionalFormatting>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94</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c r="C7" s="305"/>
      <c r="D7" s="348"/>
      <c r="E7" s="11"/>
      <c r="F7" s="304"/>
      <c r="G7" s="305"/>
      <c r="H7" s="348"/>
      <c r="I7" s="159"/>
      <c r="J7" s="306"/>
      <c r="K7" s="307"/>
      <c r="L7" s="424"/>
      <c r="M7" s="11"/>
    </row>
    <row r="8" spans="1:14" ht="15.75" x14ac:dyDescent="0.2">
      <c r="A8" s="20" t="s">
        <v>25</v>
      </c>
      <c r="B8" s="279"/>
      <c r="C8" s="280"/>
      <c r="D8" s="165"/>
      <c r="E8" s="26"/>
      <c r="F8" s="283"/>
      <c r="G8" s="284"/>
      <c r="H8" s="165"/>
      <c r="I8" s="174"/>
      <c r="J8" s="232"/>
      <c r="K8" s="285"/>
      <c r="L8" s="165"/>
      <c r="M8" s="26"/>
    </row>
    <row r="9" spans="1:14" ht="15.75" x14ac:dyDescent="0.2">
      <c r="A9" s="20" t="s">
        <v>24</v>
      </c>
      <c r="B9" s="279"/>
      <c r="C9" s="280"/>
      <c r="D9" s="165"/>
      <c r="E9" s="26"/>
      <c r="F9" s="283"/>
      <c r="G9" s="284"/>
      <c r="H9" s="165"/>
      <c r="I9" s="174"/>
      <c r="J9" s="232"/>
      <c r="K9" s="285"/>
      <c r="L9" s="165"/>
      <c r="M9" s="26"/>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1"/>
      <c r="J22" s="314"/>
      <c r="K22" s="314"/>
      <c r="L22" s="424"/>
      <c r="M22" s="23"/>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c r="C29" s="234"/>
      <c r="D29" s="170"/>
      <c r="E29" s="11"/>
      <c r="F29" s="306"/>
      <c r="G29" s="306"/>
      <c r="H29" s="170"/>
      <c r="I29" s="11"/>
      <c r="J29" s="234"/>
      <c r="K29" s="234"/>
      <c r="L29" s="425"/>
      <c r="M29" s="23"/>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16000</v>
      </c>
      <c r="C47" s="309">
        <v>16000</v>
      </c>
      <c r="D47" s="424">
        <f t="shared" ref="D47:D48" si="0">IF(B47=0, "    ---- ", IF(ABS(ROUND(100/B47*C47-100,1))&lt;999,ROUND(100/B47*C47-100,1),IF(ROUND(100/B47*C47-100,1)&gt;999,999,-999)))</f>
        <v>0</v>
      </c>
      <c r="E47" s="11">
        <f>IFERROR(100/'Skjema total MA'!C47*C47,0)</f>
        <v>0.40349449234863966</v>
      </c>
      <c r="F47" s="144"/>
      <c r="G47" s="32"/>
      <c r="H47" s="158"/>
      <c r="I47" s="158"/>
      <c r="J47" s="36"/>
      <c r="K47" s="36"/>
      <c r="L47" s="158"/>
      <c r="M47" s="158"/>
      <c r="N47" s="147"/>
    </row>
    <row r="48" spans="1:14" s="3" customFormat="1" ht="15.75" x14ac:dyDescent="0.2">
      <c r="A48" s="37" t="s">
        <v>375</v>
      </c>
      <c r="B48" s="279">
        <v>16000</v>
      </c>
      <c r="C48" s="280">
        <v>16000</v>
      </c>
      <c r="D48" s="252">
        <f t="shared" si="0"/>
        <v>0</v>
      </c>
      <c r="E48" s="26">
        <f>IFERROR(100/'Skjema total MA'!C48*C48,0)</f>
        <v>0.70306191666145823</v>
      </c>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v>1555000</v>
      </c>
      <c r="C135" s="307">
        <v>2112000</v>
      </c>
      <c r="D135" s="348">
        <f t="shared" ref="D135:D138" si="1">IF(B135=0, "    ---- ", IF(ABS(ROUND(100/B135*C135-100,1))&lt;999,ROUND(100/B135*C135-100,1),IF(ROUND(100/B135*C135-100,1)&gt;999,999,-999)))</f>
        <v>35.799999999999997</v>
      </c>
      <c r="E135" s="11">
        <f>IFERROR(100/'Skjema total MA'!C135*C135,0)</f>
        <v>5.8780530800258157</v>
      </c>
      <c r="F135" s="314"/>
      <c r="G135" s="315"/>
      <c r="H135" s="428"/>
      <c r="I135" s="23"/>
      <c r="J135" s="316">
        <f t="shared" ref="J135:K138" si="2">SUM(B135,F135)</f>
        <v>1555000</v>
      </c>
      <c r="K135" s="316">
        <f t="shared" si="2"/>
        <v>2112000</v>
      </c>
      <c r="L135" s="424">
        <f t="shared" ref="L135:L138" si="3">IF(J135=0, "    ---- ", IF(ABS(ROUND(100/J135*K135-100,1))&lt;999,ROUND(100/J135*K135-100,1),IF(ROUND(100/J135*K135-100,1)&gt;999,999,-999)))</f>
        <v>35.799999999999997</v>
      </c>
      <c r="M135" s="11">
        <f>IFERROR(100/'Skjema total MA'!I135*K135,0)</f>
        <v>5.8623475368485423</v>
      </c>
      <c r="N135" s="147"/>
    </row>
    <row r="136" spans="1:14" s="3" customFormat="1" ht="15.75" x14ac:dyDescent="0.2">
      <c r="A136" s="13" t="s">
        <v>393</v>
      </c>
      <c r="B136" s="234">
        <v>77112000</v>
      </c>
      <c r="C136" s="307">
        <v>87821000</v>
      </c>
      <c r="D136" s="170">
        <f t="shared" si="1"/>
        <v>13.9</v>
      </c>
      <c r="E136" s="11">
        <f>IFERROR(100/'Skjema total MA'!C136*C136,0)</f>
        <v>13.253921024581532</v>
      </c>
      <c r="F136" s="234"/>
      <c r="G136" s="307"/>
      <c r="H136" s="429"/>
      <c r="I136" s="23"/>
      <c r="J136" s="306">
        <f t="shared" si="2"/>
        <v>77112000</v>
      </c>
      <c r="K136" s="306">
        <f t="shared" si="2"/>
        <v>87821000</v>
      </c>
      <c r="L136" s="425">
        <f t="shared" si="3"/>
        <v>13.9</v>
      </c>
      <c r="M136" s="11">
        <f>IFERROR(100/'Skjema total MA'!I136*K136,0)</f>
        <v>13.209408551138825</v>
      </c>
      <c r="N136" s="147"/>
    </row>
    <row r="137" spans="1:14" s="3" customFormat="1" ht="15.75" x14ac:dyDescent="0.2">
      <c r="A137" s="13" t="s">
        <v>390</v>
      </c>
      <c r="B137" s="234">
        <v>0</v>
      </c>
      <c r="C137" s="307">
        <v>14000</v>
      </c>
      <c r="D137" s="170" t="str">
        <f t="shared" si="1"/>
        <v xml:space="preserve">    ---- </v>
      </c>
      <c r="E137" s="11">
        <f>IFERROR(100/'Skjema total MA'!C137*C137,0)</f>
        <v>0.19621730262952583</v>
      </c>
      <c r="F137" s="234"/>
      <c r="G137" s="307"/>
      <c r="H137" s="429"/>
      <c r="I137" s="23"/>
      <c r="J137" s="306">
        <f t="shared" si="2"/>
        <v>0</v>
      </c>
      <c r="K137" s="306">
        <f t="shared" si="2"/>
        <v>14000</v>
      </c>
      <c r="L137" s="425" t="str">
        <f t="shared" si="3"/>
        <v xml:space="preserve">    ---- </v>
      </c>
      <c r="M137" s="11">
        <f>IFERROR(100/'Skjema total MA'!I137*K137,0)</f>
        <v>0.19621730262952583</v>
      </c>
      <c r="N137" s="147"/>
    </row>
    <row r="138" spans="1:14" s="3" customFormat="1" ht="15.75" x14ac:dyDescent="0.2">
      <c r="A138" s="40" t="s">
        <v>391</v>
      </c>
      <c r="B138" s="274">
        <v>41000</v>
      </c>
      <c r="C138" s="313">
        <v>0</v>
      </c>
      <c r="D138" s="168">
        <f t="shared" si="1"/>
        <v>-100</v>
      </c>
      <c r="E138" s="9">
        <f>IFERROR(100/'Skjema total MA'!C138*C138,0)</f>
        <v>0</v>
      </c>
      <c r="F138" s="274"/>
      <c r="G138" s="313"/>
      <c r="H138" s="430"/>
      <c r="I138" s="35"/>
      <c r="J138" s="312">
        <f t="shared" si="2"/>
        <v>41000</v>
      </c>
      <c r="K138" s="312">
        <f t="shared" si="2"/>
        <v>0</v>
      </c>
      <c r="L138" s="426">
        <f t="shared" si="3"/>
        <v>-100</v>
      </c>
      <c r="M138" s="35">
        <f>IFERROR(100/'Skjema total MA'!I138*K138,0)</f>
        <v>0</v>
      </c>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581" priority="132">
      <formula>kvartal &lt; 4</formula>
    </cfRule>
  </conditionalFormatting>
  <conditionalFormatting sqref="B116">
    <cfRule type="expression" dxfId="580" priority="76">
      <formula>kvartal &lt; 4</formula>
    </cfRule>
  </conditionalFormatting>
  <conditionalFormatting sqref="C116">
    <cfRule type="expression" dxfId="579" priority="75">
      <formula>kvartal &lt; 4</formula>
    </cfRule>
  </conditionalFormatting>
  <conditionalFormatting sqref="B124">
    <cfRule type="expression" dxfId="578" priority="74">
      <formula>kvartal &lt; 4</formula>
    </cfRule>
  </conditionalFormatting>
  <conditionalFormatting sqref="C124">
    <cfRule type="expression" dxfId="577" priority="73">
      <formula>kvartal &lt; 4</formula>
    </cfRule>
  </conditionalFormatting>
  <conditionalFormatting sqref="F116">
    <cfRule type="expression" dxfId="576" priority="58">
      <formula>kvartal &lt; 4</formula>
    </cfRule>
  </conditionalFormatting>
  <conditionalFormatting sqref="G116">
    <cfRule type="expression" dxfId="575" priority="57">
      <formula>kvartal &lt; 4</formula>
    </cfRule>
  </conditionalFormatting>
  <conditionalFormatting sqref="F124:G124">
    <cfRule type="expression" dxfId="574" priority="56">
      <formula>kvartal &lt; 4</formula>
    </cfRule>
  </conditionalFormatting>
  <conditionalFormatting sqref="J116:K116">
    <cfRule type="expression" dxfId="573" priority="32">
      <formula>kvartal &lt; 4</formula>
    </cfRule>
  </conditionalFormatting>
  <conditionalFormatting sqref="J124:K124">
    <cfRule type="expression" dxfId="572" priority="31">
      <formula>kvartal &lt; 4</formula>
    </cfRule>
  </conditionalFormatting>
  <conditionalFormatting sqref="A50:A52">
    <cfRule type="expression" dxfId="571" priority="12">
      <formula>kvartal &lt; 4</formula>
    </cfRule>
  </conditionalFormatting>
  <conditionalFormatting sqref="A69:A74">
    <cfRule type="expression" dxfId="570" priority="10">
      <formula>kvartal &lt; 4</formula>
    </cfRule>
  </conditionalFormatting>
  <conditionalFormatting sqref="A80:A85">
    <cfRule type="expression" dxfId="569" priority="9">
      <formula>kvartal &lt; 4</formula>
    </cfRule>
  </conditionalFormatting>
  <conditionalFormatting sqref="A90:A95">
    <cfRule type="expression" dxfId="568" priority="6">
      <formula>kvartal &lt; 4</formula>
    </cfRule>
  </conditionalFormatting>
  <conditionalFormatting sqref="A102:A107">
    <cfRule type="expression" dxfId="567" priority="5">
      <formula>kvartal &lt; 4</formula>
    </cfRule>
  </conditionalFormatting>
  <conditionalFormatting sqref="A116">
    <cfRule type="expression" dxfId="566" priority="4">
      <formula>kvartal &lt; 4</formula>
    </cfRule>
  </conditionalFormatting>
  <conditionalFormatting sqref="A124">
    <cfRule type="expression" dxfId="565" priority="3">
      <formula>kvartal &lt; 4</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579" t="s">
        <v>363</v>
      </c>
      <c r="D1" s="25"/>
      <c r="E1" s="25"/>
      <c r="F1" s="25"/>
      <c r="G1" s="25"/>
      <c r="H1" s="25"/>
      <c r="I1" s="25"/>
      <c r="J1" s="25"/>
      <c r="K1" s="25"/>
      <c r="L1" s="25"/>
      <c r="M1" s="25"/>
    </row>
    <row r="2" spans="1:14" ht="15.75" x14ac:dyDescent="0.25">
      <c r="A2" s="164" t="s">
        <v>28</v>
      </c>
      <c r="B2" s="782"/>
      <c r="C2" s="782"/>
      <c r="D2" s="782"/>
      <c r="E2" s="576"/>
      <c r="F2" s="782"/>
      <c r="G2" s="782"/>
      <c r="H2" s="782"/>
      <c r="I2" s="576"/>
      <c r="J2" s="782"/>
      <c r="K2" s="782"/>
      <c r="L2" s="782"/>
      <c r="M2" s="576"/>
    </row>
    <row r="3" spans="1:14" ht="15.75" x14ac:dyDescent="0.25">
      <c r="A3" s="162"/>
      <c r="B3" s="576"/>
      <c r="C3" s="576"/>
      <c r="D3" s="576"/>
      <c r="E3" s="576"/>
      <c r="F3" s="576"/>
      <c r="G3" s="576"/>
      <c r="H3" s="576"/>
      <c r="I3" s="576"/>
      <c r="J3" s="576"/>
      <c r="K3" s="576"/>
      <c r="L3" s="576"/>
      <c r="M3" s="576"/>
    </row>
    <row r="4" spans="1:14" x14ac:dyDescent="0.2">
      <c r="A4" s="143"/>
      <c r="B4" s="784" t="s">
        <v>0</v>
      </c>
      <c r="C4" s="785"/>
      <c r="D4" s="785"/>
      <c r="E4" s="574"/>
      <c r="F4" s="778" t="s">
        <v>1</v>
      </c>
      <c r="G4" s="779"/>
      <c r="H4" s="779"/>
      <c r="I4" s="575"/>
      <c r="J4" s="778" t="s">
        <v>2</v>
      </c>
      <c r="K4" s="779"/>
      <c r="L4" s="779"/>
      <c r="M4" s="575"/>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v>1387.1944973725599</v>
      </c>
      <c r="C7" s="305">
        <v>1371.56793721087</v>
      </c>
      <c r="D7" s="348">
        <f>IF(B7=0, "    ---- ", IF(ABS(ROUND(100/B7*C7-100,1))&lt;999,ROUND(100/B7*C7-100,1),IF(ROUND(100/B7*C7-100,1)&gt;999,999,-999)))</f>
        <v>-1.1000000000000001</v>
      </c>
      <c r="E7" s="11">
        <f>IFERROR(100/'Skjema total MA'!C7*C7,0)</f>
        <v>4.9577632475626472E-2</v>
      </c>
      <c r="F7" s="304"/>
      <c r="G7" s="305"/>
      <c r="H7" s="348"/>
      <c r="I7" s="159"/>
      <c r="J7" s="306">
        <f t="shared" ref="J7:K9" si="0">SUM(B7,F7)</f>
        <v>1387.1944973725599</v>
      </c>
      <c r="K7" s="307">
        <f t="shared" si="0"/>
        <v>1371.56793721087</v>
      </c>
      <c r="L7" s="424">
        <f>IF(J7=0, "    ---- ", IF(ABS(ROUND(100/J7*K7-100,1))&lt;999,ROUND(100/J7*K7-100,1),IF(ROUND(100/J7*K7-100,1)&gt;999,999,-999)))</f>
        <v>-1.1000000000000001</v>
      </c>
      <c r="M7" s="11">
        <f>IFERROR(100/'Skjema total MA'!I7*K7,0)</f>
        <v>1.3046542812662255E-2</v>
      </c>
    </row>
    <row r="8" spans="1:14" ht="15.75" x14ac:dyDescent="0.2">
      <c r="A8" s="20" t="s">
        <v>25</v>
      </c>
      <c r="B8" s="279"/>
      <c r="C8" s="280"/>
      <c r="D8" s="165"/>
      <c r="E8" s="26"/>
      <c r="F8" s="283"/>
      <c r="G8" s="284"/>
      <c r="H8" s="165"/>
      <c r="I8" s="174"/>
      <c r="J8" s="232"/>
      <c r="K8" s="285"/>
      <c r="L8" s="165"/>
      <c r="M8" s="26"/>
    </row>
    <row r="9" spans="1:14" ht="15.75" x14ac:dyDescent="0.2">
      <c r="A9" s="20" t="s">
        <v>24</v>
      </c>
      <c r="B9" s="279">
        <v>1387.1944973725599</v>
      </c>
      <c r="C9" s="280">
        <v>1371.56793721087</v>
      </c>
      <c r="D9" s="165">
        <f t="shared" ref="D9" si="1">IF(B9=0, "    ---- ", IF(ABS(ROUND(100/B9*C9-100,1))&lt;999,ROUND(100/B9*C9-100,1),IF(ROUND(100/B9*C9-100,1)&gt;999,999,-999)))</f>
        <v>-1.1000000000000001</v>
      </c>
      <c r="E9" s="26">
        <f>IFERROR(100/'Skjema total MA'!C9*C9,0)</f>
        <v>0.2322329486122201</v>
      </c>
      <c r="F9" s="283"/>
      <c r="G9" s="284"/>
      <c r="H9" s="165"/>
      <c r="I9" s="174"/>
      <c r="J9" s="232">
        <f t="shared" si="0"/>
        <v>1387.1944973725599</v>
      </c>
      <c r="K9" s="285">
        <f t="shared" si="0"/>
        <v>1371.56793721087</v>
      </c>
      <c r="L9" s="165">
        <f t="shared" ref="L9" si="2">IF(J9=0, "    ---- ", IF(ABS(ROUND(100/J9*K9-100,1))&lt;999,ROUND(100/J9*K9-100,1),IF(ROUND(100/J9*K9-100,1)&gt;999,999,-999)))</f>
        <v>-1.1000000000000001</v>
      </c>
      <c r="M9" s="26">
        <f>IFERROR(100/'Skjema total MA'!I9*K9,0)</f>
        <v>0.2322329486122201</v>
      </c>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576"/>
      <c r="F18" s="777"/>
      <c r="G18" s="777"/>
      <c r="H18" s="777"/>
      <c r="I18" s="576"/>
      <c r="J18" s="777"/>
      <c r="K18" s="777"/>
      <c r="L18" s="777"/>
      <c r="M18" s="576"/>
    </row>
    <row r="19" spans="1:14" x14ac:dyDescent="0.2">
      <c r="A19" s="143"/>
      <c r="B19" s="778" t="s">
        <v>0</v>
      </c>
      <c r="C19" s="779"/>
      <c r="D19" s="779"/>
      <c r="E19" s="574"/>
      <c r="F19" s="778" t="s">
        <v>1</v>
      </c>
      <c r="G19" s="779"/>
      <c r="H19" s="779"/>
      <c r="I19" s="575"/>
      <c r="J19" s="778" t="s">
        <v>2</v>
      </c>
      <c r="K19" s="779"/>
      <c r="L19" s="779"/>
      <c r="M19" s="575"/>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1"/>
      <c r="J22" s="314"/>
      <c r="K22" s="314"/>
      <c r="L22" s="424"/>
      <c r="M22" s="23"/>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c r="C29" s="234"/>
      <c r="D29" s="170"/>
      <c r="E29" s="11"/>
      <c r="F29" s="306"/>
      <c r="G29" s="306"/>
      <c r="H29" s="170"/>
      <c r="I29" s="11"/>
      <c r="J29" s="234"/>
      <c r="K29" s="234"/>
      <c r="L29" s="425"/>
      <c r="M29" s="23"/>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578"/>
    </row>
    <row r="41" spans="1:14" x14ac:dyDescent="0.2">
      <c r="A41" s="154"/>
    </row>
    <row r="42" spans="1:14" ht="15.75" x14ac:dyDescent="0.25">
      <c r="A42" s="146" t="s">
        <v>272</v>
      </c>
      <c r="B42" s="782"/>
      <c r="C42" s="782"/>
      <c r="D42" s="782"/>
      <c r="E42" s="576"/>
      <c r="F42" s="783"/>
      <c r="G42" s="783"/>
      <c r="H42" s="783"/>
      <c r="I42" s="578"/>
      <c r="J42" s="783"/>
      <c r="K42" s="783"/>
      <c r="L42" s="783"/>
      <c r="M42" s="578"/>
    </row>
    <row r="43" spans="1:14" ht="15.75" x14ac:dyDescent="0.25">
      <c r="A43" s="162"/>
      <c r="B43" s="577"/>
      <c r="C43" s="577"/>
      <c r="D43" s="577"/>
      <c r="E43" s="577"/>
      <c r="F43" s="578"/>
      <c r="G43" s="578"/>
      <c r="H43" s="578"/>
      <c r="I43" s="578"/>
      <c r="J43" s="578"/>
      <c r="K43" s="578"/>
      <c r="L43" s="578"/>
      <c r="M43" s="578"/>
    </row>
    <row r="44" spans="1:14" ht="15.75" x14ac:dyDescent="0.25">
      <c r="A44" s="245"/>
      <c r="B44" s="778" t="s">
        <v>0</v>
      </c>
      <c r="C44" s="779"/>
      <c r="D44" s="779"/>
      <c r="E44" s="241"/>
      <c r="F44" s="578"/>
      <c r="G44" s="578"/>
      <c r="H44" s="578"/>
      <c r="I44" s="578"/>
      <c r="J44" s="578"/>
      <c r="K44" s="578"/>
      <c r="L44" s="578"/>
      <c r="M44" s="578"/>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262218.98743644601</v>
      </c>
      <c r="C47" s="309">
        <v>284136.24706419499</v>
      </c>
      <c r="D47" s="424">
        <f t="shared" ref="D47:D48" si="3">IF(B47=0, "    ---- ", IF(ABS(ROUND(100/B47*C47-100,1))&lt;999,ROUND(100/B47*C47-100,1),IF(ROUND(100/B47*C47-100,1)&gt;999,999,-999)))</f>
        <v>8.4</v>
      </c>
      <c r="E47" s="11">
        <f>IFERROR(100/'Skjema total MA'!C47*C47,0)</f>
        <v>7.1654631729384386</v>
      </c>
      <c r="F47" s="144"/>
      <c r="G47" s="32"/>
      <c r="H47" s="158"/>
      <c r="I47" s="158"/>
      <c r="J47" s="36"/>
      <c r="K47" s="36"/>
      <c r="L47" s="158"/>
      <c r="M47" s="158"/>
      <c r="N47" s="147"/>
    </row>
    <row r="48" spans="1:14" s="3" customFormat="1" ht="15.75" x14ac:dyDescent="0.2">
      <c r="A48" s="37" t="s">
        <v>375</v>
      </c>
      <c r="B48" s="279">
        <v>262218.98743644601</v>
      </c>
      <c r="C48" s="280">
        <v>284136.24706419499</v>
      </c>
      <c r="D48" s="252">
        <f t="shared" si="3"/>
        <v>8.4</v>
      </c>
      <c r="E48" s="26">
        <f>IFERROR(100/'Skjema total MA'!C48*C48,0)</f>
        <v>12.485335903371661</v>
      </c>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576"/>
      <c r="F62" s="777"/>
      <c r="G62" s="777"/>
      <c r="H62" s="777"/>
      <c r="I62" s="576"/>
      <c r="J62" s="777"/>
      <c r="K62" s="777"/>
      <c r="L62" s="777"/>
      <c r="M62" s="576"/>
    </row>
    <row r="63" spans="1:14" x14ac:dyDescent="0.2">
      <c r="A63" s="143"/>
      <c r="B63" s="778" t="s">
        <v>0</v>
      </c>
      <c r="C63" s="779"/>
      <c r="D63" s="780"/>
      <c r="E63" s="573"/>
      <c r="F63" s="779" t="s">
        <v>1</v>
      </c>
      <c r="G63" s="779"/>
      <c r="H63" s="779"/>
      <c r="I63" s="575"/>
      <c r="J63" s="778" t="s">
        <v>2</v>
      </c>
      <c r="K63" s="779"/>
      <c r="L63" s="779"/>
      <c r="M63" s="575"/>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576"/>
      <c r="F131" s="777"/>
      <c r="G131" s="777"/>
      <c r="H131" s="777"/>
      <c r="I131" s="576"/>
      <c r="J131" s="777"/>
      <c r="K131" s="777"/>
      <c r="L131" s="777"/>
      <c r="M131" s="576"/>
    </row>
    <row r="132" spans="1:14" s="3" customFormat="1" x14ac:dyDescent="0.2">
      <c r="A132" s="143"/>
      <c r="B132" s="778" t="s">
        <v>0</v>
      </c>
      <c r="C132" s="779"/>
      <c r="D132" s="779"/>
      <c r="E132" s="574"/>
      <c r="F132" s="778" t="s">
        <v>1</v>
      </c>
      <c r="G132" s="779"/>
      <c r="H132" s="779"/>
      <c r="I132" s="575"/>
      <c r="J132" s="778" t="s">
        <v>2</v>
      </c>
      <c r="K132" s="779"/>
      <c r="L132" s="779"/>
      <c r="M132" s="575"/>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1:D131"/>
    <mergeCell ref="F131:H131"/>
    <mergeCell ref="J131:L131"/>
    <mergeCell ref="B132:D132"/>
    <mergeCell ref="F132:H132"/>
    <mergeCell ref="J132:L132"/>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564" priority="82">
      <formula>kvartal &lt; 4</formula>
    </cfRule>
  </conditionalFormatting>
  <conditionalFormatting sqref="B116">
    <cfRule type="expression" dxfId="563" priority="45">
      <formula>kvartal &lt; 4</formula>
    </cfRule>
  </conditionalFormatting>
  <conditionalFormatting sqref="C116">
    <cfRule type="expression" dxfId="562" priority="44">
      <formula>kvartal &lt; 4</formula>
    </cfRule>
  </conditionalFormatting>
  <conditionalFormatting sqref="B124">
    <cfRule type="expression" dxfId="561" priority="43">
      <formula>kvartal &lt; 4</formula>
    </cfRule>
  </conditionalFormatting>
  <conditionalFormatting sqref="C124">
    <cfRule type="expression" dxfId="560" priority="42">
      <formula>kvartal &lt; 4</formula>
    </cfRule>
  </conditionalFormatting>
  <conditionalFormatting sqref="F116">
    <cfRule type="expression" dxfId="559" priority="31">
      <formula>kvartal &lt; 4</formula>
    </cfRule>
  </conditionalFormatting>
  <conditionalFormatting sqref="G116">
    <cfRule type="expression" dxfId="558" priority="30">
      <formula>kvartal &lt; 4</formula>
    </cfRule>
  </conditionalFormatting>
  <conditionalFormatting sqref="F124:G124">
    <cfRule type="expression" dxfId="557" priority="29">
      <formula>kvartal &lt; 4</formula>
    </cfRule>
  </conditionalFormatting>
  <conditionalFormatting sqref="J116:K116">
    <cfRule type="expression" dxfId="556" priority="12">
      <formula>kvartal &lt; 4</formula>
    </cfRule>
  </conditionalFormatting>
  <conditionalFormatting sqref="J124:K124">
    <cfRule type="expression" dxfId="555" priority="11">
      <formula>kvartal &lt; 4</formula>
    </cfRule>
  </conditionalFormatting>
  <conditionalFormatting sqref="A50:A52">
    <cfRule type="expression" dxfId="554" priority="8">
      <formula>kvartal &lt; 4</formula>
    </cfRule>
  </conditionalFormatting>
  <conditionalFormatting sqref="A69:A74">
    <cfRule type="expression" dxfId="553" priority="7">
      <formula>kvartal &lt; 4</formula>
    </cfRule>
  </conditionalFormatting>
  <conditionalFormatting sqref="A80:A85">
    <cfRule type="expression" dxfId="552" priority="6">
      <formula>kvartal &lt; 4</formula>
    </cfRule>
  </conditionalFormatting>
  <conditionalFormatting sqref="A90:A95">
    <cfRule type="expression" dxfId="551" priority="5">
      <formula>kvartal &lt; 4</formula>
    </cfRule>
  </conditionalFormatting>
  <conditionalFormatting sqref="A102:A107">
    <cfRule type="expression" dxfId="550" priority="4">
      <formula>kvartal &lt; 4</formula>
    </cfRule>
  </conditionalFormatting>
  <conditionalFormatting sqref="A116">
    <cfRule type="expression" dxfId="549" priority="3">
      <formula>kvartal &lt; 4</formula>
    </cfRule>
  </conditionalFormatting>
  <conditionalFormatting sqref="A124">
    <cfRule type="expression" dxfId="548" priority="2">
      <formula>kvartal &lt; 4</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71</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c r="C7" s="305"/>
      <c r="D7" s="348"/>
      <c r="E7" s="11"/>
      <c r="F7" s="304">
        <v>43820.113420000001</v>
      </c>
      <c r="G7" s="305">
        <v>56762.975140000002</v>
      </c>
      <c r="H7" s="348">
        <f>IF(F7=0, "    ---- ", IF(ABS(ROUND(100/F7*G7-100,1))&lt;999,ROUND(100/F7*G7-100,1),IF(ROUND(100/F7*G7-100,1)&gt;999,999,-999)))</f>
        <v>29.5</v>
      </c>
      <c r="I7" s="159">
        <f>IFERROR(100/'Skjema total MA'!F7*G7,0)</f>
        <v>0.73276788420540206</v>
      </c>
      <c r="J7" s="306">
        <f t="shared" ref="J7:K12" si="0">SUM(B7,F7)</f>
        <v>43820.113420000001</v>
      </c>
      <c r="K7" s="307">
        <f t="shared" si="0"/>
        <v>56762.975140000002</v>
      </c>
      <c r="L7" s="424">
        <f>IF(J7=0, "    ---- ", IF(ABS(ROUND(100/J7*K7-100,1))&lt;999,ROUND(100/J7*K7-100,1),IF(ROUND(100/J7*K7-100,1)&gt;999,999,-999)))</f>
        <v>29.5</v>
      </c>
      <c r="M7" s="11">
        <f>IFERROR(100/'Skjema total MA'!I7*K7,0)</f>
        <v>0.5399372245782067</v>
      </c>
    </row>
    <row r="8" spans="1:14" ht="15.75" x14ac:dyDescent="0.2">
      <c r="A8" s="20" t="s">
        <v>25</v>
      </c>
      <c r="B8" s="279"/>
      <c r="C8" s="280"/>
      <c r="D8" s="165"/>
      <c r="E8" s="26"/>
      <c r="F8" s="283"/>
      <c r="G8" s="284"/>
      <c r="H8" s="165"/>
      <c r="I8" s="174"/>
      <c r="J8" s="232"/>
      <c r="K8" s="285"/>
      <c r="L8" s="165"/>
      <c r="M8" s="26"/>
    </row>
    <row r="9" spans="1:14" ht="15.75" x14ac:dyDescent="0.2">
      <c r="A9" s="20" t="s">
        <v>24</v>
      </c>
      <c r="B9" s="279"/>
      <c r="C9" s="280"/>
      <c r="D9" s="165"/>
      <c r="E9" s="26"/>
      <c r="F9" s="283"/>
      <c r="G9" s="284"/>
      <c r="H9" s="165"/>
      <c r="I9" s="174"/>
      <c r="J9" s="232"/>
      <c r="K9" s="285"/>
      <c r="L9" s="165"/>
      <c r="M9" s="26"/>
    </row>
    <row r="10" spans="1:14" ht="15.75" x14ac:dyDescent="0.2">
      <c r="A10" s="13" t="s">
        <v>364</v>
      </c>
      <c r="B10" s="308"/>
      <c r="C10" s="309"/>
      <c r="D10" s="170"/>
      <c r="E10" s="11"/>
      <c r="F10" s="308">
        <v>915274.03810000001</v>
      </c>
      <c r="G10" s="309">
        <v>1226112.6529099999</v>
      </c>
      <c r="H10" s="170">
        <f t="shared" ref="H10:H12" si="1">IF(F10=0, "    ---- ", IF(ABS(ROUND(100/F10*G10-100,1))&lt;999,ROUND(100/F10*G10-100,1),IF(ROUND(100/F10*G10-100,1)&gt;999,999,-999)))</f>
        <v>34</v>
      </c>
      <c r="I10" s="159">
        <f>IFERROR(100/'Skjema total MA'!F10*G10,0)</f>
        <v>1.7460156051725659</v>
      </c>
      <c r="J10" s="306">
        <f t="shared" si="0"/>
        <v>915274.03810000001</v>
      </c>
      <c r="K10" s="307">
        <f t="shared" si="0"/>
        <v>1226112.6529099999</v>
      </c>
      <c r="L10" s="425">
        <f t="shared" ref="L10:L12" si="2">IF(J10=0, "    ---- ", IF(ABS(ROUND(100/J10*K10-100,1))&lt;999,ROUND(100/J10*K10-100,1),IF(ROUND(100/J10*K10-100,1)&gt;999,999,-999)))</f>
        <v>34</v>
      </c>
      <c r="M10" s="11">
        <f>IFERROR(100/'Skjema total MA'!I10*K10,0)</f>
        <v>1.3988574462073577</v>
      </c>
    </row>
    <row r="11" spans="1:14" s="42" customFormat="1" ht="15.75" x14ac:dyDescent="0.2">
      <c r="A11" s="13" t="s">
        <v>365</v>
      </c>
      <c r="B11" s="308"/>
      <c r="C11" s="309"/>
      <c r="D11" s="170"/>
      <c r="E11" s="11"/>
      <c r="F11" s="308">
        <v>6877.18</v>
      </c>
      <c r="G11" s="309">
        <v>4936.8389999999999</v>
      </c>
      <c r="H11" s="170">
        <f t="shared" si="1"/>
        <v>-28.2</v>
      </c>
      <c r="I11" s="159">
        <f>IFERROR(100/'Skjema total MA'!F11*G11,0)</f>
        <v>1.9048391098059387</v>
      </c>
      <c r="J11" s="306">
        <f t="shared" si="0"/>
        <v>6877.18</v>
      </c>
      <c r="K11" s="307">
        <f t="shared" si="0"/>
        <v>4936.8389999999999</v>
      </c>
      <c r="L11" s="425">
        <f t="shared" si="2"/>
        <v>-28.2</v>
      </c>
      <c r="M11" s="11">
        <f>IFERROR(100/'Skjema total MA'!I11*K11,0)</f>
        <v>1.7401768645302884</v>
      </c>
      <c r="N11" s="142"/>
    </row>
    <row r="12" spans="1:14" s="42" customFormat="1" ht="15.75" x14ac:dyDescent="0.2">
      <c r="A12" s="40" t="s">
        <v>366</v>
      </c>
      <c r="B12" s="310"/>
      <c r="C12" s="311"/>
      <c r="D12" s="168"/>
      <c r="E12" s="35"/>
      <c r="F12" s="310">
        <v>255.10544999999999</v>
      </c>
      <c r="G12" s="311">
        <v>1590.05087</v>
      </c>
      <c r="H12" s="168">
        <f t="shared" si="1"/>
        <v>523.29999999999995</v>
      </c>
      <c r="I12" s="168">
        <f>IFERROR(100/'Skjema total MA'!F12*G12,0)</f>
        <v>1.6033125921852682</v>
      </c>
      <c r="J12" s="312">
        <f t="shared" si="0"/>
        <v>255.10544999999999</v>
      </c>
      <c r="K12" s="313">
        <f t="shared" si="0"/>
        <v>1590.05087</v>
      </c>
      <c r="L12" s="426">
        <f t="shared" si="2"/>
        <v>523.29999999999995</v>
      </c>
      <c r="M12" s="35">
        <f>IFERROR(100/'Skjema total MA'!I12*K12,0)</f>
        <v>1.5456466841169181</v>
      </c>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v>23325.158650000001</v>
      </c>
      <c r="G22" s="316">
        <v>26256.761269999999</v>
      </c>
      <c r="H22" s="348">
        <f t="shared" ref="H22:H35" si="3">IF(F22=0, "    ---- ", IF(ABS(ROUND(100/F22*G22-100,1))&lt;999,ROUND(100/F22*G22-100,1),IF(ROUND(100/F22*G22-100,1)&gt;999,999,-999)))</f>
        <v>12.6</v>
      </c>
      <c r="I22" s="11">
        <f>IFERROR(100/'Skjema total MA'!F22*G22,0)</f>
        <v>3.276040494673004</v>
      </c>
      <c r="J22" s="314">
        <f t="shared" ref="J22:K35" si="4">SUM(B22,F22)</f>
        <v>23325.158650000001</v>
      </c>
      <c r="K22" s="314">
        <f t="shared" si="4"/>
        <v>26256.761269999999</v>
      </c>
      <c r="L22" s="424">
        <f t="shared" ref="L22:L35" si="5">IF(J22=0, "    ---- ", IF(ABS(ROUND(100/J22*K22-100,1))&lt;999,ROUND(100/J22*K22-100,1),IF(ROUND(100/J22*K22-100,1)&gt;999,999,-999)))</f>
        <v>12.6</v>
      </c>
      <c r="M22" s="23">
        <f>IFERROR(100/'Skjema total MA'!I22*K22,0)</f>
        <v>1.3659429463852084</v>
      </c>
    </row>
    <row r="23" spans="1:14" ht="15.75" x14ac:dyDescent="0.2">
      <c r="A23" s="580" t="s">
        <v>367</v>
      </c>
      <c r="B23" s="279"/>
      <c r="C23" s="279"/>
      <c r="D23" s="165"/>
      <c r="E23" s="11"/>
      <c r="F23" s="288">
        <v>138.82565</v>
      </c>
      <c r="G23" s="288">
        <v>228.60195999999999</v>
      </c>
      <c r="H23" s="165">
        <f t="shared" si="3"/>
        <v>64.7</v>
      </c>
      <c r="I23" s="414">
        <f>IFERROR(100/'Skjema total MA'!F23*G23,0)</f>
        <v>0.1582730803279486</v>
      </c>
      <c r="J23" s="288">
        <f t="shared" ref="J23:J26" si="6">SUM(B23,F23)</f>
        <v>138.82565</v>
      </c>
      <c r="K23" s="288">
        <f t="shared" ref="K23:K26" si="7">SUM(C23,G23)</f>
        <v>228.60195999999999</v>
      </c>
      <c r="L23" s="165">
        <f t="shared" si="5"/>
        <v>64.7</v>
      </c>
      <c r="M23" s="22">
        <f>IFERROR(100/'Skjema total MA'!I23*K23,0)</f>
        <v>3.8542238383453394E-2</v>
      </c>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v>23186.332999999999</v>
      </c>
      <c r="G26" s="288">
        <v>26028.159309999999</v>
      </c>
      <c r="H26" s="165">
        <f t="shared" si="3"/>
        <v>12.3</v>
      </c>
      <c r="I26" s="414">
        <f>IFERROR(100/'Skjema total MA'!F26*G26,0)</f>
        <v>4.0108692780801727</v>
      </c>
      <c r="J26" s="288">
        <f t="shared" si="6"/>
        <v>23186.332999999999</v>
      </c>
      <c r="K26" s="288">
        <f t="shared" si="7"/>
        <v>26028.159309999999</v>
      </c>
      <c r="L26" s="165">
        <f t="shared" si="5"/>
        <v>12.3</v>
      </c>
      <c r="M26" s="22">
        <f>IFERROR(100/'Skjema total MA'!I26*K26,0)</f>
        <v>4.0108692780801727</v>
      </c>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c r="C29" s="234"/>
      <c r="D29" s="170"/>
      <c r="E29" s="11"/>
      <c r="F29" s="306">
        <v>903812.19882000005</v>
      </c>
      <c r="G29" s="306">
        <v>1092542.1240300001</v>
      </c>
      <c r="H29" s="170">
        <f t="shared" si="3"/>
        <v>20.9</v>
      </c>
      <c r="I29" s="11">
        <f>IFERROR(100/'Skjema total MA'!F29*G29,0)</f>
        <v>4.2534821584543518</v>
      </c>
      <c r="J29" s="234">
        <f t="shared" si="4"/>
        <v>903812.19882000005</v>
      </c>
      <c r="K29" s="234">
        <f t="shared" si="4"/>
        <v>1092542.1240300001</v>
      </c>
      <c r="L29" s="425">
        <f t="shared" si="5"/>
        <v>20.9</v>
      </c>
      <c r="M29" s="23">
        <f>IFERROR(100/'Skjema total MA'!I29*K29,0)</f>
        <v>1.533724119859281</v>
      </c>
      <c r="N29" s="147"/>
    </row>
    <row r="30" spans="1:14" s="3" customFormat="1" ht="15.75" x14ac:dyDescent="0.2">
      <c r="A30" s="580" t="s">
        <v>367</v>
      </c>
      <c r="B30" s="279"/>
      <c r="C30" s="279"/>
      <c r="D30" s="165"/>
      <c r="E30" s="11"/>
      <c r="F30" s="288">
        <v>115078.35593999999</v>
      </c>
      <c r="G30" s="288">
        <v>123900.11773</v>
      </c>
      <c r="H30" s="165">
        <f t="shared" si="3"/>
        <v>7.7</v>
      </c>
      <c r="I30" s="414">
        <f>IFERROR(100/'Skjema total MA'!F30*G30,0)</f>
        <v>2.9724840422507284</v>
      </c>
      <c r="J30" s="288">
        <f t="shared" ref="J30:J33" si="8">SUM(B30,F30)</f>
        <v>115078.35593999999</v>
      </c>
      <c r="K30" s="288">
        <f t="shared" ref="K30:K33" si="9">SUM(C30,G30)</f>
        <v>123900.11773</v>
      </c>
      <c r="L30" s="165">
        <f t="shared" si="5"/>
        <v>7.7</v>
      </c>
      <c r="M30" s="22">
        <f>IFERROR(100/'Skjema total MA'!I30*K30,0)</f>
        <v>0.70005602325935457</v>
      </c>
      <c r="N30" s="147"/>
    </row>
    <row r="31" spans="1:14" s="3" customFormat="1" ht="15.75" x14ac:dyDescent="0.2">
      <c r="A31" s="580" t="s">
        <v>368</v>
      </c>
      <c r="B31" s="279"/>
      <c r="C31" s="279"/>
      <c r="D31" s="165"/>
      <c r="E31" s="11"/>
      <c r="F31" s="288">
        <v>611409.31596000004</v>
      </c>
      <c r="G31" s="288">
        <v>672381.57799999998</v>
      </c>
      <c r="H31" s="165">
        <f t="shared" si="3"/>
        <v>10</v>
      </c>
      <c r="I31" s="414">
        <f>IFERROR(100/'Skjema total MA'!F31*G31,0)</f>
        <v>6.9449140340287077</v>
      </c>
      <c r="J31" s="288">
        <f t="shared" si="8"/>
        <v>611409.31596000004</v>
      </c>
      <c r="K31" s="288">
        <f t="shared" si="9"/>
        <v>672381.57799999998</v>
      </c>
      <c r="L31" s="165">
        <f t="shared" si="5"/>
        <v>10</v>
      </c>
      <c r="M31" s="22">
        <f>IFERROR(100/'Skjema total MA'!I31*K31,0)</f>
        <v>2.0632224651516928</v>
      </c>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v>177324.52692</v>
      </c>
      <c r="G33" s="288">
        <v>296260.42830000003</v>
      </c>
      <c r="H33" s="165">
        <f t="shared" si="3"/>
        <v>67.099999999999994</v>
      </c>
      <c r="I33" s="414">
        <f>IFERROR(100/'Skjema total MA'!F34*G33,0)</f>
        <v>1372.2521694001198</v>
      </c>
      <c r="J33" s="288">
        <f t="shared" si="8"/>
        <v>177324.52692</v>
      </c>
      <c r="K33" s="288">
        <f t="shared" si="9"/>
        <v>296260.42830000003</v>
      </c>
      <c r="L33" s="165">
        <f t="shared" si="5"/>
        <v>67.099999999999994</v>
      </c>
      <c r="M33" s="22">
        <f>IFERROR(100/'Skjema total MA'!I34*K33,0)</f>
        <v>1087.164165920781</v>
      </c>
    </row>
    <row r="34" spans="1:14" ht="15.75" x14ac:dyDescent="0.2">
      <c r="A34" s="13" t="s">
        <v>365</v>
      </c>
      <c r="B34" s="234"/>
      <c r="C34" s="307"/>
      <c r="D34" s="170"/>
      <c r="E34" s="11"/>
      <c r="F34" s="306">
        <v>3773.529</v>
      </c>
      <c r="G34" s="307">
        <v>3993.4789999999998</v>
      </c>
      <c r="H34" s="170">
        <f t="shared" si="3"/>
        <v>5.8</v>
      </c>
      <c r="I34" s="11">
        <f>IFERROR(100/'Skjema total MA'!F34*G34,0)</f>
        <v>18.49744244497813</v>
      </c>
      <c r="J34" s="234">
        <f t="shared" si="4"/>
        <v>3773.529</v>
      </c>
      <c r="K34" s="234">
        <f t="shared" si="4"/>
        <v>3993.4789999999998</v>
      </c>
      <c r="L34" s="425">
        <f t="shared" si="5"/>
        <v>5.8</v>
      </c>
      <c r="M34" s="23">
        <f>IFERROR(100/'Skjema total MA'!I34*K34,0)</f>
        <v>14.654563523957323</v>
      </c>
    </row>
    <row r="35" spans="1:14" ht="15.75" x14ac:dyDescent="0.2">
      <c r="A35" s="13" t="s">
        <v>366</v>
      </c>
      <c r="B35" s="234"/>
      <c r="C35" s="307"/>
      <c r="D35" s="170"/>
      <c r="E35" s="11"/>
      <c r="F35" s="306">
        <v>2534.1643800000002</v>
      </c>
      <c r="G35" s="307">
        <v>11812.36808</v>
      </c>
      <c r="H35" s="170">
        <f t="shared" si="3"/>
        <v>366.1</v>
      </c>
      <c r="I35" s="11">
        <f>IFERROR(100/'Skjema total MA'!F35*G35,0)</f>
        <v>10.724935626853293</v>
      </c>
      <c r="J35" s="234">
        <f t="shared" si="4"/>
        <v>2534.1643800000002</v>
      </c>
      <c r="K35" s="234">
        <f t="shared" si="4"/>
        <v>11812.36808</v>
      </c>
      <c r="L35" s="425">
        <f t="shared" si="5"/>
        <v>366.1</v>
      </c>
      <c r="M35" s="23">
        <f>IFERROR(100/'Skjema total MA'!I35*K35,0)</f>
        <v>26.654371077635744</v>
      </c>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c r="C47" s="309"/>
      <c r="D47" s="424"/>
      <c r="E47" s="11"/>
      <c r="F47" s="144"/>
      <c r="G47" s="32"/>
      <c r="H47" s="158"/>
      <c r="I47" s="158"/>
      <c r="J47" s="36"/>
      <c r="K47" s="36"/>
      <c r="L47" s="158"/>
      <c r="M47" s="158"/>
      <c r="N47" s="147"/>
    </row>
    <row r="48" spans="1:14" s="3" customFormat="1" ht="15.75" x14ac:dyDescent="0.2">
      <c r="A48" s="37" t="s">
        <v>375</v>
      </c>
      <c r="B48" s="279"/>
      <c r="C48" s="280"/>
      <c r="D48" s="252"/>
      <c r="E48" s="26"/>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v>52.11148</v>
      </c>
      <c r="G66" s="350">
        <v>54.71349</v>
      </c>
      <c r="H66" s="348">
        <f t="shared" ref="H66:H112" si="10">IF(F66=0, "    ---- ", IF(ABS(ROUND(100/F66*G66-100,1))&lt;999,ROUND(100/F66*G66-100,1),IF(ROUND(100/F66*G66-100,1)&gt;999,999,-999)))</f>
        <v>5</v>
      </c>
      <c r="I66" s="11">
        <f>IFERROR(100/'Skjema total MA'!F66*G66,0)</f>
        <v>2.9389955502734909E-4</v>
      </c>
      <c r="J66" s="307">
        <f t="shared" ref="J66:K86" si="11">SUM(B66,F66)</f>
        <v>52.11148</v>
      </c>
      <c r="K66" s="314">
        <f t="shared" si="11"/>
        <v>54.71349</v>
      </c>
      <c r="L66" s="425">
        <f t="shared" ref="L66:L112" si="12">IF(J66=0, "    ---- ", IF(ABS(ROUND(100/J66*K66-100,1))&lt;999,ROUND(100/J66*K66-100,1),IF(ROUND(100/J66*K66-100,1)&gt;999,999,-999)))</f>
        <v>5</v>
      </c>
      <c r="M66" s="11">
        <f>IFERROR(100/'Skjema total MA'!I66*K66,0)</f>
        <v>2.3486544563789037E-4</v>
      </c>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v>52.11148</v>
      </c>
      <c r="G68" s="737">
        <v>54.71349</v>
      </c>
      <c r="H68" s="165">
        <f t="shared" si="10"/>
        <v>5</v>
      </c>
      <c r="I68" s="26">
        <f>IFERROR(100/'Skjema total MA'!F68*G68,0)</f>
        <v>3.0604972609815927E-4</v>
      </c>
      <c r="J68" s="285">
        <f t="shared" si="11"/>
        <v>52.11148</v>
      </c>
      <c r="K68" s="43">
        <f t="shared" si="11"/>
        <v>54.71349</v>
      </c>
      <c r="L68" s="252">
        <f t="shared" si="12"/>
        <v>5</v>
      </c>
      <c r="M68" s="26">
        <f>IFERROR(100/'Skjema total MA'!I68*K68,0)</f>
        <v>3.0563066293432439E-4</v>
      </c>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v>52.11148</v>
      </c>
      <c r="G86" s="144">
        <v>54.71349</v>
      </c>
      <c r="H86" s="165">
        <f t="shared" si="10"/>
        <v>5</v>
      </c>
      <c r="I86" s="26">
        <f>IFERROR(100/'Skjema total MA'!F86*G86,0)</f>
        <v>0.8679067331630852</v>
      </c>
      <c r="J86" s="285">
        <f t="shared" si="11"/>
        <v>52.11148</v>
      </c>
      <c r="K86" s="43">
        <f t="shared" si="11"/>
        <v>54.71349</v>
      </c>
      <c r="L86" s="252">
        <f t="shared" si="12"/>
        <v>5</v>
      </c>
      <c r="M86" s="26">
        <f>IFERROR(100/'Skjema total MA'!I86*K86,0)</f>
        <v>6.028616139441146E-2</v>
      </c>
    </row>
    <row r="87" spans="1:13" ht="15.75" x14ac:dyDescent="0.2">
      <c r="A87" s="13" t="s">
        <v>364</v>
      </c>
      <c r="B87" s="351"/>
      <c r="C87" s="351"/>
      <c r="D87" s="170"/>
      <c r="E87" s="11"/>
      <c r="F87" s="350">
        <v>694980.44322000002</v>
      </c>
      <c r="G87" s="350">
        <v>910459.78596999997</v>
      </c>
      <c r="H87" s="170">
        <f t="shared" si="10"/>
        <v>31</v>
      </c>
      <c r="I87" s="11">
        <f>IFERROR(100/'Skjema total MA'!F87*G87,0)</f>
        <v>0.21759990313878258</v>
      </c>
      <c r="J87" s="307">
        <f t="shared" ref="J87:K112" si="13">SUM(B87,F87)</f>
        <v>694980.44322000002</v>
      </c>
      <c r="K87" s="234">
        <f t="shared" si="13"/>
        <v>910459.78596999997</v>
      </c>
      <c r="L87" s="425">
        <f t="shared" si="12"/>
        <v>31</v>
      </c>
      <c r="M87" s="11">
        <f>IFERROR(100/'Skjema total MA'!I87*K87,0)</f>
        <v>0.11089794025675154</v>
      </c>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v>694980.44322000002</v>
      </c>
      <c r="G89" s="144">
        <v>910459.78596999997</v>
      </c>
      <c r="H89" s="165">
        <f t="shared" si="10"/>
        <v>31</v>
      </c>
      <c r="I89" s="26">
        <f>IFERROR(100/'Skjema total MA'!F89*G89,0)</f>
        <v>0.21974668080187029</v>
      </c>
      <c r="J89" s="285">
        <f t="shared" si="13"/>
        <v>694980.44322000002</v>
      </c>
      <c r="K89" s="43">
        <f t="shared" si="13"/>
        <v>910459.78596999997</v>
      </c>
      <c r="L89" s="252">
        <f t="shared" si="12"/>
        <v>31</v>
      </c>
      <c r="M89" s="26">
        <f>IFERROR(100/'Skjema total MA'!I89*K89,0)</f>
        <v>0.21812236985527592</v>
      </c>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v>694980.44322000002</v>
      </c>
      <c r="G108" s="144">
        <v>910459.78596999997</v>
      </c>
      <c r="H108" s="165">
        <f t="shared" si="10"/>
        <v>31</v>
      </c>
      <c r="I108" s="26">
        <f>IFERROR(100/'Skjema total MA'!F108*G108,0)</f>
        <v>81.570438090823501</v>
      </c>
      <c r="J108" s="285">
        <f t="shared" si="13"/>
        <v>694980.44322000002</v>
      </c>
      <c r="K108" s="43">
        <f t="shared" si="13"/>
        <v>910459.78596999997</v>
      </c>
      <c r="L108" s="252">
        <f t="shared" si="12"/>
        <v>31</v>
      </c>
      <c r="M108" s="26">
        <f>IFERROR(100/'Skjema total MA'!I108*K108,0)</f>
        <v>16.427950295898221</v>
      </c>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v>527914.53951000003</v>
      </c>
      <c r="G110" s="232">
        <v>713364.46713999996</v>
      </c>
      <c r="H110" s="165">
        <f t="shared" si="10"/>
        <v>35.1</v>
      </c>
      <c r="I110" s="26">
        <f>IFERROR(100/'Skjema total MA'!F110*G110,0)</f>
        <v>0.48136072925462053</v>
      </c>
      <c r="J110" s="285">
        <f t="shared" si="13"/>
        <v>527914.53951000003</v>
      </c>
      <c r="K110" s="43">
        <f t="shared" si="13"/>
        <v>713364.46713999996</v>
      </c>
      <c r="L110" s="252">
        <f t="shared" si="12"/>
        <v>35.1</v>
      </c>
      <c r="M110" s="26">
        <f>IFERROR(100/'Skjema total MA'!I110*K110,0)</f>
        <v>0.47626421678388342</v>
      </c>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v>48745.726999999999</v>
      </c>
      <c r="G112" s="158">
        <v>53291.790999999997</v>
      </c>
      <c r="H112" s="170">
        <f t="shared" si="10"/>
        <v>9.3000000000000007</v>
      </c>
      <c r="I112" s="11">
        <f>IFERROR(100/'Skjema total MA'!F112*G112,0)</f>
        <v>0.18234298032977453</v>
      </c>
      <c r="J112" s="307">
        <f t="shared" si="13"/>
        <v>48745.726999999999</v>
      </c>
      <c r="K112" s="234">
        <f t="shared" si="13"/>
        <v>53291.790999999997</v>
      </c>
      <c r="L112" s="425">
        <f t="shared" si="12"/>
        <v>9.3000000000000007</v>
      </c>
      <c r="M112" s="11">
        <f>IFERROR(100/'Skjema total MA'!I112*K112,0)</f>
        <v>0.1807365189506544</v>
      </c>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v>48745.726999999999</v>
      </c>
      <c r="G114" s="144">
        <v>53291.790999999997</v>
      </c>
      <c r="H114" s="165">
        <f t="shared" ref="H114:H126" si="14">IF(F114=0, "    ---- ", IF(ABS(ROUND(100/F114*G114-100,1))&lt;999,ROUND(100/F114*G114-100,1),IF(ROUND(100/F114*G114-100,1)&gt;999,999,-999)))</f>
        <v>9.3000000000000007</v>
      </c>
      <c r="I114" s="26">
        <f>IFERROR(100/'Skjema total MA'!F114*G114,0)</f>
        <v>0.18240898171782763</v>
      </c>
      <c r="J114" s="285">
        <f t="shared" ref="J114:K126" si="15">SUM(B114,F114)</f>
        <v>48745.726999999999</v>
      </c>
      <c r="K114" s="43">
        <f t="shared" si="15"/>
        <v>53291.790999999997</v>
      </c>
      <c r="L114" s="252">
        <f t="shared" ref="L114:L126" si="16">IF(J114=0, "    ---- ", IF(ABS(ROUND(100/J114*K114-100,1))&lt;999,ROUND(100/J114*K114-100,1),IF(ROUND(100/J114*K114-100,1)&gt;999,999,-999)))</f>
        <v>9.3000000000000007</v>
      </c>
      <c r="M114" s="26">
        <f>IFERROR(100/'Skjema total MA'!I114*K114,0)</f>
        <v>0.18240771947607715</v>
      </c>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v>48745.726999999999</v>
      </c>
      <c r="G118" s="232">
        <v>53291.790999999997</v>
      </c>
      <c r="H118" s="165">
        <f t="shared" si="14"/>
        <v>9.3000000000000007</v>
      </c>
      <c r="I118" s="26">
        <f>IFERROR(100/'Skjema total MA'!F118*G118,0)</f>
        <v>3.9235125546265319</v>
      </c>
      <c r="J118" s="285">
        <f t="shared" si="15"/>
        <v>48745.726999999999</v>
      </c>
      <c r="K118" s="43">
        <f t="shared" si="15"/>
        <v>53291.790999999997</v>
      </c>
      <c r="L118" s="252">
        <f t="shared" si="16"/>
        <v>9.3000000000000007</v>
      </c>
      <c r="M118" s="26">
        <f>IFERROR(100/'Skjema total MA'!I118*K118,0)</f>
        <v>3.9235125546265319</v>
      </c>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v>3502.4160099999999</v>
      </c>
      <c r="G120" s="158">
        <v>56724.709649999997</v>
      </c>
      <c r="H120" s="170">
        <f t="shared" si="14"/>
        <v>999</v>
      </c>
      <c r="I120" s="11">
        <f>IFERROR(100/'Skjema total MA'!F120*G120,0)</f>
        <v>0.16790640596705717</v>
      </c>
      <c r="J120" s="307">
        <f t="shared" si="15"/>
        <v>3502.4160099999999</v>
      </c>
      <c r="K120" s="234">
        <f t="shared" si="15"/>
        <v>56724.709649999997</v>
      </c>
      <c r="L120" s="425">
        <f t="shared" si="16"/>
        <v>999</v>
      </c>
      <c r="M120" s="11">
        <f>IFERROR(100/'Skjema total MA'!I120*K120,0)</f>
        <v>0.16615480702020333</v>
      </c>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v>3502.4160099999999</v>
      </c>
      <c r="G122" s="144">
        <v>56724.709649999997</v>
      </c>
      <c r="H122" s="165">
        <f t="shared" si="14"/>
        <v>999</v>
      </c>
      <c r="I122" s="26">
        <f>IFERROR(100/'Skjema total MA'!F122*G122,0)</f>
        <v>0.16790640596705717</v>
      </c>
      <c r="J122" s="285">
        <f t="shared" si="15"/>
        <v>3502.4160099999999</v>
      </c>
      <c r="K122" s="43">
        <f t="shared" si="15"/>
        <v>56724.709649999997</v>
      </c>
      <c r="L122" s="252">
        <f t="shared" si="16"/>
        <v>999</v>
      </c>
      <c r="M122" s="26">
        <f>IFERROR(100/'Skjema total MA'!I122*K122,0)</f>
        <v>0.16787348167690663</v>
      </c>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v>3502.4160099999999</v>
      </c>
      <c r="G126" s="232">
        <v>56724.709649999997</v>
      </c>
      <c r="H126" s="165">
        <f t="shared" si="14"/>
        <v>999</v>
      </c>
      <c r="I126" s="26">
        <f>IFERROR(100/'Skjema total MA'!F126*G126,0)</f>
        <v>0.51998134354472858</v>
      </c>
      <c r="J126" s="285">
        <f t="shared" si="15"/>
        <v>3502.4160099999999</v>
      </c>
      <c r="K126" s="43">
        <f t="shared" si="15"/>
        <v>56724.709649999997</v>
      </c>
      <c r="L126" s="252">
        <f t="shared" si="16"/>
        <v>999</v>
      </c>
      <c r="M126" s="26">
        <f>IFERROR(100/'Skjema total MA'!I126*K126,0)</f>
        <v>0.51988827370319401</v>
      </c>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547" priority="132">
      <formula>kvartal &lt; 4</formula>
    </cfRule>
  </conditionalFormatting>
  <conditionalFormatting sqref="B116">
    <cfRule type="expression" dxfId="546" priority="76">
      <formula>kvartal &lt; 4</formula>
    </cfRule>
  </conditionalFormatting>
  <conditionalFormatting sqref="C116">
    <cfRule type="expression" dxfId="545" priority="75">
      <formula>kvartal &lt; 4</formula>
    </cfRule>
  </conditionalFormatting>
  <conditionalFormatting sqref="B124">
    <cfRule type="expression" dxfId="544" priority="74">
      <formula>kvartal &lt; 4</formula>
    </cfRule>
  </conditionalFormatting>
  <conditionalFormatting sqref="C124">
    <cfRule type="expression" dxfId="543" priority="73">
      <formula>kvartal &lt; 4</formula>
    </cfRule>
  </conditionalFormatting>
  <conditionalFormatting sqref="F116">
    <cfRule type="expression" dxfId="542" priority="58">
      <formula>kvartal &lt; 4</formula>
    </cfRule>
  </conditionalFormatting>
  <conditionalFormatting sqref="G116">
    <cfRule type="expression" dxfId="541" priority="57">
      <formula>kvartal &lt; 4</formula>
    </cfRule>
  </conditionalFormatting>
  <conditionalFormatting sqref="F124:G124">
    <cfRule type="expression" dxfId="540" priority="56">
      <formula>kvartal &lt; 4</formula>
    </cfRule>
  </conditionalFormatting>
  <conditionalFormatting sqref="J116:K116">
    <cfRule type="expression" dxfId="539" priority="32">
      <formula>kvartal &lt; 4</formula>
    </cfRule>
  </conditionalFormatting>
  <conditionalFormatting sqref="J124:K124">
    <cfRule type="expression" dxfId="538" priority="31">
      <formula>kvartal &lt; 4</formula>
    </cfRule>
  </conditionalFormatting>
  <conditionalFormatting sqref="A50:A52">
    <cfRule type="expression" dxfId="537" priority="12">
      <formula>kvartal &lt; 4</formula>
    </cfRule>
  </conditionalFormatting>
  <conditionalFormatting sqref="A69:A74">
    <cfRule type="expression" dxfId="536" priority="10">
      <formula>kvartal &lt; 4</formula>
    </cfRule>
  </conditionalFormatting>
  <conditionalFormatting sqref="A80:A85">
    <cfRule type="expression" dxfId="535" priority="9">
      <formula>kvartal &lt; 4</formula>
    </cfRule>
  </conditionalFormatting>
  <conditionalFormatting sqref="A90:A95">
    <cfRule type="expression" dxfId="534" priority="6">
      <formula>kvartal &lt; 4</formula>
    </cfRule>
  </conditionalFormatting>
  <conditionalFormatting sqref="A102:A107">
    <cfRule type="expression" dxfId="533" priority="5">
      <formula>kvartal &lt; 4</formula>
    </cfRule>
  </conditionalFormatting>
  <conditionalFormatting sqref="A116">
    <cfRule type="expression" dxfId="532" priority="4">
      <formula>kvartal &lt; 4</formula>
    </cfRule>
  </conditionalFormatting>
  <conditionalFormatting sqref="A124">
    <cfRule type="expression" dxfId="531" priority="3">
      <formula>kvartal &lt; 4</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5"/>
  <sheetViews>
    <sheetView showGridLines="0" zoomScaleNormal="100" workbookViewId="0">
      <selection activeCell="D99" sqref="D99"/>
    </sheetView>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132</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v>3568.1770999999999</v>
      </c>
      <c r="C7" s="305">
        <v>2878.3163399999999</v>
      </c>
      <c r="D7" s="348">
        <f>IF(B7=0, "    ---- ", IF(ABS(ROUND(100/B7*C7-100,1))&lt;999,ROUND(100/B7*C7-100,1),IF(ROUND(100/B7*C7-100,1)&gt;999,999,-999)))</f>
        <v>-19.3</v>
      </c>
      <c r="E7" s="11">
        <f>IFERROR(100/'Skjema total MA'!C7*C7,0)</f>
        <v>0.10404159049043961</v>
      </c>
      <c r="F7" s="304">
        <v>221672.35461000001</v>
      </c>
      <c r="G7" s="305">
        <v>310457.60495000001</v>
      </c>
      <c r="H7" s="348">
        <f>IF(F7=0, "    ---- ", IF(ABS(ROUND(100/F7*G7-100,1))&lt;999,ROUND(100/F7*G7-100,1),IF(ROUND(100/F7*G7-100,1)&gt;999,999,-999)))</f>
        <v>40.1</v>
      </c>
      <c r="I7" s="159">
        <f>IFERROR(100/'Skjema total MA'!F7*G7,0)</f>
        <v>4.0077772835831675</v>
      </c>
      <c r="J7" s="306">
        <f t="shared" ref="J7:K12" si="0">SUM(B7,F7)</f>
        <v>225240.53171000001</v>
      </c>
      <c r="K7" s="307">
        <f t="shared" si="0"/>
        <v>313335.92129000003</v>
      </c>
      <c r="L7" s="424">
        <f>IF(J7=0, "    ---- ", IF(ABS(ROUND(100/J7*K7-100,1))&lt;999,ROUND(100/J7*K7-100,1),IF(ROUND(100/J7*K7-100,1)&gt;999,999,-999)))</f>
        <v>39.1</v>
      </c>
      <c r="M7" s="11">
        <f>IFERROR(100/'Skjema total MA'!I7*K7,0)</f>
        <v>2.980494367758364</v>
      </c>
    </row>
    <row r="8" spans="1:14" ht="15.75" x14ac:dyDescent="0.2">
      <c r="A8" s="20" t="s">
        <v>25</v>
      </c>
      <c r="B8" s="279">
        <v>3072.5246299999999</v>
      </c>
      <c r="C8" s="280">
        <v>2719.94694999999</v>
      </c>
      <c r="D8" s="165">
        <f t="shared" ref="D8:D10" si="1">IF(B8=0, "    ---- ", IF(ABS(ROUND(100/B8*C8-100,1))&lt;999,ROUND(100/B8*C8-100,1),IF(ROUND(100/B8*C8-100,1)&gt;999,999,-999)))</f>
        <v>-11.5</v>
      </c>
      <c r="E8" s="26">
        <f>IFERROR(100/'Skjema total MA'!C8*C8,0)</f>
        <v>0.15024088079021275</v>
      </c>
      <c r="F8" s="283"/>
      <c r="G8" s="284"/>
      <c r="H8" s="165"/>
      <c r="I8" s="174"/>
      <c r="J8" s="232">
        <f t="shared" si="0"/>
        <v>3072.5246299999999</v>
      </c>
      <c r="K8" s="285">
        <f t="shared" si="0"/>
        <v>2719.94694999999</v>
      </c>
      <c r="L8" s="165">
        <f t="shared" ref="L8:L9" si="2">IF(J8=0, "    ---- ", IF(ABS(ROUND(100/J8*K8-100,1))&lt;999,ROUND(100/J8*K8-100,1),IF(ROUND(100/J8*K8-100,1)&gt;999,999,-999)))</f>
        <v>-11.5</v>
      </c>
      <c r="M8" s="26">
        <f>IFERROR(100/'Skjema total MA'!I8*K8,0)</f>
        <v>0.15024088079021275</v>
      </c>
    </row>
    <row r="9" spans="1:14" ht="15.75" x14ac:dyDescent="0.2">
      <c r="A9" s="20" t="s">
        <v>24</v>
      </c>
      <c r="B9" s="279">
        <v>1271.6267399999999</v>
      </c>
      <c r="C9" s="280">
        <v>1115.42146</v>
      </c>
      <c r="D9" s="165">
        <f t="shared" si="1"/>
        <v>-12.3</v>
      </c>
      <c r="E9" s="26">
        <f>IFERROR(100/'Skjema total MA'!C9*C9,0)</f>
        <v>0.18886240161599965</v>
      </c>
      <c r="F9" s="283"/>
      <c r="G9" s="284"/>
      <c r="H9" s="165"/>
      <c r="I9" s="174"/>
      <c r="J9" s="232">
        <f t="shared" si="0"/>
        <v>1271.6267399999999</v>
      </c>
      <c r="K9" s="285">
        <f t="shared" si="0"/>
        <v>1115.42146</v>
      </c>
      <c r="L9" s="165">
        <f t="shared" si="2"/>
        <v>-12.3</v>
      </c>
      <c r="M9" s="26">
        <f>IFERROR(100/'Skjema total MA'!I9*K9,0)</f>
        <v>0.18886240161599965</v>
      </c>
    </row>
    <row r="10" spans="1:14" ht="15.75" x14ac:dyDescent="0.2">
      <c r="A10" s="13" t="s">
        <v>364</v>
      </c>
      <c r="B10" s="308">
        <v>438059.82214</v>
      </c>
      <c r="C10" s="309">
        <v>388268.93274000002</v>
      </c>
      <c r="D10" s="170">
        <f t="shared" si="1"/>
        <v>-11.4</v>
      </c>
      <c r="E10" s="11">
        <f>IFERROR(100/'Skjema total MA'!C10*C10,0)</f>
        <v>2.2279039891280821</v>
      </c>
      <c r="F10" s="308">
        <v>2727012.1039700001</v>
      </c>
      <c r="G10" s="309">
        <v>3876879.6676699999</v>
      </c>
      <c r="H10" s="170">
        <f t="shared" ref="H10:H12" si="3">IF(F10=0, "    ---- ", IF(ABS(ROUND(100/F10*G10-100,1))&lt;999,ROUND(100/F10*G10-100,1),IF(ROUND(100/F10*G10-100,1)&gt;999,999,-999)))</f>
        <v>42.2</v>
      </c>
      <c r="I10" s="159">
        <f>IFERROR(100/'Skjema total MA'!F10*G10,0)</f>
        <v>5.5207752591595849</v>
      </c>
      <c r="J10" s="306">
        <f t="shared" si="0"/>
        <v>3165071.9261099999</v>
      </c>
      <c r="K10" s="307">
        <f t="shared" si="0"/>
        <v>4265148.6004099995</v>
      </c>
      <c r="L10" s="425">
        <f t="shared" ref="L10:L12" si="4">IF(J10=0, "    ---- ", IF(ABS(ROUND(100/J10*K10-100,1))&lt;999,ROUND(100/J10*K10-100,1),IF(ROUND(100/J10*K10-100,1)&gt;999,999,-999)))</f>
        <v>34.799999999999997</v>
      </c>
      <c r="M10" s="11">
        <f>IFERROR(100/'Skjema total MA'!I10*K10,0)</f>
        <v>4.8660576699083808</v>
      </c>
    </row>
    <row r="11" spans="1:14" s="42" customFormat="1" ht="15.75" x14ac:dyDescent="0.2">
      <c r="A11" s="13" t="s">
        <v>365</v>
      </c>
      <c r="B11" s="308"/>
      <c r="C11" s="309"/>
      <c r="D11" s="170"/>
      <c r="E11" s="11"/>
      <c r="F11" s="308">
        <v>25973.408370000001</v>
      </c>
      <c r="G11" s="309">
        <v>14338.57215</v>
      </c>
      <c r="H11" s="170">
        <f t="shared" si="3"/>
        <v>-44.8</v>
      </c>
      <c r="I11" s="159">
        <f>IFERROR(100/'Skjema total MA'!F11*G11,0)</f>
        <v>5.5324212537808553</v>
      </c>
      <c r="J11" s="306">
        <f t="shared" si="0"/>
        <v>25973.408370000001</v>
      </c>
      <c r="K11" s="307">
        <f t="shared" si="0"/>
        <v>14338.57215</v>
      </c>
      <c r="L11" s="425">
        <f t="shared" si="4"/>
        <v>-44.8</v>
      </c>
      <c r="M11" s="11">
        <f>IFERROR(100/'Skjema total MA'!I11*K11,0)</f>
        <v>5.0541756629755028</v>
      </c>
      <c r="N11" s="142"/>
    </row>
    <row r="12" spans="1:14" s="42" customFormat="1" ht="15.75" x14ac:dyDescent="0.2">
      <c r="A12" s="40" t="s">
        <v>366</v>
      </c>
      <c r="B12" s="310"/>
      <c r="C12" s="311"/>
      <c r="D12" s="168"/>
      <c r="E12" s="35"/>
      <c r="F12" s="310">
        <v>4901.6503599999996</v>
      </c>
      <c r="G12" s="311">
        <v>2536.6276499999999</v>
      </c>
      <c r="H12" s="168">
        <f t="shared" si="3"/>
        <v>-48.2</v>
      </c>
      <c r="I12" s="168">
        <f>IFERROR(100/'Skjema total MA'!F12*G12,0)</f>
        <v>2.5577842380164388</v>
      </c>
      <c r="J12" s="312">
        <f t="shared" si="0"/>
        <v>4901.6503599999996</v>
      </c>
      <c r="K12" s="313">
        <f t="shared" si="0"/>
        <v>2536.6276499999999</v>
      </c>
      <c r="L12" s="426">
        <f t="shared" si="4"/>
        <v>-48.2</v>
      </c>
      <c r="M12" s="35">
        <f>IFERROR(100/'Skjema total MA'!I12*K12,0)</f>
        <v>2.4657891077797971</v>
      </c>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v>1836.07458</v>
      </c>
      <c r="C22" s="308">
        <v>3030.1634899999999</v>
      </c>
      <c r="D22" s="348">
        <f t="shared" ref="D22:D35" si="5">IF(B22=0, "    ---- ", IF(ABS(ROUND(100/B22*C22-100,1))&lt;999,ROUND(100/B22*C22-100,1),IF(ROUND(100/B22*C22-100,1)&gt;999,999,-999)))</f>
        <v>65</v>
      </c>
      <c r="E22" s="11">
        <f>IFERROR(100/'Skjema total MA'!C22*C22,0)</f>
        <v>0.27036544212402541</v>
      </c>
      <c r="F22" s="316">
        <v>133761.27200999999</v>
      </c>
      <c r="G22" s="316">
        <v>179906.41725</v>
      </c>
      <c r="H22" s="348">
        <f t="shared" ref="H22:H35" si="6">IF(F22=0, "    ---- ", IF(ABS(ROUND(100/F22*G22-100,1))&lt;999,ROUND(100/F22*G22-100,1),IF(ROUND(100/F22*G22-100,1)&gt;999,999,-999)))</f>
        <v>34.5</v>
      </c>
      <c r="I22" s="11">
        <f>IFERROR(100/'Skjema total MA'!F22*G22,0)</f>
        <v>22.446816730437444</v>
      </c>
      <c r="J22" s="314">
        <f t="shared" ref="J22:K35" si="7">SUM(B22,F22)</f>
        <v>135597.34658999997</v>
      </c>
      <c r="K22" s="314">
        <f t="shared" si="7"/>
        <v>182936.58074</v>
      </c>
      <c r="L22" s="424">
        <f t="shared" ref="L22:L35" si="8">IF(J22=0, "    ---- ", IF(ABS(ROUND(100/J22*K22-100,1))&lt;999,ROUND(100/J22*K22-100,1),IF(ROUND(100/J22*K22-100,1)&gt;999,999,-999)))</f>
        <v>34.9</v>
      </c>
      <c r="M22" s="23">
        <f>IFERROR(100/'Skjema total MA'!I22*K22,0)</f>
        <v>9.5168223349440986</v>
      </c>
    </row>
    <row r="23" spans="1:14" ht="15.75" x14ac:dyDescent="0.2">
      <c r="A23" s="580" t="s">
        <v>367</v>
      </c>
      <c r="B23" s="279">
        <v>1830.99064</v>
      </c>
      <c r="C23" s="279">
        <v>3025.0795499999999</v>
      </c>
      <c r="D23" s="165">
        <f t="shared" si="5"/>
        <v>65.2</v>
      </c>
      <c r="E23" s="11">
        <f>IFERROR(100/'Skjema total MA'!C23*C23,0)</f>
        <v>0.67420939725951412</v>
      </c>
      <c r="F23" s="288">
        <v>3255.6541299999999</v>
      </c>
      <c r="G23" s="288">
        <v>3703.3908099999999</v>
      </c>
      <c r="H23" s="165">
        <f t="shared" si="6"/>
        <v>13.8</v>
      </c>
      <c r="I23" s="414">
        <f>IFERROR(100/'Skjema total MA'!F23*G23,0)</f>
        <v>2.5640509432067713</v>
      </c>
      <c r="J23" s="288">
        <f t="shared" ref="J23:J26" si="9">SUM(B23,F23)</f>
        <v>5086.6447699999999</v>
      </c>
      <c r="K23" s="288">
        <f t="shared" ref="K23:K26" si="10">SUM(C23,G23)</f>
        <v>6728.4703599999993</v>
      </c>
      <c r="L23" s="165">
        <f t="shared" si="8"/>
        <v>32.299999999999997</v>
      </c>
      <c r="M23" s="22">
        <f>IFERROR(100/'Skjema total MA'!I23*K23,0)</f>
        <v>1.1344185700381593</v>
      </c>
    </row>
    <row r="24" spans="1:14" ht="15.75" x14ac:dyDescent="0.2">
      <c r="A24" s="580" t="s">
        <v>368</v>
      </c>
      <c r="B24" s="279">
        <v>5.0839400000000001</v>
      </c>
      <c r="C24" s="279">
        <v>5.0839400000000001</v>
      </c>
      <c r="D24" s="165">
        <f t="shared" si="5"/>
        <v>0</v>
      </c>
      <c r="E24" s="11">
        <f>IFERROR(100/'Skjema total MA'!C24*C24,0)</f>
        <v>3.6726801991305361E-2</v>
      </c>
      <c r="F24" s="288">
        <v>430.97690999999998</v>
      </c>
      <c r="G24" s="288">
        <v>41.213290000000001</v>
      </c>
      <c r="H24" s="165">
        <f t="shared" si="6"/>
        <v>-90.4</v>
      </c>
      <c r="I24" s="414">
        <f>IFERROR(100/'Skjema total MA'!F24*G24,0)</f>
        <v>74.643785943565405</v>
      </c>
      <c r="J24" s="288">
        <f t="shared" si="9"/>
        <v>436.06084999999996</v>
      </c>
      <c r="K24" s="288">
        <f t="shared" si="10"/>
        <v>46.297229999999999</v>
      </c>
      <c r="L24" s="165">
        <f t="shared" si="8"/>
        <v>-89.4</v>
      </c>
      <c r="M24" s="22">
        <f>IFERROR(100/'Skjema total MA'!I24*K24,0)</f>
        <v>0.33312628374046699</v>
      </c>
    </row>
    <row r="25" spans="1:14" ht="15.75" x14ac:dyDescent="0.2">
      <c r="A25" s="580" t="s">
        <v>369</v>
      </c>
      <c r="B25" s="279"/>
      <c r="C25" s="279"/>
      <c r="D25" s="165"/>
      <c r="E25" s="11"/>
      <c r="F25" s="288">
        <v>4408.0884800000003</v>
      </c>
      <c r="G25" s="288">
        <v>2053.7187199999998</v>
      </c>
      <c r="H25" s="165">
        <f t="shared" si="6"/>
        <v>-53.4</v>
      </c>
      <c r="I25" s="414">
        <f>IFERROR(100/'Skjema total MA'!F25*G25,0)</f>
        <v>25.519750834666063</v>
      </c>
      <c r="J25" s="288">
        <f t="shared" si="9"/>
        <v>4408.0884800000003</v>
      </c>
      <c r="K25" s="288">
        <f t="shared" si="10"/>
        <v>2053.7187199999998</v>
      </c>
      <c r="L25" s="165">
        <f t="shared" si="8"/>
        <v>-53.4</v>
      </c>
      <c r="M25" s="22">
        <f>IFERROR(100/'Skjema total MA'!I25*K25,0)</f>
        <v>7.8517590477548982</v>
      </c>
    </row>
    <row r="26" spans="1:14" ht="15.75" x14ac:dyDescent="0.2">
      <c r="A26" s="580" t="s">
        <v>370</v>
      </c>
      <c r="B26" s="279"/>
      <c r="C26" s="279"/>
      <c r="D26" s="165"/>
      <c r="E26" s="11"/>
      <c r="F26" s="288">
        <v>125666.55249</v>
      </c>
      <c r="G26" s="288">
        <v>174108.09443</v>
      </c>
      <c r="H26" s="165">
        <f t="shared" si="6"/>
        <v>38.5</v>
      </c>
      <c r="I26" s="414">
        <f>IFERROR(100/'Skjema total MA'!F26*G26,0)</f>
        <v>26.829588627347643</v>
      </c>
      <c r="J26" s="288">
        <f t="shared" si="9"/>
        <v>125666.55249</v>
      </c>
      <c r="K26" s="288">
        <f t="shared" si="10"/>
        <v>174108.09443</v>
      </c>
      <c r="L26" s="165">
        <f t="shared" si="8"/>
        <v>38.5</v>
      </c>
      <c r="M26" s="22">
        <f>IFERROR(100/'Skjema total MA'!I26*K26,0)</f>
        <v>26.829588627347643</v>
      </c>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v>2790496.4951499999</v>
      </c>
      <c r="C29" s="234">
        <v>2649680.0407099999</v>
      </c>
      <c r="D29" s="170">
        <f t="shared" si="5"/>
        <v>-5</v>
      </c>
      <c r="E29" s="11">
        <f>IFERROR(100/'Skjema total MA'!C29*C29,0)</f>
        <v>5.8172380700526967</v>
      </c>
      <c r="F29" s="306">
        <v>2680813.9717199998</v>
      </c>
      <c r="G29" s="306">
        <v>3605430.8008699999</v>
      </c>
      <c r="H29" s="170">
        <f t="shared" si="6"/>
        <v>34.5</v>
      </c>
      <c r="I29" s="11">
        <f>IFERROR(100/'Skjema total MA'!F29*G29,0)</f>
        <v>14.036653825734987</v>
      </c>
      <c r="J29" s="234">
        <f t="shared" si="7"/>
        <v>5471310.4668699997</v>
      </c>
      <c r="K29" s="234">
        <f t="shared" si="7"/>
        <v>6255110.8415799998</v>
      </c>
      <c r="L29" s="425">
        <f t="shared" si="8"/>
        <v>14.3</v>
      </c>
      <c r="M29" s="23">
        <f>IFERROR(100/'Skjema total MA'!I29*K29,0)</f>
        <v>8.7810018113874584</v>
      </c>
      <c r="N29" s="147"/>
    </row>
    <row r="30" spans="1:14" s="3" customFormat="1" ht="15.75" x14ac:dyDescent="0.2">
      <c r="A30" s="580" t="s">
        <v>367</v>
      </c>
      <c r="B30" s="279">
        <v>1600885.59441544</v>
      </c>
      <c r="C30" s="279">
        <v>1520100.3170422299</v>
      </c>
      <c r="D30" s="165">
        <f t="shared" si="5"/>
        <v>-5</v>
      </c>
      <c r="E30" s="11">
        <f>IFERROR(100/'Skjema total MA'!C30*C30,0)</f>
        <v>11.234732168438352</v>
      </c>
      <c r="F30" s="288">
        <v>587957.78981999902</v>
      </c>
      <c r="G30" s="288">
        <v>696285.36093999899</v>
      </c>
      <c r="H30" s="165">
        <f t="shared" si="6"/>
        <v>18.399999999999999</v>
      </c>
      <c r="I30" s="414">
        <f>IFERROR(100/'Skjema total MA'!F30*G30,0)</f>
        <v>16.704561401282664</v>
      </c>
      <c r="J30" s="288">
        <f t="shared" ref="J30:J33" si="11">SUM(B30,F30)</f>
        <v>2188843.3842354389</v>
      </c>
      <c r="K30" s="288">
        <f t="shared" ref="K30:K33" si="12">SUM(C30,G30)</f>
        <v>2216385.6779822288</v>
      </c>
      <c r="L30" s="165">
        <f t="shared" si="8"/>
        <v>1.3</v>
      </c>
      <c r="M30" s="22">
        <f>IFERROR(100/'Skjema total MA'!I30*K30,0)</f>
        <v>12.522943255941227</v>
      </c>
      <c r="N30" s="147"/>
    </row>
    <row r="31" spans="1:14" s="3" customFormat="1" ht="15.75" x14ac:dyDescent="0.2">
      <c r="A31" s="580" t="s">
        <v>368</v>
      </c>
      <c r="B31" s="279">
        <v>1189610.9007345601</v>
      </c>
      <c r="C31" s="279">
        <v>1129579.7236677699</v>
      </c>
      <c r="D31" s="165">
        <f t="shared" si="5"/>
        <v>-5</v>
      </c>
      <c r="E31" s="11">
        <f>IFERROR(100/'Skjema total MA'!C31*C31,0)</f>
        <v>4.9310984968465981</v>
      </c>
      <c r="F31" s="288">
        <v>858477.81868999905</v>
      </c>
      <c r="G31" s="288">
        <v>978637.84877999895</v>
      </c>
      <c r="H31" s="165">
        <f t="shared" si="6"/>
        <v>14</v>
      </c>
      <c r="I31" s="414">
        <f>IFERROR(100/'Skjema total MA'!F31*G31,0)</f>
        <v>10.1081825448583</v>
      </c>
      <c r="J31" s="288">
        <f t="shared" si="11"/>
        <v>2048088.7194245593</v>
      </c>
      <c r="K31" s="288">
        <f t="shared" si="12"/>
        <v>2108217.5724477689</v>
      </c>
      <c r="L31" s="165">
        <f t="shared" si="8"/>
        <v>2.9</v>
      </c>
      <c r="M31" s="22">
        <f>IFERROR(100/'Skjema total MA'!I31*K31,0)</f>
        <v>6.4691270540755399</v>
      </c>
      <c r="N31" s="147"/>
    </row>
    <row r="32" spans="1:14" ht="15.75" x14ac:dyDescent="0.2">
      <c r="A32" s="580" t="s">
        <v>369</v>
      </c>
      <c r="B32" s="279"/>
      <c r="C32" s="279"/>
      <c r="D32" s="165"/>
      <c r="E32" s="11"/>
      <c r="F32" s="288">
        <v>411953.95374999999</v>
      </c>
      <c r="G32" s="288">
        <v>541961.74688999995</v>
      </c>
      <c r="H32" s="165">
        <f t="shared" si="6"/>
        <v>31.6</v>
      </c>
      <c r="I32" s="414">
        <f>IFERROR(100/'Skjema total MA'!F32*G32,0)</f>
        <v>9.5468729402526105</v>
      </c>
      <c r="J32" s="288">
        <f t="shared" si="11"/>
        <v>411953.95374999999</v>
      </c>
      <c r="K32" s="288">
        <f t="shared" si="12"/>
        <v>541961.74688999995</v>
      </c>
      <c r="L32" s="165">
        <f t="shared" si="8"/>
        <v>31.6</v>
      </c>
      <c r="M32" s="22">
        <f>IFERROR(100/'Skjema total MA'!I32*K32,0)</f>
        <v>6.2861946237128166</v>
      </c>
    </row>
    <row r="33" spans="1:14" ht="15.75" x14ac:dyDescent="0.2">
      <c r="A33" s="580" t="s">
        <v>370</v>
      </c>
      <c r="B33" s="279"/>
      <c r="C33" s="279"/>
      <c r="D33" s="165"/>
      <c r="E33" s="11"/>
      <c r="F33" s="288">
        <v>822424.40946</v>
      </c>
      <c r="G33" s="288">
        <v>1388545.8442599999</v>
      </c>
      <c r="H33" s="165">
        <f t="shared" si="6"/>
        <v>68.8</v>
      </c>
      <c r="I33" s="414">
        <f>IFERROR(100/'Skjema total MA'!F34*G33,0)</f>
        <v>6431.6218606415396</v>
      </c>
      <c r="J33" s="288">
        <f t="shared" si="11"/>
        <v>822424.40946</v>
      </c>
      <c r="K33" s="288">
        <f t="shared" si="12"/>
        <v>1388545.8442599999</v>
      </c>
      <c r="L33" s="165">
        <f t="shared" si="8"/>
        <v>68.8</v>
      </c>
      <c r="M33" s="22">
        <f>IFERROR(100/'Skjema total MA'!I34*K33,0)</f>
        <v>5095.4401614820363</v>
      </c>
    </row>
    <row r="34" spans="1:14" ht="15.75" x14ac:dyDescent="0.2">
      <c r="A34" s="13" t="s">
        <v>365</v>
      </c>
      <c r="B34" s="234"/>
      <c r="C34" s="307"/>
      <c r="D34" s="170"/>
      <c r="E34" s="11"/>
      <c r="F34" s="306">
        <v>13399.592339999999</v>
      </c>
      <c r="G34" s="307">
        <v>15694.465249999999</v>
      </c>
      <c r="H34" s="170">
        <f t="shared" si="6"/>
        <v>17.100000000000001</v>
      </c>
      <c r="I34" s="11">
        <f>IFERROR(100/'Skjema total MA'!F34*G34,0)</f>
        <v>72.695378557539499</v>
      </c>
      <c r="J34" s="234">
        <f t="shared" si="7"/>
        <v>13399.592339999999</v>
      </c>
      <c r="K34" s="234">
        <f t="shared" si="7"/>
        <v>15694.465249999999</v>
      </c>
      <c r="L34" s="425">
        <f t="shared" si="8"/>
        <v>17.100000000000001</v>
      </c>
      <c r="M34" s="23">
        <f>IFERROR(100/'Skjema total MA'!I34*K34,0)</f>
        <v>57.592775116800603</v>
      </c>
    </row>
    <row r="35" spans="1:14" ht="15.75" x14ac:dyDescent="0.2">
      <c r="A35" s="13" t="s">
        <v>366</v>
      </c>
      <c r="B35" s="234">
        <v>446.67009000000002</v>
      </c>
      <c r="C35" s="307">
        <v>115.85290999999999</v>
      </c>
      <c r="D35" s="170">
        <f t="shared" si="5"/>
        <v>-74.099999999999994</v>
      </c>
      <c r="E35" s="11">
        <f>IFERROR(100/'Skjema total MA'!C35*C35,0)</f>
        <v>-0.17600812841120014</v>
      </c>
      <c r="F35" s="306">
        <v>3966.5920299999998</v>
      </c>
      <c r="G35" s="307">
        <v>12445.66692</v>
      </c>
      <c r="H35" s="170">
        <f t="shared" si="6"/>
        <v>213.8</v>
      </c>
      <c r="I35" s="11">
        <f>IFERROR(100/'Skjema total MA'!F35*G35,0)</f>
        <v>11.299933734392866</v>
      </c>
      <c r="J35" s="234">
        <f t="shared" si="7"/>
        <v>4413.2621199999994</v>
      </c>
      <c r="K35" s="234">
        <f t="shared" si="7"/>
        <v>12561.519829999999</v>
      </c>
      <c r="L35" s="425">
        <f t="shared" si="8"/>
        <v>184.6</v>
      </c>
      <c r="M35" s="23">
        <f>IFERROR(100/'Skjema total MA'!I35*K35,0)</f>
        <v>28.344816939356654</v>
      </c>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c r="C47" s="309"/>
      <c r="D47" s="424"/>
      <c r="E47" s="11"/>
      <c r="F47" s="144"/>
      <c r="G47" s="32"/>
      <c r="H47" s="158"/>
      <c r="I47" s="158"/>
      <c r="J47" s="36"/>
      <c r="K47" s="36"/>
      <c r="L47" s="158"/>
      <c r="M47" s="158"/>
      <c r="N47" s="147"/>
    </row>
    <row r="48" spans="1:14" s="3" customFormat="1" ht="15.75" x14ac:dyDescent="0.2">
      <c r="A48" s="37" t="s">
        <v>375</v>
      </c>
      <c r="B48" s="279"/>
      <c r="C48" s="280"/>
      <c r="D48" s="252"/>
      <c r="E48" s="26"/>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v>400419.79025999992</v>
      </c>
      <c r="C66" s="351">
        <v>429502.96535000001</v>
      </c>
      <c r="D66" s="348">
        <f t="shared" ref="D66:D112" si="13">IF(B66=0, "    ---- ", IF(ABS(ROUND(100/B66*C66-100,1))&lt;999,ROUND(100/B66*C66-100,1),IF(ROUND(100/B66*C66-100,1)&gt;999,999,-999)))</f>
        <v>7.3</v>
      </c>
      <c r="E66" s="11">
        <f>IFERROR(100/'Skjema total MA'!C66*C66,0)</f>
        <v>9.1788186168392034</v>
      </c>
      <c r="F66" s="350">
        <v>1983050.7448799999</v>
      </c>
      <c r="G66" s="350">
        <v>2210229.72364</v>
      </c>
      <c r="H66" s="348">
        <f t="shared" ref="H66:H112" si="14">IF(F66=0, "    ---- ", IF(ABS(ROUND(100/F66*G66-100,1))&lt;999,ROUND(100/F66*G66-100,1),IF(ROUND(100/F66*G66-100,1)&gt;999,999,-999)))</f>
        <v>11.5</v>
      </c>
      <c r="I66" s="11">
        <f>IFERROR(100/'Skjema total MA'!F66*G66,0)</f>
        <v>11.872493096053947</v>
      </c>
      <c r="J66" s="307">
        <f t="shared" ref="J66:K86" si="15">SUM(B66,F66)</f>
        <v>2383470.5351399998</v>
      </c>
      <c r="K66" s="314">
        <f t="shared" si="15"/>
        <v>2639732.6889900002</v>
      </c>
      <c r="L66" s="425">
        <f t="shared" ref="L66:L112" si="16">IF(J66=0, "    ---- ", IF(ABS(ROUND(100/J66*K66-100,1))&lt;999,ROUND(100/J66*K66-100,1),IF(ROUND(100/J66*K66-100,1)&gt;999,999,-999)))</f>
        <v>10.8</v>
      </c>
      <c r="M66" s="11">
        <f>IFERROR(100/'Skjema total MA'!I66*K66,0)</f>
        <v>11.331428398454257</v>
      </c>
    </row>
    <row r="67" spans="1:14" x14ac:dyDescent="0.2">
      <c r="A67" s="416" t="s">
        <v>9</v>
      </c>
      <c r="B67" s="43">
        <v>117115.86996</v>
      </c>
      <c r="C67" s="144">
        <v>121248.19727</v>
      </c>
      <c r="D67" s="165">
        <f t="shared" si="13"/>
        <v>3.5</v>
      </c>
      <c r="E67" s="26">
        <f>IFERROR(100/'Skjema total MA'!C67*C67,0)</f>
        <v>3.5485311453319084</v>
      </c>
      <c r="F67" s="232"/>
      <c r="G67" s="144"/>
      <c r="H67" s="165"/>
      <c r="I67" s="26"/>
      <c r="J67" s="285">
        <f t="shared" si="15"/>
        <v>117115.86996</v>
      </c>
      <c r="K67" s="43">
        <f t="shared" si="15"/>
        <v>121248.19727</v>
      </c>
      <c r="L67" s="252">
        <f t="shared" si="16"/>
        <v>3.5</v>
      </c>
      <c r="M67" s="26">
        <f>IFERROR(100/'Skjema total MA'!I67*K67,0)</f>
        <v>3.5485311453319084</v>
      </c>
    </row>
    <row r="68" spans="1:14" x14ac:dyDescent="0.2">
      <c r="A68" s="20" t="s">
        <v>10</v>
      </c>
      <c r="B68" s="290">
        <v>21952.401239999999</v>
      </c>
      <c r="C68" s="291">
        <v>17191.352129999999</v>
      </c>
      <c r="D68" s="165">
        <f t="shared" si="13"/>
        <v>-21.7</v>
      </c>
      <c r="E68" s="26">
        <f>IFERROR(100/'Skjema total MA'!C68*C68,0)</f>
        <v>70.133425135321758</v>
      </c>
      <c r="F68" s="290">
        <v>1842657.4271199999</v>
      </c>
      <c r="G68" s="737">
        <v>2050250.4059900001</v>
      </c>
      <c r="H68" s="165">
        <f t="shared" si="14"/>
        <v>11.3</v>
      </c>
      <c r="I68" s="26">
        <f>IFERROR(100/'Skjema total MA'!F68*G68,0)</f>
        <v>11.468443617577298</v>
      </c>
      <c r="J68" s="285">
        <f t="shared" si="15"/>
        <v>1864609.8283599999</v>
      </c>
      <c r="K68" s="43">
        <f t="shared" si="15"/>
        <v>2067441.7581200001</v>
      </c>
      <c r="L68" s="252">
        <f t="shared" si="16"/>
        <v>10.9</v>
      </c>
      <c r="M68" s="26">
        <f>IFERROR(100/'Skjema total MA'!I68*K68,0)</f>
        <v>11.548771520740512</v>
      </c>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v>162995.92405999999</v>
      </c>
      <c r="C75" s="144">
        <v>178252.90106</v>
      </c>
      <c r="D75" s="165">
        <f t="shared" si="13"/>
        <v>9.4</v>
      </c>
      <c r="E75" s="26">
        <f>IFERROR(100/'Skjema total MA'!C75*C75,0)</f>
        <v>64.735953342482915</v>
      </c>
      <c r="F75" s="232">
        <v>140393.31776000001</v>
      </c>
      <c r="G75" s="144">
        <v>159979.31765000001</v>
      </c>
      <c r="H75" s="165">
        <f t="shared" si="14"/>
        <v>14</v>
      </c>
      <c r="I75" s="26">
        <f>IFERROR(100/'Skjema total MA'!F75*G75,0)</f>
        <v>21.646014904204154</v>
      </c>
      <c r="J75" s="285">
        <f t="shared" si="15"/>
        <v>303389.24182</v>
      </c>
      <c r="K75" s="43">
        <f t="shared" si="15"/>
        <v>338232.21871000004</v>
      </c>
      <c r="L75" s="252">
        <f t="shared" si="16"/>
        <v>11.5</v>
      </c>
      <c r="M75" s="26">
        <f>IFERROR(100/'Skjema total MA'!I75*K75,0)</f>
        <v>33.342282035038771</v>
      </c>
      <c r="N75" s="147"/>
    </row>
    <row r="76" spans="1:14" s="3" customFormat="1" x14ac:dyDescent="0.2">
      <c r="A76" s="20" t="s">
        <v>348</v>
      </c>
      <c r="B76" s="232">
        <v>98355.595000000001</v>
      </c>
      <c r="C76" s="144">
        <v>112810.51489000001</v>
      </c>
      <c r="D76" s="165">
        <f t="shared" ref="D76" si="17">IF(B76=0, "    ---- ", IF(ABS(ROUND(100/B76*C76-100,1))&lt;999,ROUND(100/B76*C76-100,1),IF(ROUND(100/B76*C76-100,1)&gt;999,999,-999)))</f>
        <v>14.7</v>
      </c>
      <c r="E76" s="26">
        <f>IFERROR(100/'Skjema total MA'!C77*C76,0)</f>
        <v>3.3605403447827253</v>
      </c>
      <c r="F76" s="232"/>
      <c r="G76" s="144"/>
      <c r="H76" s="165"/>
      <c r="I76" s="26"/>
      <c r="J76" s="285">
        <f t="shared" ref="J76" si="18">SUM(B76,F76)</f>
        <v>98355.595000000001</v>
      </c>
      <c r="K76" s="43">
        <f t="shared" ref="K76" si="19">SUM(C76,G76)</f>
        <v>112810.51489000001</v>
      </c>
      <c r="L76" s="252">
        <f t="shared" ref="L76" si="20">IF(J76=0, "    ---- ", IF(ABS(ROUND(100/J76*K76-100,1))&lt;999,ROUND(100/J76*K76-100,1),IF(ROUND(100/J76*K76-100,1)&gt;999,999,-999)))</f>
        <v>14.7</v>
      </c>
      <c r="M76" s="26">
        <f>IFERROR(100/'Skjema total MA'!I77*K76,0)</f>
        <v>0.53142488691107714</v>
      </c>
      <c r="N76" s="147"/>
    </row>
    <row r="77" spans="1:14" ht="15.75" x14ac:dyDescent="0.2">
      <c r="A77" s="20" t="s">
        <v>381</v>
      </c>
      <c r="B77" s="232">
        <v>139068.27119999999</v>
      </c>
      <c r="C77" s="232">
        <v>138439.54940000002</v>
      </c>
      <c r="D77" s="165">
        <f t="shared" si="13"/>
        <v>-0.5</v>
      </c>
      <c r="E77" s="26">
        <f>IFERROR(100/'Skjema total MA'!C77*C77,0)</f>
        <v>4.124009996106146</v>
      </c>
      <c r="F77" s="232">
        <v>1835391.6440600001</v>
      </c>
      <c r="G77" s="144">
        <v>2045238.7596400001</v>
      </c>
      <c r="H77" s="165">
        <f t="shared" si="14"/>
        <v>11.4</v>
      </c>
      <c r="I77" s="26">
        <f>IFERROR(100/'Skjema total MA'!F77*G77,0)</f>
        <v>11.444445726172708</v>
      </c>
      <c r="J77" s="285">
        <f t="shared" si="15"/>
        <v>1974459.9152600002</v>
      </c>
      <c r="K77" s="43">
        <f t="shared" si="15"/>
        <v>2183678.3090400002</v>
      </c>
      <c r="L77" s="252">
        <f t="shared" si="16"/>
        <v>10.6</v>
      </c>
      <c r="M77" s="26">
        <f>IFERROR(100/'Skjema total MA'!I77*K77,0)</f>
        <v>10.286815901543433</v>
      </c>
    </row>
    <row r="78" spans="1:14" x14ac:dyDescent="0.2">
      <c r="A78" s="20" t="s">
        <v>9</v>
      </c>
      <c r="B78" s="232">
        <v>117115.86996</v>
      </c>
      <c r="C78" s="144">
        <v>121248.19727</v>
      </c>
      <c r="D78" s="165">
        <f t="shared" si="13"/>
        <v>3.5</v>
      </c>
      <c r="E78" s="26">
        <f>IFERROR(100/'Skjema total MA'!C78*C78,0)</f>
        <v>3.6371097683931803</v>
      </c>
      <c r="F78" s="232"/>
      <c r="G78" s="144"/>
      <c r="H78" s="165"/>
      <c r="I78" s="26"/>
      <c r="J78" s="285">
        <f t="shared" si="15"/>
        <v>117115.86996</v>
      </c>
      <c r="K78" s="43">
        <f t="shared" si="15"/>
        <v>121248.19727</v>
      </c>
      <c r="L78" s="252">
        <f t="shared" si="16"/>
        <v>3.5</v>
      </c>
      <c r="M78" s="26">
        <f>IFERROR(100/'Skjema total MA'!I78*K78,0)</f>
        <v>3.6371097683931803</v>
      </c>
    </row>
    <row r="79" spans="1:14" x14ac:dyDescent="0.2">
      <c r="A79" s="729" t="s">
        <v>423</v>
      </c>
      <c r="B79" s="290">
        <v>21952.401239999999</v>
      </c>
      <c r="C79" s="291">
        <v>17191.352129999999</v>
      </c>
      <c r="D79" s="165">
        <f t="shared" si="13"/>
        <v>-21.7</v>
      </c>
      <c r="E79" s="26">
        <f>IFERROR(100/'Skjema total MA'!C79*C79,0)</f>
        <v>73.86332481520445</v>
      </c>
      <c r="F79" s="290">
        <v>1835391.6440600001</v>
      </c>
      <c r="G79" s="291">
        <v>2045238.7596400001</v>
      </c>
      <c r="H79" s="165">
        <f t="shared" si="14"/>
        <v>11.4</v>
      </c>
      <c r="I79" s="26">
        <f>IFERROR(100/'Skjema total MA'!F79*G79,0)</f>
        <v>11.444445726172708</v>
      </c>
      <c r="J79" s="285">
        <f t="shared" si="15"/>
        <v>1857344.0453000001</v>
      </c>
      <c r="K79" s="43">
        <f t="shared" si="15"/>
        <v>2062430.1117700001</v>
      </c>
      <c r="L79" s="252">
        <f t="shared" si="16"/>
        <v>11</v>
      </c>
      <c r="M79" s="26">
        <f>IFERROR(100/'Skjema total MA'!I79*K79,0)</f>
        <v>11.525632008973291</v>
      </c>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v>7265.7830599999998</v>
      </c>
      <c r="G86" s="144">
        <v>5011.64635</v>
      </c>
      <c r="H86" s="165">
        <f t="shared" si="14"/>
        <v>-31</v>
      </c>
      <c r="I86" s="26">
        <f>IFERROR(100/'Skjema total MA'!F86*G86,0)</f>
        <v>79.498522419191318</v>
      </c>
      <c r="J86" s="285">
        <f t="shared" si="15"/>
        <v>7265.7830599999998</v>
      </c>
      <c r="K86" s="43">
        <f t="shared" si="15"/>
        <v>5011.64635</v>
      </c>
      <c r="L86" s="252">
        <f t="shared" si="16"/>
        <v>-31</v>
      </c>
      <c r="M86" s="26">
        <f>IFERROR(100/'Skjema total MA'!I86*K86,0)</f>
        <v>5.5220919138554878</v>
      </c>
    </row>
    <row r="87" spans="1:13" ht="15.75" x14ac:dyDescent="0.2">
      <c r="A87" s="13" t="s">
        <v>364</v>
      </c>
      <c r="B87" s="351">
        <v>16022799.018410001</v>
      </c>
      <c r="C87" s="351">
        <v>16720266.8926</v>
      </c>
      <c r="D87" s="170">
        <f t="shared" si="13"/>
        <v>4.4000000000000004</v>
      </c>
      <c r="E87" s="11">
        <f>IFERROR(100/'Skjema total MA'!C87*C87,0)</f>
        <v>4.1532895189737813</v>
      </c>
      <c r="F87" s="350">
        <v>31128657.316970002</v>
      </c>
      <c r="G87" s="350">
        <v>43466141.779549994</v>
      </c>
      <c r="H87" s="170">
        <f t="shared" si="14"/>
        <v>39.6</v>
      </c>
      <c r="I87" s="11">
        <f>IFERROR(100/'Skjema total MA'!F87*G87,0)</f>
        <v>10.388408567622692</v>
      </c>
      <c r="J87" s="307">
        <f t="shared" ref="J87:K112" si="21">SUM(B87,F87)</f>
        <v>47151456.335380003</v>
      </c>
      <c r="K87" s="234">
        <f t="shared" si="21"/>
        <v>60186408.672149993</v>
      </c>
      <c r="L87" s="425">
        <f t="shared" si="16"/>
        <v>27.6</v>
      </c>
      <c r="M87" s="11">
        <f>IFERROR(100/'Skjema total MA'!I87*K87,0)</f>
        <v>7.3309649212913746</v>
      </c>
    </row>
    <row r="88" spans="1:13" x14ac:dyDescent="0.2">
      <c r="A88" s="20" t="s">
        <v>9</v>
      </c>
      <c r="B88" s="232">
        <v>12218234.72404</v>
      </c>
      <c r="C88" s="144">
        <v>12191997.92066</v>
      </c>
      <c r="D88" s="165">
        <f t="shared" si="13"/>
        <v>-0.2</v>
      </c>
      <c r="E88" s="26">
        <f>IFERROR(100/'Skjema total MA'!C88*C88,0)</f>
        <v>3.1281178927443358</v>
      </c>
      <c r="F88" s="232"/>
      <c r="G88" s="144"/>
      <c r="H88" s="165"/>
      <c r="I88" s="26"/>
      <c r="J88" s="285">
        <f t="shared" si="21"/>
        <v>12218234.72404</v>
      </c>
      <c r="K88" s="43">
        <f t="shared" si="21"/>
        <v>12191997.92066</v>
      </c>
      <c r="L88" s="252">
        <f t="shared" si="16"/>
        <v>-0.2</v>
      </c>
      <c r="M88" s="26">
        <f>IFERROR(100/'Skjema total MA'!I88*K88,0)</f>
        <v>3.1281178927443358</v>
      </c>
    </row>
    <row r="89" spans="1:13" x14ac:dyDescent="0.2">
      <c r="A89" s="20" t="s">
        <v>10</v>
      </c>
      <c r="B89" s="232">
        <v>1619955.8028500001</v>
      </c>
      <c r="C89" s="144">
        <v>1654994.3801500001</v>
      </c>
      <c r="D89" s="165">
        <f t="shared" si="13"/>
        <v>2.2000000000000002</v>
      </c>
      <c r="E89" s="26">
        <f>IFERROR(100/'Skjema total MA'!C89*C89,0)</f>
        <v>53.640042775739317</v>
      </c>
      <c r="F89" s="232">
        <v>30106218.819460001</v>
      </c>
      <c r="G89" s="144">
        <v>41931796.882019997</v>
      </c>
      <c r="H89" s="165">
        <f t="shared" si="14"/>
        <v>39.299999999999997</v>
      </c>
      <c r="I89" s="26">
        <f>IFERROR(100/'Skjema total MA'!F89*G89,0)</f>
        <v>10.120571305700398</v>
      </c>
      <c r="J89" s="285">
        <f t="shared" si="21"/>
        <v>31726174.622310001</v>
      </c>
      <c r="K89" s="43">
        <f t="shared" si="21"/>
        <v>43586791.262169994</v>
      </c>
      <c r="L89" s="252">
        <f t="shared" si="16"/>
        <v>37.4</v>
      </c>
      <c r="M89" s="26">
        <f>IFERROR(100/'Skjema total MA'!I89*K89,0)</f>
        <v>10.442256045787639</v>
      </c>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v>1357822.1765699999</v>
      </c>
      <c r="C96" s="144">
        <v>1843061.4203600001</v>
      </c>
      <c r="D96" s="165">
        <f t="shared" si="13"/>
        <v>35.700000000000003</v>
      </c>
      <c r="E96" s="26">
        <f>IFERROR(100/'Skjema total MA'!C96*C96,0)</f>
        <v>79.443610395589886</v>
      </c>
      <c r="F96" s="232">
        <v>1022438.49751</v>
      </c>
      <c r="G96" s="144">
        <v>1534344.89753</v>
      </c>
      <c r="H96" s="165">
        <f t="shared" si="14"/>
        <v>50.1</v>
      </c>
      <c r="I96" s="26">
        <f>IFERROR(100/'Skjema total MA'!F96*G96,0)</f>
        <v>37.536707738679944</v>
      </c>
      <c r="J96" s="285">
        <f t="shared" si="21"/>
        <v>2380260.6740799998</v>
      </c>
      <c r="K96" s="43">
        <f t="shared" si="21"/>
        <v>3377406.3178900001</v>
      </c>
      <c r="L96" s="252">
        <f t="shared" si="16"/>
        <v>41.9</v>
      </c>
      <c r="M96" s="26">
        <f>IFERROR(100/'Skjema total MA'!I96*K96,0)</f>
        <v>52.709817518707787</v>
      </c>
    </row>
    <row r="97" spans="1:13" x14ac:dyDescent="0.2">
      <c r="A97" s="20" t="s">
        <v>346</v>
      </c>
      <c r="B97" s="232">
        <v>826786.31495000003</v>
      </c>
      <c r="C97" s="144">
        <v>1030213.17143</v>
      </c>
      <c r="D97" s="165">
        <f t="shared" ref="D97" si="22">IF(B97=0, "    ---- ", IF(ABS(ROUND(100/B97*C97-100,1))&lt;999,ROUND(100/B97*C97-100,1),IF(ROUND(100/B97*C97-100,1)&gt;999,999,-999)))</f>
        <v>24.6</v>
      </c>
      <c r="E97" s="26">
        <f>IFERROR(100/'Skjema total MA'!C98*C97,0)</f>
        <v>0.26523553431690916</v>
      </c>
      <c r="F97" s="232"/>
      <c r="G97" s="144"/>
      <c r="H97" s="165"/>
      <c r="I97" s="26"/>
      <c r="J97" s="285">
        <f t="shared" ref="J97" si="23">SUM(B97,F97)</f>
        <v>826786.31495000003</v>
      </c>
      <c r="K97" s="43">
        <f t="shared" ref="K97" si="24">SUM(C97,G97)</f>
        <v>1030213.17143</v>
      </c>
      <c r="L97" s="252">
        <f t="shared" ref="L97" si="25">IF(J97=0, "    ---- ", IF(ABS(ROUND(100/J97*K97-100,1))&lt;999,ROUND(100/J97*K97-100,1),IF(ROUND(100/J97*K97-100,1)&gt;999,999,-999)))</f>
        <v>24.6</v>
      </c>
      <c r="M97" s="26">
        <f>IFERROR(100/'Skjema total MA'!I98*K97,0)</f>
        <v>0.12851628432690254</v>
      </c>
    </row>
    <row r="98" spans="1:13" ht="15.75" x14ac:dyDescent="0.2">
      <c r="A98" s="20" t="s">
        <v>381</v>
      </c>
      <c r="B98" s="232">
        <v>13838190.52689</v>
      </c>
      <c r="C98" s="232">
        <v>13846992.30081</v>
      </c>
      <c r="D98" s="165">
        <f t="shared" si="13"/>
        <v>0.1</v>
      </c>
      <c r="E98" s="26">
        <f>IFERROR(100/'Skjema total MA'!C98*C98,0)</f>
        <v>3.5650043150676396</v>
      </c>
      <c r="F98" s="290">
        <v>30035402.554189999</v>
      </c>
      <c r="G98" s="290">
        <v>41840796.796400003</v>
      </c>
      <c r="H98" s="165">
        <f t="shared" si="14"/>
        <v>39.299999999999997</v>
      </c>
      <c r="I98" s="26">
        <f>IFERROR(100/'Skjema total MA'!F98*G98,0)</f>
        <v>10.125886357132416</v>
      </c>
      <c r="J98" s="285">
        <f t="shared" si="21"/>
        <v>43873593.081079997</v>
      </c>
      <c r="K98" s="43">
        <f t="shared" si="21"/>
        <v>55687789.097210005</v>
      </c>
      <c r="L98" s="252">
        <f t="shared" si="16"/>
        <v>26.9</v>
      </c>
      <c r="M98" s="26">
        <f>IFERROR(100/'Skjema total MA'!I98*K98,0)</f>
        <v>6.9468998607536321</v>
      </c>
    </row>
    <row r="99" spans="1:13" x14ac:dyDescent="0.2">
      <c r="A99" s="20" t="s">
        <v>9</v>
      </c>
      <c r="B99" s="290">
        <v>12218234.72404</v>
      </c>
      <c r="C99" s="291">
        <v>12191997.92066</v>
      </c>
      <c r="D99" s="165">
        <f t="shared" si="13"/>
        <v>-0.2</v>
      </c>
      <c r="E99" s="26">
        <f>IFERROR(100/'Skjema total MA'!C99*C99,0)</f>
        <v>3.1640481435755126</v>
      </c>
      <c r="F99" s="232"/>
      <c r="G99" s="144"/>
      <c r="H99" s="165"/>
      <c r="I99" s="26"/>
      <c r="J99" s="285">
        <f t="shared" si="21"/>
        <v>12218234.72404</v>
      </c>
      <c r="K99" s="43">
        <f t="shared" si="21"/>
        <v>12191997.92066</v>
      </c>
      <c r="L99" s="252">
        <f t="shared" si="16"/>
        <v>-0.2</v>
      </c>
      <c r="M99" s="26">
        <f>IFERROR(100/'Skjema total MA'!I99*K99,0)</f>
        <v>3.1640481435755126</v>
      </c>
    </row>
    <row r="100" spans="1:13" ht="15.75" x14ac:dyDescent="0.2">
      <c r="A100" s="729" t="s">
        <v>424</v>
      </c>
      <c r="B100" s="290">
        <v>1619955.8028500001</v>
      </c>
      <c r="C100" s="291">
        <v>1654994.3801500001</v>
      </c>
      <c r="D100" s="165">
        <f t="shared" si="13"/>
        <v>2.2000000000000002</v>
      </c>
      <c r="E100" s="26">
        <f>IFERROR(100/'Skjema total MA'!C100*C100,0)</f>
        <v>53.640042775739317</v>
      </c>
      <c r="F100" s="232">
        <v>30035402.554189999</v>
      </c>
      <c r="G100" s="232">
        <v>41840796.796400003</v>
      </c>
      <c r="H100" s="165">
        <f t="shared" si="14"/>
        <v>39.299999999999997</v>
      </c>
      <c r="I100" s="26">
        <f>IFERROR(100/'Skjema total MA'!F100*G100,0)</f>
        <v>10.125886357132416</v>
      </c>
      <c r="J100" s="285">
        <f t="shared" si="21"/>
        <v>31655358.357039999</v>
      </c>
      <c r="K100" s="43">
        <f t="shared" si="21"/>
        <v>43495791.176550001</v>
      </c>
      <c r="L100" s="252">
        <f t="shared" si="16"/>
        <v>37.4</v>
      </c>
      <c r="M100" s="26">
        <f>IFERROR(100/'Skjema total MA'!I100*K100,0)</f>
        <v>10.448394208015294</v>
      </c>
    </row>
    <row r="101" spans="1:13" ht="15.75" x14ac:dyDescent="0.2">
      <c r="A101" s="729" t="s">
        <v>425</v>
      </c>
      <c r="B101" s="290"/>
      <c r="C101" s="290"/>
      <c r="D101" s="165"/>
      <c r="E101" s="26"/>
      <c r="F101" s="290"/>
      <c r="G101" s="290">
        <v>1289644.892</v>
      </c>
      <c r="H101" s="165" t="str">
        <f t="shared" si="14"/>
        <v xml:space="preserve">    ---- </v>
      </c>
      <c r="I101" s="26">
        <f>IFERROR(100/'Skjema total MA'!G102*G101,0)</f>
        <v>0</v>
      </c>
      <c r="J101" s="285"/>
      <c r="K101" s="43">
        <f t="shared" ref="K101" si="26">SUM(C101,G101)</f>
        <v>1289644.892</v>
      </c>
      <c r="L101" s="252" t="str">
        <f t="shared" ref="L101" si="27">IF(J101=0, "    ---- ", IF(ABS(ROUND(100/J101*K101-100,1))&lt;999,ROUND(100/J101*K101-100,1),IF(ROUND(100/J101*K101-100,1)&gt;999,999,-999)))</f>
        <v xml:space="preserve">    ---- </v>
      </c>
      <c r="M101" s="26">
        <f>IFERROR(100/'Skjema total MA'!I102*K101,0)</f>
        <v>0</v>
      </c>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v>70816.265269999902</v>
      </c>
      <c r="G108" s="144">
        <v>91000.085619999998</v>
      </c>
      <c r="H108" s="165">
        <f t="shared" si="14"/>
        <v>28.5</v>
      </c>
      <c r="I108" s="26">
        <f>IFERROR(100/'Skjema total MA'!F108*G108,0)</f>
        <v>8.1529321390263316</v>
      </c>
      <c r="J108" s="285">
        <f t="shared" si="21"/>
        <v>70816.265269999902</v>
      </c>
      <c r="K108" s="43">
        <f t="shared" si="21"/>
        <v>91000.085619999998</v>
      </c>
      <c r="L108" s="252">
        <f t="shared" si="16"/>
        <v>28.5</v>
      </c>
      <c r="M108" s="26">
        <f>IFERROR(100/'Skjema total MA'!I108*K108,0)</f>
        <v>1.641966956173835</v>
      </c>
    </row>
    <row r="109" spans="1:13" ht="15.75" x14ac:dyDescent="0.2">
      <c r="A109" s="20" t="s">
        <v>383</v>
      </c>
      <c r="B109" s="232">
        <v>8917905.6903300006</v>
      </c>
      <c r="C109" s="232">
        <v>8856559.0841700006</v>
      </c>
      <c r="D109" s="165">
        <f t="shared" si="13"/>
        <v>-0.7</v>
      </c>
      <c r="E109" s="26">
        <f>IFERROR(100/'Skjema total MA'!C109*C109,0)</f>
        <v>2.6463492867986624</v>
      </c>
      <c r="F109" s="232"/>
      <c r="G109" s="232"/>
      <c r="H109" s="165"/>
      <c r="I109" s="26"/>
      <c r="J109" s="285">
        <f t="shared" si="21"/>
        <v>8917905.6903300006</v>
      </c>
      <c r="K109" s="43">
        <f t="shared" si="21"/>
        <v>8856559.0841700006</v>
      </c>
      <c r="L109" s="252">
        <f t="shared" si="16"/>
        <v>-0.7</v>
      </c>
      <c r="M109" s="26">
        <f>IFERROR(100/'Skjema total MA'!I109*K109,0)</f>
        <v>2.495258478330098</v>
      </c>
    </row>
    <row r="110" spans="1:13" ht="15.75" x14ac:dyDescent="0.2">
      <c r="A110" s="729" t="s">
        <v>441</v>
      </c>
      <c r="B110" s="232">
        <v>350225.43634000001</v>
      </c>
      <c r="C110" s="232">
        <v>367578.22836000001</v>
      </c>
      <c r="D110" s="165">
        <f t="shared" si="13"/>
        <v>5</v>
      </c>
      <c r="E110" s="26">
        <f>IFERROR(100/'Skjema total MA'!C110*C110,0)</f>
        <v>23.178419834718195</v>
      </c>
      <c r="F110" s="232">
        <v>10186499.282029999</v>
      </c>
      <c r="G110" s="232">
        <v>15050753.6448</v>
      </c>
      <c r="H110" s="165">
        <f t="shared" si="14"/>
        <v>47.8</v>
      </c>
      <c r="I110" s="26">
        <f>IFERROR(100/'Skjema total MA'!F110*G110,0)</f>
        <v>10.155876952125713</v>
      </c>
      <c r="J110" s="285">
        <f t="shared" si="21"/>
        <v>10536724.71837</v>
      </c>
      <c r="K110" s="43">
        <f t="shared" si="21"/>
        <v>15418331.873159999</v>
      </c>
      <c r="L110" s="252">
        <f t="shared" si="16"/>
        <v>46.3</v>
      </c>
      <c r="M110" s="26">
        <f>IFERROR(100/'Skjema total MA'!I110*K110,0)</f>
        <v>10.293755985807193</v>
      </c>
    </row>
    <row r="111" spans="1:13" ht="15.75" x14ac:dyDescent="0.2">
      <c r="A111" s="20" t="s">
        <v>385</v>
      </c>
      <c r="B111" s="232">
        <v>259813.37878999999</v>
      </c>
      <c r="C111" s="232">
        <v>404615.14861999999</v>
      </c>
      <c r="D111" s="165">
        <f t="shared" si="13"/>
        <v>55.7</v>
      </c>
      <c r="E111" s="26">
        <f>IFERROR(100/'Skjema total MA'!C111*C111,0)</f>
        <v>67.184509586129366</v>
      </c>
      <c r="F111" s="232"/>
      <c r="G111" s="232"/>
      <c r="H111" s="165"/>
      <c r="I111" s="26"/>
      <c r="J111" s="285">
        <f t="shared" si="21"/>
        <v>259813.37878999999</v>
      </c>
      <c r="K111" s="43">
        <f t="shared" si="21"/>
        <v>404615.14861999999</v>
      </c>
      <c r="L111" s="252">
        <f t="shared" si="16"/>
        <v>55.7</v>
      </c>
      <c r="M111" s="26">
        <f>IFERROR(100/'Skjema total MA'!I111*K111,0)</f>
        <v>67.184509586129366</v>
      </c>
    </row>
    <row r="112" spans="1:13" ht="15.75" x14ac:dyDescent="0.2">
      <c r="A112" s="13" t="s">
        <v>365</v>
      </c>
      <c r="B112" s="306">
        <v>10141.162609999999</v>
      </c>
      <c r="C112" s="158">
        <v>14614.607800000002</v>
      </c>
      <c r="D112" s="170">
        <f t="shared" si="13"/>
        <v>44.1</v>
      </c>
      <c r="E112" s="11">
        <f>IFERROR(100/'Skjema total MA'!C112*C112,0)</f>
        <v>5.6258937019129469</v>
      </c>
      <c r="F112" s="306">
        <v>639219.13448999997</v>
      </c>
      <c r="G112" s="158">
        <v>4274666.1332900003</v>
      </c>
      <c r="H112" s="170">
        <f t="shared" si="14"/>
        <v>568.70000000000005</v>
      </c>
      <c r="I112" s="11">
        <f>IFERROR(100/'Skjema total MA'!F112*G112,0)</f>
        <v>14.626180656207479</v>
      </c>
      <c r="J112" s="307">
        <f t="shared" si="21"/>
        <v>649360.29709999997</v>
      </c>
      <c r="K112" s="234">
        <f t="shared" si="21"/>
        <v>4289280.7410900006</v>
      </c>
      <c r="L112" s="425">
        <f t="shared" si="16"/>
        <v>560.5</v>
      </c>
      <c r="M112" s="11">
        <f>IFERROR(100/'Skjema total MA'!I112*K112,0)</f>
        <v>14.546887154659334</v>
      </c>
    </row>
    <row r="113" spans="1:14" x14ac:dyDescent="0.2">
      <c r="A113" s="20" t="s">
        <v>9</v>
      </c>
      <c r="B113" s="232">
        <v>1174.03098</v>
      </c>
      <c r="C113" s="144">
        <v>3391.69994</v>
      </c>
      <c r="D113" s="165">
        <f t="shared" ref="D113:D126" si="28">IF(B113=0, "    ---- ", IF(ABS(ROUND(100/B113*C113-100,1))&lt;999,ROUND(100/B113*C113-100,1),IF(ROUND(100/B113*C113-100,1)&gt;999,999,-999)))</f>
        <v>188.9</v>
      </c>
      <c r="E113" s="26">
        <f>IFERROR(100/'Skjema total MA'!C113*C113,0)</f>
        <v>2.039465722642229</v>
      </c>
      <c r="F113" s="232"/>
      <c r="G113" s="144"/>
      <c r="H113" s="165"/>
      <c r="I113" s="26"/>
      <c r="J113" s="285">
        <f t="shared" ref="J113:K126" si="29">SUM(B113,F113)</f>
        <v>1174.03098</v>
      </c>
      <c r="K113" s="43">
        <f t="shared" si="29"/>
        <v>3391.69994</v>
      </c>
      <c r="L113" s="252">
        <f t="shared" ref="L113:L126" si="30">IF(J113=0, "    ---- ", IF(ABS(ROUND(100/J113*K113-100,1))&lt;999,ROUND(100/J113*K113-100,1),IF(ROUND(100/J113*K113-100,1)&gt;999,999,-999)))</f>
        <v>188.9</v>
      </c>
      <c r="M113" s="26">
        <f>IFERROR(100/'Skjema total MA'!I113*K113,0)</f>
        <v>1.9175330845983871</v>
      </c>
    </row>
    <row r="114" spans="1:14" x14ac:dyDescent="0.2">
      <c r="A114" s="20" t="s">
        <v>10</v>
      </c>
      <c r="B114" s="232">
        <v>3724.60727</v>
      </c>
      <c r="C114" s="144">
        <v>202.16847000000001</v>
      </c>
      <c r="D114" s="165">
        <f t="shared" si="28"/>
        <v>-94.6</v>
      </c>
      <c r="E114" s="26">
        <f>IFERROR(100/'Skjema total MA'!C114*C114,0)</f>
        <v>100</v>
      </c>
      <c r="F114" s="232">
        <v>639041.03249000001</v>
      </c>
      <c r="G114" s="144">
        <v>4274666.1332900003</v>
      </c>
      <c r="H114" s="165">
        <f t="shared" ref="H114:H126" si="31">IF(F114=0, "    ---- ", IF(ABS(ROUND(100/F114*G114-100,1))&lt;999,ROUND(100/F114*G114-100,1),IF(ROUND(100/F114*G114-100,1)&gt;999,999,-999)))</f>
        <v>568.9</v>
      </c>
      <c r="I114" s="26">
        <f>IFERROR(100/'Skjema total MA'!F114*G114,0)</f>
        <v>14.631474790500334</v>
      </c>
      <c r="J114" s="285">
        <f t="shared" si="29"/>
        <v>642765.63976000005</v>
      </c>
      <c r="K114" s="43">
        <f t="shared" si="29"/>
        <v>4274868.3017600002</v>
      </c>
      <c r="L114" s="252">
        <f t="shared" si="30"/>
        <v>565.1</v>
      </c>
      <c r="M114" s="26">
        <f>IFERROR(100/'Skjema total MA'!I114*K114,0)</f>
        <v>14.632065527402006</v>
      </c>
    </row>
    <row r="115" spans="1:14" x14ac:dyDescent="0.2">
      <c r="A115" s="20" t="s">
        <v>26</v>
      </c>
      <c r="B115" s="232">
        <v>5242.5243600000003</v>
      </c>
      <c r="C115" s="144">
        <v>11020.739390000001</v>
      </c>
      <c r="D115" s="165">
        <f t="shared" si="28"/>
        <v>110.2</v>
      </c>
      <c r="E115" s="26">
        <f>IFERROR(100/'Skjema total MA'!C115*C115,0)</f>
        <v>11.816149091781879</v>
      </c>
      <c r="F115" s="232">
        <v>178.102</v>
      </c>
      <c r="G115" s="144">
        <v>0</v>
      </c>
      <c r="H115" s="165">
        <f t="shared" si="31"/>
        <v>-100</v>
      </c>
      <c r="I115" s="26">
        <f>IFERROR(100/'Skjema total MA'!F115*G115,0)</f>
        <v>0</v>
      </c>
      <c r="J115" s="285">
        <f t="shared" si="29"/>
        <v>5420.6263600000002</v>
      </c>
      <c r="K115" s="43">
        <f t="shared" si="29"/>
        <v>11020.739390000001</v>
      </c>
      <c r="L115" s="252">
        <f t="shared" si="30"/>
        <v>103.3</v>
      </c>
      <c r="M115" s="26">
        <f>IFERROR(100/'Skjema total MA'!I115*K115,0)</f>
        <v>11.816149091781879</v>
      </c>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v>0</v>
      </c>
      <c r="C117" s="232">
        <v>3391.6977900000002</v>
      </c>
      <c r="D117" s="165" t="str">
        <f t="shared" si="28"/>
        <v xml:space="preserve">    ---- </v>
      </c>
      <c r="E117" s="26">
        <f>IFERROR(100/'Skjema total MA'!C117*C117,0)</f>
        <v>5.1606653561244036</v>
      </c>
      <c r="F117" s="232"/>
      <c r="G117" s="232"/>
      <c r="H117" s="165"/>
      <c r="I117" s="26"/>
      <c r="J117" s="285">
        <f t="shared" si="29"/>
        <v>0</v>
      </c>
      <c r="K117" s="43">
        <f t="shared" si="29"/>
        <v>3391.6977900000002</v>
      </c>
      <c r="L117" s="252" t="str">
        <f t="shared" si="30"/>
        <v xml:space="preserve">    ---- </v>
      </c>
      <c r="M117" s="26">
        <f>IFERROR(100/'Skjema total MA'!I117*K117,0)</f>
        <v>4.4453853566330759</v>
      </c>
    </row>
    <row r="118" spans="1:14" ht="15.75" x14ac:dyDescent="0.2">
      <c r="A118" s="20" t="s">
        <v>387</v>
      </c>
      <c r="B118" s="232"/>
      <c r="C118" s="232"/>
      <c r="D118" s="165"/>
      <c r="E118" s="26"/>
      <c r="F118" s="232">
        <v>224529.50607999999</v>
      </c>
      <c r="G118" s="232">
        <v>273896.73242000001</v>
      </c>
      <c r="H118" s="165">
        <f t="shared" si="31"/>
        <v>22</v>
      </c>
      <c r="I118" s="26">
        <f>IFERROR(100/'Skjema total MA'!F118*G118,0)</f>
        <v>20.16515579896825</v>
      </c>
      <c r="J118" s="285">
        <f t="shared" si="29"/>
        <v>224529.50607999999</v>
      </c>
      <c r="K118" s="43">
        <f t="shared" si="29"/>
        <v>273896.73242000001</v>
      </c>
      <c r="L118" s="252">
        <f t="shared" si="30"/>
        <v>22</v>
      </c>
      <c r="M118" s="26">
        <f>IFERROR(100/'Skjema total MA'!I118*K118,0)</f>
        <v>20.16515579896825</v>
      </c>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v>9670.93325</v>
      </c>
      <c r="C120" s="158">
        <v>19277.394649999998</v>
      </c>
      <c r="D120" s="170">
        <f t="shared" si="28"/>
        <v>99.3</v>
      </c>
      <c r="E120" s="11">
        <f>IFERROR(100/'Skjema total MA'!C120*C120,0)</f>
        <v>5.4127947278403115</v>
      </c>
      <c r="F120" s="306">
        <v>419925.58947000001</v>
      </c>
      <c r="G120" s="158">
        <v>3329171.4213800002</v>
      </c>
      <c r="H120" s="170">
        <f t="shared" si="31"/>
        <v>692.8</v>
      </c>
      <c r="I120" s="11">
        <f>IFERROR(100/'Skjema total MA'!F120*G120,0)</f>
        <v>9.8544216737503394</v>
      </c>
      <c r="J120" s="307">
        <f t="shared" si="29"/>
        <v>429596.52272000001</v>
      </c>
      <c r="K120" s="234">
        <f t="shared" si="29"/>
        <v>3348448.8160300003</v>
      </c>
      <c r="L120" s="425">
        <f t="shared" si="30"/>
        <v>679.4</v>
      </c>
      <c r="M120" s="11">
        <f>IFERROR(100/'Skjema total MA'!I120*K120,0)</f>
        <v>9.808086639443788</v>
      </c>
    </row>
    <row r="121" spans="1:14" x14ac:dyDescent="0.2">
      <c r="A121" s="20" t="s">
        <v>9</v>
      </c>
      <c r="B121" s="232">
        <v>396.30399999999997</v>
      </c>
      <c r="C121" s="144">
        <v>49.346490000000003</v>
      </c>
      <c r="D121" s="165">
        <f t="shared" si="28"/>
        <v>-87.5</v>
      </c>
      <c r="E121" s="26">
        <f>IFERROR(100/'Skjema total MA'!C121*C121,0)</f>
        <v>1.9263832306945131E-2</v>
      </c>
      <c r="F121" s="232"/>
      <c r="G121" s="144"/>
      <c r="H121" s="165"/>
      <c r="I121" s="26"/>
      <c r="J121" s="285">
        <f t="shared" si="29"/>
        <v>396.30399999999997</v>
      </c>
      <c r="K121" s="43">
        <f t="shared" si="29"/>
        <v>49.346490000000003</v>
      </c>
      <c r="L121" s="252">
        <f t="shared" si="30"/>
        <v>-87.5</v>
      </c>
      <c r="M121" s="26">
        <f>IFERROR(100/'Skjema total MA'!I121*K121,0)</f>
        <v>1.9263832306945131E-2</v>
      </c>
    </row>
    <row r="122" spans="1:14" x14ac:dyDescent="0.2">
      <c r="A122" s="20" t="s">
        <v>10</v>
      </c>
      <c r="B122" s="232">
        <v>3050.8951099999999</v>
      </c>
      <c r="C122" s="144">
        <v>6625.8154999999997</v>
      </c>
      <c r="D122" s="165">
        <f t="shared" si="28"/>
        <v>117.2</v>
      </c>
      <c r="E122" s="26">
        <f>IFERROR(100/'Skjema total MA'!C122*C122,0)</f>
        <v>100</v>
      </c>
      <c r="F122" s="232">
        <v>419925.58947000001</v>
      </c>
      <c r="G122" s="144">
        <v>3329171.4213800002</v>
      </c>
      <c r="H122" s="165">
        <f t="shared" si="31"/>
        <v>692.8</v>
      </c>
      <c r="I122" s="26">
        <f>IFERROR(100/'Skjema total MA'!F122*G122,0)</f>
        <v>9.8544216737503394</v>
      </c>
      <c r="J122" s="285">
        <f t="shared" si="29"/>
        <v>422976.48457999999</v>
      </c>
      <c r="K122" s="43">
        <f t="shared" si="29"/>
        <v>3335797.2368800002</v>
      </c>
      <c r="L122" s="252">
        <f t="shared" si="30"/>
        <v>688.6</v>
      </c>
      <c r="M122" s="26">
        <f>IFERROR(100/'Skjema total MA'!I122*K122,0)</f>
        <v>9.8720980641150025</v>
      </c>
    </row>
    <row r="123" spans="1:14" x14ac:dyDescent="0.2">
      <c r="A123" s="20" t="s">
        <v>26</v>
      </c>
      <c r="B123" s="232">
        <v>6223.7341399999996</v>
      </c>
      <c r="C123" s="144">
        <v>12602.23266</v>
      </c>
      <c r="D123" s="165">
        <f t="shared" si="28"/>
        <v>102.5</v>
      </c>
      <c r="E123" s="26">
        <f>IFERROR(100/'Skjema total MA'!C123*C123,0)</f>
        <v>13.4988547135906</v>
      </c>
      <c r="F123" s="232"/>
      <c r="G123" s="144"/>
      <c r="H123" s="165"/>
      <c r="I123" s="26"/>
      <c r="J123" s="285">
        <f t="shared" si="29"/>
        <v>6223.7341399999996</v>
      </c>
      <c r="K123" s="43">
        <f t="shared" si="29"/>
        <v>12602.23266</v>
      </c>
      <c r="L123" s="252">
        <f t="shared" si="30"/>
        <v>102.5</v>
      </c>
      <c r="M123" s="26">
        <f>IFERROR(100/'Skjema total MA'!I123*K123,0)</f>
        <v>13.4988547135906</v>
      </c>
    </row>
    <row r="124" spans="1:14" x14ac:dyDescent="0.2">
      <c r="A124" s="294" t="s">
        <v>14</v>
      </c>
      <c r="B124" s="279" t="s">
        <v>429</v>
      </c>
      <c r="C124" s="279" t="s">
        <v>429</v>
      </c>
      <c r="D124" s="165" t="e">
        <f>IF(kvartal=4,IF(B124=0, "    ---- ", IF(ABS(ROUND(100/B124*C124-100,1))&lt;999,ROUND(100/B124*C124-100,1),IF(ROUND(100/B124*C124-100,1)&gt;999,999,-999))),"")</f>
        <v>#REF!</v>
      </c>
      <c r="E124" s="414" t="e">
        <f>IF(kvartal=4,IFERROR(100/'Skjema total MA'!B124*C124,0),"")</f>
        <v>#REF!</v>
      </c>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v>1047.3412900000001</v>
      </c>
      <c r="C126" s="232">
        <v>1675.7295899999999</v>
      </c>
      <c r="D126" s="165">
        <f t="shared" si="28"/>
        <v>60</v>
      </c>
      <c r="E126" s="26">
        <f>IFERROR(100/'Skjema total MA'!C126*C126,0)</f>
        <v>85.806555008350358</v>
      </c>
      <c r="F126" s="232">
        <v>193462.94584</v>
      </c>
      <c r="G126" s="232">
        <v>1678463.01349</v>
      </c>
      <c r="H126" s="165">
        <f t="shared" si="31"/>
        <v>767.6</v>
      </c>
      <c r="I126" s="26">
        <f>IFERROR(100/'Skjema total MA'!F126*G126,0)</f>
        <v>15.386054124027837</v>
      </c>
      <c r="J126" s="285">
        <f t="shared" si="29"/>
        <v>194510.28713000001</v>
      </c>
      <c r="K126" s="43">
        <f t="shared" si="29"/>
        <v>1680138.7430799999</v>
      </c>
      <c r="L126" s="252">
        <f t="shared" si="30"/>
        <v>763.8</v>
      </c>
      <c r="M126" s="26">
        <f>IFERROR(100/'Skjema total MA'!I126*K126,0)</f>
        <v>15.398658470201893</v>
      </c>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530" priority="132">
      <formula>kvartal &lt; 4</formula>
    </cfRule>
  </conditionalFormatting>
  <conditionalFormatting sqref="B116">
    <cfRule type="expression" dxfId="529" priority="76">
      <formula>kvartal &lt; 4</formula>
    </cfRule>
  </conditionalFormatting>
  <conditionalFormatting sqref="C116">
    <cfRule type="expression" dxfId="528" priority="75">
      <formula>kvartal &lt; 4</formula>
    </cfRule>
  </conditionalFormatting>
  <conditionalFormatting sqref="B124">
    <cfRule type="expression" dxfId="527" priority="74">
      <formula>kvartal &lt; 4</formula>
    </cfRule>
  </conditionalFormatting>
  <conditionalFormatting sqref="C124">
    <cfRule type="expression" dxfId="526" priority="73">
      <formula>kvartal &lt; 4</formula>
    </cfRule>
  </conditionalFormatting>
  <conditionalFormatting sqref="F116">
    <cfRule type="expression" dxfId="525" priority="58">
      <formula>kvartal &lt; 4</formula>
    </cfRule>
  </conditionalFormatting>
  <conditionalFormatting sqref="G116">
    <cfRule type="expression" dxfId="524" priority="57">
      <formula>kvartal &lt; 4</formula>
    </cfRule>
  </conditionalFormatting>
  <conditionalFormatting sqref="F124:G124">
    <cfRule type="expression" dxfId="523" priority="56">
      <formula>kvartal &lt; 4</formula>
    </cfRule>
  </conditionalFormatting>
  <conditionalFormatting sqref="J116:K116">
    <cfRule type="expression" dxfId="522" priority="32">
      <formula>kvartal &lt; 4</formula>
    </cfRule>
  </conditionalFormatting>
  <conditionalFormatting sqref="J124:K124">
    <cfRule type="expression" dxfId="521" priority="31">
      <formula>kvartal &lt; 4</formula>
    </cfRule>
  </conditionalFormatting>
  <conditionalFormatting sqref="A50:A52">
    <cfRule type="expression" dxfId="520" priority="12">
      <formula>kvartal &lt; 4</formula>
    </cfRule>
  </conditionalFormatting>
  <conditionalFormatting sqref="A69:A74">
    <cfRule type="expression" dxfId="519" priority="10">
      <formula>kvartal &lt; 4</formula>
    </cfRule>
  </conditionalFormatting>
  <conditionalFormatting sqref="A80:A85">
    <cfRule type="expression" dxfId="518" priority="9">
      <formula>kvartal &lt; 4</formula>
    </cfRule>
  </conditionalFormatting>
  <conditionalFormatting sqref="A90:A95">
    <cfRule type="expression" dxfId="517" priority="6">
      <formula>kvartal &lt; 4</formula>
    </cfRule>
  </conditionalFormatting>
  <conditionalFormatting sqref="A102:A107">
    <cfRule type="expression" dxfId="516" priority="5">
      <formula>kvartal &lt; 4</formula>
    </cfRule>
  </conditionalFormatting>
  <conditionalFormatting sqref="A116">
    <cfRule type="expression" dxfId="515" priority="4">
      <formula>kvartal &lt; 4</formula>
    </cfRule>
  </conditionalFormatting>
  <conditionalFormatting sqref="A124">
    <cfRule type="expression" dxfId="514" priority="3">
      <formula>kvartal &lt; 4</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topLeftCell="A101" zoomScale="90" zoomScaleNormal="90" workbookViewId="0">
      <selection activeCell="M101" sqref="M101"/>
    </sheetView>
  </sheetViews>
  <sheetFormatPr baseColWidth="10" defaultColWidth="11.42578125" defaultRowHeight="18.75" x14ac:dyDescent="0.3"/>
  <cols>
    <col min="10" max="11" width="16.7109375" customWidth="1"/>
    <col min="12" max="12" width="20.7109375" style="73" customWidth="1"/>
    <col min="13" max="14" width="15.7109375" style="73" bestFit="1" customWidth="1"/>
    <col min="15" max="15" width="22.7109375" customWidth="1"/>
    <col min="16" max="16" width="13.42578125" customWidth="1"/>
    <col min="17" max="17" width="13.7109375" customWidth="1"/>
  </cols>
  <sheetData>
    <row r="1" spans="1:15" x14ac:dyDescent="0.3">
      <c r="A1" s="72" t="s">
        <v>52</v>
      </c>
    </row>
    <row r="2" spans="1:15" x14ac:dyDescent="0.3">
      <c r="A2" s="74"/>
      <c r="B2" s="73"/>
      <c r="C2" s="73"/>
      <c r="D2" s="73"/>
      <c r="E2" s="73"/>
      <c r="F2" s="73"/>
      <c r="G2" s="73"/>
      <c r="H2" s="73"/>
      <c r="I2" s="73"/>
      <c r="J2" s="73"/>
      <c r="K2" s="73"/>
      <c r="O2" s="73"/>
    </row>
    <row r="3" spans="1:15" x14ac:dyDescent="0.3">
      <c r="A3" s="74" t="s">
        <v>32</v>
      </c>
      <c r="B3" s="73"/>
      <c r="C3" s="73"/>
      <c r="D3" s="73"/>
      <c r="E3" s="73"/>
      <c r="F3" s="73"/>
      <c r="G3" s="73"/>
      <c r="H3" s="73"/>
      <c r="I3" s="73"/>
      <c r="J3" s="73"/>
      <c r="K3" s="73"/>
      <c r="O3" s="73"/>
    </row>
    <row r="4" spans="1:15" x14ac:dyDescent="0.3">
      <c r="A4" s="73"/>
      <c r="B4" s="73"/>
      <c r="C4" s="73"/>
      <c r="D4" s="73"/>
      <c r="E4" s="73"/>
      <c r="F4" s="73"/>
      <c r="G4" s="73"/>
      <c r="H4" s="73"/>
      <c r="I4" s="73"/>
      <c r="J4" s="73"/>
      <c r="K4" s="73"/>
      <c r="L4" s="75"/>
      <c r="O4" s="73"/>
    </row>
    <row r="5" spans="1:15" x14ac:dyDescent="0.3">
      <c r="A5" s="74" t="s">
        <v>431</v>
      </c>
      <c r="B5" s="73"/>
      <c r="C5" s="73"/>
      <c r="D5" s="73"/>
      <c r="E5" s="73"/>
      <c r="F5" s="73"/>
      <c r="G5" s="73"/>
      <c r="H5" s="73"/>
      <c r="I5" s="78"/>
      <c r="J5" s="73"/>
      <c r="K5" s="73"/>
      <c r="L5" s="73" t="s">
        <v>53</v>
      </c>
      <c r="O5" s="73"/>
    </row>
    <row r="6" spans="1:15" x14ac:dyDescent="0.3">
      <c r="A6" s="73"/>
      <c r="B6" s="73"/>
      <c r="C6" s="73"/>
      <c r="D6" s="73"/>
      <c r="E6" s="73"/>
      <c r="F6" s="73"/>
      <c r="G6" s="73"/>
      <c r="H6" s="73"/>
      <c r="I6" s="73"/>
      <c r="J6" s="73"/>
      <c r="K6" s="73"/>
      <c r="L6" s="73" t="s">
        <v>0</v>
      </c>
      <c r="O6" s="73"/>
    </row>
    <row r="7" spans="1:15" x14ac:dyDescent="0.3">
      <c r="A7" s="73"/>
      <c r="B7" s="73"/>
      <c r="C7" s="73"/>
      <c r="D7" s="73"/>
      <c r="E7" s="73"/>
      <c r="F7" s="73"/>
      <c r="G7" s="73"/>
      <c r="H7" s="73"/>
      <c r="I7" s="73"/>
      <c r="J7" s="73"/>
      <c r="K7" s="73"/>
      <c r="M7" s="73">
        <v>2020</v>
      </c>
      <c r="N7" s="73">
        <v>2021</v>
      </c>
      <c r="O7" s="73"/>
    </row>
    <row r="8" spans="1:15" x14ac:dyDescent="0.3">
      <c r="A8" s="73"/>
      <c r="B8" s="73"/>
      <c r="C8" s="73"/>
      <c r="D8" s="73"/>
      <c r="E8" s="73"/>
      <c r="F8" s="73"/>
      <c r="G8" s="73"/>
      <c r="H8" s="73"/>
      <c r="I8" s="73"/>
      <c r="J8" s="73"/>
      <c r="K8" s="73"/>
      <c r="L8" s="73" t="s">
        <v>421</v>
      </c>
      <c r="M8" s="76">
        <f>'Tabel 1.1'!B9</f>
        <v>0</v>
      </c>
      <c r="N8" s="76">
        <f>'Tabel 1.1'!C9</f>
        <v>59890</v>
      </c>
      <c r="O8" s="73"/>
    </row>
    <row r="9" spans="1:15" x14ac:dyDescent="0.3">
      <c r="A9" s="73"/>
      <c r="B9" s="73"/>
      <c r="C9" s="73"/>
      <c r="D9" s="73"/>
      <c r="E9" s="73"/>
      <c r="F9" s="73"/>
      <c r="G9" s="73"/>
      <c r="H9" s="73"/>
      <c r="I9" s="73"/>
      <c r="J9" s="73"/>
      <c r="K9" s="73"/>
      <c r="L9" s="73" t="s">
        <v>54</v>
      </c>
      <c r="M9" s="76">
        <f>'Tabel 1.1'!B10</f>
        <v>216417.99</v>
      </c>
      <c r="N9" s="76">
        <f>'Tabel 1.1'!C10</f>
        <v>216101.85700000002</v>
      </c>
      <c r="O9" s="73"/>
    </row>
    <row r="10" spans="1:15" x14ac:dyDescent="0.3">
      <c r="A10" s="73"/>
      <c r="B10" s="73"/>
      <c r="C10" s="73"/>
      <c r="D10" s="73"/>
      <c r="E10" s="73"/>
      <c r="F10" s="73"/>
      <c r="G10" s="73"/>
      <c r="H10" s="73"/>
      <c r="I10" s="73"/>
      <c r="J10" s="73"/>
      <c r="K10" s="73"/>
      <c r="L10" s="73" t="s">
        <v>419</v>
      </c>
      <c r="M10" s="76">
        <f>'Tabel 1.1'!B11</f>
        <v>50104</v>
      </c>
      <c r="N10" s="76">
        <f>'Tabel 1.1'!C11</f>
        <v>0</v>
      </c>
      <c r="O10" s="73"/>
    </row>
    <row r="11" spans="1:15" x14ac:dyDescent="0.3">
      <c r="A11" s="73"/>
      <c r="B11" s="73"/>
      <c r="C11" s="73"/>
      <c r="D11" s="73"/>
      <c r="E11" s="73"/>
      <c r="F11" s="73"/>
      <c r="G11" s="73"/>
      <c r="H11" s="73"/>
      <c r="I11" s="73"/>
      <c r="J11" s="73"/>
      <c r="K11" s="73"/>
      <c r="L11" s="73" t="s">
        <v>55</v>
      </c>
      <c r="M11" s="76">
        <f>'Tabel 1.1'!B12</f>
        <v>2034045.9950000001</v>
      </c>
      <c r="N11" s="76">
        <f>'Tabel 1.1'!C12</f>
        <v>1956247.7650000001</v>
      </c>
      <c r="O11" s="73"/>
    </row>
    <row r="12" spans="1:15" x14ac:dyDescent="0.3">
      <c r="A12" s="73"/>
      <c r="B12" s="73"/>
      <c r="C12" s="73"/>
      <c r="D12" s="73"/>
      <c r="E12" s="73"/>
      <c r="F12" s="73"/>
      <c r="G12" s="73"/>
      <c r="H12" s="73"/>
      <c r="I12" s="73"/>
      <c r="J12" s="73"/>
      <c r="K12" s="73"/>
      <c r="L12" s="73" t="s">
        <v>56</v>
      </c>
      <c r="M12" s="76">
        <f>'Tabel 1.1'!B13</f>
        <v>196946</v>
      </c>
      <c r="N12" s="76">
        <f>'Tabel 1.1'!C13</f>
        <v>213759</v>
      </c>
      <c r="O12" s="73"/>
    </row>
    <row r="13" spans="1:15" x14ac:dyDescent="0.3">
      <c r="A13" s="73"/>
      <c r="B13" s="73"/>
      <c r="C13" s="73"/>
      <c r="D13" s="73"/>
      <c r="E13" s="73"/>
      <c r="F13" s="73"/>
      <c r="G13" s="73"/>
      <c r="H13" s="73"/>
      <c r="I13" s="73"/>
      <c r="J13" s="73"/>
      <c r="K13" s="73"/>
      <c r="L13" s="73" t="s">
        <v>422</v>
      </c>
      <c r="M13" s="76">
        <f>'Tabel 1.1'!B14</f>
        <v>0</v>
      </c>
      <c r="N13" s="76">
        <f>'Tabel 1.1'!C14</f>
        <v>8868.24</v>
      </c>
      <c r="O13" s="73"/>
    </row>
    <row r="14" spans="1:15" x14ac:dyDescent="0.3">
      <c r="A14" s="73"/>
      <c r="B14" s="73"/>
      <c r="C14" s="73"/>
      <c r="D14" s="73"/>
      <c r="E14" s="73"/>
      <c r="F14" s="73"/>
      <c r="G14" s="73"/>
      <c r="H14" s="73"/>
      <c r="I14" s="73"/>
      <c r="J14" s="73"/>
      <c r="K14" s="73"/>
      <c r="L14" s="73" t="s">
        <v>404</v>
      </c>
      <c r="M14" s="76">
        <f>'Tabel 1.1'!B15</f>
        <v>1494137.5873699998</v>
      </c>
      <c r="N14" s="76">
        <f>'Tabel 1.1'!C15</f>
        <v>1554860.00135</v>
      </c>
      <c r="O14" s="73"/>
    </row>
    <row r="15" spans="1:15" x14ac:dyDescent="0.3">
      <c r="A15" s="73"/>
      <c r="B15" s="73"/>
      <c r="C15" s="73"/>
      <c r="D15" s="73"/>
      <c r="E15" s="73"/>
      <c r="F15" s="73"/>
      <c r="G15" s="73"/>
      <c r="H15" s="73"/>
      <c r="I15" s="73"/>
      <c r="J15" s="73"/>
      <c r="K15" s="73"/>
      <c r="L15" s="73" t="s">
        <v>57</v>
      </c>
      <c r="M15" s="76">
        <f>'Tabel 1.1'!B16</f>
        <v>505403</v>
      </c>
      <c r="N15" s="76">
        <f>'Tabel 1.1'!C16</f>
        <v>460428</v>
      </c>
      <c r="O15" s="73"/>
    </row>
    <row r="16" spans="1:15" x14ac:dyDescent="0.3">
      <c r="A16" s="73"/>
      <c r="B16" s="73"/>
      <c r="C16" s="73"/>
      <c r="D16" s="73"/>
      <c r="E16" s="73"/>
      <c r="F16" s="73"/>
      <c r="G16" s="73"/>
      <c r="H16" s="73"/>
      <c r="I16" s="73"/>
      <c r="J16" s="73"/>
      <c r="K16" s="73"/>
      <c r="L16" s="73" t="s">
        <v>58</v>
      </c>
      <c r="M16" s="76">
        <f>'Tabel 1.1'!B17</f>
        <v>622.01300000000003</v>
      </c>
      <c r="N16" s="76">
        <f>'Tabel 1.1'!C17</f>
        <v>5314.415</v>
      </c>
      <c r="O16" s="73"/>
    </row>
    <row r="17" spans="1:15" x14ac:dyDescent="0.3">
      <c r="A17" s="73"/>
      <c r="B17" s="73"/>
      <c r="C17" s="73"/>
      <c r="D17" s="73"/>
      <c r="E17" s="73"/>
      <c r="F17" s="73"/>
      <c r="G17" s="73"/>
      <c r="H17" s="73"/>
      <c r="I17" s="73"/>
      <c r="J17" s="73"/>
      <c r="K17" s="73"/>
      <c r="L17" s="73" t="s">
        <v>59</v>
      </c>
      <c r="M17" s="76">
        <f>'Tabel 1.1'!B18</f>
        <v>1264393</v>
      </c>
      <c r="N17" s="76">
        <f>'Tabel 1.1'!C18</f>
        <v>1474212.797</v>
      </c>
      <c r="O17" s="73"/>
    </row>
    <row r="18" spans="1:15" x14ac:dyDescent="0.3">
      <c r="A18" s="73"/>
      <c r="B18" s="73"/>
      <c r="C18" s="73"/>
      <c r="D18" s="73"/>
      <c r="E18" s="73"/>
      <c r="F18" s="73"/>
      <c r="G18" s="73"/>
      <c r="H18" s="73"/>
      <c r="I18" s="73"/>
      <c r="J18" s="73"/>
      <c r="K18" s="73"/>
      <c r="L18" s="73" t="s">
        <v>60</v>
      </c>
      <c r="M18" s="76">
        <f>'Tabel 1.1'!B19</f>
        <v>362148.4</v>
      </c>
      <c r="N18" s="76">
        <f>'Tabel 1.1'!C19</f>
        <v>395870</v>
      </c>
      <c r="O18" s="73"/>
    </row>
    <row r="19" spans="1:15" x14ac:dyDescent="0.3">
      <c r="A19" s="73"/>
      <c r="B19" s="73"/>
      <c r="C19" s="73"/>
      <c r="D19" s="73"/>
      <c r="E19" s="73"/>
      <c r="F19" s="73"/>
      <c r="G19" s="73"/>
      <c r="H19" s="73"/>
      <c r="I19" s="73"/>
      <c r="J19" s="73"/>
      <c r="K19" s="73"/>
      <c r="L19" s="73" t="s">
        <v>61</v>
      </c>
      <c r="M19" s="76">
        <f>'Tabel 1.1'!B20</f>
        <v>17644.029899999998</v>
      </c>
      <c r="N19" s="76">
        <f>'Tabel 1.1'!C20</f>
        <v>17644.029899999998</v>
      </c>
      <c r="O19" s="73"/>
    </row>
    <row r="20" spans="1:15" x14ac:dyDescent="0.3">
      <c r="A20" s="73"/>
      <c r="B20" s="73"/>
      <c r="C20" s="73"/>
      <c r="D20" s="73"/>
      <c r="E20" s="73"/>
      <c r="F20" s="73"/>
      <c r="G20" s="73"/>
      <c r="H20" s="73"/>
      <c r="I20" s="73"/>
      <c r="J20" s="73"/>
      <c r="K20" s="73"/>
      <c r="L20" s="73" t="s">
        <v>62</v>
      </c>
      <c r="M20" s="76">
        <f>'Tabel 1.1'!B21</f>
        <v>301902.74099999998</v>
      </c>
      <c r="N20" s="76">
        <f>'Tabel 1.1'!C21</f>
        <v>315101.851636982</v>
      </c>
      <c r="O20" s="73"/>
    </row>
    <row r="21" spans="1:15" x14ac:dyDescent="0.3">
      <c r="A21" s="73"/>
      <c r="B21" s="73"/>
      <c r="C21" s="73"/>
      <c r="D21" s="73"/>
      <c r="E21" s="73"/>
      <c r="F21" s="73"/>
      <c r="G21" s="73"/>
      <c r="H21" s="73"/>
      <c r="I21" s="73"/>
      <c r="J21" s="73"/>
      <c r="K21" s="73"/>
      <c r="L21" s="73" t="s">
        <v>63</v>
      </c>
      <c r="M21" s="76">
        <f>'Tabel 1.1'!B23</f>
        <v>14225527.382959999</v>
      </c>
      <c r="N21" s="76">
        <f>'Tabel 1.1'!C23</f>
        <v>33537381.21895</v>
      </c>
      <c r="O21" s="73"/>
    </row>
    <row r="22" spans="1:15" x14ac:dyDescent="0.3">
      <c r="A22" s="73"/>
      <c r="B22" s="73"/>
      <c r="C22" s="73"/>
      <c r="D22" s="73"/>
      <c r="E22" s="73"/>
      <c r="F22" s="73"/>
      <c r="G22" s="73"/>
      <c r="H22" s="73"/>
      <c r="I22" s="73"/>
      <c r="J22" s="73"/>
      <c r="K22" s="73"/>
      <c r="L22" s="73" t="s">
        <v>64</v>
      </c>
      <c r="M22" s="76">
        <f>'Tabel 1.1'!B24</f>
        <v>173861.997</v>
      </c>
      <c r="N22" s="76">
        <f>'Tabel 1.1'!C24</f>
        <v>219490.81400000001</v>
      </c>
      <c r="O22" s="73"/>
    </row>
    <row r="23" spans="1:15" x14ac:dyDescent="0.3">
      <c r="A23" s="73"/>
      <c r="B23" s="73"/>
      <c r="C23" s="73"/>
      <c r="D23" s="73"/>
      <c r="E23" s="73"/>
      <c r="F23" s="73"/>
      <c r="G23" s="73"/>
      <c r="H23" s="73"/>
      <c r="I23" s="73"/>
      <c r="J23" s="73"/>
      <c r="K23" s="73"/>
      <c r="L23" s="73" t="s">
        <v>405</v>
      </c>
      <c r="M23" s="76">
        <f>'Tabel 1.1'!B25</f>
        <v>36699</v>
      </c>
      <c r="N23" s="76">
        <f>'Tabel 1.1'!C25</f>
        <v>39431</v>
      </c>
      <c r="O23" s="73"/>
    </row>
    <row r="24" spans="1:15" x14ac:dyDescent="0.3">
      <c r="A24" s="73"/>
      <c r="B24" s="73"/>
      <c r="C24" s="73"/>
      <c r="D24" s="73"/>
      <c r="E24" s="73"/>
      <c r="F24" s="73"/>
      <c r="G24" s="73"/>
      <c r="H24" s="73"/>
      <c r="I24" s="73"/>
      <c r="J24" s="73"/>
      <c r="K24" s="73"/>
      <c r="L24" s="73" t="s">
        <v>406</v>
      </c>
      <c r="M24" s="76">
        <f>'Tabel 1.1'!B22</f>
        <v>8168</v>
      </c>
      <c r="N24" s="76">
        <f>'Tabel 1.1'!C22</f>
        <v>0</v>
      </c>
      <c r="O24" s="73"/>
    </row>
    <row r="25" spans="1:15" x14ac:dyDescent="0.3">
      <c r="A25" s="73"/>
      <c r="B25" s="73"/>
      <c r="C25" s="73"/>
      <c r="D25" s="73"/>
      <c r="E25" s="73"/>
      <c r="F25" s="73"/>
      <c r="G25" s="73"/>
      <c r="H25" s="73"/>
      <c r="I25" s="73"/>
      <c r="J25" s="73"/>
      <c r="K25" s="73"/>
      <c r="L25" s="73" t="s">
        <v>65</v>
      </c>
      <c r="M25" s="76">
        <f>'Tabel 1.1'!B26</f>
        <v>903440.00756638078</v>
      </c>
      <c r="N25" s="76">
        <f>'Tabel 1.1'!C26</f>
        <v>935655.99040994328</v>
      </c>
      <c r="O25" s="73"/>
    </row>
    <row r="26" spans="1:15" s="140" customFormat="1" x14ac:dyDescent="0.3">
      <c r="A26" s="73"/>
      <c r="B26" s="73"/>
      <c r="C26" s="73"/>
      <c r="D26" s="73"/>
      <c r="E26" s="73"/>
      <c r="F26" s="73"/>
      <c r="G26" s="73"/>
      <c r="H26" s="73"/>
      <c r="I26" s="73"/>
      <c r="J26" s="73"/>
      <c r="K26" s="73"/>
      <c r="L26" s="73" t="s">
        <v>66</v>
      </c>
      <c r="M26" s="76">
        <f>'Tabel 1.1'!B27</f>
        <v>1571000</v>
      </c>
      <c r="N26" s="76">
        <f>'Tabel 1.1'!C27</f>
        <v>2128000</v>
      </c>
      <c r="O26" s="73"/>
    </row>
    <row r="27" spans="1:15" x14ac:dyDescent="0.3">
      <c r="A27" s="73"/>
      <c r="B27" s="73"/>
      <c r="C27" s="73"/>
      <c r="D27" s="73"/>
      <c r="E27" s="73"/>
      <c r="F27" s="73"/>
      <c r="G27" s="73"/>
      <c r="H27" s="73"/>
      <c r="I27" s="73"/>
      <c r="J27" s="73"/>
      <c r="K27" s="73"/>
      <c r="L27" s="73" t="s">
        <v>395</v>
      </c>
      <c r="M27" s="76">
        <f>'Tabel 1.1'!B28</f>
        <v>263606.18193381856</v>
      </c>
      <c r="N27" s="76">
        <f>'Tabel 1.1'!C28</f>
        <v>285507.81500140583</v>
      </c>
      <c r="O27" s="73"/>
    </row>
    <row r="28" spans="1:15" x14ac:dyDescent="0.3">
      <c r="A28" s="73"/>
      <c r="B28" s="73"/>
      <c r="C28" s="73"/>
      <c r="D28" s="73"/>
      <c r="E28" s="73"/>
      <c r="F28" s="73"/>
      <c r="G28" s="73"/>
      <c r="H28" s="73"/>
      <c r="I28" s="73"/>
      <c r="J28" s="73"/>
      <c r="K28" s="73"/>
      <c r="L28" s="73" t="s">
        <v>67</v>
      </c>
      <c r="M28" s="76">
        <f>'Tabel 1.1'!B29</f>
        <v>405824.04193999991</v>
      </c>
      <c r="N28" s="76">
        <f>'Tabel 1.1'!C29</f>
        <v>435411.44518000004</v>
      </c>
    </row>
    <row r="29" spans="1:15" x14ac:dyDescent="0.3">
      <c r="A29" s="73"/>
      <c r="B29" s="73"/>
      <c r="C29" s="73"/>
      <c r="D29" s="73"/>
      <c r="E29" s="73"/>
      <c r="F29" s="73"/>
      <c r="G29" s="73"/>
      <c r="H29" s="73"/>
      <c r="I29" s="73"/>
      <c r="J29" s="73"/>
      <c r="K29" s="73"/>
      <c r="L29" s="73" t="s">
        <v>68</v>
      </c>
      <c r="M29" s="76">
        <f>'Tabel 1.1'!B30</f>
        <v>3394274.7289999998</v>
      </c>
      <c r="N29" s="76">
        <f>'Tabel 1.1'!C30</f>
        <v>3657110.1809999999</v>
      </c>
    </row>
    <row r="30" spans="1:15" x14ac:dyDescent="0.3">
      <c r="A30" s="73"/>
      <c r="B30" s="73"/>
      <c r="C30" s="73"/>
      <c r="D30" s="73"/>
      <c r="E30" s="73"/>
      <c r="F30" s="73"/>
      <c r="G30" s="73"/>
      <c r="H30" s="73"/>
      <c r="I30" s="73"/>
      <c r="J30" s="73"/>
      <c r="K30" s="73"/>
      <c r="L30" s="73" t="s">
        <v>69</v>
      </c>
      <c r="M30" s="76">
        <f>'Tabel 1.1'!B31</f>
        <v>0</v>
      </c>
      <c r="N30" s="76">
        <f>'Tabel 1.1'!C31</f>
        <v>686</v>
      </c>
    </row>
    <row r="31" spans="1:15" x14ac:dyDescent="0.3">
      <c r="A31" s="74" t="s">
        <v>432</v>
      </c>
      <c r="B31" s="73"/>
      <c r="C31" s="73"/>
      <c r="D31" s="73"/>
      <c r="E31" s="73"/>
      <c r="F31" s="73"/>
      <c r="G31" s="73"/>
      <c r="H31" s="73"/>
      <c r="I31" s="78"/>
      <c r="J31" s="73"/>
      <c r="K31" s="73"/>
      <c r="L31" s="73" t="s">
        <v>70</v>
      </c>
      <c r="M31" s="76">
        <f>'Tabel 1.1'!B32</f>
        <v>558832.35693999997</v>
      </c>
      <c r="N31" s="76">
        <f>'Tabel 1.1'!C32</f>
        <v>545103.80000000005</v>
      </c>
    </row>
    <row r="32" spans="1:15" x14ac:dyDescent="0.3">
      <c r="B32" s="73"/>
      <c r="C32" s="73"/>
      <c r="D32" s="73"/>
      <c r="E32" s="73"/>
      <c r="F32" s="73"/>
      <c r="G32" s="73"/>
      <c r="H32" s="73"/>
      <c r="I32" s="73"/>
      <c r="J32" s="73"/>
      <c r="K32" s="73"/>
      <c r="L32" s="73" t="s">
        <v>414</v>
      </c>
      <c r="M32" s="76">
        <f>'Tabel 1.1'!B33</f>
        <v>1120</v>
      </c>
      <c r="N32" s="76">
        <f>'Tabel 1.1'!C33</f>
        <v>1684</v>
      </c>
    </row>
    <row r="33" spans="1:15" x14ac:dyDescent="0.3">
      <c r="B33" s="73"/>
      <c r="C33" s="73"/>
      <c r="D33" s="73"/>
      <c r="E33" s="73"/>
      <c r="F33" s="73"/>
      <c r="G33" s="73"/>
      <c r="H33" s="73"/>
      <c r="I33" s="73"/>
      <c r="J33" s="73"/>
      <c r="K33" s="73"/>
    </row>
    <row r="34" spans="1:15" x14ac:dyDescent="0.3">
      <c r="A34" s="73"/>
      <c r="B34" s="73"/>
      <c r="C34" s="73"/>
      <c r="D34" s="73"/>
      <c r="E34" s="73"/>
      <c r="F34" s="73"/>
      <c r="G34" s="73"/>
      <c r="H34" s="73"/>
      <c r="I34" s="73"/>
      <c r="J34" s="73"/>
      <c r="K34" s="73"/>
    </row>
    <row r="35" spans="1:15" x14ac:dyDescent="0.3">
      <c r="A35" s="73"/>
      <c r="B35" s="73"/>
      <c r="C35" s="73"/>
      <c r="D35" s="73"/>
      <c r="E35" s="73"/>
      <c r="F35" s="73"/>
      <c r="G35" s="73"/>
      <c r="H35" s="73"/>
      <c r="I35" s="73"/>
      <c r="J35" s="73"/>
      <c r="K35" s="73"/>
      <c r="L35" s="73" t="s">
        <v>53</v>
      </c>
    </row>
    <row r="36" spans="1:15" x14ac:dyDescent="0.3">
      <c r="A36" s="73"/>
      <c r="B36" s="73"/>
      <c r="C36" s="73"/>
      <c r="D36" s="73"/>
      <c r="E36" s="73"/>
      <c r="F36" s="73"/>
      <c r="G36" s="73"/>
      <c r="H36" s="73"/>
      <c r="I36" s="73"/>
      <c r="J36" s="73"/>
      <c r="K36" s="73"/>
      <c r="L36" s="73" t="s">
        <v>1</v>
      </c>
    </row>
    <row r="37" spans="1:15" x14ac:dyDescent="0.3">
      <c r="A37" s="73"/>
      <c r="B37" s="73"/>
      <c r="C37" s="73"/>
      <c r="D37" s="73"/>
      <c r="E37" s="73"/>
      <c r="F37" s="73"/>
      <c r="G37" s="73"/>
      <c r="H37" s="73"/>
      <c r="I37" s="73"/>
      <c r="J37" s="73"/>
      <c r="K37" s="73"/>
      <c r="M37" s="73">
        <f>M7</f>
        <v>2020</v>
      </c>
      <c r="N37" s="73">
        <f>N7</f>
        <v>2021</v>
      </c>
    </row>
    <row r="38" spans="1:15" x14ac:dyDescent="0.3">
      <c r="A38" s="73"/>
      <c r="B38" s="73"/>
      <c r="C38" s="73"/>
      <c r="D38" s="73"/>
      <c r="E38" s="73"/>
      <c r="F38" s="73"/>
      <c r="G38" s="73"/>
      <c r="H38" s="73"/>
      <c r="I38" s="73"/>
      <c r="J38" s="73"/>
      <c r="K38" s="73"/>
      <c r="L38" s="78" t="s">
        <v>54</v>
      </c>
      <c r="M38" s="77">
        <f>'Tabel 1.1'!B37</f>
        <v>1049553.1030000001</v>
      </c>
      <c r="N38" s="77">
        <f>'Tabel 1.1'!C37</f>
        <v>1164087.9040000001</v>
      </c>
    </row>
    <row r="39" spans="1:15" x14ac:dyDescent="0.3">
      <c r="A39" s="73"/>
      <c r="B39" s="73"/>
      <c r="C39" s="73"/>
      <c r="D39" s="73"/>
      <c r="E39" s="73"/>
      <c r="F39" s="73"/>
      <c r="G39" s="73"/>
      <c r="H39" s="73"/>
      <c r="I39" s="73"/>
      <c r="J39" s="73"/>
      <c r="K39" s="73"/>
      <c r="L39" s="78" t="s">
        <v>419</v>
      </c>
      <c r="M39" s="77">
        <f>'Tabel 1.1'!B38</f>
        <v>310599</v>
      </c>
      <c r="N39" s="77">
        <f>'Tabel 1.1'!C38</f>
        <v>0</v>
      </c>
    </row>
    <row r="40" spans="1:15" x14ac:dyDescent="0.3">
      <c r="A40" s="73"/>
      <c r="B40" s="73"/>
      <c r="C40" s="73"/>
      <c r="D40" s="73"/>
      <c r="E40" s="73"/>
      <c r="F40" s="73"/>
      <c r="G40" s="73"/>
      <c r="H40" s="73"/>
      <c r="I40" s="73"/>
      <c r="J40" s="73"/>
      <c r="K40" s="73"/>
      <c r="L40" s="73" t="s">
        <v>55</v>
      </c>
      <c r="M40" s="77">
        <f>'Tabel 1.1'!B39</f>
        <v>4882926.4189999998</v>
      </c>
      <c r="N40" s="77">
        <f>'Tabel 1.1'!C39</f>
        <v>5687337</v>
      </c>
    </row>
    <row r="41" spans="1:15" x14ac:dyDescent="0.3">
      <c r="A41" s="73"/>
      <c r="B41" s="73"/>
      <c r="C41" s="73"/>
      <c r="D41" s="73"/>
      <c r="E41" s="73"/>
      <c r="F41" s="73"/>
      <c r="G41" s="73"/>
      <c r="H41" s="73"/>
      <c r="I41" s="73"/>
      <c r="J41" s="73"/>
      <c r="K41" s="73"/>
      <c r="L41" s="73" t="s">
        <v>57</v>
      </c>
      <c r="M41" s="77">
        <f>'Tabel 1.1'!B40</f>
        <v>211959</v>
      </c>
      <c r="N41" s="77">
        <f>'Tabel 1.1'!C40</f>
        <v>0</v>
      </c>
      <c r="O41" s="73"/>
    </row>
    <row r="42" spans="1:15" x14ac:dyDescent="0.3">
      <c r="A42" s="73"/>
      <c r="B42" s="73"/>
      <c r="C42" s="73"/>
      <c r="D42" s="73"/>
      <c r="E42" s="73"/>
      <c r="F42" s="73"/>
      <c r="G42" s="73"/>
      <c r="H42" s="73"/>
      <c r="I42" s="73"/>
      <c r="J42" s="73"/>
      <c r="K42" s="73"/>
      <c r="L42" s="78" t="s">
        <v>60</v>
      </c>
      <c r="M42" s="77">
        <f>'Tabel 1.1'!B41</f>
        <v>1579911</v>
      </c>
      <c r="N42" s="77">
        <f>'Tabel 1.1'!C41</f>
        <v>1813519</v>
      </c>
      <c r="O42" s="73"/>
    </row>
    <row r="43" spans="1:15" x14ac:dyDescent="0.3">
      <c r="A43" s="73"/>
      <c r="B43" s="73"/>
      <c r="C43" s="73"/>
      <c r="D43" s="73"/>
      <c r="E43" s="73"/>
      <c r="F43" s="73"/>
      <c r="G43" s="73"/>
      <c r="H43" s="73"/>
      <c r="I43" s="73"/>
      <c r="J43" s="73"/>
      <c r="K43" s="73"/>
      <c r="L43" s="73" t="s">
        <v>63</v>
      </c>
      <c r="M43" s="77">
        <f>'Tabel 1.1'!B42</f>
        <v>32970.711000000003</v>
      </c>
      <c r="N43" s="77">
        <f>'Tabel 1.1'!C42</f>
        <v>96259.103000000003</v>
      </c>
      <c r="O43" s="73"/>
    </row>
    <row r="44" spans="1:15" x14ac:dyDescent="0.3">
      <c r="A44" s="73"/>
      <c r="B44" s="73"/>
      <c r="C44" s="73"/>
      <c r="D44" s="73"/>
      <c r="E44" s="73"/>
      <c r="F44" s="73"/>
      <c r="G44" s="73"/>
      <c r="H44" s="73"/>
      <c r="I44" s="73"/>
      <c r="J44" s="73"/>
      <c r="K44" s="73"/>
      <c r="L44" s="78" t="s">
        <v>65</v>
      </c>
      <c r="M44" s="77">
        <f>'Tabel 1.1'!B43</f>
        <v>5863550.9649199992</v>
      </c>
      <c r="N44" s="77">
        <f>'Tabel 1.1'!C43</f>
        <v>9140677.7173800003</v>
      </c>
      <c r="O44" s="73"/>
    </row>
    <row r="45" spans="1:15" x14ac:dyDescent="0.3">
      <c r="A45" s="73"/>
      <c r="B45" s="73"/>
      <c r="C45" s="73"/>
      <c r="D45" s="73"/>
      <c r="E45" s="73"/>
      <c r="F45" s="73"/>
      <c r="G45" s="73"/>
      <c r="H45" s="73"/>
      <c r="I45" s="73"/>
      <c r="J45" s="73"/>
      <c r="K45" s="73"/>
      <c r="L45" s="78" t="s">
        <v>71</v>
      </c>
      <c r="M45" s="77">
        <f>'Tabel 1.1'!B44</f>
        <v>67197.383550000013</v>
      </c>
      <c r="N45" s="77">
        <f>'Tabel 1.1'!C44</f>
        <v>83074.449899999992</v>
      </c>
      <c r="O45" s="73"/>
    </row>
    <row r="46" spans="1:15" x14ac:dyDescent="0.3">
      <c r="A46" s="73"/>
      <c r="B46" s="73"/>
      <c r="C46" s="73"/>
      <c r="D46" s="73"/>
      <c r="E46" s="73"/>
      <c r="F46" s="73"/>
      <c r="G46" s="73"/>
      <c r="H46" s="73"/>
      <c r="I46" s="73"/>
      <c r="J46" s="73"/>
      <c r="K46" s="73"/>
      <c r="L46" s="78" t="s">
        <v>67</v>
      </c>
      <c r="M46" s="77">
        <f>'Tabel 1.1'!B45</f>
        <v>2338484.3714999999</v>
      </c>
      <c r="N46" s="77">
        <f>'Tabel 1.1'!C45</f>
        <v>2700593.74584</v>
      </c>
      <c r="O46" s="73"/>
    </row>
    <row r="47" spans="1:15" x14ac:dyDescent="0.3">
      <c r="A47" s="73"/>
      <c r="B47" s="73"/>
      <c r="C47" s="73"/>
      <c r="D47" s="73"/>
      <c r="E47" s="73"/>
      <c r="F47" s="73"/>
      <c r="G47" s="73"/>
      <c r="H47" s="73"/>
      <c r="I47" s="73"/>
      <c r="J47" s="73"/>
      <c r="K47" s="73"/>
      <c r="L47" s="78" t="s">
        <v>72</v>
      </c>
      <c r="M47" s="77">
        <f>'Tabel 1.1'!B46</f>
        <v>6396691.7459999993</v>
      </c>
      <c r="N47" s="77">
        <f>'Tabel 1.1'!C46</f>
        <v>6574958.2869999995</v>
      </c>
      <c r="O47" s="73"/>
    </row>
    <row r="48" spans="1:15" x14ac:dyDescent="0.3">
      <c r="A48" s="73"/>
      <c r="B48" s="73"/>
      <c r="C48" s="73"/>
      <c r="D48" s="73"/>
      <c r="E48" s="73"/>
      <c r="F48" s="73"/>
      <c r="G48" s="73"/>
      <c r="H48" s="73"/>
      <c r="I48" s="73"/>
      <c r="J48" s="73"/>
      <c r="K48" s="73"/>
      <c r="L48" s="78"/>
      <c r="M48" s="77"/>
      <c r="N48" s="77"/>
      <c r="O48" s="73"/>
    </row>
    <row r="49" spans="1:15" x14ac:dyDescent="0.3">
      <c r="A49" s="73"/>
      <c r="B49" s="73"/>
      <c r="C49" s="73"/>
      <c r="D49" s="73"/>
      <c r="E49" s="73"/>
      <c r="F49" s="73"/>
      <c r="G49" s="73"/>
      <c r="H49" s="73"/>
      <c r="I49" s="73"/>
      <c r="J49" s="73"/>
      <c r="K49" s="73"/>
      <c r="M49" s="76"/>
      <c r="N49" s="76"/>
      <c r="O49" s="73"/>
    </row>
    <row r="50" spans="1:15" x14ac:dyDescent="0.3">
      <c r="A50" s="73"/>
      <c r="B50" s="73"/>
      <c r="C50" s="73"/>
      <c r="D50" s="73"/>
      <c r="E50" s="73"/>
      <c r="F50" s="73"/>
      <c r="G50" s="73"/>
      <c r="H50" s="73"/>
      <c r="I50" s="73"/>
      <c r="J50" s="73"/>
      <c r="K50" s="73"/>
      <c r="M50" s="76"/>
      <c r="N50" s="76"/>
      <c r="O50" s="73"/>
    </row>
    <row r="51" spans="1:15" x14ac:dyDescent="0.3">
      <c r="A51" s="73"/>
      <c r="B51" s="73"/>
      <c r="C51" s="73"/>
      <c r="D51" s="73"/>
      <c r="E51" s="73"/>
      <c r="F51" s="73"/>
      <c r="G51" s="73"/>
      <c r="H51" s="73"/>
      <c r="I51" s="73"/>
      <c r="J51" s="73"/>
      <c r="K51" s="73"/>
      <c r="M51" s="76"/>
      <c r="N51" s="76"/>
      <c r="O51" s="73"/>
    </row>
    <row r="52" spans="1:15" x14ac:dyDescent="0.3">
      <c r="A52" s="73"/>
      <c r="B52" s="73"/>
      <c r="C52" s="73"/>
      <c r="D52" s="73"/>
      <c r="E52" s="73"/>
      <c r="F52" s="73"/>
      <c r="G52" s="73"/>
      <c r="H52" s="73"/>
      <c r="I52" s="73"/>
      <c r="J52" s="73"/>
      <c r="K52" s="73"/>
      <c r="M52" s="76"/>
      <c r="N52" s="76"/>
      <c r="O52" s="73"/>
    </row>
    <row r="53" spans="1:15" x14ac:dyDescent="0.3">
      <c r="A53" s="73"/>
      <c r="B53" s="73"/>
      <c r="C53" s="73"/>
      <c r="D53" s="73"/>
      <c r="E53" s="73"/>
      <c r="F53" s="73"/>
      <c r="G53" s="73"/>
      <c r="H53" s="73"/>
      <c r="I53" s="73"/>
      <c r="J53" s="73"/>
      <c r="K53" s="73"/>
      <c r="O53" s="73"/>
    </row>
    <row r="54" spans="1:15" x14ac:dyDescent="0.3">
      <c r="A54" s="73"/>
      <c r="B54" s="73"/>
      <c r="C54" s="73"/>
      <c r="D54" s="73"/>
      <c r="E54" s="73"/>
      <c r="F54" s="73"/>
      <c r="G54" s="73"/>
      <c r="H54" s="73"/>
      <c r="I54" s="73"/>
      <c r="J54" s="73"/>
      <c r="K54" s="73"/>
      <c r="O54" s="73"/>
    </row>
    <row r="55" spans="1:15" x14ac:dyDescent="0.3">
      <c r="A55" s="73"/>
      <c r="B55" s="73"/>
      <c r="C55" s="73"/>
      <c r="D55" s="73"/>
      <c r="E55" s="73"/>
      <c r="F55" s="73"/>
      <c r="G55" s="73"/>
      <c r="H55" s="73"/>
      <c r="I55" s="73"/>
      <c r="J55" s="73"/>
      <c r="K55" s="73"/>
      <c r="O55" s="73"/>
    </row>
    <row r="56" spans="1:15" x14ac:dyDescent="0.3">
      <c r="A56" s="74" t="s">
        <v>433</v>
      </c>
      <c r="B56" s="73"/>
      <c r="C56" s="73"/>
      <c r="D56" s="73"/>
      <c r="E56" s="73"/>
      <c r="F56" s="73"/>
      <c r="G56" s="73"/>
      <c r="H56" s="73"/>
      <c r="I56" s="78"/>
      <c r="J56" s="73"/>
      <c r="K56" s="73"/>
      <c r="L56" s="73" t="s">
        <v>73</v>
      </c>
      <c r="O56" s="73"/>
    </row>
    <row r="57" spans="1:15" x14ac:dyDescent="0.3">
      <c r="A57" s="73"/>
      <c r="B57" s="73"/>
      <c r="C57" s="73"/>
      <c r="D57" s="73"/>
      <c r="E57" s="73"/>
      <c r="F57" s="73"/>
      <c r="G57" s="73"/>
      <c r="H57" s="73"/>
      <c r="I57" s="73"/>
      <c r="J57" s="73"/>
      <c r="K57" s="73"/>
      <c r="L57" s="73" t="s">
        <v>0</v>
      </c>
      <c r="O57" s="73"/>
    </row>
    <row r="58" spans="1:15" x14ac:dyDescent="0.3">
      <c r="A58" s="73"/>
      <c r="B58" s="73"/>
      <c r="C58" s="73"/>
      <c r="D58" s="73"/>
      <c r="E58" s="73"/>
      <c r="F58" s="73"/>
      <c r="G58" s="73"/>
      <c r="H58" s="73"/>
      <c r="I58" s="73"/>
      <c r="J58" s="73"/>
      <c r="K58" s="73"/>
      <c r="M58" s="73">
        <f>M7</f>
        <v>2020</v>
      </c>
      <c r="N58" s="73">
        <f>N7</f>
        <v>2021</v>
      </c>
      <c r="O58" s="73"/>
    </row>
    <row r="59" spans="1:15" x14ac:dyDescent="0.3">
      <c r="A59" s="73"/>
      <c r="B59" s="73"/>
      <c r="C59" s="73"/>
      <c r="D59" s="73"/>
      <c r="E59" s="73"/>
      <c r="F59" s="73"/>
      <c r="G59" s="73"/>
      <c r="H59" s="73"/>
      <c r="I59" s="73"/>
      <c r="J59" s="73"/>
      <c r="K59" s="73"/>
      <c r="L59" s="73" t="s">
        <v>421</v>
      </c>
      <c r="M59" s="76">
        <f>'Tabel 1.1'!G9</f>
        <v>0</v>
      </c>
      <c r="N59" s="76">
        <f>'Tabel 1.1'!H9</f>
        <v>0</v>
      </c>
      <c r="O59" s="73"/>
    </row>
    <row r="60" spans="1:15" x14ac:dyDescent="0.3">
      <c r="A60" s="73"/>
      <c r="B60" s="73"/>
      <c r="C60" s="73"/>
      <c r="D60" s="73"/>
      <c r="E60" s="73"/>
      <c r="F60" s="73"/>
      <c r="G60" s="73"/>
      <c r="H60" s="73"/>
      <c r="I60" s="73"/>
      <c r="J60" s="73"/>
      <c r="K60" s="73"/>
      <c r="L60" s="73" t="s">
        <v>54</v>
      </c>
      <c r="M60" s="76">
        <f>'Tabel 1.1'!G10</f>
        <v>1259550.713</v>
      </c>
      <c r="N60" s="76">
        <f>'Tabel 1.1'!H10</f>
        <v>1358359.7689999999</v>
      </c>
      <c r="O60" s="73"/>
    </row>
    <row r="61" spans="1:15" x14ac:dyDescent="0.3">
      <c r="A61" s="73"/>
      <c r="B61" s="73"/>
      <c r="C61" s="73"/>
      <c r="D61" s="73"/>
      <c r="E61" s="73"/>
      <c r="F61" s="73"/>
      <c r="G61" s="73"/>
      <c r="H61" s="73"/>
      <c r="I61" s="73"/>
      <c r="J61" s="73"/>
      <c r="K61" s="73"/>
      <c r="L61" s="73" t="s">
        <v>419</v>
      </c>
      <c r="M61" s="76">
        <f>'Tabel 1.1'!G11</f>
        <v>1786281</v>
      </c>
      <c r="N61" s="76">
        <f>'Tabel 1.1'!H11</f>
        <v>0</v>
      </c>
      <c r="O61" s="73"/>
    </row>
    <row r="62" spans="1:15" x14ac:dyDescent="0.3">
      <c r="A62" s="73"/>
      <c r="B62" s="73"/>
      <c r="C62" s="73"/>
      <c r="D62" s="73"/>
      <c r="E62" s="73"/>
      <c r="F62" s="73"/>
      <c r="G62" s="73"/>
      <c r="H62" s="73"/>
      <c r="I62" s="73"/>
      <c r="J62" s="73"/>
      <c r="K62" s="73"/>
      <c r="L62" s="73" t="s">
        <v>55</v>
      </c>
      <c r="M62" s="76">
        <f>'Tabel 1.1'!G12</f>
        <v>195862400</v>
      </c>
      <c r="N62" s="76">
        <f>'Tabel 1.1'!H12</f>
        <v>195668621.74615002</v>
      </c>
      <c r="O62" s="73"/>
    </row>
    <row r="63" spans="1:15" x14ac:dyDescent="0.3">
      <c r="A63" s="73"/>
      <c r="B63" s="73"/>
      <c r="C63" s="73"/>
      <c r="D63" s="73"/>
      <c r="E63" s="73"/>
      <c r="F63" s="73"/>
      <c r="G63" s="73"/>
      <c r="H63" s="73"/>
      <c r="I63" s="73"/>
      <c r="J63" s="73"/>
      <c r="K63" s="73"/>
      <c r="L63" s="73" t="s">
        <v>56</v>
      </c>
      <c r="M63" s="76">
        <f>'Tabel 1.1'!G13</f>
        <v>0</v>
      </c>
      <c r="N63" s="76">
        <f>'Tabel 1.1'!H13</f>
        <v>0</v>
      </c>
      <c r="O63" s="73"/>
    </row>
    <row r="64" spans="1:15" x14ac:dyDescent="0.3">
      <c r="A64" s="73"/>
      <c r="B64" s="73"/>
      <c r="C64" s="73"/>
      <c r="D64" s="73"/>
      <c r="E64" s="73"/>
      <c r="F64" s="73"/>
      <c r="G64" s="73"/>
      <c r="H64" s="73"/>
      <c r="I64" s="73"/>
      <c r="J64" s="73"/>
      <c r="K64" s="73"/>
      <c r="L64" s="73" t="s">
        <v>422</v>
      </c>
      <c r="M64" s="76">
        <f>'Tabel 1.1'!G14</f>
        <v>0</v>
      </c>
      <c r="N64" s="76">
        <f>'Tabel 1.1'!H14</f>
        <v>0</v>
      </c>
      <c r="O64" s="73"/>
    </row>
    <row r="65" spans="1:15" x14ac:dyDescent="0.3">
      <c r="A65" s="73"/>
      <c r="B65" s="73"/>
      <c r="C65" s="73"/>
      <c r="D65" s="73"/>
      <c r="E65" s="73"/>
      <c r="F65" s="73"/>
      <c r="G65" s="73"/>
      <c r="H65" s="73"/>
      <c r="I65" s="73"/>
      <c r="J65" s="73"/>
      <c r="K65" s="73"/>
      <c r="L65" s="73" t="s">
        <v>404</v>
      </c>
      <c r="M65" s="76">
        <f>'Tabel 1.1'!G15</f>
        <v>3587824.3847499997</v>
      </c>
      <c r="N65" s="76">
        <f>'Tabel 1.1'!H15</f>
        <v>4079532.4523799997</v>
      </c>
      <c r="O65" s="73"/>
    </row>
    <row r="66" spans="1:15" x14ac:dyDescent="0.3">
      <c r="A66" s="73"/>
      <c r="B66" s="73"/>
      <c r="C66" s="73"/>
      <c r="D66" s="73"/>
      <c r="E66" s="73"/>
      <c r="F66" s="73"/>
      <c r="G66" s="73"/>
      <c r="H66" s="73"/>
      <c r="I66" s="73"/>
      <c r="J66" s="73"/>
      <c r="K66" s="73"/>
      <c r="L66" s="73" t="s">
        <v>57</v>
      </c>
      <c r="M66" s="76">
        <f>'Tabel 1.1'!G16</f>
        <v>1132352</v>
      </c>
      <c r="N66" s="76">
        <f>'Tabel 1.1'!H16</f>
        <v>1134700</v>
      </c>
      <c r="O66" s="73"/>
    </row>
    <row r="67" spans="1:15" x14ac:dyDescent="0.3">
      <c r="A67" s="73"/>
      <c r="B67" s="73"/>
      <c r="C67" s="73"/>
      <c r="D67" s="73"/>
      <c r="E67" s="73"/>
      <c r="F67" s="73"/>
      <c r="G67" s="73"/>
      <c r="H67" s="73"/>
      <c r="I67" s="73"/>
      <c r="J67" s="73"/>
      <c r="K67" s="73"/>
      <c r="L67" s="73" t="s">
        <v>59</v>
      </c>
      <c r="M67" s="76">
        <f>'Tabel 1.1'!G17</f>
        <v>0</v>
      </c>
      <c r="N67" s="76">
        <f>'Tabel 1.1'!H17</f>
        <v>0</v>
      </c>
      <c r="O67" s="73"/>
    </row>
    <row r="68" spans="1:15" x14ac:dyDescent="0.3">
      <c r="A68" s="73"/>
      <c r="B68" s="73"/>
      <c r="C68" s="73"/>
      <c r="D68" s="73"/>
      <c r="E68" s="73"/>
      <c r="F68" s="73"/>
      <c r="G68" s="73"/>
      <c r="H68" s="73"/>
      <c r="I68" s="73"/>
      <c r="J68" s="73"/>
      <c r="K68" s="73"/>
      <c r="L68" s="73" t="s">
        <v>60</v>
      </c>
      <c r="M68" s="76">
        <f>'Tabel 1.1'!G19</f>
        <v>7375058.7999999998</v>
      </c>
      <c r="N68" s="76">
        <f>'Tabel 1.1'!H19</f>
        <v>7988385</v>
      </c>
      <c r="O68" s="73"/>
    </row>
    <row r="69" spans="1:15" x14ac:dyDescent="0.3">
      <c r="A69" s="73"/>
      <c r="B69" s="73"/>
      <c r="C69" s="73"/>
      <c r="D69" s="73"/>
      <c r="E69" s="73"/>
      <c r="F69" s="73"/>
      <c r="G69" s="73"/>
      <c r="H69" s="73"/>
      <c r="I69" s="73"/>
      <c r="J69" s="73"/>
      <c r="K69" s="73"/>
      <c r="L69" s="73" t="s">
        <v>61</v>
      </c>
      <c r="M69" s="76">
        <f>'Tabel 1.1'!G20</f>
        <v>24707.77272555888</v>
      </c>
      <c r="N69" s="76">
        <f>'Tabel 1.1'!H20</f>
        <v>20421.386947750718</v>
      </c>
      <c r="O69" s="73"/>
    </row>
    <row r="70" spans="1:15" x14ac:dyDescent="0.3">
      <c r="A70" s="73"/>
      <c r="B70" s="73"/>
      <c r="C70" s="73"/>
      <c r="D70" s="73"/>
      <c r="E70" s="73"/>
      <c r="F70" s="73"/>
      <c r="G70" s="73"/>
      <c r="H70" s="73"/>
      <c r="I70" s="73"/>
      <c r="J70" s="73"/>
      <c r="K70" s="73"/>
      <c r="L70" s="73" t="s">
        <v>62</v>
      </c>
      <c r="M70" s="76">
        <f>'Tabel 1.1'!G21</f>
        <v>0</v>
      </c>
      <c r="N70" s="76">
        <f>'Tabel 1.1'!H21</f>
        <v>0</v>
      </c>
      <c r="O70" s="73"/>
    </row>
    <row r="71" spans="1:15" x14ac:dyDescent="0.3">
      <c r="A71" s="73"/>
      <c r="B71" s="73"/>
      <c r="C71" s="73"/>
      <c r="D71" s="73"/>
      <c r="E71" s="73"/>
      <c r="F71" s="73"/>
      <c r="G71" s="73"/>
      <c r="H71" s="73"/>
      <c r="I71" s="73"/>
      <c r="J71" s="73"/>
      <c r="K71" s="73"/>
      <c r="L71" s="73" t="s">
        <v>406</v>
      </c>
      <c r="M71" s="76">
        <f>'Tabel 1.1'!G22</f>
        <v>0</v>
      </c>
      <c r="N71" s="76">
        <f>'Tabel 1.1'!H22</f>
        <v>0</v>
      </c>
      <c r="O71" s="73"/>
    </row>
    <row r="72" spans="1:15" x14ac:dyDescent="0.3">
      <c r="A72" s="73"/>
      <c r="B72" s="73"/>
      <c r="C72" s="73"/>
      <c r="D72" s="73"/>
      <c r="E72" s="73"/>
      <c r="F72" s="73"/>
      <c r="G72" s="73"/>
      <c r="H72" s="73"/>
      <c r="I72" s="73"/>
      <c r="J72" s="73"/>
      <c r="K72" s="73"/>
      <c r="L72" s="73" t="s">
        <v>63</v>
      </c>
      <c r="M72" s="76">
        <f>'Tabel 1.1'!G23</f>
        <v>516931786.69641</v>
      </c>
      <c r="N72" s="76">
        <f>'Tabel 1.1'!H23</f>
        <v>563636708.30683994</v>
      </c>
      <c r="O72" s="73"/>
    </row>
    <row r="73" spans="1:15" x14ac:dyDescent="0.3">
      <c r="A73" s="73"/>
      <c r="B73" s="73"/>
      <c r="C73" s="73"/>
      <c r="D73" s="73"/>
      <c r="E73" s="73"/>
      <c r="F73" s="73"/>
      <c r="G73" s="73"/>
      <c r="H73" s="73"/>
      <c r="I73" s="73"/>
      <c r="J73" s="73"/>
      <c r="K73" s="73"/>
      <c r="L73" s="73" t="s">
        <v>64</v>
      </c>
      <c r="M73" s="76">
        <f>'Tabel 1.1'!G24</f>
        <v>45976.864000000001</v>
      </c>
      <c r="N73" s="76">
        <f>'Tabel 1.1'!H24</f>
        <v>67448.820000000007</v>
      </c>
      <c r="O73" s="73"/>
    </row>
    <row r="74" spans="1:15" x14ac:dyDescent="0.3">
      <c r="A74" s="73"/>
      <c r="B74" s="73"/>
      <c r="C74" s="73"/>
      <c r="D74" s="73"/>
      <c r="E74" s="73"/>
      <c r="F74" s="73"/>
      <c r="G74" s="73"/>
      <c r="H74" s="73"/>
      <c r="I74" s="73"/>
      <c r="J74" s="73"/>
      <c r="K74" s="73"/>
      <c r="L74" s="73" t="s">
        <v>420</v>
      </c>
      <c r="M74" s="76">
        <f>'Tabel 1.1'!G25</f>
        <v>0</v>
      </c>
      <c r="N74" s="76">
        <f>'Tabel 1.1'!H25</f>
        <v>0</v>
      </c>
      <c r="O74" s="73"/>
    </row>
    <row r="75" spans="1:15" x14ac:dyDescent="0.3">
      <c r="A75" s="73"/>
      <c r="B75" s="73"/>
      <c r="C75" s="73"/>
      <c r="D75" s="73"/>
      <c r="E75" s="73"/>
      <c r="F75" s="73"/>
      <c r="G75" s="73"/>
      <c r="H75" s="73"/>
      <c r="I75" s="73"/>
      <c r="J75" s="73"/>
      <c r="K75" s="73"/>
      <c r="L75" s="73" t="s">
        <v>65</v>
      </c>
      <c r="M75" s="76">
        <f>'Tabel 1.1'!G26</f>
        <v>51856098.771231338</v>
      </c>
      <c r="N75" s="76">
        <f>'Tabel 1.1'!H26</f>
        <v>54800659.999984071</v>
      </c>
      <c r="O75" s="73"/>
    </row>
    <row r="76" spans="1:15" x14ac:dyDescent="0.3">
      <c r="A76" s="73"/>
      <c r="B76" s="73"/>
      <c r="C76" s="73"/>
      <c r="D76" s="73"/>
      <c r="E76" s="73"/>
      <c r="F76" s="73"/>
      <c r="G76" s="73"/>
      <c r="H76" s="73"/>
      <c r="I76" s="73"/>
      <c r="J76" s="73"/>
      <c r="K76" s="73"/>
      <c r="L76" s="73" t="s">
        <v>66</v>
      </c>
      <c r="M76" s="76">
        <f>'Tabel 1.1'!G27</f>
        <v>77112000</v>
      </c>
      <c r="N76" s="76">
        <f>'Tabel 1.1'!H27</f>
        <v>87821000</v>
      </c>
      <c r="O76" s="73"/>
    </row>
    <row r="77" spans="1:15" x14ac:dyDescent="0.3">
      <c r="A77" s="73"/>
      <c r="B77" s="73"/>
      <c r="C77" s="73"/>
      <c r="D77" s="73"/>
      <c r="E77" s="73"/>
      <c r="F77" s="73"/>
      <c r="G77" s="73"/>
      <c r="H77" s="73"/>
      <c r="I77" s="73"/>
      <c r="J77" s="73"/>
      <c r="K77" s="73"/>
      <c r="L77" s="73" t="s">
        <v>67</v>
      </c>
      <c r="M77" s="76">
        <f>'Tabel 1.1'!G29</f>
        <v>19251355.335700002</v>
      </c>
      <c r="N77" s="76">
        <f>'Tabel 1.1'!H29</f>
        <v>19758215.866050001</v>
      </c>
      <c r="O77" s="73"/>
    </row>
    <row r="78" spans="1:15" x14ac:dyDescent="0.3">
      <c r="A78" s="73"/>
      <c r="B78" s="73"/>
      <c r="C78" s="73"/>
      <c r="D78" s="73"/>
      <c r="E78" s="73"/>
      <c r="F78" s="73"/>
      <c r="G78" s="73"/>
      <c r="H78" s="73"/>
      <c r="I78" s="73"/>
      <c r="J78" s="73"/>
      <c r="K78" s="73"/>
      <c r="L78" s="73" t="s">
        <v>68</v>
      </c>
      <c r="M78" s="76">
        <f>'Tabel 1.1'!G30</f>
        <v>182079379.46500003</v>
      </c>
      <c r="N78" s="76">
        <f>'Tabel 1.1'!H30</f>
        <v>195179233.26300004</v>
      </c>
      <c r="O78" s="73"/>
    </row>
    <row r="79" spans="1:15" x14ac:dyDescent="0.3">
      <c r="A79" s="73"/>
      <c r="B79" s="73"/>
      <c r="C79" s="73"/>
      <c r="D79" s="73"/>
      <c r="E79" s="73"/>
      <c r="F79" s="73"/>
      <c r="G79" s="73"/>
      <c r="H79" s="73"/>
      <c r="I79" s="73"/>
      <c r="J79" s="73"/>
      <c r="K79" s="73"/>
      <c r="L79" s="73" t="s">
        <v>96</v>
      </c>
      <c r="M79" s="76">
        <f>'Tabel 1.1'!G31</f>
        <v>0</v>
      </c>
      <c r="N79" s="76">
        <f>'Tabel 1.1'!H31</f>
        <v>0</v>
      </c>
      <c r="O79" s="73"/>
    </row>
    <row r="80" spans="1:15" x14ac:dyDescent="0.3">
      <c r="A80" s="74" t="s">
        <v>434</v>
      </c>
      <c r="B80" s="73"/>
      <c r="C80" s="73"/>
      <c r="D80" s="73"/>
      <c r="E80" s="73"/>
      <c r="F80" s="73"/>
      <c r="G80" s="73"/>
      <c r="H80" s="73"/>
      <c r="I80" s="78"/>
      <c r="J80" s="73"/>
      <c r="K80" s="73"/>
      <c r="L80" s="73" t="s">
        <v>97</v>
      </c>
      <c r="M80" s="76">
        <f>'Tabel 1.1'!G32</f>
        <v>0</v>
      </c>
      <c r="N80" s="76">
        <f>'Tabel 1.1'!H32</f>
        <v>0</v>
      </c>
      <c r="O80" s="73"/>
    </row>
    <row r="81" spans="1:15" x14ac:dyDescent="0.3">
      <c r="B81" s="73"/>
      <c r="C81" s="73"/>
      <c r="D81" s="73"/>
      <c r="E81" s="73"/>
      <c r="F81" s="73"/>
      <c r="G81" s="73"/>
      <c r="H81" s="73"/>
      <c r="I81" s="73"/>
      <c r="J81" s="73"/>
      <c r="K81" s="73"/>
      <c r="L81" s="73" t="s">
        <v>415</v>
      </c>
      <c r="M81" s="76">
        <f>'Tabel 1.1'!G33</f>
        <v>0</v>
      </c>
      <c r="N81" s="76">
        <f>'Tabel 1.1'!H33</f>
        <v>0</v>
      </c>
      <c r="O81" s="73"/>
    </row>
    <row r="82" spans="1:15" x14ac:dyDescent="0.3">
      <c r="A82" s="73"/>
      <c r="B82" s="73"/>
      <c r="C82" s="73"/>
      <c r="D82" s="73"/>
      <c r="E82" s="73"/>
      <c r="F82" s="73"/>
      <c r="G82" s="73"/>
      <c r="H82" s="73"/>
      <c r="I82" s="73"/>
      <c r="J82" s="73"/>
      <c r="K82" s="73"/>
      <c r="O82" s="73"/>
    </row>
    <row r="83" spans="1:15" x14ac:dyDescent="0.3">
      <c r="A83" s="73"/>
      <c r="B83" s="73"/>
      <c r="C83" s="73"/>
      <c r="D83" s="73"/>
      <c r="E83" s="73"/>
      <c r="F83" s="73"/>
      <c r="G83" s="73"/>
      <c r="H83" s="73"/>
      <c r="I83" s="73"/>
      <c r="J83" s="73"/>
      <c r="K83" s="73"/>
      <c r="O83" s="73"/>
    </row>
    <row r="84" spans="1:15" x14ac:dyDescent="0.3">
      <c r="A84" s="73"/>
      <c r="B84" s="73"/>
      <c r="C84" s="73"/>
      <c r="D84" s="73"/>
      <c r="E84" s="73"/>
      <c r="F84" s="73"/>
      <c r="G84" s="73"/>
      <c r="H84" s="73"/>
      <c r="I84" s="73"/>
      <c r="J84" s="73"/>
      <c r="K84" s="73"/>
      <c r="L84" s="73" t="s">
        <v>73</v>
      </c>
      <c r="O84" s="73"/>
    </row>
    <row r="85" spans="1:15" x14ac:dyDescent="0.3">
      <c r="B85" s="73"/>
      <c r="C85" s="73"/>
      <c r="D85" s="73"/>
      <c r="E85" s="73"/>
      <c r="F85" s="73"/>
      <c r="G85" s="73"/>
      <c r="H85" s="73"/>
      <c r="I85" s="73"/>
      <c r="J85" s="73"/>
      <c r="K85" s="73"/>
      <c r="L85" s="73" t="s">
        <v>1</v>
      </c>
      <c r="O85" s="73"/>
    </row>
    <row r="86" spans="1:15" x14ac:dyDescent="0.3">
      <c r="B86" s="73"/>
      <c r="C86" s="73"/>
      <c r="D86" s="73"/>
      <c r="E86" s="73"/>
      <c r="F86" s="73"/>
      <c r="G86" s="73"/>
      <c r="H86" s="73"/>
      <c r="I86" s="73"/>
      <c r="J86" s="73"/>
      <c r="K86" s="73"/>
      <c r="M86" s="73">
        <f>M7</f>
        <v>2020</v>
      </c>
      <c r="N86" s="73">
        <f>N7</f>
        <v>2021</v>
      </c>
      <c r="O86" s="73"/>
    </row>
    <row r="87" spans="1:15" x14ac:dyDescent="0.3">
      <c r="B87" s="73"/>
      <c r="C87" s="73"/>
      <c r="D87" s="73"/>
      <c r="E87" s="73"/>
      <c r="F87" s="73"/>
      <c r="G87" s="73"/>
      <c r="H87" s="73"/>
      <c r="I87" s="73"/>
      <c r="J87" s="73"/>
      <c r="K87" s="73"/>
      <c r="L87" s="73" t="s">
        <v>54</v>
      </c>
      <c r="M87" s="76">
        <f>'Tabel 1.1'!G37</f>
        <v>20948913.260000002</v>
      </c>
      <c r="N87" s="76">
        <f>'Tabel 1.1'!H37</f>
        <v>26763939.773000002</v>
      </c>
      <c r="O87" s="73"/>
    </row>
    <row r="88" spans="1:15" x14ac:dyDescent="0.3">
      <c r="B88" s="73"/>
      <c r="C88" s="73"/>
      <c r="D88" s="73"/>
      <c r="E88" s="73"/>
      <c r="F88" s="73"/>
      <c r="G88" s="73"/>
      <c r="H88" s="73"/>
      <c r="I88" s="73"/>
      <c r="J88" s="73"/>
      <c r="K88" s="73"/>
      <c r="L88" s="73" t="s">
        <v>419</v>
      </c>
      <c r="M88" s="76">
        <f>'Tabel 1.1'!G38</f>
        <v>5167910</v>
      </c>
      <c r="N88" s="76">
        <f>'Tabel 1.1'!H38</f>
        <v>0</v>
      </c>
      <c r="O88" s="73"/>
    </row>
    <row r="89" spans="1:15" x14ac:dyDescent="0.3">
      <c r="B89" s="73"/>
      <c r="C89" s="73"/>
      <c r="D89" s="73"/>
      <c r="E89" s="73"/>
      <c r="F89" s="73"/>
      <c r="G89" s="73"/>
      <c r="H89" s="73"/>
      <c r="I89" s="73"/>
      <c r="J89" s="73"/>
      <c r="K89" s="73"/>
      <c r="L89" s="73" t="s">
        <v>55</v>
      </c>
      <c r="M89" s="76">
        <f>'Tabel 1.1'!G39</f>
        <v>95193910.070999995</v>
      </c>
      <c r="N89" s="76">
        <f>'Tabel 1.1'!H39</f>
        <v>129966187.12900001</v>
      </c>
      <c r="O89" s="73"/>
    </row>
    <row r="90" spans="1:15" x14ac:dyDescent="0.3">
      <c r="B90" s="73"/>
      <c r="C90" s="73"/>
      <c r="D90" s="73"/>
      <c r="E90" s="73"/>
      <c r="F90" s="73"/>
      <c r="G90" s="73"/>
      <c r="H90" s="73"/>
      <c r="I90" s="73"/>
      <c r="J90" s="73"/>
      <c r="K90" s="73"/>
      <c r="L90" s="73" t="s">
        <v>57</v>
      </c>
      <c r="M90" s="76">
        <f>'Tabel 1.1'!G40</f>
        <v>4269268</v>
      </c>
      <c r="N90" s="76">
        <f>'Tabel 1.1'!H40</f>
        <v>0</v>
      </c>
      <c r="O90" s="73"/>
    </row>
    <row r="91" spans="1:15" x14ac:dyDescent="0.3">
      <c r="A91" s="73"/>
      <c r="B91" s="73"/>
      <c r="C91" s="73"/>
      <c r="D91" s="73"/>
      <c r="E91" s="73"/>
      <c r="F91" s="73"/>
      <c r="G91" s="73"/>
      <c r="H91" s="73"/>
      <c r="I91" s="73"/>
      <c r="J91" s="73"/>
      <c r="K91" s="73"/>
      <c r="L91" s="78" t="s">
        <v>60</v>
      </c>
      <c r="M91" s="76">
        <f>'Tabel 1.1'!G41</f>
        <v>29754862.800000001</v>
      </c>
      <c r="N91" s="76">
        <f>'Tabel 1.1'!H41</f>
        <v>38652190</v>
      </c>
      <c r="O91" s="73"/>
    </row>
    <row r="92" spans="1:15" ht="18.75" customHeight="1" x14ac:dyDescent="0.3">
      <c r="A92" s="73"/>
      <c r="B92" s="73"/>
      <c r="C92" s="73"/>
      <c r="D92" s="73"/>
      <c r="E92" s="73"/>
      <c r="F92" s="73"/>
      <c r="G92" s="73"/>
      <c r="H92" s="73"/>
      <c r="I92" s="73"/>
      <c r="J92" s="73"/>
      <c r="K92" s="73"/>
      <c r="L92" s="73" t="s">
        <v>63</v>
      </c>
      <c r="M92" s="76">
        <f>'Tabel 1.1'!G42</f>
        <v>1933154.62115</v>
      </c>
      <c r="N92" s="76">
        <f>'Tabel 1.1'!H42</f>
        <v>2232813.0127599998</v>
      </c>
      <c r="O92" s="73"/>
    </row>
    <row r="93" spans="1:15" ht="18.75" customHeight="1" x14ac:dyDescent="0.3">
      <c r="A93" s="73"/>
      <c r="B93" s="73"/>
      <c r="C93" s="73"/>
      <c r="D93" s="73"/>
      <c r="E93" s="73"/>
      <c r="F93" s="73"/>
      <c r="G93" s="73"/>
      <c r="H93" s="73"/>
      <c r="I93" s="73"/>
      <c r="J93" s="73"/>
      <c r="K93" s="73"/>
      <c r="L93" s="73" t="s">
        <v>65</v>
      </c>
      <c r="M93" s="76">
        <f>'Tabel 1.1'!G43</f>
        <v>79687040</v>
      </c>
      <c r="N93" s="76">
        <f>'Tabel 1.1'!H43</f>
        <v>114051500</v>
      </c>
      <c r="O93" s="73"/>
    </row>
    <row r="94" spans="1:15" ht="18.75" customHeight="1" x14ac:dyDescent="0.3">
      <c r="A94" s="73"/>
      <c r="B94" s="73"/>
      <c r="C94" s="73"/>
      <c r="D94" s="73"/>
      <c r="E94" s="73"/>
      <c r="F94" s="73"/>
      <c r="G94" s="73"/>
      <c r="H94" s="73"/>
      <c r="I94" s="73"/>
      <c r="J94" s="73"/>
      <c r="K94" s="73"/>
      <c r="L94" s="73" t="s">
        <v>71</v>
      </c>
      <c r="M94" s="76">
        <f>'Tabel 1.1'!G44</f>
        <v>2514066.6801399998</v>
      </c>
      <c r="N94" s="76">
        <f>'Tabel 1.1'!H44</f>
        <v>3229114.5629100003</v>
      </c>
      <c r="O94" s="73"/>
    </row>
    <row r="95" spans="1:15" ht="18.75" customHeight="1" x14ac:dyDescent="0.3">
      <c r="A95" s="73"/>
      <c r="B95" s="73"/>
      <c r="C95" s="73"/>
      <c r="D95" s="73"/>
      <c r="E95" s="73"/>
      <c r="F95" s="73"/>
      <c r="G95" s="73"/>
      <c r="H95" s="73"/>
      <c r="I95" s="73"/>
      <c r="J95" s="73"/>
      <c r="K95" s="73"/>
      <c r="L95" s="73" t="s">
        <v>67</v>
      </c>
      <c r="M95" s="76">
        <f>'Tabel 1.1'!G45</f>
        <v>36536483.392659999</v>
      </c>
      <c r="N95" s="76">
        <f>'Tabel 1.1'!H45</f>
        <v>50948452.248089992</v>
      </c>
      <c r="O95" s="73"/>
    </row>
    <row r="96" spans="1:15" ht="18.75" customHeight="1" x14ac:dyDescent="0.3">
      <c r="A96" s="73"/>
      <c r="B96" s="73"/>
      <c r="C96" s="73"/>
      <c r="D96" s="73"/>
      <c r="E96" s="73"/>
      <c r="F96" s="73"/>
      <c r="G96" s="73"/>
      <c r="H96" s="73"/>
      <c r="I96" s="73"/>
      <c r="J96" s="73"/>
      <c r="K96" s="73"/>
      <c r="L96" s="73" t="s">
        <v>72</v>
      </c>
      <c r="M96" s="76">
        <f>'Tabel 1.1'!G46</f>
        <v>117297307.31699999</v>
      </c>
      <c r="N96" s="76">
        <f>'Tabel 1.1'!H46</f>
        <v>150707923.69099998</v>
      </c>
      <c r="O96" s="73"/>
    </row>
    <row r="97" spans="1:17" ht="18.75" customHeight="1" x14ac:dyDescent="0.3">
      <c r="A97" s="73"/>
      <c r="B97" s="73"/>
      <c r="C97" s="73"/>
      <c r="D97" s="73"/>
      <c r="E97" s="73"/>
      <c r="F97" s="73"/>
      <c r="G97" s="73"/>
      <c r="H97" s="73"/>
      <c r="I97" s="73"/>
      <c r="J97" s="73"/>
      <c r="K97" s="73"/>
      <c r="M97" s="76"/>
      <c r="O97" s="73"/>
      <c r="Q97" s="73"/>
    </row>
    <row r="98" spans="1:17" ht="18.75" customHeight="1" x14ac:dyDescent="0.3">
      <c r="A98" s="73"/>
      <c r="B98" s="73"/>
      <c r="C98" s="73"/>
      <c r="D98" s="73"/>
      <c r="E98" s="73"/>
      <c r="F98" s="73"/>
      <c r="G98" s="73"/>
      <c r="H98" s="73"/>
      <c r="I98" s="73"/>
      <c r="J98" s="73"/>
      <c r="K98" s="73"/>
      <c r="O98" s="73"/>
      <c r="Q98" s="73"/>
    </row>
    <row r="99" spans="1:17" ht="18.75" customHeight="1" x14ac:dyDescent="0.3">
      <c r="A99" s="73"/>
      <c r="B99" s="73"/>
      <c r="C99" s="73"/>
      <c r="D99" s="73"/>
      <c r="E99" s="73"/>
      <c r="F99" s="73"/>
      <c r="G99" s="73"/>
      <c r="H99" s="73"/>
      <c r="I99" s="73"/>
      <c r="J99" s="73"/>
      <c r="K99" s="73"/>
      <c r="O99" s="73"/>
      <c r="Q99" s="73"/>
    </row>
    <row r="100" spans="1:17" ht="18.75" customHeight="1" x14ac:dyDescent="0.3">
      <c r="A100" s="73"/>
      <c r="B100" s="73"/>
      <c r="C100" s="73"/>
      <c r="D100" s="73"/>
      <c r="E100" s="73"/>
      <c r="F100" s="73"/>
      <c r="G100" s="73"/>
      <c r="H100" s="73"/>
      <c r="I100" s="73"/>
      <c r="J100" s="73"/>
      <c r="K100" s="73"/>
      <c r="O100" s="73"/>
      <c r="Q100" s="73"/>
    </row>
    <row r="101" spans="1:17" ht="18.75" customHeight="1" x14ac:dyDescent="0.3">
      <c r="A101" s="73"/>
      <c r="B101" s="73"/>
      <c r="C101" s="73"/>
      <c r="D101" s="73"/>
      <c r="E101" s="73"/>
      <c r="F101" s="73"/>
      <c r="G101" s="73"/>
      <c r="H101" s="73"/>
      <c r="I101" s="73"/>
      <c r="J101" s="73"/>
      <c r="K101" s="73"/>
      <c r="O101" s="73"/>
      <c r="Q101" s="73"/>
    </row>
    <row r="102" spans="1:17" ht="18.75" customHeight="1" x14ac:dyDescent="0.3">
      <c r="A102" s="73"/>
      <c r="B102" s="73"/>
      <c r="C102" s="73"/>
      <c r="D102" s="73"/>
      <c r="E102" s="73"/>
      <c r="F102" s="73"/>
      <c r="G102" s="73"/>
      <c r="H102" s="73"/>
      <c r="I102" s="73"/>
      <c r="J102" s="73"/>
      <c r="K102" s="73"/>
      <c r="O102" s="73"/>
      <c r="Q102" s="73"/>
    </row>
    <row r="103" spans="1:17" ht="18.75" customHeight="1" x14ac:dyDescent="0.3">
      <c r="A103" s="73"/>
      <c r="B103" s="73"/>
      <c r="C103" s="73"/>
      <c r="D103" s="73"/>
      <c r="E103" s="73"/>
      <c r="F103" s="73"/>
      <c r="G103" s="73"/>
      <c r="H103" s="73"/>
      <c r="I103" s="73"/>
      <c r="J103" s="73"/>
      <c r="K103" s="73"/>
      <c r="O103" s="73"/>
      <c r="Q103" s="73"/>
    </row>
    <row r="104" spans="1:17" ht="18.75" customHeight="1" x14ac:dyDescent="0.3">
      <c r="A104" s="73"/>
      <c r="B104" s="73"/>
      <c r="C104" s="73"/>
      <c r="D104" s="73"/>
      <c r="E104" s="73"/>
      <c r="F104" s="73"/>
      <c r="G104" s="73"/>
      <c r="H104" s="73"/>
      <c r="I104" s="73"/>
      <c r="J104" s="73"/>
      <c r="K104" s="73"/>
      <c r="O104" s="73"/>
      <c r="Q104" s="73"/>
    </row>
    <row r="105" spans="1:17" ht="18.75" customHeight="1" x14ac:dyDescent="0.3">
      <c r="A105" s="73"/>
      <c r="B105" s="73"/>
      <c r="C105" s="73"/>
      <c r="D105" s="73"/>
      <c r="E105" s="73"/>
      <c r="F105" s="73"/>
      <c r="G105" s="73"/>
      <c r="H105" s="73"/>
      <c r="I105" s="73"/>
      <c r="J105" s="73"/>
      <c r="K105" s="73"/>
      <c r="O105" s="73"/>
      <c r="Q105" s="73"/>
    </row>
    <row r="106" spans="1:17" ht="18.75" customHeight="1" x14ac:dyDescent="0.3">
      <c r="A106" s="74" t="s">
        <v>435</v>
      </c>
      <c r="B106" s="73"/>
      <c r="C106" s="73"/>
      <c r="D106" s="73"/>
      <c r="E106" s="73"/>
      <c r="F106" s="73"/>
      <c r="G106" s="73"/>
      <c r="H106" s="78"/>
      <c r="I106" s="73"/>
      <c r="J106" s="73"/>
      <c r="K106" s="73"/>
      <c r="O106" s="73"/>
      <c r="Q106" s="73"/>
    </row>
    <row r="107" spans="1:17" ht="18.75" customHeight="1" x14ac:dyDescent="0.3">
      <c r="A107" s="73"/>
      <c r="B107" s="73"/>
      <c r="C107" s="73"/>
      <c r="D107" s="73"/>
      <c r="E107" s="73"/>
      <c r="F107" s="73"/>
      <c r="G107" s="73"/>
      <c r="H107" s="73"/>
      <c r="I107" s="73"/>
      <c r="J107" s="73"/>
      <c r="K107" s="73"/>
      <c r="O107" s="73"/>
      <c r="Q107" s="73"/>
    </row>
    <row r="108" spans="1:17" ht="18.75" customHeight="1" x14ac:dyDescent="0.3">
      <c r="A108" s="73"/>
      <c r="B108" s="73"/>
      <c r="C108" s="73"/>
      <c r="D108" s="73"/>
      <c r="E108" s="73"/>
      <c r="F108" s="73"/>
      <c r="G108" s="73"/>
      <c r="H108" s="73"/>
      <c r="I108" s="73"/>
      <c r="J108" s="73"/>
      <c r="K108" s="73"/>
      <c r="O108" s="73"/>
      <c r="Q108" s="73"/>
    </row>
    <row r="109" spans="1:17" ht="18.75" customHeight="1" x14ac:dyDescent="0.3">
      <c r="A109" s="73"/>
      <c r="B109" s="73"/>
      <c r="C109" s="73"/>
      <c r="D109" s="73"/>
      <c r="E109" s="73"/>
      <c r="F109" s="73"/>
      <c r="G109" s="73"/>
      <c r="H109" s="73"/>
      <c r="I109" s="73"/>
      <c r="J109" s="73"/>
      <c r="K109" s="73"/>
      <c r="O109" s="73"/>
      <c r="Q109" s="73"/>
    </row>
    <row r="110" spans="1:17" ht="18.75" customHeight="1" x14ac:dyDescent="0.3">
      <c r="A110" s="73"/>
      <c r="B110" s="73"/>
      <c r="C110" s="73"/>
      <c r="D110" s="73"/>
      <c r="E110" s="73"/>
      <c r="F110" s="73"/>
      <c r="G110" s="73"/>
      <c r="H110" s="73"/>
      <c r="I110" s="73"/>
      <c r="J110" s="73"/>
      <c r="K110" s="73"/>
      <c r="L110" s="78" t="s">
        <v>74</v>
      </c>
      <c r="O110" s="73"/>
      <c r="Q110" s="73"/>
    </row>
    <row r="111" spans="1:17" ht="18.75" customHeight="1" x14ac:dyDescent="0.3">
      <c r="A111" s="73"/>
      <c r="B111" s="73"/>
      <c r="C111" s="73"/>
      <c r="D111" s="73"/>
      <c r="E111" s="73"/>
      <c r="F111" s="73"/>
      <c r="G111" s="73"/>
      <c r="H111" s="73"/>
      <c r="I111" s="73"/>
      <c r="J111" s="73"/>
      <c r="K111" s="73"/>
      <c r="L111" s="73" t="s">
        <v>0</v>
      </c>
      <c r="O111" s="73"/>
      <c r="Q111" s="73"/>
    </row>
    <row r="112" spans="1:17" ht="18.75" customHeight="1" x14ac:dyDescent="0.3">
      <c r="A112" s="73"/>
      <c r="B112" s="73"/>
      <c r="C112" s="73"/>
      <c r="D112" s="73"/>
      <c r="E112" s="73"/>
      <c r="F112" s="73"/>
      <c r="G112" s="73"/>
      <c r="H112" s="73"/>
      <c r="I112" s="73"/>
      <c r="J112" s="73"/>
      <c r="K112" s="73"/>
      <c r="M112" s="73">
        <f>M7</f>
        <v>2020</v>
      </c>
      <c r="N112" s="73">
        <f>N7</f>
        <v>2021</v>
      </c>
      <c r="O112" s="73"/>
      <c r="Q112" s="73"/>
    </row>
    <row r="113" spans="1:17" ht="18.75" customHeight="1" x14ac:dyDescent="0.3">
      <c r="A113" s="73"/>
      <c r="B113" s="73"/>
      <c r="C113" s="73"/>
      <c r="D113" s="73"/>
      <c r="E113" s="73"/>
      <c r="F113" s="73"/>
      <c r="G113" s="73"/>
      <c r="H113" s="73"/>
      <c r="I113" s="73"/>
      <c r="J113" s="73"/>
      <c r="K113" s="73"/>
      <c r="L113" s="73" t="s">
        <v>54</v>
      </c>
      <c r="M113" s="76">
        <f>'Danica Pensjonsforsikring'!B11-'Danica Pensjonsforsikring'!B12+'Danica Pensjonsforsikring'!B34-'Danica Pensjonsforsikring'!B35+'Danica Pensjonsforsikring'!B38-'Danica Pensjonsforsikring'!B39+'Danica Pensjonsforsikring'!B112-'Danica Pensjonsforsikring'!B120+'Danica Pensjonsforsikring'!B137-'Danica Pensjonsforsikring'!B138</f>
        <v>30468.184000000001</v>
      </c>
      <c r="N113" s="76">
        <f>'Danica Pensjonsforsikring'!C11-'Danica Pensjonsforsikring'!C12+'Danica Pensjonsforsikring'!C34-'Danica Pensjonsforsikring'!C35+'Danica Pensjonsforsikring'!C38-'Danica Pensjonsforsikring'!C39+'Danica Pensjonsforsikring'!C112-'Danica Pensjonsforsikring'!C120+'Danica Pensjonsforsikring'!C137-'Danica Pensjonsforsikring'!C138</f>
        <v>3625.74</v>
      </c>
      <c r="O113" s="73"/>
      <c r="Q113" s="73"/>
    </row>
    <row r="114" spans="1:17" ht="18.75" customHeight="1" x14ac:dyDescent="0.3">
      <c r="A114" s="73"/>
      <c r="B114" s="73"/>
      <c r="C114" s="73"/>
      <c r="D114" s="73"/>
      <c r="E114" s="73"/>
      <c r="F114" s="73"/>
      <c r="G114" s="73"/>
      <c r="H114" s="73"/>
      <c r="I114" s="73"/>
      <c r="J114" s="73"/>
      <c r="K114" s="73"/>
      <c r="L114" s="78" t="s">
        <v>419</v>
      </c>
      <c r="M114" s="76">
        <f>'DNB Bedriftspensjon AS'!B11-'DNB Bedriftspensjon AS'!B12+'DNB Bedriftspensjon AS'!B34-'DNB Bedriftspensjon AS'!B35+'DNB Bedriftspensjon AS'!B38-'DNB Bedriftspensjon AS'!B39+'DNB Bedriftspensjon AS'!B112-'DNB Bedriftspensjon AS'!B120+'DNB Bedriftspensjon AS'!B137-'DNB Bedriftspensjon AS'!B138</f>
        <v>3361</v>
      </c>
      <c r="N114" s="76">
        <f>'DNB Bedriftspensjon AS'!C11-'DNB Bedriftspensjon AS'!C12+'DNB Bedriftspensjon AS'!C34-'DNB Bedriftspensjon AS'!C35+'DNB Bedriftspensjon AS'!C38-'DNB Bedriftspensjon AS'!C39+'DNB Bedriftspensjon AS'!C112-'DNB Bedriftspensjon AS'!C120+'DNB Bedriftspensjon AS'!C137-'DNB Bedriftspensjon AS'!C138</f>
        <v>0</v>
      </c>
      <c r="O114" s="73"/>
      <c r="Q114" s="73"/>
    </row>
    <row r="115" spans="1:17" ht="18.75" customHeight="1" x14ac:dyDescent="0.3">
      <c r="A115" s="73"/>
      <c r="B115" s="73"/>
      <c r="C115" s="73"/>
      <c r="D115" s="73"/>
      <c r="E115" s="73"/>
      <c r="F115" s="73"/>
      <c r="G115" s="73"/>
      <c r="H115" s="73"/>
      <c r="I115" s="73"/>
      <c r="J115" s="73"/>
      <c r="K115" s="73"/>
      <c r="L115" s="73" t="s">
        <v>55</v>
      </c>
      <c r="M115" s="76">
        <f>'DNB Livsforsikring'!B11-'DNB Livsforsikring'!B12+'DNB Livsforsikring'!B34-'DNB Livsforsikring'!B35+'DNB Livsforsikring'!B38-'DNB Livsforsikring'!B39+'DNB Livsforsikring'!B112-'DNB Livsforsikring'!B120+'DNB Livsforsikring'!B137-'DNB Livsforsikring'!B138</f>
        <v>-148121</v>
      </c>
      <c r="N115" s="76">
        <f>'DNB Livsforsikring'!C11-'DNB Livsforsikring'!C12+'DNB Livsforsikring'!C34-'DNB Livsforsikring'!C35+'DNB Livsforsikring'!C38-'DNB Livsforsikring'!C39+'DNB Livsforsikring'!C112-'DNB Livsforsikring'!C120+'DNB Livsforsikring'!C137-'DNB Livsforsikring'!C138</f>
        <v>128120</v>
      </c>
      <c r="O115" s="73"/>
      <c r="Q115" s="73"/>
    </row>
    <row r="116" spans="1:17" ht="18.75" customHeight="1" x14ac:dyDescent="0.3">
      <c r="A116" s="73"/>
      <c r="B116" s="73"/>
      <c r="C116" s="73"/>
      <c r="D116" s="73"/>
      <c r="E116" s="73"/>
      <c r="F116" s="73"/>
      <c r="G116" s="73"/>
      <c r="H116" s="73"/>
      <c r="I116" s="73"/>
      <c r="J116" s="73"/>
      <c r="K116" s="73"/>
      <c r="L116" s="78" t="s">
        <v>60</v>
      </c>
      <c r="M116" s="76">
        <f>'Gjensidige Pensjon'!B11-'Gjensidige Pensjon'!B12+'Gjensidige Pensjon'!B34-'Gjensidige Pensjon'!B35+'Gjensidige Pensjon'!B38-'Gjensidige Pensjon'!B39+'Gjensidige Pensjon'!B112-'Gjensidige Pensjon'!B120+'Gjensidige Pensjon'!B137-'Gjensidige Pensjon'!B138</f>
        <v>-54118.6</v>
      </c>
      <c r="N116" s="76">
        <f>'Gjensidige Pensjon'!C11-'Gjensidige Pensjon'!C12+'Gjensidige Pensjon'!C34-'Gjensidige Pensjon'!C35+'Gjensidige Pensjon'!C38-'Gjensidige Pensjon'!C39+'Gjensidige Pensjon'!C112-'Gjensidige Pensjon'!C120+'Gjensidige Pensjon'!C137-'Gjensidige Pensjon'!C138</f>
        <v>-5822</v>
      </c>
      <c r="O116" s="73"/>
      <c r="Q116" s="73"/>
    </row>
    <row r="117" spans="1:17" ht="18.75" customHeight="1" x14ac:dyDescent="0.3">
      <c r="A117" s="73"/>
      <c r="B117" s="73"/>
      <c r="C117" s="73"/>
      <c r="D117" s="73"/>
      <c r="E117" s="73"/>
      <c r="F117" s="73"/>
      <c r="G117" s="73"/>
      <c r="H117" s="73"/>
      <c r="I117" s="73"/>
      <c r="J117" s="73"/>
      <c r="K117" s="73"/>
      <c r="L117" s="78" t="s">
        <v>63</v>
      </c>
      <c r="M117" s="76">
        <f>KLP!B11-KLP!B12+KLP!B34-KLP!B35+KLP!B38-KLP!B39+KLP!B112-KLP!B120+KLP!B137-KLP!B138</f>
        <v>-4327427.5370000005</v>
      </c>
      <c r="N117" s="76">
        <f>KLP!C11-KLP!C12+KLP!C34-KLP!C35+KLP!C38-KLP!C39+KLP!C112-KLP!C120+KLP!C137-KLP!C138</f>
        <v>-8346122.3590000002</v>
      </c>
      <c r="O117" s="73"/>
    </row>
    <row r="118" spans="1:17" ht="18.75" customHeight="1" x14ac:dyDescent="0.3">
      <c r="A118" s="73"/>
      <c r="B118" s="73"/>
      <c r="C118" s="73"/>
      <c r="D118" s="73"/>
      <c r="E118" s="73"/>
      <c r="F118" s="73"/>
      <c r="G118" s="73"/>
      <c r="H118" s="73"/>
      <c r="I118" s="73"/>
      <c r="J118" s="73"/>
      <c r="K118" s="73"/>
      <c r="L118" s="73" t="s">
        <v>65</v>
      </c>
      <c r="M118" s="76">
        <f>'Nordea Liv '!B11-'Nordea Liv '!B12+'Nordea Liv '!B34-'Nordea Liv '!B35+'Nordea Liv '!B38-'Nordea Liv '!B39+'Nordea Liv '!B112-'Nordea Liv '!B120+'Nordea Liv '!B137-'Nordea Liv '!B138</f>
        <v>-6168.5379399999701</v>
      </c>
      <c r="N118" s="76">
        <f>'Nordea Liv '!C11-'Nordea Liv '!C12+'Nordea Liv '!C34-'Nordea Liv '!C35+'Nordea Liv '!C38-'Nordea Liv '!C39+'Nordea Liv '!C112-'Nordea Liv '!C120+'Nordea Liv '!C137-'Nordea Liv '!C138</f>
        <v>137.2955400001556</v>
      </c>
      <c r="O118" s="73"/>
    </row>
    <row r="119" spans="1:17" ht="18.75" customHeight="1" x14ac:dyDescent="0.3">
      <c r="A119" s="73"/>
      <c r="B119" s="73"/>
      <c r="C119" s="73"/>
      <c r="D119" s="73"/>
      <c r="E119" s="73"/>
      <c r="F119" s="73"/>
      <c r="G119" s="73"/>
      <c r="H119" s="73"/>
      <c r="I119" s="73"/>
      <c r="J119" s="73"/>
      <c r="K119" s="73"/>
      <c r="L119" s="73" t="s">
        <v>67</v>
      </c>
      <c r="M119" s="76">
        <f>'Sparebank 1'!B11-'Sparebank 1'!B12+'Sparebank 1'!B34-'Sparebank 1'!B35+'Sparebank 1'!B38-'Sparebank 1'!B39+'Sparebank 1'!B112-'Sparebank 1'!B120+'Sparebank 1'!B137-'Sparebank 1'!B138</f>
        <v>23.559269999999742</v>
      </c>
      <c r="N119" s="76">
        <f>'Sparebank 1'!C11-'Sparebank 1'!C12+'Sparebank 1'!C34-'Sparebank 1'!C35+'Sparebank 1'!C38-'Sparebank 1'!C39+'Sparebank 1'!C112-'Sparebank 1'!C120+'Sparebank 1'!C137-'Sparebank 1'!C138</f>
        <v>-4778.6397599999964</v>
      </c>
      <c r="O119" s="73"/>
    </row>
    <row r="120" spans="1:17" ht="18.75" customHeight="1" x14ac:dyDescent="0.3">
      <c r="A120" s="73"/>
      <c r="B120" s="73"/>
      <c r="C120" s="73"/>
      <c r="D120" s="73"/>
      <c r="E120" s="73"/>
      <c r="F120" s="73"/>
      <c r="G120" s="73"/>
      <c r="H120" s="73"/>
      <c r="I120" s="73"/>
      <c r="J120" s="73"/>
      <c r="K120" s="73"/>
      <c r="L120" s="73" t="s">
        <v>68</v>
      </c>
      <c r="M120" s="76">
        <f>'Storebrand Livsforsikring'!B11-'Storebrand Livsforsikring'!B12+'Storebrand Livsforsikring'!B34-'Storebrand Livsforsikring'!B35+'Storebrand Livsforsikring'!B38-'Storebrand Livsforsikring'!B39+'Storebrand Livsforsikring'!B112-'Storebrand Livsforsikring'!B120+'Storebrand Livsforsikring'!B137-'Storebrand Livsforsikring'!B138</f>
        <v>202498.86700000003</v>
      </c>
      <c r="N120" s="76">
        <f>'Storebrand Livsforsikring'!C11-'Storebrand Livsforsikring'!C12+'Storebrand Livsforsikring'!C34-'Storebrand Livsforsikring'!C35+'Storebrand Livsforsikring'!C38-'Storebrand Livsforsikring'!C39+'Storebrand Livsforsikring'!C112-'Storebrand Livsforsikring'!C120+'Storebrand Livsforsikring'!C137-'Storebrand Livsforsikring'!C138</f>
        <v>6995598.233</v>
      </c>
      <c r="O120" s="73"/>
    </row>
    <row r="121" spans="1:17" ht="18.75" customHeight="1" x14ac:dyDescent="0.3">
      <c r="A121" s="73"/>
      <c r="B121" s="73"/>
      <c r="C121" s="73"/>
      <c r="D121" s="73"/>
      <c r="E121" s="73"/>
      <c r="F121" s="73"/>
      <c r="G121" s="73"/>
      <c r="H121" s="73"/>
      <c r="I121" s="73"/>
      <c r="J121" s="73"/>
      <c r="K121" s="73"/>
      <c r="M121" s="76"/>
      <c r="N121" s="76"/>
      <c r="O121" s="73"/>
    </row>
    <row r="122" spans="1:17" ht="18.75" customHeight="1" x14ac:dyDescent="0.3">
      <c r="A122" s="73"/>
      <c r="B122" s="73"/>
      <c r="C122" s="73"/>
      <c r="D122" s="73"/>
      <c r="E122" s="73"/>
      <c r="F122" s="73"/>
      <c r="G122" s="73"/>
      <c r="H122" s="73"/>
      <c r="I122" s="73"/>
      <c r="J122" s="73"/>
      <c r="K122" s="73"/>
      <c r="M122" s="76"/>
      <c r="N122" s="76"/>
      <c r="O122" s="73"/>
    </row>
    <row r="123" spans="1:17" x14ac:dyDescent="0.3">
      <c r="A123" s="73"/>
      <c r="B123" s="73"/>
      <c r="C123" s="73"/>
      <c r="D123" s="73"/>
      <c r="E123" s="73"/>
      <c r="F123" s="73"/>
      <c r="G123" s="73"/>
      <c r="H123" s="73"/>
      <c r="I123" s="73"/>
      <c r="J123" s="73"/>
      <c r="K123" s="73"/>
      <c r="M123" s="76"/>
      <c r="N123" s="76"/>
      <c r="O123" s="73"/>
    </row>
    <row r="124" spans="1:17" x14ac:dyDescent="0.3">
      <c r="A124" s="73"/>
      <c r="B124" s="73"/>
      <c r="C124" s="73"/>
      <c r="D124" s="73"/>
      <c r="E124" s="73"/>
      <c r="F124" s="73"/>
      <c r="G124" s="73"/>
      <c r="H124" s="73"/>
      <c r="I124" s="73"/>
      <c r="J124" s="73"/>
      <c r="K124" s="73"/>
      <c r="M124" s="76"/>
      <c r="N124" s="76"/>
      <c r="O124" s="73"/>
    </row>
    <row r="125" spans="1:17" x14ac:dyDescent="0.3">
      <c r="A125" s="73"/>
      <c r="B125" s="73"/>
      <c r="C125" s="73"/>
      <c r="D125" s="73"/>
      <c r="E125" s="73"/>
      <c r="F125" s="73"/>
      <c r="G125" s="73"/>
      <c r="H125" s="73"/>
      <c r="I125" s="73"/>
      <c r="J125" s="73"/>
      <c r="K125" s="73"/>
      <c r="M125" s="76"/>
      <c r="N125" s="76"/>
      <c r="O125" s="73"/>
    </row>
    <row r="126" spans="1:17" x14ac:dyDescent="0.3">
      <c r="A126" s="73"/>
      <c r="B126" s="73"/>
      <c r="C126" s="73"/>
      <c r="D126" s="73"/>
      <c r="E126" s="73"/>
      <c r="F126" s="73"/>
      <c r="G126" s="73"/>
      <c r="H126" s="73"/>
      <c r="I126" s="73"/>
      <c r="J126" s="73"/>
      <c r="K126" s="73"/>
      <c r="M126" s="76"/>
      <c r="N126" s="76"/>
      <c r="O126" s="73"/>
    </row>
    <row r="127" spans="1:17" x14ac:dyDescent="0.3">
      <c r="A127" s="73"/>
      <c r="B127" s="73"/>
      <c r="C127" s="73"/>
      <c r="D127" s="73"/>
      <c r="E127" s="73"/>
      <c r="F127" s="73"/>
      <c r="G127" s="73"/>
      <c r="H127" s="73"/>
      <c r="I127" s="73"/>
      <c r="J127" s="73"/>
      <c r="K127" s="73"/>
      <c r="M127" s="76"/>
      <c r="N127" s="76"/>
      <c r="O127" s="73"/>
    </row>
    <row r="128" spans="1:17" x14ac:dyDescent="0.3">
      <c r="A128" s="73"/>
      <c r="B128" s="73"/>
      <c r="C128" s="73"/>
      <c r="D128" s="73"/>
      <c r="E128" s="73"/>
      <c r="F128" s="73"/>
      <c r="G128" s="73"/>
      <c r="H128" s="73"/>
      <c r="I128" s="73"/>
      <c r="J128" s="73"/>
      <c r="K128" s="73"/>
      <c r="O128" s="73"/>
    </row>
    <row r="129" spans="1:15" x14ac:dyDescent="0.3">
      <c r="A129" s="73"/>
      <c r="B129" s="73"/>
      <c r="C129" s="73"/>
      <c r="D129" s="73"/>
      <c r="E129" s="73"/>
      <c r="F129" s="73"/>
      <c r="G129" s="73"/>
      <c r="H129" s="73"/>
      <c r="I129" s="73"/>
      <c r="J129" s="73"/>
      <c r="K129" s="73"/>
      <c r="O129" s="73"/>
    </row>
    <row r="130" spans="1:15" x14ac:dyDescent="0.3">
      <c r="A130" s="74" t="s">
        <v>436</v>
      </c>
      <c r="B130" s="73"/>
      <c r="C130" s="73"/>
      <c r="D130" s="73"/>
      <c r="E130" s="73"/>
      <c r="F130" s="73"/>
      <c r="G130" s="73"/>
      <c r="H130" s="78"/>
      <c r="I130" s="73"/>
      <c r="J130" s="73"/>
      <c r="K130" s="73"/>
      <c r="O130" s="73"/>
    </row>
    <row r="131" spans="1:15" x14ac:dyDescent="0.3">
      <c r="B131" s="73"/>
      <c r="C131" s="73"/>
      <c r="D131" s="73"/>
      <c r="E131" s="73"/>
      <c r="F131" s="73"/>
      <c r="G131" s="73"/>
      <c r="H131" s="73"/>
      <c r="I131" s="73"/>
      <c r="J131" s="73"/>
      <c r="K131" s="73"/>
      <c r="O131" s="73"/>
    </row>
    <row r="132" spans="1:15" x14ac:dyDescent="0.3">
      <c r="A132" s="73"/>
      <c r="B132" s="73"/>
      <c r="C132" s="73"/>
      <c r="D132" s="73"/>
      <c r="E132" s="73"/>
      <c r="F132" s="73"/>
      <c r="G132" s="73"/>
      <c r="H132" s="73"/>
      <c r="I132" s="73"/>
      <c r="J132" s="73"/>
      <c r="K132" s="73"/>
      <c r="O132" s="73"/>
    </row>
    <row r="133" spans="1:15" x14ac:dyDescent="0.3">
      <c r="A133" s="73"/>
      <c r="B133" s="73"/>
      <c r="C133" s="73"/>
      <c r="D133" s="73"/>
      <c r="E133" s="73"/>
      <c r="F133" s="73"/>
      <c r="G133" s="73"/>
      <c r="H133" s="73"/>
      <c r="I133" s="73"/>
      <c r="J133" s="73"/>
      <c r="K133" s="73"/>
      <c r="O133" s="73"/>
    </row>
    <row r="134" spans="1:15" x14ac:dyDescent="0.3">
      <c r="A134" s="73"/>
      <c r="B134" s="73"/>
      <c r="C134" s="73"/>
      <c r="D134" s="73"/>
      <c r="E134" s="73"/>
      <c r="F134" s="73"/>
      <c r="G134" s="73"/>
      <c r="H134" s="73"/>
      <c r="I134" s="73"/>
      <c r="J134" s="73"/>
      <c r="K134" s="73"/>
      <c r="L134" s="78" t="s">
        <v>75</v>
      </c>
      <c r="O134" s="73"/>
    </row>
    <row r="135" spans="1:15" x14ac:dyDescent="0.3">
      <c r="A135" s="73"/>
      <c r="B135" s="73"/>
      <c r="C135" s="73"/>
      <c r="D135" s="73"/>
      <c r="E135" s="73"/>
      <c r="F135" s="73"/>
      <c r="G135" s="73"/>
      <c r="H135" s="73"/>
      <c r="I135" s="73"/>
      <c r="J135" s="73"/>
      <c r="K135" s="73"/>
      <c r="L135" s="73" t="s">
        <v>1</v>
      </c>
      <c r="O135" s="73"/>
    </row>
    <row r="136" spans="1:15" x14ac:dyDescent="0.3">
      <c r="A136" s="73"/>
      <c r="B136" s="73"/>
      <c r="C136" s="73"/>
      <c r="D136" s="73"/>
      <c r="E136" s="73"/>
      <c r="F136" s="73"/>
      <c r="G136" s="73"/>
      <c r="H136" s="73"/>
      <c r="I136" s="73"/>
      <c r="J136" s="73"/>
      <c r="K136" s="73"/>
      <c r="M136" s="73">
        <f>M7</f>
        <v>2020</v>
      </c>
      <c r="N136" s="73">
        <f>N7</f>
        <v>2021</v>
      </c>
      <c r="O136" s="73"/>
    </row>
    <row r="137" spans="1:15" x14ac:dyDescent="0.3">
      <c r="A137" s="73"/>
      <c r="B137" s="73"/>
      <c r="C137" s="73"/>
      <c r="D137" s="73"/>
      <c r="E137" s="73"/>
      <c r="F137" s="73"/>
      <c r="G137" s="73"/>
      <c r="H137" s="73"/>
      <c r="I137" s="73"/>
      <c r="J137" s="73"/>
      <c r="K137" s="73"/>
      <c r="L137" s="73" t="s">
        <v>54</v>
      </c>
      <c r="M137" s="76">
        <f>'Danica Pensjonsforsikring'!F11-'Danica Pensjonsforsikring'!F12+'Danica Pensjonsforsikring'!F34-'Danica Pensjonsforsikring'!F35+'Danica Pensjonsforsikring'!F38-'Danica Pensjonsforsikring'!F39+'Danica Pensjonsforsikring'!F112-'Danica Pensjonsforsikring'!F120+'Danica Pensjonsforsikring'!F137-'Danica Pensjonsforsikring'!F138</f>
        <v>184923.24699999997</v>
      </c>
      <c r="N137" s="76">
        <f>'Danica Pensjonsforsikring'!G11-'Danica Pensjonsforsikring'!G12+'Danica Pensjonsforsikring'!G34-'Danica Pensjonsforsikring'!G35+'Danica Pensjonsforsikring'!G38-'Danica Pensjonsforsikring'!G39+'Danica Pensjonsforsikring'!G112-'Danica Pensjonsforsikring'!G120+'Danica Pensjonsforsikring'!G137-'Danica Pensjonsforsikring'!G138</f>
        <v>24962.467999999877</v>
      </c>
      <c r="O137" s="73"/>
    </row>
    <row r="138" spans="1:15" x14ac:dyDescent="0.3">
      <c r="A138" s="73"/>
      <c r="B138" s="73"/>
      <c r="C138" s="73"/>
      <c r="D138" s="73"/>
      <c r="E138" s="73"/>
      <c r="F138" s="73"/>
      <c r="G138" s="73"/>
      <c r="H138" s="73"/>
      <c r="I138" s="73"/>
      <c r="J138" s="73"/>
      <c r="K138" s="73"/>
      <c r="L138" s="73" t="s">
        <v>419</v>
      </c>
      <c r="M138" s="76">
        <f>'DNB Bedriftspensjon AS'!F11-'DNB Bedriftspensjon AS'!F12+'DNB Bedriftspensjon AS'!F34-'DNB Bedriftspensjon AS'!F35+'DNB Bedriftspensjon AS'!F38-'DNB Bedriftspensjon AS'!F39+'DNB Bedriftspensjon AS'!F112-'DNB Bedriftspensjon AS'!F120+'DNB Bedriftspensjon AS'!F137-'DNB Bedriftspensjon AS'!F138</f>
        <v>162061</v>
      </c>
      <c r="N138" s="76">
        <f>'DNB Bedriftspensjon AS'!G11-'DNB Bedriftspensjon AS'!G12+'DNB Bedriftspensjon AS'!G34-'DNB Bedriftspensjon AS'!G35+'DNB Bedriftspensjon AS'!G38-'DNB Bedriftspensjon AS'!G39+'DNB Bedriftspensjon AS'!G112-'DNB Bedriftspensjon AS'!G120+'DNB Bedriftspensjon AS'!G137-'DNB Bedriftspensjon AS'!G138</f>
        <v>0</v>
      </c>
      <c r="O138" s="73"/>
    </row>
    <row r="139" spans="1:15" x14ac:dyDescent="0.3">
      <c r="A139" s="73"/>
      <c r="B139" s="73"/>
      <c r="C139" s="73"/>
      <c r="D139" s="73"/>
      <c r="E139" s="73"/>
      <c r="F139" s="73"/>
      <c r="G139" s="73"/>
      <c r="H139" s="73"/>
      <c r="I139" s="73"/>
      <c r="J139" s="73"/>
      <c r="K139" s="73"/>
      <c r="L139" s="73" t="s">
        <v>55</v>
      </c>
      <c r="M139" s="76">
        <f>'DNB Livsforsikring'!F11-'DNB Livsforsikring'!F12+'DNB Livsforsikring'!F34-'DNB Livsforsikring'!F35+'DNB Livsforsikring'!F38-'DNB Livsforsikring'!F39+'DNB Livsforsikring'!F112-'DNB Livsforsikring'!F120+'DNB Livsforsikring'!F137-'DNB Livsforsikring'!F138</f>
        <v>-3785522</v>
      </c>
      <c r="N139" s="76">
        <f>'DNB Livsforsikring'!G11-'DNB Livsforsikring'!G12+'DNB Livsforsikring'!G34-'DNB Livsforsikring'!G35+'DNB Livsforsikring'!G38-'DNB Livsforsikring'!G39+'DNB Livsforsikring'!G112-'DNB Livsforsikring'!G120+'DNB Livsforsikring'!G137-'DNB Livsforsikring'!G138</f>
        <v>-1227148</v>
      </c>
      <c r="O139" s="73"/>
    </row>
    <row r="140" spans="1:15" x14ac:dyDescent="0.3">
      <c r="A140" s="73"/>
      <c r="B140" s="73"/>
      <c r="C140" s="73"/>
      <c r="D140" s="73"/>
      <c r="E140" s="73"/>
      <c r="F140" s="73"/>
      <c r="G140" s="73"/>
      <c r="H140" s="73"/>
      <c r="I140" s="73"/>
      <c r="J140" s="73"/>
      <c r="K140" s="73"/>
      <c r="L140" s="73" t="s">
        <v>57</v>
      </c>
      <c r="M140" s="76">
        <f>'Frende Livsforsikring'!F11-'Frende Livsforsikring'!F12+'Frende Livsforsikring'!F34-'Frende Livsforsikring'!F35+'Frende Livsforsikring'!F38-'Frende Livsforsikring'!F39+'Frende Livsforsikring'!F112-'Frende Livsforsikring'!F120+'Frende Livsforsikring'!F137-'Frende Livsforsikring'!F138</f>
        <v>-19904</v>
      </c>
      <c r="N140" s="76">
        <f>'Frende Livsforsikring'!G11-'Frende Livsforsikring'!G12+'Frende Livsforsikring'!G34-'Frende Livsforsikring'!G35+'Frende Livsforsikring'!G38-'Frende Livsforsikring'!G39+'Frende Livsforsikring'!G112-'Frende Livsforsikring'!G120+'Frende Livsforsikring'!G137-'Frende Livsforsikring'!G138</f>
        <v>0</v>
      </c>
      <c r="O140" s="73"/>
    </row>
    <row r="141" spans="1:15" x14ac:dyDescent="0.3">
      <c r="A141" s="73"/>
      <c r="B141" s="73"/>
      <c r="C141" s="73"/>
      <c r="D141" s="73"/>
      <c r="E141" s="73"/>
      <c r="F141" s="73"/>
      <c r="G141" s="73"/>
      <c r="H141" s="73"/>
      <c r="I141" s="73"/>
      <c r="J141" s="73"/>
      <c r="K141" s="73"/>
      <c r="L141" s="78" t="s">
        <v>60</v>
      </c>
      <c r="M141" s="76">
        <f>'Gjensidige Pensjon'!F11-'Gjensidige Pensjon'!F12+'Gjensidige Pensjon'!F34-'Gjensidige Pensjon'!F35+'Gjensidige Pensjon'!F38-'Gjensidige Pensjon'!F39+'Gjensidige Pensjon'!F112-'Gjensidige Pensjon'!F120+'Gjensidige Pensjon'!F137-'Gjensidige Pensjon'!F138</f>
        <v>-781255.79999999993</v>
      </c>
      <c r="N141" s="76">
        <f>'Gjensidige Pensjon'!G11-'Gjensidige Pensjon'!G12+'Gjensidige Pensjon'!G34-'Gjensidige Pensjon'!G35+'Gjensidige Pensjon'!G38-'Gjensidige Pensjon'!G39+'Gjensidige Pensjon'!G112-'Gjensidige Pensjon'!G120+'Gjensidige Pensjon'!G137-'Gjensidige Pensjon'!G138</f>
        <v>-342266</v>
      </c>
      <c r="O141" s="73"/>
    </row>
    <row r="142" spans="1:15" x14ac:dyDescent="0.3">
      <c r="A142" s="73"/>
      <c r="B142" s="73"/>
      <c r="C142" s="73"/>
      <c r="D142" s="73"/>
      <c r="E142" s="73"/>
      <c r="F142" s="73"/>
      <c r="G142" s="73"/>
      <c r="H142" s="73"/>
      <c r="I142" s="73"/>
      <c r="J142" s="73"/>
      <c r="K142" s="73"/>
      <c r="L142" s="73" t="s">
        <v>63</v>
      </c>
      <c r="M142" s="76">
        <f>KLP!F11-KLP!F12+KLP!F34-KLP!F35+KLP!F38-KLP!F39+KLP!F112-KLP!F120+KLP!F137-KLP!F138</f>
        <v>-462823.85</v>
      </c>
      <c r="N142" s="76">
        <f>KLP!G11-KLP!G12+KLP!G34-KLP!G35+KLP!G38-KLP!G39+KLP!G112-KLP!G120+KLP!G137-KLP!G138</f>
        <v>0</v>
      </c>
      <c r="O142" s="73"/>
    </row>
    <row r="143" spans="1:15" x14ac:dyDescent="0.3">
      <c r="A143" s="73"/>
      <c r="B143" s="73"/>
      <c r="C143" s="73"/>
      <c r="D143" s="73"/>
      <c r="E143" s="73"/>
      <c r="F143" s="73"/>
      <c r="G143" s="73"/>
      <c r="H143" s="73"/>
      <c r="I143" s="73"/>
      <c r="J143" s="73"/>
      <c r="K143" s="73"/>
      <c r="L143" s="73" t="s">
        <v>65</v>
      </c>
      <c r="M143" s="76">
        <f>'Nordea Liv '!F11-'Nordea Liv '!F12+'Nordea Liv '!F34-'Nordea Liv '!F35+'Nordea Liv '!F38-'Nordea Liv '!F39+'Nordea Liv '!F112-'Nordea Liv '!F120+'Nordea Liv '!F137-'Nordea Liv '!F138</f>
        <v>2363395.0276000001</v>
      </c>
      <c r="N143" s="76">
        <f>'Nordea Liv '!G11-'Nordea Liv '!G12+'Nordea Liv '!G34-'Nordea Liv '!G35+'Nordea Liv '!G38-'Nordea Liv '!G39+'Nordea Liv '!G112-'Nordea Liv '!G120+'Nordea Liv '!G137-'Nordea Liv '!G138</f>
        <v>13147.515189998783</v>
      </c>
      <c r="O143" s="73"/>
    </row>
    <row r="144" spans="1:15" x14ac:dyDescent="0.3">
      <c r="A144" s="73"/>
      <c r="B144" s="73"/>
      <c r="C144" s="73"/>
      <c r="D144" s="73"/>
      <c r="E144" s="73"/>
      <c r="F144" s="73"/>
      <c r="G144" s="73"/>
      <c r="H144" s="73"/>
      <c r="I144" s="73"/>
      <c r="J144" s="73"/>
      <c r="K144" s="73"/>
      <c r="L144" s="73" t="s">
        <v>71</v>
      </c>
      <c r="M144" s="76">
        <f>'SHB Liv'!F11-'SHB Liv'!F12+'SHB Liv'!F34-'SHB Liv'!F35+'SHB Liv'!F38-'SHB Liv'!F39+'SHB Liv'!F112-'SHB Liv'!F120+'SHB Liv'!F137-'SHB Liv'!F138</f>
        <v>53104.750159999996</v>
      </c>
      <c r="N144" s="76">
        <f>'SHB Liv'!G11-'SHB Liv'!G12+'SHB Liv'!G34-'SHB Liv'!G35+'SHB Liv'!G38-'SHB Liv'!G39+'SHB Liv'!G112-'SHB Liv'!G120+'SHB Liv'!G137-'SHB Liv'!G138</f>
        <v>-7905.0195999999996</v>
      </c>
      <c r="O144" s="73"/>
    </row>
    <row r="145" spans="1:15" x14ac:dyDescent="0.3">
      <c r="A145" s="73"/>
      <c r="B145" s="73"/>
      <c r="C145" s="73"/>
      <c r="D145" s="73"/>
      <c r="E145" s="73"/>
      <c r="F145" s="73"/>
      <c r="G145" s="73"/>
      <c r="H145" s="73"/>
      <c r="I145" s="73"/>
      <c r="J145" s="73"/>
      <c r="K145" s="73"/>
      <c r="L145" s="73" t="s">
        <v>67</v>
      </c>
      <c r="M145" s="76">
        <f>'Sparebank 1'!F11-'Sparebank 1'!F12+'Sparebank 1'!F34-'Sparebank 1'!F35+'Sparebank 1'!F38-'Sparebank 1'!F39+'Sparebank 1'!F112-'Sparebank 1'!F120+'Sparebank 1'!F137-'Sparebank 1'!F138</f>
        <v>249798.30333999998</v>
      </c>
      <c r="N145" s="76">
        <f>'Sparebank 1'!G11-'Sparebank 1'!G12+'Sparebank 1'!G34-'Sparebank 1'!G35+'Sparebank 1'!G38-'Sparebank 1'!G39+'Sparebank 1'!G112-'Sparebank 1'!G120+'Sparebank 1'!G137-'Sparebank 1'!G138</f>
        <v>960545.45473999996</v>
      </c>
      <c r="O145" s="73"/>
    </row>
    <row r="146" spans="1:15" x14ac:dyDescent="0.3">
      <c r="A146" s="73"/>
      <c r="B146" s="73"/>
      <c r="C146" s="73"/>
      <c r="D146" s="73"/>
      <c r="E146" s="73"/>
      <c r="F146" s="73"/>
      <c r="G146" s="73"/>
      <c r="H146" s="73"/>
      <c r="I146" s="73"/>
      <c r="J146" s="73"/>
      <c r="K146" s="73"/>
      <c r="L146" s="73" t="s">
        <v>72</v>
      </c>
      <c r="M146" s="76">
        <f>'Storebrand Livsforsikring'!F11-'Storebrand Livsforsikring'!F12+'Storebrand Livsforsikring'!F34-'Storebrand Livsforsikring'!F35+'Storebrand Livsforsikring'!F38-'Storebrand Livsforsikring'!F39+'Storebrand Livsforsikring'!F112-'Storebrand Livsforsikring'!F120+'Storebrand Livsforsikring'!F137-'Storebrand Livsforsikring'!F138</f>
        <v>1810308.1159999995</v>
      </c>
      <c r="N146" s="76">
        <f>'Storebrand Livsforsikring'!G11-'Storebrand Livsforsikring'!G12+'Storebrand Livsforsikring'!G34-'Storebrand Livsforsikring'!G35+'Storebrand Livsforsikring'!G38-'Storebrand Livsforsikring'!G39+'Storebrand Livsforsikring'!G112-'Storebrand Livsforsikring'!G120+'Storebrand Livsforsikring'!G137-'Storebrand Livsforsikring'!G138</f>
        <v>-3907287.8450000002</v>
      </c>
      <c r="O146" s="73"/>
    </row>
    <row r="147" spans="1:15" x14ac:dyDescent="0.3">
      <c r="A147" s="73"/>
      <c r="B147" s="73"/>
      <c r="C147" s="73"/>
      <c r="D147" s="73"/>
      <c r="E147" s="73"/>
      <c r="F147" s="73"/>
      <c r="G147" s="73"/>
      <c r="H147" s="73"/>
      <c r="I147" s="73"/>
      <c r="J147" s="73"/>
      <c r="K147" s="73"/>
      <c r="O147" s="73"/>
    </row>
    <row r="148" spans="1:15" x14ac:dyDescent="0.3">
      <c r="A148" s="73"/>
      <c r="B148" s="73"/>
      <c r="C148" s="73"/>
      <c r="D148" s="73"/>
      <c r="E148" s="73"/>
      <c r="F148" s="73"/>
      <c r="G148" s="73"/>
      <c r="H148" s="73"/>
      <c r="I148" s="73"/>
      <c r="J148" s="73"/>
      <c r="K148" s="73"/>
      <c r="O148" s="73"/>
    </row>
    <row r="149" spans="1:15" x14ac:dyDescent="0.3">
      <c r="A149" s="73"/>
      <c r="B149" s="73"/>
      <c r="C149" s="73"/>
      <c r="D149" s="73"/>
      <c r="E149" s="73"/>
      <c r="F149" s="73"/>
      <c r="G149" s="73"/>
      <c r="H149" s="73"/>
      <c r="I149" s="73"/>
      <c r="J149" s="73"/>
      <c r="K149" s="73"/>
      <c r="O149" s="73"/>
    </row>
    <row r="150" spans="1:15" x14ac:dyDescent="0.3">
      <c r="A150" s="73"/>
      <c r="B150" s="73"/>
      <c r="C150" s="73"/>
      <c r="D150" s="73"/>
      <c r="E150" s="73"/>
      <c r="F150" s="73"/>
      <c r="G150" s="73"/>
      <c r="H150" s="73"/>
      <c r="I150" s="73"/>
      <c r="J150" s="73"/>
      <c r="K150" s="73"/>
      <c r="O150" s="73"/>
    </row>
    <row r="151" spans="1:15" x14ac:dyDescent="0.3">
      <c r="A151" s="73"/>
      <c r="B151" s="73"/>
      <c r="C151" s="73"/>
      <c r="D151" s="73"/>
      <c r="E151" s="73"/>
      <c r="F151" s="73"/>
      <c r="G151" s="73"/>
      <c r="H151" s="73"/>
      <c r="I151" s="73"/>
      <c r="J151" s="73"/>
      <c r="K151" s="73"/>
      <c r="O151" s="73"/>
    </row>
    <row r="152" spans="1:15" x14ac:dyDescent="0.3">
      <c r="A152" s="73"/>
      <c r="B152" s="73"/>
      <c r="C152" s="73"/>
      <c r="D152" s="73"/>
      <c r="E152" s="73"/>
      <c r="F152" s="73"/>
      <c r="G152" s="73"/>
      <c r="H152" s="73"/>
      <c r="I152" s="73"/>
      <c r="J152" s="73"/>
      <c r="K152" s="73"/>
      <c r="O152" s="73"/>
    </row>
    <row r="153" spans="1:15" x14ac:dyDescent="0.3">
      <c r="A153" s="73"/>
      <c r="B153" s="73"/>
      <c r="C153" s="73"/>
      <c r="D153" s="73"/>
      <c r="E153" s="73"/>
      <c r="F153" s="73"/>
      <c r="G153" s="73"/>
      <c r="H153" s="73"/>
      <c r="I153" s="73"/>
      <c r="J153" s="73"/>
      <c r="K153" s="73"/>
      <c r="O153" s="73"/>
    </row>
    <row r="154" spans="1:15" x14ac:dyDescent="0.3">
      <c r="O154" s="73"/>
    </row>
    <row r="155" spans="1:15" x14ac:dyDescent="0.3">
      <c r="O155" s="73"/>
    </row>
    <row r="156" spans="1:15" x14ac:dyDescent="0.3">
      <c r="O156" s="73"/>
    </row>
    <row r="157" spans="1:15" x14ac:dyDescent="0.3">
      <c r="O157" s="73"/>
    </row>
    <row r="158" spans="1:15" x14ac:dyDescent="0.3">
      <c r="O158" s="73"/>
    </row>
    <row r="159" spans="1:15" x14ac:dyDescent="0.3">
      <c r="O159" s="73"/>
    </row>
    <row r="160" spans="1:15" x14ac:dyDescent="0.3">
      <c r="O160" s="73"/>
    </row>
    <row r="161" spans="1:15" x14ac:dyDescent="0.3">
      <c r="O161" s="73"/>
    </row>
    <row r="162" spans="1:15" x14ac:dyDescent="0.3">
      <c r="O162" s="73"/>
    </row>
    <row r="163" spans="1:15" x14ac:dyDescent="0.3">
      <c r="O163" s="73"/>
    </row>
    <row r="164" spans="1:15" x14ac:dyDescent="0.3">
      <c r="O164" s="73"/>
    </row>
    <row r="165" spans="1:15" x14ac:dyDescent="0.3">
      <c r="O165" s="73"/>
    </row>
    <row r="166" spans="1:15" x14ac:dyDescent="0.3">
      <c r="O166" s="73"/>
    </row>
    <row r="167" spans="1:15" x14ac:dyDescent="0.3">
      <c r="O167" s="73"/>
    </row>
    <row r="168" spans="1:15" x14ac:dyDescent="0.3">
      <c r="O168" s="73"/>
    </row>
    <row r="169" spans="1:15" x14ac:dyDescent="0.3">
      <c r="O169" s="73"/>
    </row>
    <row r="170" spans="1:15" x14ac:dyDescent="0.3">
      <c r="A170" s="73"/>
      <c r="B170" s="73"/>
      <c r="C170" s="73"/>
      <c r="D170" s="73"/>
      <c r="E170" s="73"/>
      <c r="F170" s="73"/>
      <c r="G170" s="73"/>
      <c r="H170" s="73"/>
      <c r="I170" s="73"/>
      <c r="J170" s="73"/>
      <c r="K170" s="73"/>
      <c r="O170" s="73"/>
    </row>
    <row r="171" spans="1:15" x14ac:dyDescent="0.3">
      <c r="A171" s="73"/>
      <c r="B171" s="73"/>
      <c r="C171" s="73"/>
      <c r="D171" s="73"/>
      <c r="E171" s="73"/>
      <c r="F171" s="73"/>
      <c r="G171" s="73"/>
      <c r="H171" s="73"/>
      <c r="I171" s="73"/>
      <c r="J171" s="73"/>
      <c r="K171" s="73"/>
      <c r="O171" s="73"/>
    </row>
    <row r="172" spans="1:15" x14ac:dyDescent="0.3">
      <c r="A172" s="73"/>
      <c r="B172" s="73"/>
      <c r="C172" s="73"/>
      <c r="D172" s="73"/>
      <c r="E172" s="73"/>
      <c r="F172" s="73"/>
      <c r="G172" s="73"/>
      <c r="H172" s="73"/>
      <c r="I172" s="73"/>
      <c r="J172" s="73"/>
      <c r="K172" s="73"/>
      <c r="O172" s="73"/>
    </row>
    <row r="173" spans="1:15" x14ac:dyDescent="0.3">
      <c r="A173" s="73"/>
      <c r="B173" s="73"/>
      <c r="C173" s="73"/>
      <c r="D173" s="73"/>
      <c r="E173" s="73"/>
      <c r="F173" s="73"/>
      <c r="G173" s="73"/>
      <c r="H173" s="73"/>
      <c r="I173" s="73"/>
      <c r="J173" s="73"/>
      <c r="K173" s="73"/>
      <c r="O173" s="73"/>
    </row>
    <row r="174" spans="1:15" x14ac:dyDescent="0.3">
      <c r="A174" s="73"/>
      <c r="B174" s="73"/>
      <c r="C174" s="73"/>
      <c r="D174" s="73"/>
      <c r="E174" s="73"/>
      <c r="F174" s="73"/>
      <c r="G174" s="73"/>
      <c r="H174" s="73"/>
      <c r="I174" s="73"/>
      <c r="J174" s="73"/>
      <c r="K174" s="73"/>
      <c r="O174" s="73"/>
    </row>
    <row r="175" spans="1:15" x14ac:dyDescent="0.3">
      <c r="A175" s="73"/>
      <c r="B175" s="73"/>
      <c r="C175" s="73"/>
      <c r="D175" s="73"/>
      <c r="E175" s="73"/>
      <c r="F175" s="73"/>
      <c r="G175" s="73"/>
      <c r="H175" s="73"/>
      <c r="I175" s="73"/>
      <c r="J175" s="73"/>
      <c r="K175" s="73"/>
      <c r="O175" s="73"/>
    </row>
    <row r="176" spans="1:15" x14ac:dyDescent="0.3">
      <c r="A176" s="73"/>
      <c r="B176" s="73"/>
      <c r="C176" s="73"/>
      <c r="D176" s="73"/>
      <c r="E176" s="73"/>
      <c r="F176" s="73"/>
      <c r="G176" s="73"/>
      <c r="H176" s="73"/>
      <c r="I176" s="73"/>
      <c r="J176" s="73"/>
      <c r="K176" s="73"/>
      <c r="O176" s="73"/>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133</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v>355923.935</v>
      </c>
      <c r="C7" s="305">
        <v>392964.43599999999</v>
      </c>
      <c r="D7" s="348">
        <f>IF(B7=0, "    ---- ", IF(ABS(ROUND(100/B7*C7-100,1))&lt;999,ROUND(100/B7*C7-100,1),IF(ROUND(100/B7*C7-100,1)&gt;999,999,-999)))</f>
        <v>10.4</v>
      </c>
      <c r="E7" s="11">
        <f>IFERROR(100/'Skjema total MA'!C7*C7,0)</f>
        <v>14.204361195273819</v>
      </c>
      <c r="F7" s="304">
        <v>670708.429</v>
      </c>
      <c r="G7" s="305">
        <v>893332.14599999995</v>
      </c>
      <c r="H7" s="348">
        <f>IF(F7=0, "    ---- ", IF(ABS(ROUND(100/F7*G7-100,1))&lt;999,ROUND(100/F7*G7-100,1),IF(ROUND(100/F7*G7-100,1)&gt;999,999,-999)))</f>
        <v>33.200000000000003</v>
      </c>
      <c r="I7" s="159">
        <f>IFERROR(100/'Skjema total MA'!F7*G7,0)</f>
        <v>11.532255046578788</v>
      </c>
      <c r="J7" s="306">
        <f t="shared" ref="J7:K12" si="0">SUM(B7,F7)</f>
        <v>1026632.3640000001</v>
      </c>
      <c r="K7" s="307">
        <f t="shared" si="0"/>
        <v>1286296.5819999999</v>
      </c>
      <c r="L7" s="424">
        <f>IF(J7=0, "    ---- ", IF(ABS(ROUND(100/J7*K7-100,1))&lt;999,ROUND(100/J7*K7-100,1),IF(ROUND(100/J7*K7-100,1)&gt;999,999,-999)))</f>
        <v>25.3</v>
      </c>
      <c r="M7" s="11">
        <f>IFERROR(100/'Skjema total MA'!I7*K7,0)</f>
        <v>12.235429956878642</v>
      </c>
    </row>
    <row r="8" spans="1:14" ht="15.75" x14ac:dyDescent="0.2">
      <c r="A8" s="20" t="s">
        <v>25</v>
      </c>
      <c r="B8" s="279">
        <v>140523.30499999999</v>
      </c>
      <c r="C8" s="280">
        <v>155311.93400000001</v>
      </c>
      <c r="D8" s="165">
        <f t="shared" ref="D8:D10" si="1">IF(B8=0, "    ---- ", IF(ABS(ROUND(100/B8*C8-100,1))&lt;999,ROUND(100/B8*C8-100,1),IF(ROUND(100/B8*C8-100,1)&gt;999,999,-999)))</f>
        <v>10.5</v>
      </c>
      <c r="E8" s="26">
        <f>IFERROR(100/'Skjema total MA'!C8*C8,0)</f>
        <v>8.5789179680109129</v>
      </c>
      <c r="F8" s="283"/>
      <c r="G8" s="284"/>
      <c r="H8" s="165"/>
      <c r="I8" s="174"/>
      <c r="J8" s="232">
        <f t="shared" si="0"/>
        <v>140523.30499999999</v>
      </c>
      <c r="K8" s="285">
        <f t="shared" si="0"/>
        <v>155311.93400000001</v>
      </c>
      <c r="L8" s="165">
        <f t="shared" ref="L8:L9" si="2">IF(J8=0, "    ---- ", IF(ABS(ROUND(100/J8*K8-100,1))&lt;999,ROUND(100/J8*K8-100,1),IF(ROUND(100/J8*K8-100,1)&gt;999,999,-999)))</f>
        <v>10.5</v>
      </c>
      <c r="M8" s="26">
        <f>IFERROR(100/'Skjema total MA'!I8*K8,0)</f>
        <v>8.5789179680109129</v>
      </c>
    </row>
    <row r="9" spans="1:14" ht="15.75" x14ac:dyDescent="0.2">
      <c r="A9" s="20" t="s">
        <v>24</v>
      </c>
      <c r="B9" s="279">
        <v>30047.788</v>
      </c>
      <c r="C9" s="280">
        <v>28670.451000000001</v>
      </c>
      <c r="D9" s="165">
        <f t="shared" si="1"/>
        <v>-4.5999999999999996</v>
      </c>
      <c r="E9" s="26">
        <f>IFERROR(100/'Skjema total MA'!C9*C9,0)</f>
        <v>4.8544612287393489</v>
      </c>
      <c r="F9" s="283"/>
      <c r="G9" s="284"/>
      <c r="H9" s="165"/>
      <c r="I9" s="174"/>
      <c r="J9" s="232">
        <f t="shared" si="0"/>
        <v>30047.788</v>
      </c>
      <c r="K9" s="285">
        <f t="shared" si="0"/>
        <v>28670.451000000001</v>
      </c>
      <c r="L9" s="165">
        <f t="shared" si="2"/>
        <v>-4.5999999999999996</v>
      </c>
      <c r="M9" s="26">
        <f>IFERROR(100/'Skjema total MA'!I9*K9,0)</f>
        <v>4.8544612287393489</v>
      </c>
    </row>
    <row r="10" spans="1:14" ht="15.75" x14ac:dyDescent="0.2">
      <c r="A10" s="13" t="s">
        <v>364</v>
      </c>
      <c r="B10" s="308">
        <v>4014265.8360000001</v>
      </c>
      <c r="C10" s="309">
        <v>4116035.0279999999</v>
      </c>
      <c r="D10" s="170">
        <f t="shared" si="1"/>
        <v>2.5</v>
      </c>
      <c r="E10" s="11">
        <f>IFERROR(100/'Skjema total MA'!C10*C10,0)</f>
        <v>23.617987649845766</v>
      </c>
      <c r="F10" s="308">
        <v>7538453.9979999997</v>
      </c>
      <c r="G10" s="309">
        <v>10239637.924000001</v>
      </c>
      <c r="H10" s="170">
        <f t="shared" ref="H10:H12" si="3">IF(F10=0, "    ---- ", IF(ABS(ROUND(100/F10*G10-100,1))&lt;999,ROUND(100/F10*G10-100,1),IF(ROUND(100/F10*G10-100,1)&gt;999,999,-999)))</f>
        <v>35.799999999999997</v>
      </c>
      <c r="I10" s="159">
        <f>IFERROR(100/'Skjema total MA'!F10*G10,0)</f>
        <v>14.581504859434114</v>
      </c>
      <c r="J10" s="306">
        <f t="shared" si="0"/>
        <v>11552719.833999999</v>
      </c>
      <c r="K10" s="307">
        <f t="shared" si="0"/>
        <v>14355672.952</v>
      </c>
      <c r="L10" s="425">
        <f t="shared" ref="L10:L12" si="4">IF(J10=0, "    ---- ", IF(ABS(ROUND(100/J10*K10-100,1))&lt;999,ROUND(100/J10*K10-100,1),IF(ROUND(100/J10*K10-100,1)&gt;999,999,-999)))</f>
        <v>24.3</v>
      </c>
      <c r="M10" s="11">
        <f>IFERROR(100/'Skjema total MA'!I10*K10,0)</f>
        <v>16.378217740892033</v>
      </c>
    </row>
    <row r="11" spans="1:14" s="42" customFormat="1" ht="15.75" x14ac:dyDescent="0.2">
      <c r="A11" s="13" t="s">
        <v>365</v>
      </c>
      <c r="B11" s="308"/>
      <c r="C11" s="309"/>
      <c r="D11" s="170"/>
      <c r="E11" s="11"/>
      <c r="F11" s="308">
        <v>5701.0870000000004</v>
      </c>
      <c r="G11" s="309">
        <v>5677.1620000000003</v>
      </c>
      <c r="H11" s="170">
        <f t="shared" si="3"/>
        <v>-0.4</v>
      </c>
      <c r="I11" s="159">
        <f>IFERROR(100/'Skjema total MA'!F11*G11,0)</f>
        <v>2.1904867082568629</v>
      </c>
      <c r="J11" s="306">
        <f t="shared" si="0"/>
        <v>5701.0870000000004</v>
      </c>
      <c r="K11" s="307">
        <f t="shared" si="0"/>
        <v>5677.1620000000003</v>
      </c>
      <c r="L11" s="425">
        <f t="shared" si="4"/>
        <v>-0.4</v>
      </c>
      <c r="M11" s="11">
        <f>IFERROR(100/'Skjema total MA'!I11*K11,0)</f>
        <v>2.0011318920042767</v>
      </c>
      <c r="N11" s="142"/>
    </row>
    <row r="12" spans="1:14" s="42" customFormat="1" ht="15.75" x14ac:dyDescent="0.2">
      <c r="A12" s="40" t="s">
        <v>366</v>
      </c>
      <c r="B12" s="310"/>
      <c r="C12" s="311"/>
      <c r="D12" s="168"/>
      <c r="E12" s="35"/>
      <c r="F12" s="310">
        <v>16267.779</v>
      </c>
      <c r="G12" s="311">
        <v>15828.346</v>
      </c>
      <c r="H12" s="168">
        <f t="shared" si="3"/>
        <v>-2.7</v>
      </c>
      <c r="I12" s="168">
        <f>IFERROR(100/'Skjema total MA'!F12*G12,0)</f>
        <v>15.960361353259925</v>
      </c>
      <c r="J12" s="312">
        <f t="shared" si="0"/>
        <v>16267.779</v>
      </c>
      <c r="K12" s="313">
        <f t="shared" si="0"/>
        <v>15828.346</v>
      </c>
      <c r="L12" s="426">
        <f t="shared" si="4"/>
        <v>-2.7</v>
      </c>
      <c r="M12" s="35">
        <f>IFERROR(100/'Skjema total MA'!I12*K12,0)</f>
        <v>15.386319376030581</v>
      </c>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v>3654.2779999999998</v>
      </c>
      <c r="C22" s="308">
        <v>3574.029</v>
      </c>
      <c r="D22" s="348">
        <f t="shared" ref="D22:D37" si="5">IF(B22=0, "    ---- ", IF(ABS(ROUND(100/B22*C22-100,1))&lt;999,ROUND(100/B22*C22-100,1),IF(ROUND(100/B22*C22-100,1)&gt;999,999,-999)))</f>
        <v>-2.2000000000000002</v>
      </c>
      <c r="E22" s="11">
        <f>IFERROR(100/'Skjema total MA'!C22*C22,0)</f>
        <v>0.31889168156701952</v>
      </c>
      <c r="F22" s="316">
        <v>190092.859</v>
      </c>
      <c r="G22" s="316">
        <v>250278.443</v>
      </c>
      <c r="H22" s="348">
        <f t="shared" ref="H22:H35" si="6">IF(F22=0, "    ---- ", IF(ABS(ROUND(100/F22*G22-100,1))&lt;999,ROUND(100/F22*G22-100,1),IF(ROUND(100/F22*G22-100,1)&gt;999,999,-999)))</f>
        <v>31.7</v>
      </c>
      <c r="I22" s="11">
        <f>IFERROR(100/'Skjema total MA'!F22*G22,0)</f>
        <v>31.227092548863673</v>
      </c>
      <c r="J22" s="314">
        <f t="shared" ref="J22:K35" si="7">SUM(B22,F22)</f>
        <v>193747.13699999999</v>
      </c>
      <c r="K22" s="314">
        <f t="shared" si="7"/>
        <v>253852.47200000001</v>
      </c>
      <c r="L22" s="424">
        <f t="shared" ref="L22:L35" si="8">IF(J22=0, "    ---- ", IF(ABS(ROUND(100/J22*K22-100,1))&lt;999,ROUND(100/J22*K22-100,1),IF(ROUND(100/J22*K22-100,1)&gt;999,999,-999)))</f>
        <v>31</v>
      </c>
      <c r="M22" s="23">
        <f>IFERROR(100/'Skjema total MA'!I22*K22,0)</f>
        <v>13.206045863205148</v>
      </c>
    </row>
    <row r="23" spans="1:14" ht="15.75" x14ac:dyDescent="0.2">
      <c r="A23" s="580" t="s">
        <v>367</v>
      </c>
      <c r="B23" s="279">
        <v>497.48099999999999</v>
      </c>
      <c r="C23" s="279">
        <v>516.03099999999995</v>
      </c>
      <c r="D23" s="165">
        <f t="shared" si="5"/>
        <v>3.7</v>
      </c>
      <c r="E23" s="11">
        <f>IFERROR(100/'Skjema total MA'!C23*C23,0)</f>
        <v>0.11500952081647714</v>
      </c>
      <c r="F23" s="288">
        <v>12443.163</v>
      </c>
      <c r="G23" s="288">
        <v>44893.302000000003</v>
      </c>
      <c r="H23" s="165">
        <f t="shared" si="6"/>
        <v>260.8</v>
      </c>
      <c r="I23" s="414">
        <f>IFERROR(100/'Skjema total MA'!F23*G23,0)</f>
        <v>31.081978446872704</v>
      </c>
      <c r="J23" s="288">
        <f t="shared" ref="J23:J26" si="9">SUM(B23,F23)</f>
        <v>12940.644</v>
      </c>
      <c r="K23" s="288">
        <f t="shared" ref="K23:K26" si="10">SUM(C23,G23)</f>
        <v>45409.333000000006</v>
      </c>
      <c r="L23" s="165">
        <f t="shared" si="8"/>
        <v>250.9</v>
      </c>
      <c r="M23" s="22">
        <f>IFERROR(100/'Skjema total MA'!I23*K23,0)</f>
        <v>7.6560032001458662</v>
      </c>
    </row>
    <row r="24" spans="1:14" ht="15.75" x14ac:dyDescent="0.2">
      <c r="A24" s="580" t="s">
        <v>368</v>
      </c>
      <c r="B24" s="279">
        <v>3156.797</v>
      </c>
      <c r="C24" s="279">
        <v>3057.998</v>
      </c>
      <c r="D24" s="165">
        <f t="shared" si="5"/>
        <v>-3.1</v>
      </c>
      <c r="E24" s="11">
        <f>IFERROR(100/'Skjema total MA'!C24*C24,0)</f>
        <v>22.09122984059761</v>
      </c>
      <c r="F24" s="288"/>
      <c r="G24" s="288"/>
      <c r="H24" s="165"/>
      <c r="I24" s="414"/>
      <c r="J24" s="288">
        <f t="shared" si="9"/>
        <v>3156.797</v>
      </c>
      <c r="K24" s="288">
        <f t="shared" si="10"/>
        <v>3057.998</v>
      </c>
      <c r="L24" s="165">
        <f t="shared" si="8"/>
        <v>-3.1</v>
      </c>
      <c r="M24" s="22">
        <f>IFERROR(100/'Skjema total MA'!I24*K24,0)</f>
        <v>22.003465637701879</v>
      </c>
    </row>
    <row r="25" spans="1:14" ht="15.75" x14ac:dyDescent="0.2">
      <c r="A25" s="580" t="s">
        <v>369</v>
      </c>
      <c r="B25" s="279"/>
      <c r="C25" s="279"/>
      <c r="D25" s="165"/>
      <c r="E25" s="11"/>
      <c r="F25" s="288">
        <v>126.6</v>
      </c>
      <c r="G25" s="288">
        <v>149.041</v>
      </c>
      <c r="H25" s="165">
        <f t="shared" si="6"/>
        <v>17.7</v>
      </c>
      <c r="I25" s="414">
        <f>IFERROR(100/'Skjema total MA'!F25*G25,0)</f>
        <v>1.8520010296977107</v>
      </c>
      <c r="J25" s="288">
        <f t="shared" si="9"/>
        <v>126.6</v>
      </c>
      <c r="K25" s="288">
        <f t="shared" si="10"/>
        <v>149.041</v>
      </c>
      <c r="L25" s="165">
        <f t="shared" si="8"/>
        <v>17.7</v>
      </c>
      <c r="M25" s="22">
        <f>IFERROR(100/'Skjema total MA'!I25*K25,0)</f>
        <v>0.56981221860627429</v>
      </c>
    </row>
    <row r="26" spans="1:14" ht="15.75" x14ac:dyDescent="0.2">
      <c r="A26" s="580" t="s">
        <v>370</v>
      </c>
      <c r="B26" s="279"/>
      <c r="C26" s="279"/>
      <c r="D26" s="165"/>
      <c r="E26" s="11"/>
      <c r="F26" s="288">
        <v>177523.09599999999</v>
      </c>
      <c r="G26" s="288">
        <v>205236.1</v>
      </c>
      <c r="H26" s="165">
        <f t="shared" si="6"/>
        <v>15.6</v>
      </c>
      <c r="I26" s="414">
        <f>IFERROR(100/'Skjema total MA'!F26*G26,0)</f>
        <v>31.62633048456588</v>
      </c>
      <c r="J26" s="288">
        <f t="shared" si="9"/>
        <v>177523.09599999999</v>
      </c>
      <c r="K26" s="288">
        <f t="shared" si="10"/>
        <v>205236.1</v>
      </c>
      <c r="L26" s="165">
        <f t="shared" si="8"/>
        <v>15.6</v>
      </c>
      <c r="M26" s="22">
        <f>IFERROR(100/'Skjema total MA'!I26*K26,0)</f>
        <v>31.62633048456588</v>
      </c>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v>102239.69</v>
      </c>
      <c r="C28" s="285">
        <v>115533.094</v>
      </c>
      <c r="D28" s="165">
        <f t="shared" si="5"/>
        <v>13</v>
      </c>
      <c r="E28" s="11">
        <f>IFERROR(100/'Skjema total MA'!C28*C28,0)</f>
        <v>9.4654729913305946</v>
      </c>
      <c r="F28" s="232"/>
      <c r="G28" s="285"/>
      <c r="H28" s="165"/>
      <c r="I28" s="26"/>
      <c r="J28" s="43">
        <f t="shared" si="7"/>
        <v>102239.69</v>
      </c>
      <c r="K28" s="43">
        <f t="shared" si="7"/>
        <v>115533.094</v>
      </c>
      <c r="L28" s="252">
        <f t="shared" si="8"/>
        <v>13</v>
      </c>
      <c r="M28" s="22">
        <f>IFERROR(100/'Skjema total MA'!I28*K28,0)</f>
        <v>9.4654729913305946</v>
      </c>
    </row>
    <row r="29" spans="1:14" s="3" customFormat="1" ht="15.75" x14ac:dyDescent="0.2">
      <c r="A29" s="13" t="s">
        <v>364</v>
      </c>
      <c r="B29" s="234">
        <v>9340979.2359999996</v>
      </c>
      <c r="C29" s="234">
        <v>8697574.0120000001</v>
      </c>
      <c r="D29" s="170">
        <f t="shared" si="5"/>
        <v>-6.9</v>
      </c>
      <c r="E29" s="11">
        <f>IFERROR(100/'Skjema total MA'!C29*C29,0)</f>
        <v>19.095082380644673</v>
      </c>
      <c r="F29" s="306">
        <v>4927577.03</v>
      </c>
      <c r="G29" s="306">
        <v>6350237.8420000002</v>
      </c>
      <c r="H29" s="170">
        <f t="shared" si="6"/>
        <v>28.9</v>
      </c>
      <c r="I29" s="11">
        <f>IFERROR(100/'Skjema total MA'!F29*G29,0)</f>
        <v>24.722729466261736</v>
      </c>
      <c r="J29" s="234">
        <f t="shared" si="7"/>
        <v>14268556.265999999</v>
      </c>
      <c r="K29" s="234">
        <f t="shared" si="7"/>
        <v>15047811.854</v>
      </c>
      <c r="L29" s="425">
        <f t="shared" si="8"/>
        <v>5.5</v>
      </c>
      <c r="M29" s="23">
        <f>IFERROR(100/'Skjema total MA'!I29*K29,0)</f>
        <v>21.124304028162555</v>
      </c>
      <c r="N29" s="147"/>
    </row>
    <row r="30" spans="1:14" s="3" customFormat="1" ht="15.75" x14ac:dyDescent="0.2">
      <c r="A30" s="580" t="s">
        <v>367</v>
      </c>
      <c r="B30" s="279">
        <v>1271649.074</v>
      </c>
      <c r="C30" s="279">
        <v>1255790.274</v>
      </c>
      <c r="D30" s="165">
        <f t="shared" si="5"/>
        <v>-1.2</v>
      </c>
      <c r="E30" s="11">
        <f>IFERROR(100/'Skjema total MA'!C30*C30,0)</f>
        <v>9.2812738935359782</v>
      </c>
      <c r="F30" s="288">
        <v>490155.73200000002</v>
      </c>
      <c r="G30" s="288">
        <v>567163.00199999998</v>
      </c>
      <c r="H30" s="165">
        <f t="shared" si="6"/>
        <v>15.7</v>
      </c>
      <c r="I30" s="414">
        <f>IFERROR(100/'Skjema total MA'!F30*G30,0)</f>
        <v>13.606790725363567</v>
      </c>
      <c r="J30" s="288">
        <f t="shared" ref="J30:J33" si="11">SUM(B30,F30)</f>
        <v>1761804.8060000001</v>
      </c>
      <c r="K30" s="288">
        <f t="shared" ref="K30:K33" si="12">SUM(C30,G30)</f>
        <v>1822953.2760000001</v>
      </c>
      <c r="L30" s="165">
        <f t="shared" si="8"/>
        <v>3.5</v>
      </c>
      <c r="M30" s="22">
        <f>IFERROR(100/'Skjema total MA'!I30*K30,0)</f>
        <v>10.299985539684222</v>
      </c>
      <c r="N30" s="147"/>
    </row>
    <row r="31" spans="1:14" s="3" customFormat="1" ht="15.75" x14ac:dyDescent="0.2">
      <c r="A31" s="580" t="s">
        <v>368</v>
      </c>
      <c r="B31" s="279">
        <v>8069330.1619999995</v>
      </c>
      <c r="C31" s="279">
        <v>7441783.7379999999</v>
      </c>
      <c r="D31" s="165">
        <f t="shared" si="5"/>
        <v>-7.8</v>
      </c>
      <c r="E31" s="11">
        <f>IFERROR(100/'Skjema total MA'!C31*C31,0)</f>
        <v>32.486568088488703</v>
      </c>
      <c r="F31" s="288">
        <v>1671351.6740000001</v>
      </c>
      <c r="G31" s="288">
        <v>1799070.9410000001</v>
      </c>
      <c r="H31" s="165">
        <f t="shared" si="6"/>
        <v>7.6</v>
      </c>
      <c r="I31" s="414">
        <f>IFERROR(100/'Skjema total MA'!F31*G31,0)</f>
        <v>18.582295284663697</v>
      </c>
      <c r="J31" s="288">
        <f t="shared" si="11"/>
        <v>9740681.8359999992</v>
      </c>
      <c r="K31" s="288">
        <f t="shared" si="12"/>
        <v>9240854.6789999995</v>
      </c>
      <c r="L31" s="165">
        <f t="shared" si="8"/>
        <v>-5.0999999999999996</v>
      </c>
      <c r="M31" s="22">
        <f>IFERROR(100/'Skjema total MA'!I31*K31,0)</f>
        <v>28.35583185908602</v>
      </c>
      <c r="N31" s="147"/>
    </row>
    <row r="32" spans="1:14" ht="15.75" x14ac:dyDescent="0.2">
      <c r="A32" s="580" t="s">
        <v>369</v>
      </c>
      <c r="B32" s="279"/>
      <c r="C32" s="279"/>
      <c r="D32" s="165"/>
      <c r="E32" s="11"/>
      <c r="F32" s="288">
        <v>1499214.469</v>
      </c>
      <c r="G32" s="288">
        <v>1938375.28</v>
      </c>
      <c r="H32" s="165">
        <f t="shared" si="6"/>
        <v>29.3</v>
      </c>
      <c r="I32" s="414">
        <f>IFERROR(100/'Skjema total MA'!F32*G32,0)</f>
        <v>34.145255850395948</v>
      </c>
      <c r="J32" s="288">
        <f t="shared" si="11"/>
        <v>1499214.469</v>
      </c>
      <c r="K32" s="288">
        <f t="shared" si="12"/>
        <v>1938375.28</v>
      </c>
      <c r="L32" s="165">
        <f t="shared" si="8"/>
        <v>29.3</v>
      </c>
      <c r="M32" s="22">
        <f>IFERROR(100/'Skjema total MA'!I32*K32,0)</f>
        <v>22.483144490909933</v>
      </c>
    </row>
    <row r="33" spans="1:14" ht="15.75" x14ac:dyDescent="0.2">
      <c r="A33" s="580" t="s">
        <v>370</v>
      </c>
      <c r="B33" s="279"/>
      <c r="C33" s="279"/>
      <c r="D33" s="165"/>
      <c r="E33" s="11"/>
      <c r="F33" s="288">
        <v>1266855.155</v>
      </c>
      <c r="G33" s="288">
        <v>2045628.6189999999</v>
      </c>
      <c r="H33" s="165">
        <f t="shared" si="6"/>
        <v>61.5</v>
      </c>
      <c r="I33" s="414">
        <f>IFERROR(100/'Skjema total MA'!F34*G33,0)</f>
        <v>9475.1713089645891</v>
      </c>
      <c r="J33" s="288">
        <f t="shared" si="11"/>
        <v>1266855.155</v>
      </c>
      <c r="K33" s="288">
        <f t="shared" si="12"/>
        <v>2045628.6189999999</v>
      </c>
      <c r="L33" s="165">
        <f t="shared" si="8"/>
        <v>61.5</v>
      </c>
      <c r="M33" s="22">
        <f>IFERROR(100/'Skjema total MA'!I34*K33,0)</f>
        <v>7506.6864114123537</v>
      </c>
    </row>
    <row r="34" spans="1:14" ht="15.75" x14ac:dyDescent="0.2">
      <c r="A34" s="13" t="s">
        <v>365</v>
      </c>
      <c r="B34" s="234">
        <v>5362.13</v>
      </c>
      <c r="C34" s="307">
        <v>7358.3959999999997</v>
      </c>
      <c r="D34" s="170">
        <f t="shared" si="5"/>
        <v>37.200000000000003</v>
      </c>
      <c r="E34" s="11">
        <f>IFERROR(100/'Skjema total MA'!C34*C34,0)</f>
        <v>129.97493904330312</v>
      </c>
      <c r="F34" s="306">
        <v>11462.123</v>
      </c>
      <c r="G34" s="307">
        <v>12554.053</v>
      </c>
      <c r="H34" s="170">
        <f t="shared" si="6"/>
        <v>9.5</v>
      </c>
      <c r="I34" s="11">
        <f>IFERROR(100/'Skjema total MA'!F34*G34,0)</f>
        <v>58.149266045647174</v>
      </c>
      <c r="J34" s="234">
        <f t="shared" si="7"/>
        <v>16824.253000000001</v>
      </c>
      <c r="K34" s="234">
        <f t="shared" si="7"/>
        <v>19912.449000000001</v>
      </c>
      <c r="L34" s="425">
        <f t="shared" si="8"/>
        <v>18.399999999999999</v>
      </c>
      <c r="M34" s="23">
        <f>IFERROR(100/'Skjema total MA'!I34*K34,0)</f>
        <v>73.071186498804806</v>
      </c>
    </row>
    <row r="35" spans="1:14" ht="15.75" x14ac:dyDescent="0.2">
      <c r="A35" s="13" t="s">
        <v>366</v>
      </c>
      <c r="B35" s="234">
        <v>2342.645</v>
      </c>
      <c r="C35" s="307">
        <v>335.67</v>
      </c>
      <c r="D35" s="170">
        <f t="shared" si="5"/>
        <v>-85.7</v>
      </c>
      <c r="E35" s="11">
        <f>IFERROR(100/'Skjema total MA'!C35*C35,0)</f>
        <v>-0.50996257637194919</v>
      </c>
      <c r="F35" s="306">
        <v>16875.653999999999</v>
      </c>
      <c r="G35" s="307">
        <v>24924.803</v>
      </c>
      <c r="H35" s="170">
        <f t="shared" si="6"/>
        <v>47.7</v>
      </c>
      <c r="I35" s="11">
        <f>IFERROR(100/'Skjema total MA'!F35*G35,0)</f>
        <v>22.630255498015249</v>
      </c>
      <c r="J35" s="234">
        <f t="shared" si="7"/>
        <v>19218.298999999999</v>
      </c>
      <c r="K35" s="234">
        <f t="shared" si="7"/>
        <v>25260.472999999998</v>
      </c>
      <c r="L35" s="425">
        <f t="shared" si="8"/>
        <v>31.4</v>
      </c>
      <c r="M35" s="23">
        <f>IFERROR(100/'Skjema total MA'!I35*K35,0)</f>
        <v>56.99974944724196</v>
      </c>
    </row>
    <row r="36" spans="1:14" ht="15.75" x14ac:dyDescent="0.2">
      <c r="A36" s="12" t="s">
        <v>283</v>
      </c>
      <c r="B36" s="234">
        <v>37.607999999999997</v>
      </c>
      <c r="C36" s="307">
        <v>41.26</v>
      </c>
      <c r="D36" s="170">
        <f t="shared" si="5"/>
        <v>9.6999999999999993</v>
      </c>
      <c r="E36" s="11">
        <f>100/'Skjema total MA'!C36*C36</f>
        <v>2.6060154365044275</v>
      </c>
      <c r="F36" s="317"/>
      <c r="G36" s="318"/>
      <c r="H36" s="170"/>
      <c r="I36" s="431"/>
      <c r="J36" s="234">
        <f t="shared" ref="J36:J37" si="13">SUM(B36,F36)</f>
        <v>37.607999999999997</v>
      </c>
      <c r="K36" s="234">
        <f t="shared" ref="K36:K37" si="14">SUM(C36,G36)</f>
        <v>41.26</v>
      </c>
      <c r="L36" s="425"/>
      <c r="M36" s="23">
        <f>IFERROR(100/'Skjema total MA'!I36*K36,0)</f>
        <v>2.6060154365044275</v>
      </c>
    </row>
    <row r="37" spans="1:14" ht="15.75" x14ac:dyDescent="0.2">
      <c r="A37" s="12" t="s">
        <v>372</v>
      </c>
      <c r="B37" s="234">
        <v>456923.37400000001</v>
      </c>
      <c r="C37" s="307">
        <v>450942.09</v>
      </c>
      <c r="D37" s="170">
        <f t="shared" si="5"/>
        <v>-1.3</v>
      </c>
      <c r="E37" s="11">
        <f>100/'Skjema total MA'!C37*C37</f>
        <v>13.444222502145085</v>
      </c>
      <c r="F37" s="317"/>
      <c r="G37" s="319"/>
      <c r="H37" s="170"/>
      <c r="I37" s="431"/>
      <c r="J37" s="234">
        <f t="shared" si="13"/>
        <v>456923.37400000001</v>
      </c>
      <c r="K37" s="234">
        <f t="shared" si="14"/>
        <v>450942.09</v>
      </c>
      <c r="L37" s="425"/>
      <c r="M37" s="23">
        <f>IFERROR(100/'Skjema total MA'!I37*K37,0)</f>
        <v>13.444222502145085</v>
      </c>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680763.10199999996</v>
      </c>
      <c r="C47" s="309">
        <v>641988.44900000002</v>
      </c>
      <c r="D47" s="424">
        <f t="shared" ref="D47:D57" si="15">IF(B47=0, "    ---- ", IF(ABS(ROUND(100/B47*C47-100,1))&lt;999,ROUND(100/B47*C47-100,1),IF(ROUND(100/B47*C47-100,1)&gt;999,999,-999)))</f>
        <v>-5.7</v>
      </c>
      <c r="E47" s="11">
        <f>IFERROR(100/'Skjema total MA'!C47*C47,0)</f>
        <v>16.189925207684098</v>
      </c>
      <c r="F47" s="144"/>
      <c r="G47" s="32"/>
      <c r="H47" s="158"/>
      <c r="I47" s="158"/>
      <c r="J47" s="36"/>
      <c r="K47" s="36"/>
      <c r="L47" s="158"/>
      <c r="M47" s="158"/>
      <c r="N47" s="147"/>
    </row>
    <row r="48" spans="1:14" s="3" customFormat="1" ht="15.75" x14ac:dyDescent="0.2">
      <c r="A48" s="37" t="s">
        <v>375</v>
      </c>
      <c r="B48" s="279">
        <v>322804.29399999999</v>
      </c>
      <c r="C48" s="280">
        <v>208312.85200000001</v>
      </c>
      <c r="D48" s="252">
        <f t="shared" si="15"/>
        <v>-35.5</v>
      </c>
      <c r="E48" s="26">
        <f>IFERROR(100/'Skjema total MA'!C48*C48,0)</f>
        <v>9.1535520620209194</v>
      </c>
      <c r="F48" s="144"/>
      <c r="G48" s="32"/>
      <c r="H48" s="144"/>
      <c r="I48" s="144"/>
      <c r="J48" s="32"/>
      <c r="K48" s="32"/>
      <c r="L48" s="158"/>
      <c r="M48" s="158"/>
      <c r="N48" s="147"/>
    </row>
    <row r="49" spans="1:14" s="3" customFormat="1" ht="15.75" x14ac:dyDescent="0.2">
      <c r="A49" s="37" t="s">
        <v>376</v>
      </c>
      <c r="B49" s="43">
        <v>357958.80800000002</v>
      </c>
      <c r="C49" s="285">
        <v>433675.59700000001</v>
      </c>
      <c r="D49" s="252">
        <f>IF(B49=0, "    ---- ", IF(ABS(ROUND(100/B49*C49-100,1))&lt;999,ROUND(100/B49*C49-100,1),IF(ROUND(100/B49*C49-100,1)&gt;999,999,-999)))</f>
        <v>21.2</v>
      </c>
      <c r="E49" s="26">
        <f>IFERROR(100/'Skjema total MA'!C49*C49,0)</f>
        <v>25.667383635941778</v>
      </c>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v>5376.87</v>
      </c>
      <c r="C53" s="309">
        <v>15993.745999999999</v>
      </c>
      <c r="D53" s="425">
        <f t="shared" si="15"/>
        <v>197.5</v>
      </c>
      <c r="E53" s="11">
        <f>IFERROR(100/'Skjema total MA'!C53*C53,0)</f>
        <v>6.8026449974866301</v>
      </c>
      <c r="F53" s="144"/>
      <c r="G53" s="32"/>
      <c r="H53" s="144"/>
      <c r="I53" s="144"/>
      <c r="J53" s="32"/>
      <c r="K53" s="32"/>
      <c r="L53" s="158"/>
      <c r="M53" s="158"/>
      <c r="N53" s="147"/>
    </row>
    <row r="54" spans="1:14" s="3" customFormat="1" ht="15.75" x14ac:dyDescent="0.2">
      <c r="A54" s="37" t="s">
        <v>375</v>
      </c>
      <c r="B54" s="279">
        <v>5376.87</v>
      </c>
      <c r="C54" s="280">
        <v>11074.482</v>
      </c>
      <c r="D54" s="252">
        <f t="shared" si="15"/>
        <v>106</v>
      </c>
      <c r="E54" s="26">
        <f>IFERROR(100/'Skjema total MA'!C54*C54,0)</f>
        <v>4.8307474677498607</v>
      </c>
      <c r="F54" s="144"/>
      <c r="G54" s="32"/>
      <c r="H54" s="144"/>
      <c r="I54" s="144"/>
      <c r="J54" s="32"/>
      <c r="K54" s="32"/>
      <c r="L54" s="158"/>
      <c r="M54" s="158"/>
      <c r="N54" s="147"/>
    </row>
    <row r="55" spans="1:14" s="3" customFormat="1" ht="15.75" x14ac:dyDescent="0.2">
      <c r="A55" s="37" t="s">
        <v>376</v>
      </c>
      <c r="B55" s="279"/>
      <c r="C55" s="280">
        <v>4919.2640000000001</v>
      </c>
      <c r="D55" s="252" t="str">
        <f t="shared" si="15"/>
        <v xml:space="preserve">    ---- </v>
      </c>
      <c r="E55" s="26">
        <f>IFERROR(100/'Skjema total MA'!C55*C55,0)</f>
        <v>83.93456765182826</v>
      </c>
      <c r="F55" s="144"/>
      <c r="G55" s="32"/>
      <c r="H55" s="144"/>
      <c r="I55" s="144"/>
      <c r="J55" s="32"/>
      <c r="K55" s="32"/>
      <c r="L55" s="158"/>
      <c r="M55" s="158"/>
      <c r="N55" s="147"/>
    </row>
    <row r="56" spans="1:14" s="3" customFormat="1" ht="15.75" x14ac:dyDescent="0.2">
      <c r="A56" s="38" t="s">
        <v>378</v>
      </c>
      <c r="B56" s="308">
        <v>1460.376</v>
      </c>
      <c r="C56" s="309">
        <v>23227.008999999998</v>
      </c>
      <c r="D56" s="425">
        <f t="shared" si="15"/>
        <v>999</v>
      </c>
      <c r="E56" s="11">
        <f>IFERROR(100/'Skjema total MA'!C56*C56,0)</f>
        <v>24.87788371989328</v>
      </c>
      <c r="F56" s="144"/>
      <c r="G56" s="32"/>
      <c r="H56" s="144"/>
      <c r="I56" s="144"/>
      <c r="J56" s="32"/>
      <c r="K56" s="32"/>
      <c r="L56" s="158"/>
      <c r="M56" s="158"/>
      <c r="N56" s="147"/>
    </row>
    <row r="57" spans="1:14" s="3" customFormat="1" ht="15.75" x14ac:dyDescent="0.2">
      <c r="A57" s="37" t="s">
        <v>375</v>
      </c>
      <c r="B57" s="279">
        <v>1460.376</v>
      </c>
      <c r="C57" s="280">
        <v>23227.008999999998</v>
      </c>
      <c r="D57" s="252">
        <f t="shared" si="15"/>
        <v>999</v>
      </c>
      <c r="E57" s="26">
        <f>IFERROR(100/'Skjema total MA'!C57*C57,0)</f>
        <v>24.87788371989328</v>
      </c>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v>2176824.9299999997</v>
      </c>
      <c r="C66" s="351">
        <v>2337659.1339999996</v>
      </c>
      <c r="D66" s="348">
        <f t="shared" ref="D66:D112" si="16">IF(B66=0, "    ---- ", IF(ABS(ROUND(100/B66*C66-100,1))&lt;999,ROUND(100/B66*C66-100,1),IF(ROUND(100/B66*C66-100,1)&gt;999,999,-999)))</f>
        <v>7.4</v>
      </c>
      <c r="E66" s="11">
        <f>IFERROR(100/'Skjema total MA'!C66*C66,0)</f>
        <v>49.957627560261976</v>
      </c>
      <c r="F66" s="350">
        <v>5535890.4579999996</v>
      </c>
      <c r="G66" s="350">
        <v>5431347.6979999999</v>
      </c>
      <c r="H66" s="348">
        <f t="shared" ref="H66:H112" si="17">IF(F66=0, "    ---- ", IF(ABS(ROUND(100/F66*G66-100,1))&lt;999,ROUND(100/F66*G66-100,1),IF(ROUND(100/F66*G66-100,1)&gt;999,999,-999)))</f>
        <v>-1.9</v>
      </c>
      <c r="I66" s="11">
        <f>IFERROR(100/'Skjema total MA'!F66*G66,0)</f>
        <v>29.175084090614885</v>
      </c>
      <c r="J66" s="307">
        <f t="shared" ref="J66:K86" si="18">SUM(B66,F66)</f>
        <v>7712715.3879999993</v>
      </c>
      <c r="K66" s="314">
        <f t="shared" si="18"/>
        <v>7769006.8319999995</v>
      </c>
      <c r="L66" s="425">
        <f t="shared" ref="L66:L112" si="19">IF(J66=0, "    ---- ", IF(ABS(ROUND(100/J66*K66-100,1))&lt;999,ROUND(100/J66*K66-100,1),IF(ROUND(100/J66*K66-100,1)&gt;999,999,-999)))</f>
        <v>0.7</v>
      </c>
      <c r="M66" s="11">
        <f>IFERROR(100/'Skjema total MA'!I66*K66,0)</f>
        <v>33.349567935832546</v>
      </c>
    </row>
    <row r="67" spans="1:14" x14ac:dyDescent="0.2">
      <c r="A67" s="416" t="s">
        <v>9</v>
      </c>
      <c r="B67" s="43">
        <v>1537110.1669999999</v>
      </c>
      <c r="C67" s="144">
        <v>1642065.0859999999</v>
      </c>
      <c r="D67" s="165">
        <f t="shared" si="16"/>
        <v>6.8</v>
      </c>
      <c r="E67" s="26">
        <f>IFERROR(100/'Skjema total MA'!C67*C67,0)</f>
        <v>48.057779262132186</v>
      </c>
      <c r="F67" s="232"/>
      <c r="G67" s="144"/>
      <c r="H67" s="165"/>
      <c r="I67" s="26"/>
      <c r="J67" s="285">
        <f t="shared" si="18"/>
        <v>1537110.1669999999</v>
      </c>
      <c r="K67" s="43">
        <f t="shared" si="18"/>
        <v>1642065.0859999999</v>
      </c>
      <c r="L67" s="252">
        <f t="shared" si="19"/>
        <v>6.8</v>
      </c>
      <c r="M67" s="26">
        <f>IFERROR(100/'Skjema total MA'!I67*K67,0)</f>
        <v>48.057779262132186</v>
      </c>
    </row>
    <row r="68" spans="1:14" x14ac:dyDescent="0.2">
      <c r="A68" s="20" t="s">
        <v>10</v>
      </c>
      <c r="B68" s="290"/>
      <c r="C68" s="291"/>
      <c r="D68" s="165"/>
      <c r="E68" s="26"/>
      <c r="F68" s="290">
        <v>4993798.4119999995</v>
      </c>
      <c r="G68" s="737">
        <v>4852256.483</v>
      </c>
      <c r="H68" s="165">
        <f t="shared" si="17"/>
        <v>-2.8</v>
      </c>
      <c r="I68" s="26">
        <f>IFERROR(100/'Skjema total MA'!F68*G68,0)</f>
        <v>27.141967503446914</v>
      </c>
      <c r="J68" s="285">
        <f t="shared" si="18"/>
        <v>4993798.4119999995</v>
      </c>
      <c r="K68" s="43">
        <f t="shared" si="18"/>
        <v>4852256.483</v>
      </c>
      <c r="L68" s="252">
        <f t="shared" si="19"/>
        <v>-2.8</v>
      </c>
      <c r="M68" s="26">
        <f>IFERROR(100/'Skjema total MA'!I68*K68,0)</f>
        <v>27.10480295858779</v>
      </c>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v>65338.135000000002</v>
      </c>
      <c r="C75" s="144">
        <v>97100.888999999996</v>
      </c>
      <c r="D75" s="165">
        <f t="shared" si="16"/>
        <v>48.6</v>
      </c>
      <c r="E75" s="26">
        <f>IFERROR(100/'Skjema total MA'!C75*C75,0)</f>
        <v>35.264046657517063</v>
      </c>
      <c r="F75" s="232">
        <v>542092.04599999997</v>
      </c>
      <c r="G75" s="144">
        <v>579091.21499999997</v>
      </c>
      <c r="H75" s="165">
        <f t="shared" si="17"/>
        <v>6.8</v>
      </c>
      <c r="I75" s="26">
        <f>IFERROR(100/'Skjema total MA'!F75*G75,0)</f>
        <v>78.353985095795849</v>
      </c>
      <c r="J75" s="285">
        <f t="shared" si="18"/>
        <v>607430.18099999998</v>
      </c>
      <c r="K75" s="43">
        <f t="shared" si="18"/>
        <v>676192.10399999993</v>
      </c>
      <c r="L75" s="252">
        <f t="shared" si="19"/>
        <v>11.3</v>
      </c>
      <c r="M75" s="26">
        <f>IFERROR(100/'Skjema total MA'!I75*K75,0)</f>
        <v>66.657717964961236</v>
      </c>
      <c r="N75" s="147"/>
    </row>
    <row r="76" spans="1:14" s="3" customFormat="1" x14ac:dyDescent="0.2">
      <c r="A76" s="20" t="s">
        <v>348</v>
      </c>
      <c r="B76" s="232">
        <v>574376.62800000003</v>
      </c>
      <c r="C76" s="144">
        <v>598493.15899999999</v>
      </c>
      <c r="D76" s="165">
        <f t="shared" ref="D76" si="20">IF(B76=0, "    ---- ", IF(ABS(ROUND(100/B76*C76-100,1))&lt;999,ROUND(100/B76*C76-100,1),IF(ROUND(100/B76*C76-100,1)&gt;999,999,-999)))</f>
        <v>4.2</v>
      </c>
      <c r="E76" s="26">
        <f>IFERROR(100/'Skjema total MA'!C77*C76,0)</f>
        <v>17.828660819934338</v>
      </c>
      <c r="F76" s="232"/>
      <c r="G76" s="144"/>
      <c r="H76" s="165"/>
      <c r="I76" s="26"/>
      <c r="J76" s="285">
        <f t="shared" ref="J76" si="21">SUM(B76,F76)</f>
        <v>574376.62800000003</v>
      </c>
      <c r="K76" s="43">
        <f t="shared" ref="K76" si="22">SUM(C76,G76)</f>
        <v>598493.15899999999</v>
      </c>
      <c r="L76" s="252">
        <f t="shared" ref="L76" si="23">IF(J76=0, "    ---- ", IF(ABS(ROUND(100/J76*K76-100,1))&lt;999,ROUND(100/J76*K76-100,1),IF(ROUND(100/J76*K76-100,1)&gt;999,999,-999)))</f>
        <v>4.2</v>
      </c>
      <c r="M76" s="26">
        <f>IFERROR(100/'Skjema total MA'!I77*K76,0)</f>
        <v>2.8193662589764665</v>
      </c>
      <c r="N76" s="147"/>
    </row>
    <row r="77" spans="1:14" ht="15.75" x14ac:dyDescent="0.2">
      <c r="A77" s="20" t="s">
        <v>381</v>
      </c>
      <c r="B77" s="232">
        <v>1438149.18</v>
      </c>
      <c r="C77" s="232">
        <v>1582146.334</v>
      </c>
      <c r="D77" s="165">
        <f t="shared" si="16"/>
        <v>10</v>
      </c>
      <c r="E77" s="26">
        <f>IFERROR(100/'Skjema total MA'!C77*C77,0)</f>
        <v>47.130948670356567</v>
      </c>
      <c r="F77" s="232">
        <v>4993798.4119999995</v>
      </c>
      <c r="G77" s="144">
        <v>4852256.483</v>
      </c>
      <c r="H77" s="165">
        <f t="shared" si="17"/>
        <v>-2.8</v>
      </c>
      <c r="I77" s="26">
        <f>IFERROR(100/'Skjema total MA'!F77*G77,0)</f>
        <v>27.15154194463717</v>
      </c>
      <c r="J77" s="285">
        <f t="shared" si="18"/>
        <v>6431947.5919999992</v>
      </c>
      <c r="K77" s="43">
        <f t="shared" si="18"/>
        <v>6434402.8169999998</v>
      </c>
      <c r="L77" s="252">
        <f t="shared" si="19"/>
        <v>0</v>
      </c>
      <c r="M77" s="26">
        <f>IFERROR(100/'Skjema total MA'!I77*K77,0)</f>
        <v>30.311020144697974</v>
      </c>
    </row>
    <row r="78" spans="1:14" x14ac:dyDescent="0.2">
      <c r="A78" s="20" t="s">
        <v>9</v>
      </c>
      <c r="B78" s="232">
        <v>1438149.18</v>
      </c>
      <c r="C78" s="144">
        <v>1582146.334</v>
      </c>
      <c r="D78" s="165">
        <f t="shared" si="16"/>
        <v>10</v>
      </c>
      <c r="E78" s="26">
        <f>IFERROR(100/'Skjema total MA'!C78*C78,0)</f>
        <v>47.460003661783588</v>
      </c>
      <c r="F78" s="232"/>
      <c r="G78" s="144"/>
      <c r="H78" s="165"/>
      <c r="I78" s="26"/>
      <c r="J78" s="285">
        <f t="shared" si="18"/>
        <v>1438149.18</v>
      </c>
      <c r="K78" s="43">
        <f t="shared" si="18"/>
        <v>1582146.334</v>
      </c>
      <c r="L78" s="252">
        <f t="shared" si="19"/>
        <v>10</v>
      </c>
      <c r="M78" s="26">
        <f>IFERROR(100/'Skjema total MA'!I78*K78,0)</f>
        <v>47.460003661783588</v>
      </c>
    </row>
    <row r="79" spans="1:14" x14ac:dyDescent="0.2">
      <c r="A79" s="729" t="s">
        <v>423</v>
      </c>
      <c r="B79" s="290"/>
      <c r="C79" s="291"/>
      <c r="D79" s="165"/>
      <c r="E79" s="26"/>
      <c r="F79" s="290">
        <v>4993798.4119999995</v>
      </c>
      <c r="G79" s="291">
        <v>4852256.483</v>
      </c>
      <c r="H79" s="165">
        <f t="shared" si="17"/>
        <v>-2.8</v>
      </c>
      <c r="I79" s="26">
        <f>IFERROR(100/'Skjema total MA'!F79*G79,0)</f>
        <v>27.15154194463717</v>
      </c>
      <c r="J79" s="285">
        <f t="shared" si="18"/>
        <v>4993798.4119999995</v>
      </c>
      <c r="K79" s="43">
        <f t="shared" si="18"/>
        <v>4852256.483</v>
      </c>
      <c r="L79" s="252">
        <f t="shared" si="19"/>
        <v>-2.8</v>
      </c>
      <c r="M79" s="26">
        <f>IFERROR(100/'Skjema total MA'!I79*K79,0)</f>
        <v>27.116226783664075</v>
      </c>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v>98960.986999999994</v>
      </c>
      <c r="C86" s="144">
        <v>59918.752</v>
      </c>
      <c r="D86" s="165">
        <f t="shared" si="16"/>
        <v>-39.5</v>
      </c>
      <c r="E86" s="26">
        <f>IFERROR(100/'Skjema total MA'!C86*C86,0)</f>
        <v>70.949878810772844</v>
      </c>
      <c r="F86" s="232"/>
      <c r="G86" s="144"/>
      <c r="H86" s="165"/>
      <c r="I86" s="26"/>
      <c r="J86" s="285">
        <f t="shared" si="18"/>
        <v>98960.986999999994</v>
      </c>
      <c r="K86" s="43">
        <f t="shared" si="18"/>
        <v>59918.752</v>
      </c>
      <c r="L86" s="252">
        <f t="shared" si="19"/>
        <v>-39.5</v>
      </c>
      <c r="M86" s="26">
        <f>IFERROR(100/'Skjema total MA'!I86*K86,0)</f>
        <v>66.021589074718406</v>
      </c>
    </row>
    <row r="87" spans="1:13" ht="15.75" x14ac:dyDescent="0.2">
      <c r="A87" s="13" t="s">
        <v>364</v>
      </c>
      <c r="B87" s="351">
        <v>165333367.81400001</v>
      </c>
      <c r="C87" s="351">
        <v>170768472.42100003</v>
      </c>
      <c r="D87" s="170">
        <f t="shared" si="16"/>
        <v>3.3</v>
      </c>
      <c r="E87" s="11">
        <f>IFERROR(100/'Skjema total MA'!C87*C87,0)</f>
        <v>42.418635493862872</v>
      </c>
      <c r="F87" s="350">
        <v>104831276.28899999</v>
      </c>
      <c r="G87" s="350">
        <v>134118047.925</v>
      </c>
      <c r="H87" s="170">
        <f t="shared" si="17"/>
        <v>27.9</v>
      </c>
      <c r="I87" s="11">
        <f>IFERROR(100/'Skjema total MA'!F87*G87,0)</f>
        <v>32.054215559394542</v>
      </c>
      <c r="J87" s="307">
        <f t="shared" ref="J87:K112" si="24">SUM(B87,F87)</f>
        <v>270164644.10299999</v>
      </c>
      <c r="K87" s="234">
        <f t="shared" si="24"/>
        <v>304886520.34600002</v>
      </c>
      <c r="L87" s="425">
        <f t="shared" si="19"/>
        <v>12.9</v>
      </c>
      <c r="M87" s="11">
        <f>IFERROR(100/'Skjema total MA'!I87*K87,0)</f>
        <v>37.136497008922994</v>
      </c>
    </row>
    <row r="88" spans="1:13" x14ac:dyDescent="0.2">
      <c r="A88" s="20" t="s">
        <v>9</v>
      </c>
      <c r="B88" s="232">
        <v>159692727.68099999</v>
      </c>
      <c r="C88" s="144">
        <v>164180106.93700001</v>
      </c>
      <c r="D88" s="165">
        <f t="shared" si="16"/>
        <v>2.8</v>
      </c>
      <c r="E88" s="26">
        <f>IFERROR(100/'Skjema total MA'!C88*C88,0)</f>
        <v>42.123918777252086</v>
      </c>
      <c r="F88" s="232"/>
      <c r="G88" s="144"/>
      <c r="H88" s="165"/>
      <c r="I88" s="26"/>
      <c r="J88" s="285">
        <f t="shared" si="24"/>
        <v>159692727.68099999</v>
      </c>
      <c r="K88" s="43">
        <f t="shared" si="24"/>
        <v>164180106.93700001</v>
      </c>
      <c r="L88" s="252">
        <f t="shared" si="19"/>
        <v>2.8</v>
      </c>
      <c r="M88" s="26">
        <f>IFERROR(100/'Skjema total MA'!I88*K88,0)</f>
        <v>42.123918777252086</v>
      </c>
    </row>
    <row r="89" spans="1:13" x14ac:dyDescent="0.2">
      <c r="A89" s="20" t="s">
        <v>10</v>
      </c>
      <c r="B89" s="232">
        <v>48779.712</v>
      </c>
      <c r="C89" s="144">
        <v>48631.02</v>
      </c>
      <c r="D89" s="165">
        <f t="shared" si="16"/>
        <v>-0.3</v>
      </c>
      <c r="E89" s="26">
        <f>IFERROR(100/'Skjema total MA'!C89*C89,0)</f>
        <v>1.5761805745777862</v>
      </c>
      <c r="F89" s="232">
        <v>103657684.95999999</v>
      </c>
      <c r="G89" s="144">
        <v>131564807.656</v>
      </c>
      <c r="H89" s="165">
        <f t="shared" si="17"/>
        <v>26.9</v>
      </c>
      <c r="I89" s="26">
        <f>IFERROR(100/'Skjema total MA'!F89*G89,0)</f>
        <v>31.754208410139622</v>
      </c>
      <c r="J89" s="285">
        <f t="shared" si="24"/>
        <v>103706464.67199999</v>
      </c>
      <c r="K89" s="43">
        <f t="shared" si="24"/>
        <v>131613438.676</v>
      </c>
      <c r="L89" s="252">
        <f t="shared" si="19"/>
        <v>26.9</v>
      </c>
      <c r="M89" s="26">
        <f>IFERROR(100/'Skjema total MA'!I89*K89,0)</f>
        <v>31.531140190036997</v>
      </c>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v>325308.299</v>
      </c>
      <c r="C96" s="144">
        <v>476900.38799999998</v>
      </c>
      <c r="D96" s="165">
        <f t="shared" si="16"/>
        <v>46.6</v>
      </c>
      <c r="E96" s="26">
        <f>IFERROR(100/'Skjema total MA'!C96*C96,0)</f>
        <v>20.556389604410118</v>
      </c>
      <c r="F96" s="232">
        <v>1173591.3289999999</v>
      </c>
      <c r="G96" s="144">
        <v>2553240.2689999999</v>
      </c>
      <c r="H96" s="165">
        <f t="shared" si="17"/>
        <v>117.6</v>
      </c>
      <c r="I96" s="26">
        <f>IFERROR(100/'Skjema total MA'!F96*G96,0)</f>
        <v>62.463292261320049</v>
      </c>
      <c r="J96" s="285">
        <f t="shared" si="24"/>
        <v>1498899.628</v>
      </c>
      <c r="K96" s="43">
        <f t="shared" si="24"/>
        <v>3030140.6569999997</v>
      </c>
      <c r="L96" s="252">
        <f t="shared" si="19"/>
        <v>102.2</v>
      </c>
      <c r="M96" s="26">
        <f>IFERROR(100/'Skjema total MA'!I96*K96,0)</f>
        <v>47.290182481292213</v>
      </c>
    </row>
    <row r="97" spans="1:13" x14ac:dyDescent="0.2">
      <c r="A97" s="20" t="s">
        <v>346</v>
      </c>
      <c r="B97" s="232">
        <v>5266552.1220000004</v>
      </c>
      <c r="C97" s="144">
        <v>6062834.0760000004</v>
      </c>
      <c r="D97" s="165">
        <f t="shared" ref="D97" si="25">IF(B97=0, "    ---- ", IF(ABS(ROUND(100/B97*C97-100,1))&lt;999,ROUND(100/B97*C97-100,1),IF(ROUND(100/B97*C97-100,1)&gt;999,999,-999)))</f>
        <v>15.1</v>
      </c>
      <c r="E97" s="26">
        <f>IFERROR(100/'Skjema total MA'!C98*C97,0)</f>
        <v>1.5609187304317909</v>
      </c>
      <c r="F97" s="232"/>
      <c r="G97" s="144"/>
      <c r="H97" s="165"/>
      <c r="I97" s="26"/>
      <c r="J97" s="285">
        <f t="shared" ref="J97" si="26">SUM(B97,F97)</f>
        <v>5266552.1220000004</v>
      </c>
      <c r="K97" s="43">
        <f t="shared" ref="K97" si="27">SUM(C97,G97)</f>
        <v>6062834.0760000004</v>
      </c>
      <c r="L97" s="252">
        <f t="shared" ref="L97" si="28">IF(J97=0, "    ---- ", IF(ABS(ROUND(100/J97*K97-100,1))&lt;999,ROUND(100/J97*K97-100,1),IF(ROUND(100/J97*K97-100,1)&gt;999,999,-999)))</f>
        <v>15.1</v>
      </c>
      <c r="M97" s="26">
        <f>IFERROR(100/'Skjema total MA'!I98*K97,0)</f>
        <v>0.75632202105949498</v>
      </c>
    </row>
    <row r="98" spans="1:13" ht="15.75" x14ac:dyDescent="0.2">
      <c r="A98" s="20" t="s">
        <v>381</v>
      </c>
      <c r="B98" s="232">
        <v>156475629.96600002</v>
      </c>
      <c r="C98" s="232">
        <v>160973394.12200001</v>
      </c>
      <c r="D98" s="165">
        <f t="shared" si="16"/>
        <v>2.9</v>
      </c>
      <c r="E98" s="26">
        <f>IFERROR(100/'Skjema total MA'!C98*C98,0)</f>
        <v>41.443718042830461</v>
      </c>
      <c r="F98" s="290">
        <v>103657684.95999999</v>
      </c>
      <c r="G98" s="290">
        <v>131564807.656</v>
      </c>
      <c r="H98" s="165">
        <f t="shared" si="17"/>
        <v>26.9</v>
      </c>
      <c r="I98" s="26">
        <f>IFERROR(100/'Skjema total MA'!F98*G98,0)</f>
        <v>31.839983770033381</v>
      </c>
      <c r="J98" s="285">
        <f t="shared" si="24"/>
        <v>260133314.926</v>
      </c>
      <c r="K98" s="43">
        <f t="shared" si="24"/>
        <v>292538201.778</v>
      </c>
      <c r="L98" s="252">
        <f t="shared" si="19"/>
        <v>12.5</v>
      </c>
      <c r="M98" s="26">
        <f>IFERROR(100/'Skjema total MA'!I98*K98,0)</f>
        <v>36.493343085486629</v>
      </c>
    </row>
    <row r="99" spans="1:13" x14ac:dyDescent="0.2">
      <c r="A99" s="20" t="s">
        <v>9</v>
      </c>
      <c r="B99" s="290">
        <v>156426850.25400001</v>
      </c>
      <c r="C99" s="291">
        <v>160924763.102</v>
      </c>
      <c r="D99" s="165">
        <f t="shared" si="16"/>
        <v>2.9</v>
      </c>
      <c r="E99" s="26">
        <f>IFERROR(100/'Skjema total MA'!C99*C99,0)</f>
        <v>41.762941665646927</v>
      </c>
      <c r="F99" s="232"/>
      <c r="G99" s="144"/>
      <c r="H99" s="165"/>
      <c r="I99" s="26"/>
      <c r="J99" s="285">
        <f t="shared" si="24"/>
        <v>156426850.25400001</v>
      </c>
      <c r="K99" s="43">
        <f t="shared" si="24"/>
        <v>160924763.102</v>
      </c>
      <c r="L99" s="252">
        <f t="shared" si="19"/>
        <v>2.9</v>
      </c>
      <c r="M99" s="26">
        <f>IFERROR(100/'Skjema total MA'!I99*K99,0)</f>
        <v>41.762941665646927</v>
      </c>
    </row>
    <row r="100" spans="1:13" ht="15.75" x14ac:dyDescent="0.2">
      <c r="A100" s="729" t="s">
        <v>424</v>
      </c>
      <c r="B100" s="290">
        <v>48779.712</v>
      </c>
      <c r="C100" s="291">
        <v>48631.02</v>
      </c>
      <c r="D100" s="165">
        <f t="shared" si="16"/>
        <v>-0.3</v>
      </c>
      <c r="E100" s="26">
        <f>IFERROR(100/'Skjema total MA'!C100*C100,0)</f>
        <v>1.5761805745777862</v>
      </c>
      <c r="F100" s="232">
        <v>103657684.95999999</v>
      </c>
      <c r="G100" s="232">
        <v>131564807.656</v>
      </c>
      <c r="H100" s="165">
        <f t="shared" si="17"/>
        <v>26.9</v>
      </c>
      <c r="I100" s="26">
        <f>IFERROR(100/'Skjema total MA'!F100*G100,0)</f>
        <v>31.839983770033381</v>
      </c>
      <c r="J100" s="285">
        <f t="shared" si="24"/>
        <v>103706464.67199999</v>
      </c>
      <c r="K100" s="43">
        <f t="shared" si="24"/>
        <v>131613438.676</v>
      </c>
      <c r="L100" s="252">
        <f t="shared" si="19"/>
        <v>26.9</v>
      </c>
      <c r="M100" s="26">
        <f>IFERROR(100/'Skjema total MA'!I100*K100,0)</f>
        <v>31.615681728320467</v>
      </c>
    </row>
    <row r="101" spans="1:13" ht="15.75" x14ac:dyDescent="0.2">
      <c r="A101" s="729" t="s">
        <v>425</v>
      </c>
      <c r="B101" s="290"/>
      <c r="C101" s="290"/>
      <c r="D101" s="165"/>
      <c r="E101" s="26"/>
      <c r="F101" s="290"/>
      <c r="G101" s="290">
        <v>819993.57799999998</v>
      </c>
      <c r="H101" s="165" t="str">
        <f t="shared" si="17"/>
        <v xml:space="preserve">    ---- </v>
      </c>
      <c r="I101" s="26">
        <f>IFERROR(100/'Skjema total MA'!G102*G101,0)</f>
        <v>0</v>
      </c>
      <c r="J101" s="285"/>
      <c r="K101" s="43">
        <f t="shared" ref="K101" si="29">SUM(C101,G101)</f>
        <v>819993.57799999998</v>
      </c>
      <c r="L101" s="252" t="str">
        <f t="shared" ref="L101" si="30">IF(J101=0, "    ---- ", IF(ABS(ROUND(100/J101*K101-100,1))&lt;999,ROUND(100/J101*K101-100,1),IF(ROUND(100/J101*K101-100,1)&gt;999,999,-999)))</f>
        <v xml:space="preserve">    ---- </v>
      </c>
      <c r="M101" s="26">
        <f>IFERROR(100/'Skjema total MA'!I102*K101,0)</f>
        <v>0</v>
      </c>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v>3265877.4270000001</v>
      </c>
      <c r="C108" s="144">
        <v>3255343.835</v>
      </c>
      <c r="D108" s="165">
        <f t="shared" si="16"/>
        <v>-0.3</v>
      </c>
      <c r="E108" s="26">
        <f>IFERROR(100/'Skjema total MA'!C108*C108,0)</f>
        <v>73.550890077532813</v>
      </c>
      <c r="F108" s="232"/>
      <c r="G108" s="144"/>
      <c r="H108" s="165"/>
      <c r="I108" s="26"/>
      <c r="J108" s="285">
        <f t="shared" si="24"/>
        <v>3265877.4270000001</v>
      </c>
      <c r="K108" s="43">
        <f t="shared" si="24"/>
        <v>3255343.835</v>
      </c>
      <c r="L108" s="252">
        <f t="shared" si="19"/>
        <v>-0.3</v>
      </c>
      <c r="M108" s="26">
        <f>IFERROR(100/'Skjema total MA'!I108*K108,0)</f>
        <v>58.738043724207756</v>
      </c>
    </row>
    <row r="109" spans="1:13" ht="15.75" x14ac:dyDescent="0.2">
      <c r="A109" s="20" t="s">
        <v>383</v>
      </c>
      <c r="B109" s="232">
        <v>137424039.85699999</v>
      </c>
      <c r="C109" s="232">
        <v>142554723.264</v>
      </c>
      <c r="D109" s="165">
        <f t="shared" si="16"/>
        <v>3.7</v>
      </c>
      <c r="E109" s="26">
        <f>IFERROR(100/'Skjema total MA'!C109*C109,0)</f>
        <v>42.595503135495797</v>
      </c>
      <c r="F109" s="232">
        <v>15833487.638</v>
      </c>
      <c r="G109" s="232">
        <v>19175629.094000001</v>
      </c>
      <c r="H109" s="165">
        <f t="shared" si="17"/>
        <v>21.1</v>
      </c>
      <c r="I109" s="26">
        <f>IFERROR(100/'Skjema total MA'!F109*G109,0)</f>
        <v>94.625732996548876</v>
      </c>
      <c r="J109" s="285">
        <f t="shared" si="24"/>
        <v>153257527.495</v>
      </c>
      <c r="K109" s="43">
        <f t="shared" si="24"/>
        <v>161730352.35800001</v>
      </c>
      <c r="L109" s="252">
        <f t="shared" si="19"/>
        <v>5.5</v>
      </c>
      <c r="M109" s="26">
        <f>IFERROR(100/'Skjema total MA'!I109*K109,0)</f>
        <v>45.566119876727896</v>
      </c>
    </row>
    <row r="110" spans="1:13" ht="15.75" x14ac:dyDescent="0.2">
      <c r="A110" s="729" t="s">
        <v>441</v>
      </c>
      <c r="B110" s="232"/>
      <c r="C110" s="232">
        <v>333822.28700000001</v>
      </c>
      <c r="D110" s="165" t="str">
        <f t="shared" si="16"/>
        <v xml:space="preserve">    ---- </v>
      </c>
      <c r="E110" s="26">
        <f>IFERROR(100/'Skjema total MA'!C110*C110,0)</f>
        <v>21.049867813971392</v>
      </c>
      <c r="F110" s="232">
        <v>32426919.805</v>
      </c>
      <c r="G110" s="232">
        <v>41578350</v>
      </c>
      <c r="H110" s="165">
        <f t="shared" si="17"/>
        <v>28.2</v>
      </c>
      <c r="I110" s="26">
        <f>IFERROR(100/'Skjema total MA'!F110*G110,0)</f>
        <v>28.056043998720792</v>
      </c>
      <c r="J110" s="285">
        <f t="shared" si="24"/>
        <v>32426919.805</v>
      </c>
      <c r="K110" s="43">
        <f t="shared" si="24"/>
        <v>41912172.287</v>
      </c>
      <c r="L110" s="252">
        <f t="shared" si="19"/>
        <v>29.3</v>
      </c>
      <c r="M110" s="26">
        <f>IFERROR(100/'Skjema total MA'!I110*K110,0)</f>
        <v>27.981864569183507</v>
      </c>
    </row>
    <row r="111" spans="1:13" ht="15.75" x14ac:dyDescent="0.2">
      <c r="A111" s="20" t="s">
        <v>385</v>
      </c>
      <c r="B111" s="232">
        <v>111664.63099999999</v>
      </c>
      <c r="C111" s="232">
        <v>197629.552</v>
      </c>
      <c r="D111" s="165">
        <f t="shared" si="16"/>
        <v>77</v>
      </c>
      <c r="E111" s="26">
        <f>IFERROR(100/'Skjema total MA'!C111*C111,0)</f>
        <v>32.815490413870634</v>
      </c>
      <c r="F111" s="232"/>
      <c r="G111" s="232"/>
      <c r="H111" s="165"/>
      <c r="I111" s="26"/>
      <c r="J111" s="285">
        <f t="shared" si="24"/>
        <v>111664.63099999999</v>
      </c>
      <c r="K111" s="43">
        <f t="shared" si="24"/>
        <v>197629.552</v>
      </c>
      <c r="L111" s="252">
        <f t="shared" si="19"/>
        <v>77</v>
      </c>
      <c r="M111" s="26">
        <f>IFERROR(100/'Skjema total MA'!I111*K111,0)</f>
        <v>32.815490413870634</v>
      </c>
    </row>
    <row r="112" spans="1:13" ht="15.75" x14ac:dyDescent="0.2">
      <c r="A112" s="13" t="s">
        <v>365</v>
      </c>
      <c r="B112" s="306">
        <v>341960.82800000004</v>
      </c>
      <c r="C112" s="158">
        <v>85306.709000000003</v>
      </c>
      <c r="D112" s="170">
        <f t="shared" si="16"/>
        <v>-75.099999999999994</v>
      </c>
      <c r="E112" s="11">
        <f>IFERROR(100/'Skjema total MA'!C112*C112,0)</f>
        <v>32.838820135427824</v>
      </c>
      <c r="F112" s="306">
        <v>4619283.4469999997</v>
      </c>
      <c r="G112" s="158">
        <v>4008591.8789999997</v>
      </c>
      <c r="H112" s="170">
        <f t="shared" si="17"/>
        <v>-13.2</v>
      </c>
      <c r="I112" s="11">
        <f>IFERROR(100/'Skjema total MA'!F112*G112,0)</f>
        <v>13.715782044979326</v>
      </c>
      <c r="J112" s="307">
        <f t="shared" si="24"/>
        <v>4961244.2749999994</v>
      </c>
      <c r="K112" s="234">
        <f t="shared" si="24"/>
        <v>4093898.5879999995</v>
      </c>
      <c r="L112" s="425">
        <f t="shared" si="19"/>
        <v>-17.5</v>
      </c>
      <c r="M112" s="11">
        <f>IFERROR(100/'Skjema total MA'!I112*K112,0)</f>
        <v>13.884258078924749</v>
      </c>
    </row>
    <row r="113" spans="1:14" x14ac:dyDescent="0.2">
      <c r="A113" s="20" t="s">
        <v>9</v>
      </c>
      <c r="B113" s="232">
        <v>176.64500000000001</v>
      </c>
      <c r="C113" s="144">
        <v>3058.9960000000001</v>
      </c>
      <c r="D113" s="165">
        <f t="shared" ref="D113:D126" si="31">IF(B113=0, "    ---- ", IF(ABS(ROUND(100/B113*C113-100,1))&lt;999,ROUND(100/B113*C113-100,1),IF(ROUND(100/B113*C113-100,1)&gt;999,999,-999)))</f>
        <v>999</v>
      </c>
      <c r="E113" s="26">
        <f>IFERROR(100/'Skjema total MA'!C113*C113,0)</f>
        <v>1.8394072583259498</v>
      </c>
      <c r="F113" s="232">
        <v>2688.8789999999999</v>
      </c>
      <c r="G113" s="144">
        <v>10574.945</v>
      </c>
      <c r="H113" s="165">
        <f t="shared" ref="H113:H126" si="32">IF(F113=0, "    ---- ", IF(ABS(ROUND(100/F113*G113-100,1))&lt;999,ROUND(100/F113*G113-100,1),IF(ROUND(100/F113*G113-100,1)&gt;999,999,-999)))</f>
        <v>293.3</v>
      </c>
      <c r="I113" s="26">
        <f>IFERROR(100/'Skjema total MA'!F113*G113,0)</f>
        <v>100</v>
      </c>
      <c r="J113" s="285">
        <f t="shared" ref="J113:K126" si="33">SUM(B113,F113)</f>
        <v>2865.5239999999999</v>
      </c>
      <c r="K113" s="43">
        <f t="shared" si="33"/>
        <v>13633.940999999999</v>
      </c>
      <c r="L113" s="252">
        <f t="shared" ref="L113:L126" si="34">IF(J113=0, "    ---- ", IF(ABS(ROUND(100/J113*K113-100,1))&lt;999,ROUND(100/J113*K113-100,1),IF(ROUND(100/J113*K113-100,1)&gt;999,999,-999)))</f>
        <v>375.8</v>
      </c>
      <c r="M113" s="26">
        <f>IFERROR(100/'Skjema total MA'!I113*K113,0)</f>
        <v>7.7080913416422137</v>
      </c>
    </row>
    <row r="114" spans="1:14" x14ac:dyDescent="0.2">
      <c r="A114" s="20" t="s">
        <v>10</v>
      </c>
      <c r="B114" s="232"/>
      <c r="C114" s="144"/>
      <c r="D114" s="165"/>
      <c r="E114" s="26"/>
      <c r="F114" s="232">
        <v>4548086.8130000001</v>
      </c>
      <c r="G114" s="144">
        <v>3998016.9339999999</v>
      </c>
      <c r="H114" s="165">
        <f t="shared" si="32"/>
        <v>-12.1</v>
      </c>
      <c r="I114" s="26">
        <f>IFERROR(100/'Skjema total MA'!F114*G114,0)</f>
        <v>13.684550362016756</v>
      </c>
      <c r="J114" s="285">
        <f t="shared" si="33"/>
        <v>4548086.8130000001</v>
      </c>
      <c r="K114" s="43">
        <f t="shared" si="33"/>
        <v>3998016.9339999999</v>
      </c>
      <c r="L114" s="252">
        <f t="shared" si="34"/>
        <v>-12.1</v>
      </c>
      <c r="M114" s="26">
        <f>IFERROR(100/'Skjema total MA'!I114*K114,0)</f>
        <v>13.68445566705908</v>
      </c>
    </row>
    <row r="115" spans="1:14" x14ac:dyDescent="0.2">
      <c r="A115" s="20" t="s">
        <v>26</v>
      </c>
      <c r="B115" s="232">
        <v>341784.18300000002</v>
      </c>
      <c r="C115" s="144">
        <v>82247.713000000003</v>
      </c>
      <c r="D115" s="165">
        <f t="shared" si="31"/>
        <v>-75.900000000000006</v>
      </c>
      <c r="E115" s="26">
        <f>IFERROR(100/'Skjema total MA'!C115*C115,0)</f>
        <v>88.183850908218119</v>
      </c>
      <c r="F115" s="232">
        <v>68507.755000000005</v>
      </c>
      <c r="G115" s="144">
        <v>0</v>
      </c>
      <c r="H115" s="165">
        <f t="shared" si="32"/>
        <v>-100</v>
      </c>
      <c r="I115" s="26">
        <f>IFERROR(100/'Skjema total MA'!F115*G115,0)</f>
        <v>0</v>
      </c>
      <c r="J115" s="285">
        <f t="shared" si="33"/>
        <v>410291.93800000002</v>
      </c>
      <c r="K115" s="43">
        <f t="shared" si="33"/>
        <v>82247.713000000003</v>
      </c>
      <c r="L115" s="252">
        <f t="shared" si="34"/>
        <v>-80</v>
      </c>
      <c r="M115" s="26">
        <f>IFERROR(100/'Skjema total MA'!I115*K115,0)</f>
        <v>88.183850908218119</v>
      </c>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v>1127.6210000000001</v>
      </c>
      <c r="C117" s="232">
        <v>318.40499999999997</v>
      </c>
      <c r="D117" s="165">
        <f t="shared" si="31"/>
        <v>-71.8</v>
      </c>
      <c r="E117" s="26">
        <f>IFERROR(100/'Skjema total MA'!C117*C117,0)</f>
        <v>0.48447171725072546</v>
      </c>
      <c r="F117" s="232">
        <v>2688.8789999999999</v>
      </c>
      <c r="G117" s="232">
        <v>10574.945</v>
      </c>
      <c r="H117" s="165">
        <f t="shared" si="32"/>
        <v>293.3</v>
      </c>
      <c r="I117" s="26">
        <f>IFERROR(100/'Skjema total MA'!F117*G117,0)</f>
        <v>100</v>
      </c>
      <c r="J117" s="285">
        <f t="shared" si="33"/>
        <v>3816.5</v>
      </c>
      <c r="K117" s="43">
        <f t="shared" si="33"/>
        <v>10893.35</v>
      </c>
      <c r="L117" s="252">
        <f t="shared" si="34"/>
        <v>185.4</v>
      </c>
      <c r="M117" s="26">
        <f>IFERROR(100/'Skjema total MA'!I117*K117,0)</f>
        <v>14.277551118337968</v>
      </c>
    </row>
    <row r="118" spans="1:14" ht="15.75" x14ac:dyDescent="0.2">
      <c r="A118" s="20" t="s">
        <v>387</v>
      </c>
      <c r="B118" s="232"/>
      <c r="C118" s="232"/>
      <c r="D118" s="165"/>
      <c r="E118" s="26"/>
      <c r="F118" s="232">
        <v>467482.97399999999</v>
      </c>
      <c r="G118" s="232">
        <v>215275.17199999999</v>
      </c>
      <c r="H118" s="165">
        <f t="shared" si="32"/>
        <v>-54</v>
      </c>
      <c r="I118" s="26">
        <f>IFERROR(100/'Skjema total MA'!F118*G118,0)</f>
        <v>15.849248527627568</v>
      </c>
      <c r="J118" s="285">
        <f t="shared" si="33"/>
        <v>467482.97399999999</v>
      </c>
      <c r="K118" s="43">
        <f t="shared" si="33"/>
        <v>215275.17199999999</v>
      </c>
      <c r="L118" s="252">
        <f t="shared" si="34"/>
        <v>-54</v>
      </c>
      <c r="M118" s="26">
        <f>IFERROR(100/'Skjema total MA'!I118*K118,0)</f>
        <v>15.849248527627568</v>
      </c>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v>142481.446</v>
      </c>
      <c r="C120" s="158">
        <v>217677.92300000001</v>
      </c>
      <c r="D120" s="170">
        <f t="shared" si="31"/>
        <v>52.8</v>
      </c>
      <c r="E120" s="11">
        <f>IFERROR(100/'Skjema total MA'!C120*C120,0)</f>
        <v>61.120599301608912</v>
      </c>
      <c r="F120" s="306">
        <v>2792995.108</v>
      </c>
      <c r="G120" s="158">
        <v>7893357.79</v>
      </c>
      <c r="H120" s="170">
        <f t="shared" si="32"/>
        <v>182.6</v>
      </c>
      <c r="I120" s="11">
        <f>IFERROR(100/'Skjema total MA'!F120*G120,0)</f>
        <v>23.36451514178836</v>
      </c>
      <c r="J120" s="307">
        <f t="shared" si="33"/>
        <v>2935476.554</v>
      </c>
      <c r="K120" s="234">
        <f t="shared" si="33"/>
        <v>8111035.7130000005</v>
      </c>
      <c r="L120" s="425">
        <f t="shared" si="34"/>
        <v>176.3</v>
      </c>
      <c r="M120" s="11">
        <f>IFERROR(100/'Skjema total MA'!I120*K120,0)</f>
        <v>23.758386458792433</v>
      </c>
    </row>
    <row r="121" spans="1:14" x14ac:dyDescent="0.2">
      <c r="A121" s="20" t="s">
        <v>9</v>
      </c>
      <c r="B121" s="232">
        <v>27606.526000000002</v>
      </c>
      <c r="C121" s="144">
        <v>136922.364</v>
      </c>
      <c r="D121" s="165">
        <f t="shared" si="31"/>
        <v>396</v>
      </c>
      <c r="E121" s="26">
        <f>IFERROR(100/'Skjema total MA'!C121*C121,0)</f>
        <v>53.451612448352478</v>
      </c>
      <c r="F121" s="232"/>
      <c r="G121" s="144"/>
      <c r="H121" s="165"/>
      <c r="I121" s="26"/>
      <c r="J121" s="285">
        <f t="shared" si="33"/>
        <v>27606.526000000002</v>
      </c>
      <c r="K121" s="43">
        <f t="shared" si="33"/>
        <v>136922.364</v>
      </c>
      <c r="L121" s="252">
        <f t="shared" si="34"/>
        <v>396</v>
      </c>
      <c r="M121" s="26">
        <f>IFERROR(100/'Skjema total MA'!I121*K121,0)</f>
        <v>53.451612448352478</v>
      </c>
    </row>
    <row r="122" spans="1:14" x14ac:dyDescent="0.2">
      <c r="A122" s="20" t="s">
        <v>10</v>
      </c>
      <c r="B122" s="232"/>
      <c r="C122" s="144"/>
      <c r="D122" s="165"/>
      <c r="E122" s="26"/>
      <c r="F122" s="232">
        <v>2792995.108</v>
      </c>
      <c r="G122" s="144">
        <v>7893357.79</v>
      </c>
      <c r="H122" s="165">
        <f t="shared" si="32"/>
        <v>182.6</v>
      </c>
      <c r="I122" s="26">
        <f>IFERROR(100/'Skjema total MA'!F122*G122,0)</f>
        <v>23.36451514178836</v>
      </c>
      <c r="J122" s="285">
        <f t="shared" si="33"/>
        <v>2792995.108</v>
      </c>
      <c r="K122" s="43">
        <f t="shared" si="33"/>
        <v>7893357.79</v>
      </c>
      <c r="L122" s="252">
        <f t="shared" si="34"/>
        <v>182.6</v>
      </c>
      <c r="M122" s="26">
        <f>IFERROR(100/'Skjema total MA'!I122*K122,0)</f>
        <v>23.3599336603891</v>
      </c>
    </row>
    <row r="123" spans="1:14" x14ac:dyDescent="0.2">
      <c r="A123" s="20" t="s">
        <v>26</v>
      </c>
      <c r="B123" s="232">
        <v>114874.92</v>
      </c>
      <c r="C123" s="144">
        <v>80755.558999999994</v>
      </c>
      <c r="D123" s="165">
        <f t="shared" si="31"/>
        <v>-29.7</v>
      </c>
      <c r="E123" s="26">
        <f>IFERROR(100/'Skjema total MA'!C123*C123,0)</f>
        <v>86.501145286409411</v>
      </c>
      <c r="F123" s="232"/>
      <c r="G123" s="144"/>
      <c r="H123" s="165"/>
      <c r="I123" s="26"/>
      <c r="J123" s="285">
        <f t="shared" si="33"/>
        <v>114874.92</v>
      </c>
      <c r="K123" s="43">
        <f t="shared" si="33"/>
        <v>80755.558999999994</v>
      </c>
      <c r="L123" s="252">
        <f t="shared" si="34"/>
        <v>-29.7</v>
      </c>
      <c r="M123" s="26">
        <f>IFERROR(100/'Skjema total MA'!I123*K123,0)</f>
        <v>86.501145286409411</v>
      </c>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v>2389.7750000000001</v>
      </c>
      <c r="C125" s="232">
        <v>4556.6719999999996</v>
      </c>
      <c r="D125" s="165">
        <f t="shared" si="31"/>
        <v>90.7</v>
      </c>
      <c r="E125" s="26">
        <f>IFERROR(100/'Skjema total MA'!C125*C125,0)</f>
        <v>21.446521130462219</v>
      </c>
      <c r="F125" s="232">
        <v>9367.0149999999994</v>
      </c>
      <c r="G125" s="232">
        <v>28627.687000000002</v>
      </c>
      <c r="H125" s="165">
        <f t="shared" si="32"/>
        <v>205.6</v>
      </c>
      <c r="I125" s="26">
        <f>IFERROR(100/'Skjema total MA'!F125*G125,0)</f>
        <v>100</v>
      </c>
      <c r="J125" s="285">
        <f t="shared" si="33"/>
        <v>11756.789999999999</v>
      </c>
      <c r="K125" s="43">
        <f t="shared" si="33"/>
        <v>33184.359000000004</v>
      </c>
      <c r="L125" s="252">
        <f t="shared" si="34"/>
        <v>182.3</v>
      </c>
      <c r="M125" s="26">
        <f>IFERROR(100/'Skjema total MA'!I125*K125,0)</f>
        <v>66.535910767294283</v>
      </c>
    </row>
    <row r="126" spans="1:14" ht="15.75" x14ac:dyDescent="0.2">
      <c r="A126" s="20" t="s">
        <v>384</v>
      </c>
      <c r="B126" s="232">
        <v>16</v>
      </c>
      <c r="C126" s="232">
        <v>277.18599999999998</v>
      </c>
      <c r="D126" s="165">
        <f t="shared" si="31"/>
        <v>999</v>
      </c>
      <c r="E126" s="26">
        <f>IFERROR(100/'Skjema total MA'!C126*C126,0)</f>
        <v>14.193444991649638</v>
      </c>
      <c r="F126" s="232">
        <v>460812.82299999997</v>
      </c>
      <c r="G126" s="232">
        <v>5094378.42</v>
      </c>
      <c r="H126" s="165">
        <f t="shared" si="32"/>
        <v>999</v>
      </c>
      <c r="I126" s="26">
        <f>IFERROR(100/'Skjema total MA'!F126*G126,0)</f>
        <v>46.698903382696678</v>
      </c>
      <c r="J126" s="285">
        <f t="shared" si="33"/>
        <v>460828.82299999997</v>
      </c>
      <c r="K126" s="43">
        <f t="shared" si="33"/>
        <v>5094655.6059999997</v>
      </c>
      <c r="L126" s="252">
        <f t="shared" si="34"/>
        <v>999</v>
      </c>
      <c r="M126" s="26">
        <f>IFERROR(100/'Skjema total MA'!I126*K126,0)</f>
        <v>46.693085331916549</v>
      </c>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v>177070.87599999999</v>
      </c>
      <c r="C135" s="307">
        <v>280882.87300000002</v>
      </c>
      <c r="D135" s="348">
        <f t="shared" ref="D135:D137" si="35">IF(B135=0, "    ---- ", IF(ABS(ROUND(100/B135*C135-100,1))&lt;999,ROUND(100/B135*C135-100,1),IF(ROUND(100/B135*C135-100,1)&gt;999,999,-999)))</f>
        <v>58.6</v>
      </c>
      <c r="E135" s="11">
        <f>IFERROR(100/'Skjema total MA'!C135*C135,0)</f>
        <v>0.78174452498302571</v>
      </c>
      <c r="F135" s="314"/>
      <c r="G135" s="315"/>
      <c r="H135" s="428"/>
      <c r="I135" s="23"/>
      <c r="J135" s="316">
        <f t="shared" ref="J135:K137" si="36">SUM(B135,F135)</f>
        <v>177070.87599999999</v>
      </c>
      <c r="K135" s="316">
        <f t="shared" si="36"/>
        <v>280882.87300000002</v>
      </c>
      <c r="L135" s="424">
        <f t="shared" ref="L135:L137" si="37">IF(J135=0, "    ---- ", IF(ABS(ROUND(100/J135*K135-100,1))&lt;999,ROUND(100/J135*K135-100,1),IF(ROUND(100/J135*K135-100,1)&gt;999,999,-999)))</f>
        <v>58.6</v>
      </c>
      <c r="M135" s="11">
        <f>IFERROR(100/'Skjema total MA'!I135*K135,0)</f>
        <v>0.77965578535724056</v>
      </c>
      <c r="N135" s="147"/>
    </row>
    <row r="136" spans="1:14" s="3" customFormat="1" ht="15.75" x14ac:dyDescent="0.2">
      <c r="A136" s="13" t="s">
        <v>393</v>
      </c>
      <c r="B136" s="234">
        <v>2933843.2050000001</v>
      </c>
      <c r="C136" s="307">
        <v>11146209.711999999</v>
      </c>
      <c r="D136" s="170">
        <f t="shared" si="35"/>
        <v>279.89999999999998</v>
      </c>
      <c r="E136" s="11">
        <f>IFERROR(100/'Skjema total MA'!C136*C136,0)</f>
        <v>1.682182886169272</v>
      </c>
      <c r="F136" s="234"/>
      <c r="G136" s="307"/>
      <c r="H136" s="429"/>
      <c r="I136" s="23"/>
      <c r="J136" s="306">
        <f t="shared" si="36"/>
        <v>2933843.2050000001</v>
      </c>
      <c r="K136" s="306">
        <f t="shared" si="36"/>
        <v>11146209.711999999</v>
      </c>
      <c r="L136" s="425">
        <f t="shared" si="37"/>
        <v>279.89999999999998</v>
      </c>
      <c r="M136" s="11">
        <f>IFERROR(100/'Skjema total MA'!I136*K136,0)</f>
        <v>1.6765333790605825</v>
      </c>
      <c r="N136" s="147"/>
    </row>
    <row r="137" spans="1:14" s="3" customFormat="1" ht="15.75" x14ac:dyDescent="0.2">
      <c r="A137" s="13" t="s">
        <v>390</v>
      </c>
      <c r="B137" s="234">
        <v>0</v>
      </c>
      <c r="C137" s="307">
        <v>7120946.7209999999</v>
      </c>
      <c r="D137" s="170" t="str">
        <f t="shared" si="35"/>
        <v xml:space="preserve">    ---- </v>
      </c>
      <c r="E137" s="11">
        <f>IFERROR(100/'Skjema total MA'!C137*C137,0)</f>
        <v>99.80378269737048</v>
      </c>
      <c r="F137" s="234"/>
      <c r="G137" s="307"/>
      <c r="H137" s="429"/>
      <c r="I137" s="23"/>
      <c r="J137" s="306">
        <f t="shared" si="36"/>
        <v>0</v>
      </c>
      <c r="K137" s="306">
        <f t="shared" si="36"/>
        <v>7120946.7209999999</v>
      </c>
      <c r="L137" s="425" t="str">
        <f t="shared" si="37"/>
        <v xml:space="preserve">    ---- </v>
      </c>
      <c r="M137" s="11">
        <f>IFERROR(100/'Skjema total MA'!I137*K137,0)</f>
        <v>99.80378269737048</v>
      </c>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513" priority="132">
      <formula>kvartal &lt; 4</formula>
    </cfRule>
  </conditionalFormatting>
  <conditionalFormatting sqref="B116">
    <cfRule type="expression" dxfId="512" priority="76">
      <formula>kvartal &lt; 4</formula>
    </cfRule>
  </conditionalFormatting>
  <conditionalFormatting sqref="C116">
    <cfRule type="expression" dxfId="511" priority="75">
      <formula>kvartal &lt; 4</formula>
    </cfRule>
  </conditionalFormatting>
  <conditionalFormatting sqref="B124">
    <cfRule type="expression" dxfId="510" priority="74">
      <formula>kvartal &lt; 4</formula>
    </cfRule>
  </conditionalFormatting>
  <conditionalFormatting sqref="C124">
    <cfRule type="expression" dxfId="509" priority="73">
      <formula>kvartal &lt; 4</formula>
    </cfRule>
  </conditionalFormatting>
  <conditionalFormatting sqref="F116">
    <cfRule type="expression" dxfId="508" priority="58">
      <formula>kvartal &lt; 4</formula>
    </cfRule>
  </conditionalFormatting>
  <conditionalFormatting sqref="G116">
    <cfRule type="expression" dxfId="507" priority="57">
      <formula>kvartal &lt; 4</formula>
    </cfRule>
  </conditionalFormatting>
  <conditionalFormatting sqref="F124:G124">
    <cfRule type="expression" dxfId="506" priority="56">
      <formula>kvartal &lt; 4</formula>
    </cfRule>
  </conditionalFormatting>
  <conditionalFormatting sqref="J116:K116">
    <cfRule type="expression" dxfId="505" priority="32">
      <formula>kvartal &lt; 4</formula>
    </cfRule>
  </conditionalFormatting>
  <conditionalFormatting sqref="J124:K124">
    <cfRule type="expression" dxfId="504" priority="31">
      <formula>kvartal &lt; 4</formula>
    </cfRule>
  </conditionalFormatting>
  <conditionalFormatting sqref="A50:A52">
    <cfRule type="expression" dxfId="503" priority="12">
      <formula>kvartal &lt; 4</formula>
    </cfRule>
  </conditionalFormatting>
  <conditionalFormatting sqref="A69:A74">
    <cfRule type="expression" dxfId="502" priority="10">
      <formula>kvartal &lt; 4</formula>
    </cfRule>
  </conditionalFormatting>
  <conditionalFormatting sqref="A80:A85">
    <cfRule type="expression" dxfId="501" priority="9">
      <formula>kvartal &lt; 4</formula>
    </cfRule>
  </conditionalFormatting>
  <conditionalFormatting sqref="A90:A95">
    <cfRule type="expression" dxfId="500" priority="6">
      <formula>kvartal &lt; 4</formula>
    </cfRule>
  </conditionalFormatting>
  <conditionalFormatting sqref="A102:A107">
    <cfRule type="expression" dxfId="499" priority="5">
      <formula>kvartal &lt; 4</formula>
    </cfRule>
  </conditionalFormatting>
  <conditionalFormatting sqref="A116">
    <cfRule type="expression" dxfId="498" priority="4">
      <formula>kvartal &lt; 4</formula>
    </cfRule>
  </conditionalFormatting>
  <conditionalFormatting sqref="A124">
    <cfRule type="expression" dxfId="497" priority="3">
      <formula>kvartal &lt; 4</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131</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c r="C7" s="305"/>
      <c r="D7" s="348"/>
      <c r="E7" s="11"/>
      <c r="F7" s="304"/>
      <c r="G7" s="305"/>
      <c r="H7" s="348"/>
      <c r="I7" s="159"/>
      <c r="J7" s="306"/>
      <c r="K7" s="307"/>
      <c r="L7" s="424"/>
      <c r="M7" s="11"/>
    </row>
    <row r="8" spans="1:14" ht="15.75" x14ac:dyDescent="0.2">
      <c r="A8" s="20" t="s">
        <v>25</v>
      </c>
      <c r="B8" s="279"/>
      <c r="C8" s="280"/>
      <c r="D8" s="165"/>
      <c r="E8" s="26"/>
      <c r="F8" s="283"/>
      <c r="G8" s="284"/>
      <c r="H8" s="165"/>
      <c r="I8" s="174"/>
      <c r="J8" s="232"/>
      <c r="K8" s="285"/>
      <c r="L8" s="425"/>
      <c r="M8" s="26"/>
    </row>
    <row r="9" spans="1:14" ht="15.75" x14ac:dyDescent="0.2">
      <c r="A9" s="20" t="s">
        <v>24</v>
      </c>
      <c r="B9" s="279"/>
      <c r="C9" s="280"/>
      <c r="D9" s="165"/>
      <c r="E9" s="26"/>
      <c r="F9" s="283"/>
      <c r="G9" s="284"/>
      <c r="H9" s="165"/>
      <c r="I9" s="174"/>
      <c r="J9" s="232"/>
      <c r="K9" s="285"/>
      <c r="L9" s="425"/>
      <c r="M9" s="26"/>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1"/>
      <c r="J22" s="314"/>
      <c r="K22" s="314"/>
      <c r="L22" s="424"/>
      <c r="M22" s="23"/>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c r="C29" s="234"/>
      <c r="D29" s="170"/>
      <c r="E29" s="11"/>
      <c r="F29" s="306"/>
      <c r="G29" s="306"/>
      <c r="H29" s="170"/>
      <c r="I29" s="11"/>
      <c r="J29" s="234"/>
      <c r="K29" s="234"/>
      <c r="L29" s="425"/>
      <c r="M29" s="23"/>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170"/>
      <c r="E38" s="23"/>
      <c r="F38" s="317"/>
      <c r="G38" s="318"/>
      <c r="H38" s="170"/>
      <c r="I38" s="431"/>
      <c r="J38" s="234"/>
      <c r="K38" s="234"/>
      <c r="L38" s="425"/>
      <c r="M38" s="23"/>
    </row>
    <row r="39" spans="1:14" ht="15.75" x14ac:dyDescent="0.2">
      <c r="A39" s="18" t="s">
        <v>374</v>
      </c>
      <c r="B39" s="274"/>
      <c r="C39" s="313"/>
      <c r="D39" s="168"/>
      <c r="E39" s="35"/>
      <c r="F39" s="320"/>
      <c r="G39" s="321"/>
      <c r="H39" s="168"/>
      <c r="I39" s="35"/>
      <c r="J39" s="234"/>
      <c r="K39" s="234"/>
      <c r="L39" s="426"/>
      <c r="M39" s="35"/>
    </row>
    <row r="40" spans="1:14" ht="15.75" x14ac:dyDescent="0.25">
      <c r="A40" s="46"/>
      <c r="B40" s="251"/>
      <c r="C40" s="251"/>
      <c r="D40" s="781"/>
      <c r="E40" s="781"/>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0</v>
      </c>
      <c r="C47" s="309">
        <v>686</v>
      </c>
      <c r="D47" s="424" t="str">
        <f t="shared" ref="D47:D48" si="0">IF(B47=0, "    ---- ", IF(ABS(ROUND(100/B47*C47-100,1))&lt;999,ROUND(100/B47*C47-100,1),IF(ROUND(100/B47*C47-100,1)&gt;999,999,-999)))</f>
        <v xml:space="preserve">    ---- </v>
      </c>
      <c r="E47" s="11">
        <f>IFERROR(100/'Skjema total MA'!C47*C47,0)</f>
        <v>1.7299826359447927E-2</v>
      </c>
      <c r="F47" s="144"/>
      <c r="G47" s="32"/>
      <c r="H47" s="158"/>
      <c r="I47" s="158"/>
      <c r="J47" s="36"/>
      <c r="K47" s="36"/>
      <c r="L47" s="158"/>
      <c r="M47" s="158"/>
      <c r="N47" s="147"/>
    </row>
    <row r="48" spans="1:14" s="3" customFormat="1" ht="15.75" x14ac:dyDescent="0.2">
      <c r="A48" s="37" t="s">
        <v>375</v>
      </c>
      <c r="B48" s="279">
        <v>0</v>
      </c>
      <c r="C48" s="280">
        <v>686</v>
      </c>
      <c r="D48" s="252" t="str">
        <f t="shared" si="0"/>
        <v xml:space="preserve">    ---- </v>
      </c>
      <c r="E48" s="26">
        <f>IFERROR(100/'Skjema total MA'!C48*C48,0)</f>
        <v>3.0143779676860022E-2</v>
      </c>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496" priority="132">
      <formula>kvartal &lt; 4</formula>
    </cfRule>
  </conditionalFormatting>
  <conditionalFormatting sqref="B116">
    <cfRule type="expression" dxfId="495" priority="76">
      <formula>kvartal &lt; 4</formula>
    </cfRule>
  </conditionalFormatting>
  <conditionalFormatting sqref="C116">
    <cfRule type="expression" dxfId="494" priority="75">
      <formula>kvartal &lt; 4</formula>
    </cfRule>
  </conditionalFormatting>
  <conditionalFormatting sqref="B124">
    <cfRule type="expression" dxfId="493" priority="74">
      <formula>kvartal &lt; 4</formula>
    </cfRule>
  </conditionalFormatting>
  <conditionalFormatting sqref="C124">
    <cfRule type="expression" dxfId="492" priority="73">
      <formula>kvartal &lt; 4</formula>
    </cfRule>
  </conditionalFormatting>
  <conditionalFormatting sqref="F116">
    <cfRule type="expression" dxfId="491" priority="58">
      <formula>kvartal &lt; 4</formula>
    </cfRule>
  </conditionalFormatting>
  <conditionalFormatting sqref="G116">
    <cfRule type="expression" dxfId="490" priority="57">
      <formula>kvartal &lt; 4</formula>
    </cfRule>
  </conditionalFormatting>
  <conditionalFormatting sqref="F124:G124">
    <cfRule type="expression" dxfId="489" priority="56">
      <formula>kvartal &lt; 4</formula>
    </cfRule>
  </conditionalFormatting>
  <conditionalFormatting sqref="J116:K116">
    <cfRule type="expression" dxfId="488" priority="32">
      <formula>kvartal &lt; 4</formula>
    </cfRule>
  </conditionalFormatting>
  <conditionalFormatting sqref="J124:K124">
    <cfRule type="expression" dxfId="487" priority="31">
      <formula>kvartal &lt; 4</formula>
    </cfRule>
  </conditionalFormatting>
  <conditionalFormatting sqref="A50:A52">
    <cfRule type="expression" dxfId="486" priority="12">
      <formula>kvartal &lt; 4</formula>
    </cfRule>
  </conditionalFormatting>
  <conditionalFormatting sqref="A69:A74">
    <cfRule type="expression" dxfId="485" priority="10">
      <formula>kvartal &lt; 4</formula>
    </cfRule>
  </conditionalFormatting>
  <conditionalFormatting sqref="A80:A85">
    <cfRule type="expression" dxfId="484" priority="9">
      <formula>kvartal &lt; 4</formula>
    </cfRule>
  </conditionalFormatting>
  <conditionalFormatting sqref="A90:A95">
    <cfRule type="expression" dxfId="483" priority="6">
      <formula>kvartal &lt; 4</formula>
    </cfRule>
  </conditionalFormatting>
  <conditionalFormatting sqref="A102:A107">
    <cfRule type="expression" dxfId="482" priority="5">
      <formula>kvartal &lt; 4</formula>
    </cfRule>
  </conditionalFormatting>
  <conditionalFormatting sqref="A116">
    <cfRule type="expression" dxfId="481" priority="4">
      <formula>kvartal &lt; 4</formula>
    </cfRule>
  </conditionalFormatting>
  <conditionalFormatting sqref="A124">
    <cfRule type="expression" dxfId="480" priority="3">
      <formula>kvartal &lt; 4</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5"/>
  <sheetViews>
    <sheetView showGridLines="0" zoomScaleNormal="100" workbookViewId="0"/>
  </sheetViews>
  <sheetFormatPr baseColWidth="10" defaultColWidth="11.42578125" defaultRowHeight="12.75" x14ac:dyDescent="0.2"/>
  <cols>
    <col min="1" max="1" width="45.1406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97</v>
      </c>
      <c r="D1" s="25"/>
      <c r="E1" s="25"/>
      <c r="F1" s="25"/>
      <c r="G1" s="25"/>
      <c r="H1" s="25"/>
      <c r="I1" s="25"/>
      <c r="J1" s="25"/>
      <c r="K1" s="25"/>
      <c r="L1" s="25"/>
      <c r="M1" s="25"/>
    </row>
    <row r="2" spans="1:14" ht="15.75" x14ac:dyDescent="0.25">
      <c r="A2" s="164" t="s">
        <v>28</v>
      </c>
      <c r="B2" s="782"/>
      <c r="C2" s="782"/>
      <c r="D2" s="782"/>
      <c r="E2" s="297"/>
      <c r="F2" s="782"/>
      <c r="G2" s="782"/>
      <c r="H2" s="782"/>
      <c r="I2" s="297"/>
      <c r="J2" s="782"/>
      <c r="K2" s="782"/>
      <c r="L2" s="782"/>
      <c r="M2" s="297"/>
    </row>
    <row r="3" spans="1:14" ht="15.75" x14ac:dyDescent="0.25">
      <c r="A3" s="162"/>
      <c r="B3" s="297"/>
      <c r="C3" s="297"/>
      <c r="D3" s="297"/>
      <c r="E3" s="297"/>
      <c r="F3" s="297"/>
      <c r="G3" s="297"/>
      <c r="H3" s="297"/>
      <c r="I3" s="297"/>
      <c r="J3" s="297"/>
      <c r="K3" s="297"/>
      <c r="L3" s="297"/>
      <c r="M3" s="297"/>
    </row>
    <row r="4" spans="1:14" x14ac:dyDescent="0.2">
      <c r="A4" s="143"/>
      <c r="B4" s="784" t="s">
        <v>0</v>
      </c>
      <c r="C4" s="785"/>
      <c r="D4" s="785"/>
      <c r="E4" s="299"/>
      <c r="F4" s="778" t="s">
        <v>1</v>
      </c>
      <c r="G4" s="779"/>
      <c r="H4" s="779"/>
      <c r="I4" s="302"/>
      <c r="J4" s="778" t="s">
        <v>2</v>
      </c>
      <c r="K4" s="779"/>
      <c r="L4" s="779"/>
      <c r="M4" s="302"/>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c r="C7" s="305"/>
      <c r="D7" s="348"/>
      <c r="E7" s="11"/>
      <c r="F7" s="304"/>
      <c r="G7" s="305"/>
      <c r="H7" s="348"/>
      <c r="I7" s="159"/>
      <c r="J7" s="306"/>
      <c r="K7" s="307"/>
      <c r="L7" s="424"/>
      <c r="M7" s="11"/>
    </row>
    <row r="8" spans="1:14" ht="15.75" x14ac:dyDescent="0.2">
      <c r="A8" s="20" t="s">
        <v>25</v>
      </c>
      <c r="B8" s="279"/>
      <c r="C8" s="280"/>
      <c r="D8" s="165"/>
      <c r="E8" s="26"/>
      <c r="F8" s="283"/>
      <c r="G8" s="284"/>
      <c r="H8" s="165"/>
      <c r="I8" s="174"/>
      <c r="J8" s="232"/>
      <c r="K8" s="285"/>
      <c r="L8" s="252"/>
      <c r="M8" s="26"/>
    </row>
    <row r="9" spans="1:14" ht="15.75" x14ac:dyDescent="0.2">
      <c r="A9" s="20" t="s">
        <v>24</v>
      </c>
      <c r="B9" s="279"/>
      <c r="C9" s="280"/>
      <c r="D9" s="165"/>
      <c r="E9" s="26"/>
      <c r="F9" s="283"/>
      <c r="G9" s="284"/>
      <c r="H9" s="165"/>
      <c r="I9" s="174"/>
      <c r="J9" s="232"/>
      <c r="K9" s="285"/>
      <c r="L9" s="252"/>
      <c r="M9" s="26"/>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297"/>
      <c r="F18" s="777"/>
      <c r="G18" s="777"/>
      <c r="H18" s="777"/>
      <c r="I18" s="297"/>
      <c r="J18" s="777"/>
      <c r="K18" s="777"/>
      <c r="L18" s="777"/>
      <c r="M18" s="297"/>
    </row>
    <row r="19" spans="1:14" x14ac:dyDescent="0.2">
      <c r="A19" s="143"/>
      <c r="B19" s="778" t="s">
        <v>0</v>
      </c>
      <c r="C19" s="779"/>
      <c r="D19" s="779"/>
      <c r="E19" s="299"/>
      <c r="F19" s="778" t="s">
        <v>1</v>
      </c>
      <c r="G19" s="779"/>
      <c r="H19" s="779"/>
      <c r="I19" s="302"/>
      <c r="J19" s="778" t="s">
        <v>2</v>
      </c>
      <c r="K19" s="779"/>
      <c r="L19" s="779"/>
      <c r="M19" s="302"/>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1"/>
      <c r="J22" s="314"/>
      <c r="K22" s="314"/>
      <c r="L22" s="424"/>
      <c r="M22" s="23"/>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c r="C29" s="234"/>
      <c r="D29" s="170"/>
      <c r="E29" s="11"/>
      <c r="F29" s="306"/>
      <c r="G29" s="306"/>
      <c r="H29" s="170"/>
      <c r="I29" s="11"/>
      <c r="J29" s="234"/>
      <c r="K29" s="234"/>
      <c r="L29" s="425"/>
      <c r="M29" s="23"/>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429"/>
      <c r="E38" s="23"/>
      <c r="F38" s="317"/>
      <c r="G38" s="318"/>
      <c r="H38" s="170"/>
      <c r="I38" s="431"/>
      <c r="J38" s="234"/>
      <c r="K38" s="234"/>
      <c r="L38" s="425"/>
      <c r="M38" s="23"/>
    </row>
    <row r="39" spans="1:14" ht="15.75" x14ac:dyDescent="0.2">
      <c r="A39" s="18" t="s">
        <v>374</v>
      </c>
      <c r="B39" s="274"/>
      <c r="C39" s="313"/>
      <c r="D39" s="430"/>
      <c r="E39" s="35"/>
      <c r="F39" s="320"/>
      <c r="G39" s="321"/>
      <c r="H39" s="168"/>
      <c r="I39" s="35"/>
      <c r="J39" s="234"/>
      <c r="K39" s="234"/>
      <c r="L39" s="426"/>
      <c r="M39" s="35"/>
    </row>
    <row r="40" spans="1:14" ht="15.75" x14ac:dyDescent="0.25">
      <c r="A40" s="46"/>
      <c r="B40" s="251"/>
      <c r="C40" s="251"/>
      <c r="D40" s="781"/>
      <c r="E40" s="783"/>
      <c r="F40" s="781"/>
      <c r="G40" s="781"/>
      <c r="H40" s="781"/>
      <c r="I40" s="781"/>
      <c r="J40" s="781"/>
      <c r="K40" s="781"/>
      <c r="L40" s="781"/>
      <c r="M40" s="300"/>
    </row>
    <row r="41" spans="1:14" x14ac:dyDescent="0.2">
      <c r="A41" s="154"/>
    </row>
    <row r="42" spans="1:14" ht="15.75" x14ac:dyDescent="0.25">
      <c r="A42" s="146" t="s">
        <v>272</v>
      </c>
      <c r="B42" s="782"/>
      <c r="C42" s="782"/>
      <c r="D42" s="782"/>
      <c r="E42" s="297"/>
      <c r="F42" s="783"/>
      <c r="G42" s="783"/>
      <c r="H42" s="783"/>
      <c r="I42" s="300"/>
      <c r="J42" s="783"/>
      <c r="K42" s="783"/>
      <c r="L42" s="783"/>
      <c r="M42" s="300"/>
    </row>
    <row r="43" spans="1:14" ht="15.75" x14ac:dyDescent="0.25">
      <c r="A43" s="162"/>
      <c r="B43" s="301"/>
      <c r="C43" s="301"/>
      <c r="D43" s="301"/>
      <c r="E43" s="301"/>
      <c r="F43" s="300"/>
      <c r="G43" s="300"/>
      <c r="H43" s="300"/>
      <c r="I43" s="300"/>
      <c r="J43" s="300"/>
      <c r="K43" s="300"/>
      <c r="L43" s="300"/>
      <c r="M43" s="300"/>
    </row>
    <row r="44" spans="1:14" ht="15.75" x14ac:dyDescent="0.25">
      <c r="A44" s="245"/>
      <c r="B44" s="778" t="s">
        <v>0</v>
      </c>
      <c r="C44" s="779"/>
      <c r="D44" s="779"/>
      <c r="E44" s="241"/>
      <c r="F44" s="300"/>
      <c r="G44" s="300"/>
      <c r="H44" s="300"/>
      <c r="I44" s="300"/>
      <c r="J44" s="300"/>
      <c r="K44" s="300"/>
      <c r="L44" s="300"/>
      <c r="M44" s="300"/>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558832.35693999997</v>
      </c>
      <c r="C47" s="309">
        <v>545103.80000000005</v>
      </c>
      <c r="D47" s="424">
        <f t="shared" ref="D47:D58" si="0">IF(B47=0, "    ---- ", IF(ABS(ROUND(100/B47*C47-100,1))&lt;999,ROUND(100/B47*C47-100,1),IF(ROUND(100/B47*C47-100,1)&gt;999,999,-999)))</f>
        <v>-2.5</v>
      </c>
      <c r="E47" s="11">
        <f>IFERROR(100/'Skjema total MA'!C47*C47,0)</f>
        <v>13.746648816144653</v>
      </c>
      <c r="F47" s="144"/>
      <c r="G47" s="32"/>
      <c r="H47" s="158"/>
      <c r="I47" s="158"/>
      <c r="J47" s="36"/>
      <c r="K47" s="36"/>
      <c r="L47" s="158"/>
      <c r="M47" s="158"/>
      <c r="N47" s="147"/>
    </row>
    <row r="48" spans="1:14" s="3" customFormat="1" ht="15.75" x14ac:dyDescent="0.2">
      <c r="A48" s="37" t="s">
        <v>375</v>
      </c>
      <c r="B48" s="279">
        <v>134441.95121999999</v>
      </c>
      <c r="C48" s="280">
        <v>123303.5</v>
      </c>
      <c r="D48" s="252">
        <f t="shared" si="0"/>
        <v>-8.3000000000000007</v>
      </c>
      <c r="E48" s="26">
        <f>IFERROR(100/'Skjema total MA'!C48*C48,0)</f>
        <v>5.4181246900666329</v>
      </c>
      <c r="F48" s="144"/>
      <c r="G48" s="32"/>
      <c r="H48" s="144"/>
      <c r="I48" s="144"/>
      <c r="J48" s="32"/>
      <c r="K48" s="32"/>
      <c r="L48" s="158"/>
      <c r="M48" s="158"/>
      <c r="N48" s="147"/>
    </row>
    <row r="49" spans="1:14" s="3" customFormat="1" ht="15.75" x14ac:dyDescent="0.2">
      <c r="A49" s="37" t="s">
        <v>376</v>
      </c>
      <c r="B49" s="43">
        <v>424390.40571999998</v>
      </c>
      <c r="C49" s="285">
        <v>421800.3</v>
      </c>
      <c r="D49" s="252">
        <f>IF(B49=0, "    ---- ", IF(ABS(ROUND(100/B49*C49-100,1))&lt;999,ROUND(100/B49*C49-100,1),IF(ROUND(100/B49*C49-100,1)&gt;999,999,-999)))</f>
        <v>-0.6</v>
      </c>
      <c r="E49" s="26">
        <f>IFERROR(100/'Skjema total MA'!C49*C49,0)</f>
        <v>24.964536148099963</v>
      </c>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v>3826.5</v>
      </c>
      <c r="C53" s="309">
        <v>2065.1999999999998</v>
      </c>
      <c r="D53" s="425">
        <f t="shared" si="0"/>
        <v>-46</v>
      </c>
      <c r="E53" s="11">
        <f>IFERROR(100/'Skjema total MA'!C53*C53,0)</f>
        <v>0.87839474559677189</v>
      </c>
      <c r="F53" s="144"/>
      <c r="G53" s="32"/>
      <c r="H53" s="144"/>
      <c r="I53" s="144"/>
      <c r="J53" s="32"/>
      <c r="K53" s="32"/>
      <c r="L53" s="158"/>
      <c r="M53" s="158"/>
      <c r="N53" s="147"/>
    </row>
    <row r="54" spans="1:14" s="3" customFormat="1" ht="15.75" x14ac:dyDescent="0.2">
      <c r="A54" s="37" t="s">
        <v>375</v>
      </c>
      <c r="B54" s="279">
        <v>3826.5</v>
      </c>
      <c r="C54" s="280">
        <v>2065.1999999999998</v>
      </c>
      <c r="D54" s="252">
        <f t="shared" si="0"/>
        <v>-46</v>
      </c>
      <c r="E54" s="26">
        <f>IFERROR(100/'Skjema total MA'!C54*C54,0)</f>
        <v>0.90085113420176322</v>
      </c>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v>66411.399999999994</v>
      </c>
      <c r="C56" s="309">
        <v>13264.3</v>
      </c>
      <c r="D56" s="425">
        <f t="shared" si="0"/>
        <v>-80</v>
      </c>
      <c r="E56" s="11">
        <f>IFERROR(100/'Skjema total MA'!C56*C56,0)</f>
        <v>14.207068720117189</v>
      </c>
      <c r="F56" s="144"/>
      <c r="G56" s="32"/>
      <c r="H56" s="144"/>
      <c r="I56" s="144"/>
      <c r="J56" s="32"/>
      <c r="K56" s="32"/>
      <c r="L56" s="158"/>
      <c r="M56" s="158"/>
      <c r="N56" s="147"/>
    </row>
    <row r="57" spans="1:14" s="3" customFormat="1" ht="15.75" x14ac:dyDescent="0.2">
      <c r="A57" s="37" t="s">
        <v>375</v>
      </c>
      <c r="B57" s="279">
        <v>66408</v>
      </c>
      <c r="C57" s="280">
        <v>13264.3</v>
      </c>
      <c r="D57" s="252">
        <f t="shared" si="0"/>
        <v>-80</v>
      </c>
      <c r="E57" s="26">
        <f>IFERROR(100/'Skjema total MA'!C57*C57,0)</f>
        <v>14.207068720117189</v>
      </c>
      <c r="F57" s="144"/>
      <c r="G57" s="32"/>
      <c r="H57" s="144"/>
      <c r="I57" s="144"/>
      <c r="J57" s="32"/>
      <c r="K57" s="32"/>
      <c r="L57" s="158"/>
      <c r="M57" s="158"/>
      <c r="N57" s="147"/>
    </row>
    <row r="58" spans="1:14" s="3" customFormat="1" ht="15.75" x14ac:dyDescent="0.2">
      <c r="A58" s="45" t="s">
        <v>376</v>
      </c>
      <c r="B58" s="281">
        <v>3.4</v>
      </c>
      <c r="C58" s="282">
        <v>0</v>
      </c>
      <c r="D58" s="253">
        <f t="shared" si="0"/>
        <v>-100</v>
      </c>
      <c r="E58" s="21">
        <f>IFERROR(100/'Skjema total MA'!C58*C58,0)</f>
        <v>0</v>
      </c>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297"/>
      <c r="F62" s="777"/>
      <c r="G62" s="777"/>
      <c r="H62" s="777"/>
      <c r="I62" s="297"/>
      <c r="J62" s="777"/>
      <c r="K62" s="777"/>
      <c r="L62" s="777"/>
      <c r="M62" s="297"/>
    </row>
    <row r="63" spans="1:14" x14ac:dyDescent="0.2">
      <c r="A63" s="143"/>
      <c r="B63" s="778" t="s">
        <v>0</v>
      </c>
      <c r="C63" s="779"/>
      <c r="D63" s="780"/>
      <c r="E63" s="298"/>
      <c r="F63" s="779" t="s">
        <v>1</v>
      </c>
      <c r="G63" s="779"/>
      <c r="H63" s="779"/>
      <c r="I63" s="302"/>
      <c r="J63" s="778" t="s">
        <v>2</v>
      </c>
      <c r="K63" s="779"/>
      <c r="L63" s="779"/>
      <c r="M63" s="302"/>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297"/>
      <c r="F131" s="777"/>
      <c r="G131" s="777"/>
      <c r="H131" s="777"/>
      <c r="I131" s="297"/>
      <c r="J131" s="777"/>
      <c r="K131" s="777"/>
      <c r="L131" s="777"/>
      <c r="M131" s="297"/>
    </row>
    <row r="132" spans="1:14" s="3" customFormat="1" x14ac:dyDescent="0.2">
      <c r="A132" s="143"/>
      <c r="B132" s="778" t="s">
        <v>0</v>
      </c>
      <c r="C132" s="779"/>
      <c r="D132" s="779"/>
      <c r="E132" s="299"/>
      <c r="F132" s="778" t="s">
        <v>1</v>
      </c>
      <c r="G132" s="779"/>
      <c r="H132" s="779"/>
      <c r="I132" s="302"/>
      <c r="J132" s="778" t="s">
        <v>2</v>
      </c>
      <c r="K132" s="779"/>
      <c r="L132" s="779"/>
      <c r="M132" s="302"/>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132:D132"/>
    <mergeCell ref="F132:H132"/>
    <mergeCell ref="J132:L132"/>
    <mergeCell ref="B63:D63"/>
    <mergeCell ref="F63:H63"/>
    <mergeCell ref="J63:L63"/>
    <mergeCell ref="B131:D131"/>
    <mergeCell ref="F131:H131"/>
    <mergeCell ref="J131:L131"/>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479" priority="117">
      <formula>kvartal &lt; 4</formula>
    </cfRule>
  </conditionalFormatting>
  <conditionalFormatting sqref="B116">
    <cfRule type="expression" dxfId="478" priority="61">
      <formula>kvartal &lt; 4</formula>
    </cfRule>
  </conditionalFormatting>
  <conditionalFormatting sqref="C116">
    <cfRule type="expression" dxfId="477" priority="60">
      <formula>kvartal &lt; 4</formula>
    </cfRule>
  </conditionalFormatting>
  <conditionalFormatting sqref="B124">
    <cfRule type="expression" dxfId="476" priority="59">
      <formula>kvartal &lt; 4</formula>
    </cfRule>
  </conditionalFormatting>
  <conditionalFormatting sqref="C124">
    <cfRule type="expression" dxfId="475" priority="58">
      <formula>kvartal &lt; 4</formula>
    </cfRule>
  </conditionalFormatting>
  <conditionalFormatting sqref="F116">
    <cfRule type="expression" dxfId="474" priority="43">
      <formula>kvartal &lt; 4</formula>
    </cfRule>
  </conditionalFormatting>
  <conditionalFormatting sqref="G116">
    <cfRule type="expression" dxfId="473" priority="42">
      <formula>kvartal &lt; 4</formula>
    </cfRule>
  </conditionalFormatting>
  <conditionalFormatting sqref="F124:G124">
    <cfRule type="expression" dxfId="472" priority="41">
      <formula>kvartal &lt; 4</formula>
    </cfRule>
  </conditionalFormatting>
  <conditionalFormatting sqref="J116:K116">
    <cfRule type="expression" dxfId="471" priority="17">
      <formula>kvartal &lt; 4</formula>
    </cfRule>
  </conditionalFormatting>
  <conditionalFormatting sqref="J124:K124">
    <cfRule type="expression" dxfId="470" priority="16">
      <formula>kvartal &lt; 4</formula>
    </cfRule>
  </conditionalFormatting>
  <conditionalFormatting sqref="A50:A52">
    <cfRule type="expression" dxfId="469" priority="12">
      <formula>kvartal &lt; 4</formula>
    </cfRule>
  </conditionalFormatting>
  <conditionalFormatting sqref="A69:A74">
    <cfRule type="expression" dxfId="468" priority="10">
      <formula>kvartal &lt; 4</formula>
    </cfRule>
  </conditionalFormatting>
  <conditionalFormatting sqref="A80:A85">
    <cfRule type="expression" dxfId="467" priority="9">
      <formula>kvartal &lt; 4</formula>
    </cfRule>
  </conditionalFormatting>
  <conditionalFormatting sqref="A90:A95">
    <cfRule type="expression" dxfId="466" priority="6">
      <formula>kvartal &lt; 4</formula>
    </cfRule>
  </conditionalFormatting>
  <conditionalFormatting sqref="A102:A107">
    <cfRule type="expression" dxfId="465" priority="5">
      <formula>kvartal &lt; 4</formula>
    </cfRule>
  </conditionalFormatting>
  <conditionalFormatting sqref="A116">
    <cfRule type="expression" dxfId="464" priority="4">
      <formula>kvartal &lt; 4</formula>
    </cfRule>
  </conditionalFormatting>
  <conditionalFormatting sqref="A124">
    <cfRule type="expression" dxfId="463" priority="3">
      <formula>kvartal &lt; 4</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N145"/>
  <sheetViews>
    <sheetView showGridLines="0" zoomScaleNormal="100" workbookViewId="0"/>
  </sheetViews>
  <sheetFormatPr baseColWidth="10" defaultColWidth="11.42578125" defaultRowHeight="12.75" x14ac:dyDescent="0.2"/>
  <cols>
    <col min="1" max="1" width="43"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402</v>
      </c>
      <c r="D1" s="25"/>
      <c r="E1" s="25"/>
      <c r="F1" s="25"/>
      <c r="G1" s="25"/>
      <c r="H1" s="25"/>
      <c r="I1" s="25"/>
      <c r="J1" s="25"/>
      <c r="K1" s="25"/>
      <c r="L1" s="25"/>
      <c r="M1" s="25"/>
    </row>
    <row r="2" spans="1:14" ht="15.75" x14ac:dyDescent="0.25">
      <c r="A2" s="164" t="s">
        <v>28</v>
      </c>
      <c r="B2" s="782"/>
      <c r="C2" s="782"/>
      <c r="D2" s="782"/>
      <c r="E2" s="607"/>
      <c r="F2" s="782"/>
      <c r="G2" s="782"/>
      <c r="H2" s="782"/>
      <c r="I2" s="607"/>
      <c r="J2" s="782"/>
      <c r="K2" s="782"/>
      <c r="L2" s="782"/>
      <c r="M2" s="607"/>
    </row>
    <row r="3" spans="1:14" ht="15.75" x14ac:dyDescent="0.25">
      <c r="A3" s="162"/>
      <c r="B3" s="607"/>
      <c r="C3" s="607"/>
      <c r="D3" s="607"/>
      <c r="E3" s="607"/>
      <c r="F3" s="607"/>
      <c r="G3" s="607"/>
      <c r="H3" s="607"/>
      <c r="I3" s="607"/>
      <c r="J3" s="607"/>
      <c r="K3" s="607"/>
      <c r="L3" s="607"/>
      <c r="M3" s="607"/>
    </row>
    <row r="4" spans="1:14" x14ac:dyDescent="0.2">
      <c r="A4" s="143"/>
      <c r="B4" s="784" t="s">
        <v>0</v>
      </c>
      <c r="C4" s="785"/>
      <c r="D4" s="785"/>
      <c r="E4" s="604"/>
      <c r="F4" s="778" t="s">
        <v>1</v>
      </c>
      <c r="G4" s="779"/>
      <c r="H4" s="779"/>
      <c r="I4" s="605"/>
      <c r="J4" s="778" t="s">
        <v>2</v>
      </c>
      <c r="K4" s="779"/>
      <c r="L4" s="779"/>
      <c r="M4" s="605"/>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v>449</v>
      </c>
      <c r="C7" s="305">
        <v>1194</v>
      </c>
      <c r="D7" s="348">
        <f>IF(B7=0, "    ---- ", IF(ABS(ROUND(100/B7*C7-100,1))&lt;999,ROUND(100/B7*C7-100,1),IF(ROUND(100/B7*C7-100,1)&gt;999,999,-999)))</f>
        <v>165.9</v>
      </c>
      <c r="E7" s="11">
        <f>IFERROR(100/'Skjema total MA'!C7*C7,0)</f>
        <v>4.3159140404138097E-2</v>
      </c>
      <c r="F7" s="304"/>
      <c r="G7" s="305"/>
      <c r="H7" s="348"/>
      <c r="I7" s="159"/>
      <c r="J7" s="306">
        <f t="shared" ref="J7:K8" si="0">SUM(B7,F7)</f>
        <v>449</v>
      </c>
      <c r="K7" s="307">
        <f t="shared" si="0"/>
        <v>1194</v>
      </c>
      <c r="L7" s="424">
        <f>IF(J7=0, "    ---- ", IF(ABS(ROUND(100/J7*K7-100,1))&lt;999,ROUND(100/J7*K7-100,1),IF(ROUND(100/J7*K7-100,1)&gt;999,999,-999)))</f>
        <v>165.9</v>
      </c>
      <c r="M7" s="11">
        <f>IFERROR(100/'Skjema total MA'!I7*K7,0)</f>
        <v>1.1357492177891133E-2</v>
      </c>
    </row>
    <row r="8" spans="1:14" ht="15.75" x14ac:dyDescent="0.2">
      <c r="A8" s="20" t="s">
        <v>25</v>
      </c>
      <c r="B8" s="279">
        <v>449</v>
      </c>
      <c r="C8" s="280">
        <v>1194</v>
      </c>
      <c r="D8" s="165">
        <f t="shared" ref="D8" si="1">IF(B8=0, "    ---- ", IF(ABS(ROUND(100/B8*C8-100,1))&lt;999,ROUND(100/B8*C8-100,1),IF(ROUND(100/B8*C8-100,1)&gt;999,999,-999)))</f>
        <v>165.9</v>
      </c>
      <c r="E8" s="26">
        <f>IFERROR(100/'Skjema total MA'!C8*C8,0)</f>
        <v>6.5952614135917131E-2</v>
      </c>
      <c r="F8" s="283"/>
      <c r="G8" s="284"/>
      <c r="H8" s="165"/>
      <c r="I8" s="174"/>
      <c r="J8" s="232">
        <f t="shared" si="0"/>
        <v>449</v>
      </c>
      <c r="K8" s="285">
        <f t="shared" si="0"/>
        <v>1194</v>
      </c>
      <c r="L8" s="165">
        <f t="shared" ref="L8" si="2">IF(J8=0, "    ---- ", IF(ABS(ROUND(100/J8*K8-100,1))&lt;999,ROUND(100/J8*K8-100,1),IF(ROUND(100/J8*K8-100,1)&gt;999,999,-999)))</f>
        <v>165.9</v>
      </c>
      <c r="M8" s="26">
        <f>IFERROR(100/'Skjema total MA'!I8*K8,0)</f>
        <v>6.5952614135917131E-2</v>
      </c>
    </row>
    <row r="9" spans="1:14" ht="15.75" x14ac:dyDescent="0.2">
      <c r="A9" s="20" t="s">
        <v>24</v>
      </c>
      <c r="B9" s="279"/>
      <c r="C9" s="280"/>
      <c r="D9" s="165"/>
      <c r="E9" s="26"/>
      <c r="F9" s="283"/>
      <c r="G9" s="284"/>
      <c r="H9" s="165"/>
      <c r="I9" s="174"/>
      <c r="J9" s="232"/>
      <c r="K9" s="285"/>
      <c r="L9" s="165"/>
      <c r="M9" s="26"/>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607"/>
      <c r="F18" s="777"/>
      <c r="G18" s="777"/>
      <c r="H18" s="777"/>
      <c r="I18" s="607"/>
      <c r="J18" s="777"/>
      <c r="K18" s="777"/>
      <c r="L18" s="777"/>
      <c r="M18" s="607"/>
    </row>
    <row r="19" spans="1:14" x14ac:dyDescent="0.2">
      <c r="A19" s="143"/>
      <c r="B19" s="778" t="s">
        <v>0</v>
      </c>
      <c r="C19" s="779"/>
      <c r="D19" s="779"/>
      <c r="E19" s="604"/>
      <c r="F19" s="778" t="s">
        <v>1</v>
      </c>
      <c r="G19" s="779"/>
      <c r="H19" s="779"/>
      <c r="I19" s="605"/>
      <c r="J19" s="778" t="s">
        <v>2</v>
      </c>
      <c r="K19" s="779"/>
      <c r="L19" s="779"/>
      <c r="M19" s="605"/>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155"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1"/>
      <c r="J22" s="314"/>
      <c r="K22" s="314"/>
      <c r="L22" s="424"/>
      <c r="M22" s="23"/>
    </row>
    <row r="23" spans="1:14" ht="15.75" x14ac:dyDescent="0.2">
      <c r="A23" s="580" t="s">
        <v>367</v>
      </c>
      <c r="B23" s="279"/>
      <c r="C23" s="279"/>
      <c r="D23" s="165"/>
      <c r="E23" s="11"/>
      <c r="F23" s="288"/>
      <c r="G23" s="288"/>
      <c r="H23" s="165"/>
      <c r="I23" s="414"/>
      <c r="J23" s="288"/>
      <c r="K23" s="288"/>
      <c r="L23" s="165"/>
      <c r="M23" s="22"/>
    </row>
    <row r="24" spans="1:14" ht="15.75" x14ac:dyDescent="0.2">
      <c r="A24" s="580" t="s">
        <v>368</v>
      </c>
      <c r="B24" s="279"/>
      <c r="C24" s="279"/>
      <c r="D24" s="165"/>
      <c r="E24" s="11"/>
      <c r="F24" s="288"/>
      <c r="G24" s="288"/>
      <c r="H24" s="165"/>
      <c r="I24" s="414"/>
      <c r="J24" s="288"/>
      <c r="K24" s="288"/>
      <c r="L24" s="165"/>
      <c r="M24" s="22"/>
    </row>
    <row r="25" spans="1:14" ht="15.75" x14ac:dyDescent="0.2">
      <c r="A25" s="580" t="s">
        <v>369</v>
      </c>
      <c r="B25" s="279"/>
      <c r="C25" s="279"/>
      <c r="D25" s="165"/>
      <c r="E25" s="11"/>
      <c r="F25" s="288"/>
      <c r="G25" s="288"/>
      <c r="H25" s="165"/>
      <c r="I25" s="414"/>
      <c r="J25" s="288"/>
      <c r="K25" s="288"/>
      <c r="L25" s="165"/>
      <c r="M25" s="22"/>
    </row>
    <row r="26" spans="1:14" ht="15.75" x14ac:dyDescent="0.2">
      <c r="A26" s="580" t="s">
        <v>370</v>
      </c>
      <c r="B26" s="279"/>
      <c r="C26" s="279"/>
      <c r="D26" s="165"/>
      <c r="E26" s="11"/>
      <c r="F26" s="288"/>
      <c r="G26" s="288"/>
      <c r="H26" s="165"/>
      <c r="I26" s="414"/>
      <c r="J26" s="288"/>
      <c r="K26" s="288"/>
      <c r="L26" s="165"/>
      <c r="M26" s="22"/>
    </row>
    <row r="27" spans="1:14" x14ac:dyDescent="0.2">
      <c r="A27" s="580" t="s">
        <v>11</v>
      </c>
      <c r="B27" s="279"/>
      <c r="C27" s="279"/>
      <c r="D27" s="165"/>
      <c r="E27" s="11"/>
      <c r="F27" s="288"/>
      <c r="G27" s="288"/>
      <c r="H27" s="165"/>
      <c r="I27" s="414"/>
      <c r="J27" s="288"/>
      <c r="K27" s="288"/>
      <c r="L27" s="165"/>
      <c r="M27" s="22"/>
    </row>
    <row r="28" spans="1:14" ht="15.75" x14ac:dyDescent="0.2">
      <c r="A28" s="48" t="s">
        <v>275</v>
      </c>
      <c r="B28" s="43"/>
      <c r="C28" s="285"/>
      <c r="D28" s="165"/>
      <c r="E28" s="11"/>
      <c r="F28" s="232"/>
      <c r="G28" s="285"/>
      <c r="H28" s="165"/>
      <c r="I28" s="26"/>
      <c r="J28" s="43"/>
      <c r="K28" s="43"/>
      <c r="L28" s="252"/>
      <c r="M28" s="22"/>
    </row>
    <row r="29" spans="1:14" s="3" customFormat="1" ht="15.75" x14ac:dyDescent="0.2">
      <c r="A29" s="13" t="s">
        <v>364</v>
      </c>
      <c r="B29" s="234"/>
      <c r="C29" s="234"/>
      <c r="D29" s="170"/>
      <c r="E29" s="11"/>
      <c r="F29" s="306"/>
      <c r="G29" s="306"/>
      <c r="H29" s="170"/>
      <c r="I29" s="11"/>
      <c r="J29" s="234"/>
      <c r="K29" s="234"/>
      <c r="L29" s="425"/>
      <c r="M29" s="23"/>
      <c r="N29" s="147"/>
    </row>
    <row r="30" spans="1:14" s="3" customFormat="1" ht="15.75" x14ac:dyDescent="0.2">
      <c r="A30" s="580" t="s">
        <v>367</v>
      </c>
      <c r="B30" s="279"/>
      <c r="C30" s="279"/>
      <c r="D30" s="165"/>
      <c r="E30" s="11"/>
      <c r="F30" s="288"/>
      <c r="G30" s="288"/>
      <c r="H30" s="165"/>
      <c r="I30" s="414"/>
      <c r="J30" s="288"/>
      <c r="K30" s="288"/>
      <c r="L30" s="165"/>
      <c r="M30" s="22"/>
      <c r="N30" s="147"/>
    </row>
    <row r="31" spans="1:14" s="3" customFormat="1" ht="15.75" x14ac:dyDescent="0.2">
      <c r="A31" s="580" t="s">
        <v>368</v>
      </c>
      <c r="B31" s="279"/>
      <c r="C31" s="279"/>
      <c r="D31" s="165"/>
      <c r="E31" s="11"/>
      <c r="F31" s="288"/>
      <c r="G31" s="288"/>
      <c r="H31" s="165"/>
      <c r="I31" s="414"/>
      <c r="J31" s="288"/>
      <c r="K31" s="288"/>
      <c r="L31" s="165"/>
      <c r="M31" s="22"/>
      <c r="N31" s="147"/>
    </row>
    <row r="32" spans="1:14" ht="15.75" x14ac:dyDescent="0.2">
      <c r="A32" s="580" t="s">
        <v>369</v>
      </c>
      <c r="B32" s="279"/>
      <c r="C32" s="279"/>
      <c r="D32" s="165"/>
      <c r="E32" s="11"/>
      <c r="F32" s="288"/>
      <c r="G32" s="288"/>
      <c r="H32" s="165"/>
      <c r="I32" s="414"/>
      <c r="J32" s="288"/>
      <c r="K32" s="288"/>
      <c r="L32" s="165"/>
      <c r="M32" s="22"/>
    </row>
    <row r="33" spans="1:14" ht="15.75" x14ac:dyDescent="0.2">
      <c r="A33" s="580" t="s">
        <v>370</v>
      </c>
      <c r="B33" s="279"/>
      <c r="C33" s="279"/>
      <c r="D33" s="165"/>
      <c r="E33" s="11"/>
      <c r="F33" s="288"/>
      <c r="G33" s="288"/>
      <c r="H33" s="165"/>
      <c r="I33" s="414"/>
      <c r="J33" s="288"/>
      <c r="K33" s="288"/>
      <c r="L33" s="165"/>
      <c r="M33" s="22"/>
    </row>
    <row r="34" spans="1:14" ht="15.75" x14ac:dyDescent="0.2">
      <c r="A34" s="13" t="s">
        <v>365</v>
      </c>
      <c r="B34" s="234"/>
      <c r="C34" s="307"/>
      <c r="D34" s="170"/>
      <c r="E34" s="11"/>
      <c r="F34" s="306"/>
      <c r="G34" s="307"/>
      <c r="H34" s="170"/>
      <c r="I34" s="11"/>
      <c r="J34" s="234"/>
      <c r="K34" s="234"/>
      <c r="L34" s="425"/>
      <c r="M34" s="23"/>
    </row>
    <row r="35" spans="1:14" ht="15.75" x14ac:dyDescent="0.2">
      <c r="A35" s="13" t="s">
        <v>366</v>
      </c>
      <c r="B35" s="234"/>
      <c r="C35" s="307"/>
      <c r="D35" s="170"/>
      <c r="E35" s="11"/>
      <c r="F35" s="306"/>
      <c r="G35" s="307"/>
      <c r="H35" s="170"/>
      <c r="I35" s="11"/>
      <c r="J35" s="234"/>
      <c r="K35" s="234"/>
      <c r="L35" s="425"/>
      <c r="M35" s="23"/>
    </row>
    <row r="36" spans="1:14" ht="15.75" x14ac:dyDescent="0.2">
      <c r="A36" s="12" t="s">
        <v>283</v>
      </c>
      <c r="B36" s="234"/>
      <c r="C36" s="307"/>
      <c r="D36" s="170"/>
      <c r="E36" s="11"/>
      <c r="F36" s="317"/>
      <c r="G36" s="318"/>
      <c r="H36" s="170"/>
      <c r="I36" s="431"/>
      <c r="J36" s="234"/>
      <c r="K36" s="234"/>
      <c r="L36" s="425"/>
      <c r="M36" s="23"/>
    </row>
    <row r="37" spans="1:14" ht="15.75" x14ac:dyDescent="0.2">
      <c r="A37" s="12" t="s">
        <v>372</v>
      </c>
      <c r="B37" s="234"/>
      <c r="C37" s="307"/>
      <c r="D37" s="170"/>
      <c r="E37" s="11"/>
      <c r="F37" s="317"/>
      <c r="G37" s="319"/>
      <c r="H37" s="170"/>
      <c r="I37" s="431"/>
      <c r="J37" s="234"/>
      <c r="K37" s="234"/>
      <c r="L37" s="425"/>
      <c r="M37" s="23"/>
    </row>
    <row r="38" spans="1:14" ht="15.75" x14ac:dyDescent="0.2">
      <c r="A38" s="12" t="s">
        <v>373</v>
      </c>
      <c r="B38" s="234"/>
      <c r="C38" s="307"/>
      <c r="D38" s="429"/>
      <c r="E38" s="23"/>
      <c r="F38" s="317"/>
      <c r="G38" s="318"/>
      <c r="H38" s="170"/>
      <c r="I38" s="431"/>
      <c r="J38" s="234"/>
      <c r="K38" s="234"/>
      <c r="L38" s="425"/>
      <c r="M38" s="23"/>
    </row>
    <row r="39" spans="1:14" ht="15.75" x14ac:dyDescent="0.2">
      <c r="A39" s="18" t="s">
        <v>374</v>
      </c>
      <c r="B39" s="274"/>
      <c r="C39" s="313"/>
      <c r="D39" s="430"/>
      <c r="E39" s="35"/>
      <c r="F39" s="320"/>
      <c r="G39" s="321"/>
      <c r="H39" s="168"/>
      <c r="I39" s="35"/>
      <c r="J39" s="234"/>
      <c r="K39" s="234"/>
      <c r="L39" s="426"/>
      <c r="M39" s="35"/>
    </row>
    <row r="40" spans="1:14" ht="15.75" x14ac:dyDescent="0.25">
      <c r="A40" s="46"/>
      <c r="B40" s="251"/>
      <c r="C40" s="251"/>
      <c r="D40" s="781"/>
      <c r="E40" s="783"/>
      <c r="F40" s="781"/>
      <c r="G40" s="781"/>
      <c r="H40" s="781"/>
      <c r="I40" s="781"/>
      <c r="J40" s="781"/>
      <c r="K40" s="781"/>
      <c r="L40" s="781"/>
      <c r="M40" s="608"/>
    </row>
    <row r="41" spans="1:14" x14ac:dyDescent="0.2">
      <c r="A41" s="154"/>
    </row>
    <row r="42" spans="1:14" ht="15.75" x14ac:dyDescent="0.25">
      <c r="A42" s="146" t="s">
        <v>272</v>
      </c>
      <c r="B42" s="782"/>
      <c r="C42" s="782"/>
      <c r="D42" s="782"/>
      <c r="E42" s="607"/>
      <c r="F42" s="783"/>
      <c r="G42" s="783"/>
      <c r="H42" s="783"/>
      <c r="I42" s="608"/>
      <c r="J42" s="783"/>
      <c r="K42" s="783"/>
      <c r="L42" s="783"/>
      <c r="M42" s="608"/>
    </row>
    <row r="43" spans="1:14" ht="15.75" x14ac:dyDescent="0.25">
      <c r="A43" s="162"/>
      <c r="B43" s="606"/>
      <c r="C43" s="606"/>
      <c r="D43" s="606"/>
      <c r="E43" s="606"/>
      <c r="F43" s="608"/>
      <c r="G43" s="608"/>
      <c r="H43" s="608"/>
      <c r="I43" s="608"/>
      <c r="J43" s="608"/>
      <c r="K43" s="608"/>
      <c r="L43" s="608"/>
      <c r="M43" s="608"/>
    </row>
    <row r="44" spans="1:14" ht="15.75" x14ac:dyDescent="0.25">
      <c r="A44" s="245"/>
      <c r="B44" s="778" t="s">
        <v>0</v>
      </c>
      <c r="C44" s="779"/>
      <c r="D44" s="779"/>
      <c r="E44" s="241"/>
      <c r="F44" s="608"/>
      <c r="G44" s="608"/>
      <c r="H44" s="608"/>
      <c r="I44" s="608"/>
      <c r="J44" s="608"/>
      <c r="K44" s="608"/>
      <c r="L44" s="608"/>
      <c r="M44" s="608"/>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671</v>
      </c>
      <c r="C47" s="309">
        <v>490</v>
      </c>
      <c r="D47" s="424">
        <f t="shared" ref="D47:D48" si="3">IF(B47=0, "    ---- ", IF(ABS(ROUND(100/B47*C47-100,1))&lt;999,ROUND(100/B47*C47-100,1),IF(ROUND(100/B47*C47-100,1)&gt;999,999,-999)))</f>
        <v>-27</v>
      </c>
      <c r="E47" s="11">
        <f>IFERROR(100/'Skjema total MA'!C47*C47,0)</f>
        <v>1.235701882817709E-2</v>
      </c>
      <c r="F47" s="144"/>
      <c r="G47" s="32"/>
      <c r="H47" s="158"/>
      <c r="I47" s="158"/>
      <c r="J47" s="36"/>
      <c r="K47" s="36"/>
      <c r="L47" s="158"/>
      <c r="M47" s="158"/>
      <c r="N47" s="147"/>
    </row>
    <row r="48" spans="1:14" s="3" customFormat="1" ht="15.75" x14ac:dyDescent="0.2">
      <c r="A48" s="37" t="s">
        <v>375</v>
      </c>
      <c r="B48" s="279">
        <v>671</v>
      </c>
      <c r="C48" s="280">
        <v>490</v>
      </c>
      <c r="D48" s="252">
        <f t="shared" si="3"/>
        <v>-27</v>
      </c>
      <c r="E48" s="26">
        <f>IFERROR(100/'Skjema total MA'!C48*C48,0)</f>
        <v>2.1531271197757159E-2</v>
      </c>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607"/>
      <c r="F62" s="777"/>
      <c r="G62" s="777"/>
      <c r="H62" s="777"/>
      <c r="I62" s="607"/>
      <c r="J62" s="777"/>
      <c r="K62" s="777"/>
      <c r="L62" s="777"/>
      <c r="M62" s="607"/>
    </row>
    <row r="63" spans="1:14" x14ac:dyDescent="0.2">
      <c r="A63" s="143"/>
      <c r="B63" s="778" t="s">
        <v>0</v>
      </c>
      <c r="C63" s="779"/>
      <c r="D63" s="780"/>
      <c r="E63" s="603"/>
      <c r="F63" s="779" t="s">
        <v>1</v>
      </c>
      <c r="G63" s="779"/>
      <c r="H63" s="779"/>
      <c r="I63" s="605"/>
      <c r="J63" s="778" t="s">
        <v>2</v>
      </c>
      <c r="K63" s="779"/>
      <c r="L63" s="779"/>
      <c r="M63" s="605"/>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416"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607"/>
      <c r="F131" s="777"/>
      <c r="G131" s="777"/>
      <c r="H131" s="777"/>
      <c r="I131" s="607"/>
      <c r="J131" s="777"/>
      <c r="K131" s="777"/>
      <c r="L131" s="777"/>
      <c r="M131" s="607"/>
    </row>
    <row r="132" spans="1:14" s="3" customFormat="1" x14ac:dyDescent="0.2">
      <c r="A132" s="143"/>
      <c r="B132" s="778" t="s">
        <v>0</v>
      </c>
      <c r="C132" s="779"/>
      <c r="D132" s="779"/>
      <c r="E132" s="604"/>
      <c r="F132" s="778" t="s">
        <v>1</v>
      </c>
      <c r="G132" s="779"/>
      <c r="H132" s="779"/>
      <c r="I132" s="605"/>
      <c r="J132" s="778" t="s">
        <v>2</v>
      </c>
      <c r="K132" s="779"/>
      <c r="L132" s="779"/>
      <c r="M132" s="605"/>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1:D131"/>
    <mergeCell ref="F131:H131"/>
    <mergeCell ref="J131:L131"/>
    <mergeCell ref="B132:D132"/>
    <mergeCell ref="F132:H132"/>
    <mergeCell ref="J132:L132"/>
  </mergeCells>
  <conditionalFormatting sqref="B50:C52">
    <cfRule type="expression" dxfId="462" priority="59">
      <formula>kvartal &lt; 4</formula>
    </cfRule>
  </conditionalFormatting>
  <conditionalFormatting sqref="B116">
    <cfRule type="expression" dxfId="461" priority="42">
      <formula>kvartal &lt; 4</formula>
    </cfRule>
  </conditionalFormatting>
  <conditionalFormatting sqref="C116">
    <cfRule type="expression" dxfId="460" priority="41">
      <formula>kvartal &lt; 4</formula>
    </cfRule>
  </conditionalFormatting>
  <conditionalFormatting sqref="B124">
    <cfRule type="expression" dxfId="459" priority="40">
      <formula>kvartal &lt; 4</formula>
    </cfRule>
  </conditionalFormatting>
  <conditionalFormatting sqref="C124">
    <cfRule type="expression" dxfId="458" priority="39">
      <formula>kvartal &lt; 4</formula>
    </cfRule>
  </conditionalFormatting>
  <conditionalFormatting sqref="F116">
    <cfRule type="expression" dxfId="457" priority="28">
      <formula>kvartal &lt; 4</formula>
    </cfRule>
  </conditionalFormatting>
  <conditionalFormatting sqref="G116">
    <cfRule type="expression" dxfId="456" priority="27">
      <formula>kvartal &lt; 4</formula>
    </cfRule>
  </conditionalFormatting>
  <conditionalFormatting sqref="F124:G124">
    <cfRule type="expression" dxfId="455" priority="26">
      <formula>kvartal &lt; 4</formula>
    </cfRule>
  </conditionalFormatting>
  <conditionalFormatting sqref="J116:K116">
    <cfRule type="expression" dxfId="454" priority="9">
      <formula>kvartal &lt; 4</formula>
    </cfRule>
  </conditionalFormatting>
  <conditionalFormatting sqref="J124:K124">
    <cfRule type="expression" dxfId="453" priority="8">
      <formula>kvartal &lt; 4</formula>
    </cfRule>
  </conditionalFormatting>
  <conditionalFormatting sqref="A50:A52">
    <cfRule type="expression" dxfId="452" priority="7">
      <formula>kvartal &lt; 4</formula>
    </cfRule>
  </conditionalFormatting>
  <conditionalFormatting sqref="A69:A74">
    <cfRule type="expression" dxfId="451" priority="6">
      <formula>kvartal &lt; 4</formula>
    </cfRule>
  </conditionalFormatting>
  <conditionalFormatting sqref="A80:A85">
    <cfRule type="expression" dxfId="450" priority="5">
      <formula>kvartal &lt; 4</formula>
    </cfRule>
  </conditionalFormatting>
  <conditionalFormatting sqref="A90:A95">
    <cfRule type="expression" dxfId="449" priority="4">
      <formula>kvartal &lt; 4</formula>
    </cfRule>
  </conditionalFormatting>
  <conditionalFormatting sqref="A102:A107">
    <cfRule type="expression" dxfId="448" priority="3">
      <formula>kvartal &lt; 4</formula>
    </cfRule>
  </conditionalFormatting>
  <conditionalFormatting sqref="A116">
    <cfRule type="expression" dxfId="447" priority="2">
      <formula>kvartal &lt; 4</formula>
    </cfRule>
  </conditionalFormatting>
  <conditionalFormatting sqref="A124">
    <cfRule type="expression" dxfId="446" priority="1">
      <formula>kvartal &lt; 4</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1"/>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505" customWidth="1"/>
    <col min="2" max="46" width="11.7109375" style="505" customWidth="1"/>
    <col min="47" max="16384" width="11.42578125" style="505"/>
  </cols>
  <sheetData>
    <row r="1" spans="1:46" ht="20.25" x14ac:dyDescent="0.3">
      <c r="A1" s="503" t="s">
        <v>284</v>
      </c>
      <c r="B1" s="469" t="s">
        <v>52</v>
      </c>
      <c r="C1" s="504"/>
      <c r="D1" s="504"/>
      <c r="H1" s="504"/>
      <c r="I1" s="504"/>
      <c r="J1" s="504"/>
      <c r="K1" s="504"/>
      <c r="L1" s="504"/>
      <c r="M1" s="504"/>
      <c r="N1" s="504"/>
      <c r="O1" s="504"/>
      <c r="P1" s="504"/>
    </row>
    <row r="2" spans="1:46" ht="20.25" x14ac:dyDescent="0.3">
      <c r="A2" s="503" t="s">
        <v>255</v>
      </c>
      <c r="B2" s="506"/>
      <c r="C2" s="506"/>
      <c r="D2" s="506"/>
      <c r="E2" s="709"/>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row>
    <row r="3" spans="1:46" ht="18.75" x14ac:dyDescent="0.3">
      <c r="A3" s="507" t="s">
        <v>285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row>
    <row r="4" spans="1:46" ht="18.75" customHeight="1" x14ac:dyDescent="0.25">
      <c r="A4" s="475" t="s">
        <v>430</v>
      </c>
      <c r="B4" s="509"/>
      <c r="C4" s="509"/>
      <c r="D4" s="510"/>
      <c r="E4" s="513"/>
      <c r="F4" s="512"/>
      <c r="G4" s="514"/>
      <c r="H4" s="511"/>
      <c r="I4" s="509"/>
      <c r="J4" s="510"/>
      <c r="K4" s="511"/>
      <c r="L4" s="509"/>
      <c r="M4" s="510"/>
      <c r="N4" s="511"/>
      <c r="O4" s="509"/>
      <c r="P4" s="510"/>
      <c r="Q4" s="512"/>
      <c r="R4" s="512"/>
      <c r="S4" s="512"/>
      <c r="T4" s="513"/>
      <c r="U4" s="512"/>
      <c r="V4" s="514"/>
      <c r="W4" s="513"/>
      <c r="X4" s="512"/>
      <c r="Y4" s="514"/>
      <c r="Z4" s="513"/>
      <c r="AA4" s="512"/>
      <c r="AB4" s="514"/>
      <c r="AC4" s="513"/>
      <c r="AD4" s="512"/>
      <c r="AE4" s="514"/>
      <c r="AF4" s="513"/>
      <c r="AG4" s="512"/>
      <c r="AH4" s="514"/>
      <c r="AI4" s="513"/>
      <c r="AJ4" s="512"/>
      <c r="AK4" s="514"/>
      <c r="AL4" s="513"/>
      <c r="AM4" s="512"/>
      <c r="AN4" s="514"/>
      <c r="AO4" s="515"/>
      <c r="AP4" s="516"/>
      <c r="AQ4" s="517"/>
      <c r="AR4" s="513"/>
      <c r="AS4" s="512"/>
      <c r="AT4" s="518"/>
    </row>
    <row r="5" spans="1:46" ht="18.75" customHeight="1" x14ac:dyDescent="0.3">
      <c r="A5" s="519" t="s">
        <v>100</v>
      </c>
      <c r="B5" s="792" t="s">
        <v>175</v>
      </c>
      <c r="C5" s="793"/>
      <c r="D5" s="794"/>
      <c r="E5" s="792" t="s">
        <v>176</v>
      </c>
      <c r="F5" s="793"/>
      <c r="G5" s="794"/>
      <c r="H5" s="792" t="s">
        <v>176</v>
      </c>
      <c r="I5" s="793"/>
      <c r="J5" s="794"/>
      <c r="K5" s="792" t="s">
        <v>403</v>
      </c>
      <c r="L5" s="793"/>
      <c r="M5" s="794"/>
      <c r="N5" s="792" t="s">
        <v>177</v>
      </c>
      <c r="O5" s="793"/>
      <c r="P5" s="794"/>
      <c r="Q5" s="792" t="s">
        <v>178</v>
      </c>
      <c r="R5" s="793"/>
      <c r="S5" s="794"/>
      <c r="T5" s="672" t="s">
        <v>179</v>
      </c>
      <c r="U5" s="673"/>
      <c r="V5" s="674"/>
      <c r="W5" s="692"/>
      <c r="X5" s="693"/>
      <c r="Y5" s="694"/>
      <c r="Z5" s="672"/>
      <c r="AA5" s="673"/>
      <c r="AB5" s="674"/>
      <c r="AC5" s="792" t="s">
        <v>180</v>
      </c>
      <c r="AD5" s="793"/>
      <c r="AE5" s="794"/>
      <c r="AF5" s="672"/>
      <c r="AG5" s="673"/>
      <c r="AH5" s="674"/>
      <c r="AI5" s="681"/>
      <c r="AJ5" s="682"/>
      <c r="AK5" s="683"/>
      <c r="AL5" s="792" t="s">
        <v>72</v>
      </c>
      <c r="AM5" s="793"/>
      <c r="AN5" s="794"/>
      <c r="AO5" s="795" t="s">
        <v>2</v>
      </c>
      <c r="AP5" s="796"/>
      <c r="AQ5" s="797"/>
      <c r="AR5" s="792" t="s">
        <v>286</v>
      </c>
      <c r="AS5" s="793"/>
      <c r="AT5" s="794"/>
    </row>
    <row r="6" spans="1:46" ht="21" customHeight="1" x14ac:dyDescent="0.3">
      <c r="A6" s="520"/>
      <c r="B6" s="786" t="s">
        <v>181</v>
      </c>
      <c r="C6" s="787"/>
      <c r="D6" s="788"/>
      <c r="E6" s="786" t="s">
        <v>427</v>
      </c>
      <c r="F6" s="787"/>
      <c r="G6" s="788"/>
      <c r="H6" s="786" t="s">
        <v>182</v>
      </c>
      <c r="I6" s="787"/>
      <c r="J6" s="788"/>
      <c r="K6" s="786" t="s">
        <v>182</v>
      </c>
      <c r="L6" s="787"/>
      <c r="M6" s="788"/>
      <c r="N6" s="786" t="s">
        <v>182</v>
      </c>
      <c r="O6" s="787"/>
      <c r="P6" s="788"/>
      <c r="Q6" s="786" t="s">
        <v>183</v>
      </c>
      <c r="R6" s="787"/>
      <c r="S6" s="788"/>
      <c r="T6" s="786" t="s">
        <v>90</v>
      </c>
      <c r="U6" s="787"/>
      <c r="V6" s="788"/>
      <c r="W6" s="786" t="s">
        <v>63</v>
      </c>
      <c r="X6" s="787"/>
      <c r="Y6" s="788"/>
      <c r="Z6" s="786" t="s">
        <v>65</v>
      </c>
      <c r="AA6" s="787"/>
      <c r="AB6" s="788"/>
      <c r="AC6" s="786" t="s">
        <v>181</v>
      </c>
      <c r="AD6" s="787"/>
      <c r="AE6" s="788"/>
      <c r="AF6" s="786" t="s">
        <v>71</v>
      </c>
      <c r="AG6" s="787"/>
      <c r="AH6" s="788"/>
      <c r="AI6" s="786" t="s">
        <v>67</v>
      </c>
      <c r="AJ6" s="787"/>
      <c r="AK6" s="788"/>
      <c r="AL6" s="786" t="s">
        <v>182</v>
      </c>
      <c r="AM6" s="787"/>
      <c r="AN6" s="788"/>
      <c r="AO6" s="789" t="s">
        <v>287</v>
      </c>
      <c r="AP6" s="790"/>
      <c r="AQ6" s="791"/>
      <c r="AR6" s="786" t="s">
        <v>288</v>
      </c>
      <c r="AS6" s="787"/>
      <c r="AT6" s="788"/>
    </row>
    <row r="7" spans="1:46" ht="18.75" customHeight="1" x14ac:dyDescent="0.3">
      <c r="A7" s="520"/>
      <c r="B7" s="519"/>
      <c r="C7" s="519"/>
      <c r="D7" s="521" t="s">
        <v>80</v>
      </c>
      <c r="E7" s="519"/>
      <c r="F7" s="519"/>
      <c r="G7" s="521" t="s">
        <v>80</v>
      </c>
      <c r="H7" s="519"/>
      <c r="I7" s="519"/>
      <c r="J7" s="521" t="s">
        <v>80</v>
      </c>
      <c r="K7" s="519"/>
      <c r="L7" s="519"/>
      <c r="M7" s="521" t="s">
        <v>80</v>
      </c>
      <c r="N7" s="519"/>
      <c r="O7" s="519"/>
      <c r="P7" s="521" t="s">
        <v>80</v>
      </c>
      <c r="Q7" s="519"/>
      <c r="R7" s="519"/>
      <c r="S7" s="521" t="s">
        <v>80</v>
      </c>
      <c r="T7" s="519"/>
      <c r="U7" s="519"/>
      <c r="V7" s="521" t="s">
        <v>80</v>
      </c>
      <c r="W7" s="519"/>
      <c r="X7" s="519"/>
      <c r="Y7" s="521" t="s">
        <v>80</v>
      </c>
      <c r="Z7" s="519"/>
      <c r="AA7" s="519"/>
      <c r="AB7" s="521" t="s">
        <v>80</v>
      </c>
      <c r="AC7" s="519"/>
      <c r="AD7" s="519"/>
      <c r="AE7" s="521" t="s">
        <v>80</v>
      </c>
      <c r="AF7" s="519"/>
      <c r="AG7" s="519"/>
      <c r="AH7" s="521" t="s">
        <v>80</v>
      </c>
      <c r="AI7" s="519"/>
      <c r="AJ7" s="519"/>
      <c r="AK7" s="521" t="s">
        <v>80</v>
      </c>
      <c r="AL7" s="519"/>
      <c r="AM7" s="519"/>
      <c r="AN7" s="521" t="s">
        <v>80</v>
      </c>
      <c r="AO7" s="519"/>
      <c r="AP7" s="519"/>
      <c r="AQ7" s="521" t="s">
        <v>80</v>
      </c>
      <c r="AR7" s="519"/>
      <c r="AS7" s="519"/>
      <c r="AT7" s="521" t="s">
        <v>80</v>
      </c>
    </row>
    <row r="8" spans="1:46" ht="18.75" customHeight="1" x14ac:dyDescent="0.25">
      <c r="A8" s="522" t="s">
        <v>289</v>
      </c>
      <c r="B8" s="641">
        <v>2020</v>
      </c>
      <c r="C8" s="641">
        <v>2021</v>
      </c>
      <c r="D8" s="523" t="s">
        <v>82</v>
      </c>
      <c r="E8" s="641">
        <f>$B$8</f>
        <v>2020</v>
      </c>
      <c r="F8" s="641">
        <f>$C$8</f>
        <v>2021</v>
      </c>
      <c r="G8" s="523" t="s">
        <v>82</v>
      </c>
      <c r="H8" s="641">
        <f>$B$8</f>
        <v>2020</v>
      </c>
      <c r="I8" s="641">
        <f>$C$8</f>
        <v>2021</v>
      </c>
      <c r="J8" s="523" t="s">
        <v>82</v>
      </c>
      <c r="K8" s="641">
        <f>$B$8</f>
        <v>2020</v>
      </c>
      <c r="L8" s="641">
        <f>$C$8</f>
        <v>2021</v>
      </c>
      <c r="M8" s="523" t="s">
        <v>82</v>
      </c>
      <c r="N8" s="641">
        <f>$B$8</f>
        <v>2020</v>
      </c>
      <c r="O8" s="641">
        <f>$C$8</f>
        <v>2021</v>
      </c>
      <c r="P8" s="523" t="s">
        <v>82</v>
      </c>
      <c r="Q8" s="641">
        <f>$B$8</f>
        <v>2020</v>
      </c>
      <c r="R8" s="641">
        <f>$C$8</f>
        <v>2021</v>
      </c>
      <c r="S8" s="523" t="s">
        <v>82</v>
      </c>
      <c r="T8" s="641">
        <f>$B$8</f>
        <v>2020</v>
      </c>
      <c r="U8" s="641">
        <f>$C$8</f>
        <v>2021</v>
      </c>
      <c r="V8" s="523" t="s">
        <v>82</v>
      </c>
      <c r="W8" s="641">
        <f>$B$8</f>
        <v>2020</v>
      </c>
      <c r="X8" s="641">
        <f>$C$8</f>
        <v>2021</v>
      </c>
      <c r="Y8" s="523" t="s">
        <v>82</v>
      </c>
      <c r="Z8" s="641">
        <f>$B$8</f>
        <v>2020</v>
      </c>
      <c r="AA8" s="641">
        <f>$C$8</f>
        <v>2021</v>
      </c>
      <c r="AB8" s="523" t="s">
        <v>82</v>
      </c>
      <c r="AC8" s="641">
        <f>$B$8</f>
        <v>2020</v>
      </c>
      <c r="AD8" s="641">
        <f>$C$8</f>
        <v>2021</v>
      </c>
      <c r="AE8" s="523" t="s">
        <v>82</v>
      </c>
      <c r="AF8" s="641">
        <f>$B$8</f>
        <v>2020</v>
      </c>
      <c r="AG8" s="641">
        <f>$C$8</f>
        <v>2021</v>
      </c>
      <c r="AH8" s="523" t="s">
        <v>82</v>
      </c>
      <c r="AI8" s="641">
        <f>$B$8</f>
        <v>2020</v>
      </c>
      <c r="AJ8" s="641">
        <f>$C$8</f>
        <v>2021</v>
      </c>
      <c r="AK8" s="523" t="s">
        <v>82</v>
      </c>
      <c r="AL8" s="641">
        <f>$B$8</f>
        <v>2020</v>
      </c>
      <c r="AM8" s="641">
        <f>$C$8</f>
        <v>2021</v>
      </c>
      <c r="AN8" s="523" t="s">
        <v>82</v>
      </c>
      <c r="AO8" s="641">
        <f>$B$8</f>
        <v>2020</v>
      </c>
      <c r="AP8" s="641">
        <f>$C$8</f>
        <v>2021</v>
      </c>
      <c r="AQ8" s="523" t="s">
        <v>82</v>
      </c>
      <c r="AR8" s="641">
        <f>$B$8</f>
        <v>2020</v>
      </c>
      <c r="AS8" s="641">
        <f>$C$8</f>
        <v>2021</v>
      </c>
      <c r="AT8" s="523" t="s">
        <v>82</v>
      </c>
    </row>
    <row r="9" spans="1:46" ht="18.75" customHeight="1" x14ac:dyDescent="0.3">
      <c r="A9" s="520" t="s">
        <v>290</v>
      </c>
      <c r="B9" s="611"/>
      <c r="C9" s="587"/>
      <c r="D9" s="525"/>
      <c r="E9" s="611"/>
      <c r="F9" s="611"/>
      <c r="G9" s="525"/>
      <c r="H9" s="611"/>
      <c r="I9" s="587"/>
      <c r="J9" s="525"/>
      <c r="K9" s="611"/>
      <c r="L9" s="587"/>
      <c r="M9" s="525"/>
      <c r="N9" s="611"/>
      <c r="O9" s="587"/>
      <c r="P9" s="525"/>
      <c r="Q9" s="611"/>
      <c r="R9" s="587"/>
      <c r="S9" s="524"/>
      <c r="T9" s="658"/>
      <c r="U9" s="526"/>
      <c r="V9" s="525"/>
      <c r="W9" s="646"/>
      <c r="X9" s="587"/>
      <c r="Y9" s="525"/>
      <c r="Z9" s="611"/>
      <c r="AA9" s="587"/>
      <c r="AB9" s="525"/>
      <c r="AC9" s="646"/>
      <c r="AD9" s="589"/>
      <c r="AE9" s="525"/>
      <c r="AF9" s="611"/>
      <c r="AG9" s="587"/>
      <c r="AH9" s="525"/>
      <c r="AI9" s="611"/>
      <c r="AJ9" s="587"/>
      <c r="AK9" s="525"/>
      <c r="AL9" s="611"/>
      <c r="AM9" s="587"/>
      <c r="AN9" s="525"/>
      <c r="AO9" s="525"/>
      <c r="AP9" s="525"/>
      <c r="AQ9" s="525"/>
      <c r="AR9" s="527"/>
      <c r="AS9" s="527"/>
      <c r="AT9" s="527"/>
    </row>
    <row r="10" spans="1:46" s="506" customFormat="1" ht="18.75" customHeight="1" x14ac:dyDescent="0.3">
      <c r="A10" s="528" t="s">
        <v>291</v>
      </c>
      <c r="B10" s="612"/>
      <c r="C10" s="434"/>
      <c r="D10" s="530"/>
      <c r="E10" s="612"/>
      <c r="F10" s="434"/>
      <c r="G10" s="530"/>
      <c r="H10" s="612"/>
      <c r="I10" s="434"/>
      <c r="J10" s="530"/>
      <c r="K10" s="612"/>
      <c r="L10" s="434"/>
      <c r="M10" s="530"/>
      <c r="N10" s="612"/>
      <c r="O10" s="434"/>
      <c r="P10" s="530"/>
      <c r="Q10" s="612"/>
      <c r="R10" s="434"/>
      <c r="S10" s="529"/>
      <c r="T10" s="649"/>
      <c r="U10" s="531"/>
      <c r="V10" s="530"/>
      <c r="W10" s="613"/>
      <c r="X10" s="434"/>
      <c r="Y10" s="530"/>
      <c r="Z10" s="612"/>
      <c r="AA10" s="434"/>
      <c r="AB10" s="530"/>
      <c r="AC10" s="613"/>
      <c r="AD10" s="336"/>
      <c r="AE10" s="530"/>
      <c r="AF10" s="612"/>
      <c r="AG10" s="434"/>
      <c r="AH10" s="530"/>
      <c r="AI10" s="612"/>
      <c r="AJ10" s="434"/>
      <c r="AK10" s="530"/>
      <c r="AL10" s="612"/>
      <c r="AM10" s="434"/>
      <c r="AN10" s="530"/>
      <c r="AO10" s="530"/>
      <c r="AP10" s="530"/>
      <c r="AQ10" s="530"/>
      <c r="AR10" s="532"/>
      <c r="AS10" s="532"/>
      <c r="AT10" s="532"/>
    </row>
    <row r="11" spans="1:46" s="506" customFormat="1" ht="18.75" customHeight="1" x14ac:dyDescent="0.3">
      <c r="A11" s="528" t="s">
        <v>292</v>
      </c>
      <c r="B11" s="613">
        <f>1265.424+0.547</f>
        <v>1265.971</v>
      </c>
      <c r="C11" s="336">
        <f>1385.969-5.779</f>
        <v>1380.19</v>
      </c>
      <c r="D11" s="530">
        <f t="shared" ref="D11:D16" si="0">IF(B11=0, "    ---- ", IF(ABS(ROUND(100/B11*C11-100,1))&lt;999,ROUND(100/B11*C11-100,1),IF(ROUND(100/B11*C11-100,1)&gt;999,999,-999)))</f>
        <v>9</v>
      </c>
      <c r="E11" s="613">
        <v>360.70299999999997</v>
      </c>
      <c r="F11" s="336"/>
      <c r="G11" s="530">
        <f t="shared" ref="G11:G30" si="1">IF(E11=0, "    ---- ", IF(ABS(ROUND(100/E11*F11-100,1))&lt;999,ROUND(100/E11*F11-100,1),IF(ROUND(100/E11*F11-100,1)&gt;999,999,-999)))</f>
        <v>-100</v>
      </c>
      <c r="H11" s="613">
        <v>7526.7470000000003</v>
      </c>
      <c r="I11" s="336">
        <v>8342.0002736700008</v>
      </c>
      <c r="J11" s="530">
        <f t="shared" ref="J11:J17" si="2">IF(H11=0, "    ---- ", IF(ABS(ROUND(100/H11*I11-100,1))&lt;999,ROUND(100/H11*I11-100,1),IF(ROUND(100/H11*I11-100,1)&gt;999,999,-999)))</f>
        <v>10.8</v>
      </c>
      <c r="K11" s="613">
        <v>1717.5943964099997</v>
      </c>
      <c r="L11" s="336">
        <v>1797.52670947</v>
      </c>
      <c r="M11" s="530">
        <f t="shared" ref="M11:M17" si="3">IF(K11=0, "    ---- ", IF(ABS(ROUND(100/K11*L11-100,1))&lt;999,ROUND(100/K11*L11-100,1),IF(ROUND(100/K11*L11-100,1)&gt;999,999,-999)))</f>
        <v>4.7</v>
      </c>
      <c r="N11" s="613">
        <v>815.11199999999997</v>
      </c>
      <c r="O11" s="336">
        <v>563.99099999999999</v>
      </c>
      <c r="P11" s="530">
        <f t="shared" ref="P11:P17" si="4">IF(N11=0, "    ---- ", IF(ABS(ROUND(100/N11*O11-100,1))&lt;999,ROUND(100/N11*O11-100,1),IF(ROUND(100/N11*O11-100,1)&gt;999,999,-999)))</f>
        <v>-30.8</v>
      </c>
      <c r="Q11" s="613">
        <v>1942.1</v>
      </c>
      <c r="R11" s="336">
        <v>2209</v>
      </c>
      <c r="S11" s="530">
        <f t="shared" ref="S11:S17" si="5">IF(Q11=0, "    ---- ", IF(ABS(ROUND(100/Q11*R11-100,1))&lt;999,ROUND(100/Q11*R11-100,1),IF(ROUND(100/Q11*R11-100,1)&gt;999,999,-999)))</f>
        <v>13.7</v>
      </c>
      <c r="T11" s="613">
        <v>17.6440299</v>
      </c>
      <c r="U11" s="336">
        <v>17.481722049999998</v>
      </c>
      <c r="V11" s="530">
        <f>IF(T11=0, "    ---- ", IF(ABS(ROUND(100/T11*U11-100,1))&lt;999,ROUND(100/T11*U11-100,1),IF(ROUND(100/T11*U11-100,1)&gt;999,999,-999)))</f>
        <v>-0.9</v>
      </c>
      <c r="W11" s="613">
        <v>14258.498093959999</v>
      </c>
      <c r="X11" s="336">
        <v>33633.640321949999</v>
      </c>
      <c r="Y11" s="530">
        <f t="shared" ref="Y11:Y17" si="6">IF(W11=0, "    ---- ", IF(ABS(ROUND(100/W11*X11-100,1))&lt;999,ROUND(100/W11*X11-100,1),IF(ROUND(100/W11*X11-100,1)&gt;999,999,-999)))</f>
        <v>135.9</v>
      </c>
      <c r="Z11" s="613">
        <v>6862.6</v>
      </c>
      <c r="AA11" s="336">
        <v>10187.92</v>
      </c>
      <c r="AB11" s="530">
        <f t="shared" ref="AB11:AB17" si="7">IF(Z11=0, "    ---- ", IF(ABS(ROUND(100/Z11*AA11-100,1))&lt;999,ROUND(100/Z11*AA11-100,1),IF(ROUND(100/Z11*AA11-100,1)&gt;999,999,-999)))</f>
        <v>48.5</v>
      </c>
      <c r="AC11" s="613">
        <v>1571</v>
      </c>
      <c r="AD11" s="336">
        <v>2128</v>
      </c>
      <c r="AE11" s="530">
        <f t="shared" ref="AE11:AE17" si="8">IF(AC11=0, "    ---- ", IF(ABS(ROUND(100/AC11*AD11-100,1))&lt;999,ROUND(100/AC11*AD11-100,1),IF(ROUND(100/AC11*AD11-100,1)&gt;999,999,-999)))</f>
        <v>35.5</v>
      </c>
      <c r="AF11" s="613">
        <v>67.197383549999998</v>
      </c>
      <c r="AG11" s="336">
        <v>83.074449900000005</v>
      </c>
      <c r="AH11" s="530">
        <f t="shared" ref="AH11:AH16" si="9">IF(AF11=0, "    ---- ", IF(ABS(ROUND(100/AF11*AG11-100,1))&lt;999,ROUND(100/AF11*AG11-100,1),IF(ROUND(100/AF11*AG11-100,1)&gt;999,999,-999)))</f>
        <v>23.6</v>
      </c>
      <c r="AI11" s="613">
        <v>2744.3084134399996</v>
      </c>
      <c r="AJ11" s="336">
        <v>3136.00519102</v>
      </c>
      <c r="AK11" s="530">
        <f t="shared" ref="AK11:AK17" si="10">IF(AI11=0, "    ---- ", IF(ABS(ROUND(100/AI11*AJ11-100,1))&lt;999,ROUND(100/AI11*AJ11-100,1),IF(ROUND(100/AI11*AJ11-100,1)&gt;999,999,-999)))</f>
        <v>14.3</v>
      </c>
      <c r="AL11" s="613">
        <v>10014</v>
      </c>
      <c r="AM11" s="336">
        <v>10446</v>
      </c>
      <c r="AN11" s="530">
        <f t="shared" ref="AN11:AN17" si="11">IF(AL11=0, "    ---- ", IF(ABS(ROUND(100/AL11*AM11-100,1))&lt;999,ROUND(100/AL11*AM11-100,1),IF(ROUND(100/AL11*AM11-100,1)&gt;999,999,-999)))</f>
        <v>4.3</v>
      </c>
      <c r="AO11" s="530">
        <f t="shared" ref="AO11:AP17" si="12">B11+H11+K11+N11+Q11+W11+E11+Z11+AC11+AI11+AL11</f>
        <v>49078.633903809998</v>
      </c>
      <c r="AP11" s="530">
        <f t="shared" si="12"/>
        <v>73824.273496109992</v>
      </c>
      <c r="AQ11" s="530">
        <f t="shared" ref="AQ11:AQ45" si="13">IF(AO11=0, "    ---- ", IF(ABS(ROUND(100/AO11*AP11-100,1))&lt;999,ROUND(100/AO11*AP11-100,1),IF(ROUND(100/AO11*AP11-100,1)&gt;999,999,-999)))</f>
        <v>50.4</v>
      </c>
      <c r="AR11" s="533">
        <f t="shared" ref="AR11:AS17" si="14">+B11+H11+K11+N11+Q11+T11+W11+E11+Z11+AC11+AF11+AI11+AL11</f>
        <v>49163.475317260003</v>
      </c>
      <c r="AS11" s="533">
        <f t="shared" si="14"/>
        <v>73924.829668060003</v>
      </c>
      <c r="AT11" s="530">
        <f t="shared" ref="AT11:AT17" si="15">IF(AR11=0, "    ---- ", IF(ABS(ROUND(100/AR11*AS11-100,1))&lt;999,ROUND(100/AR11*AS11-100,1),IF(ROUND(100/AR11*AS11-100,1)&gt;999,999,-999)))</f>
        <v>50.4</v>
      </c>
    </row>
    <row r="12" spans="1:46" s="506" customFormat="1" ht="18.75" customHeight="1" x14ac:dyDescent="0.3">
      <c r="A12" s="528" t="s">
        <v>293</v>
      </c>
      <c r="B12" s="613">
        <v>-58.85</v>
      </c>
      <c r="C12" s="336">
        <v>-60.652999999999999</v>
      </c>
      <c r="D12" s="530">
        <f t="shared" si="0"/>
        <v>3.1</v>
      </c>
      <c r="E12" s="613"/>
      <c r="F12" s="336"/>
      <c r="G12" s="530"/>
      <c r="H12" s="613">
        <v>-196.34399999999999</v>
      </c>
      <c r="I12" s="336">
        <v>-200.44635252</v>
      </c>
      <c r="J12" s="530">
        <f t="shared" si="2"/>
        <v>2.1</v>
      </c>
      <c r="K12" s="613">
        <v>-96.909164049999987</v>
      </c>
      <c r="L12" s="336">
        <v>-85.070087299999997</v>
      </c>
      <c r="M12" s="530">
        <f t="shared" si="3"/>
        <v>-12.2</v>
      </c>
      <c r="N12" s="613">
        <v>-0.67900000000000005</v>
      </c>
      <c r="O12" s="336">
        <v>-12.396000000000001</v>
      </c>
      <c r="P12" s="530">
        <f t="shared" si="4"/>
        <v>999</v>
      </c>
      <c r="Q12" s="613">
        <v>-42.2</v>
      </c>
      <c r="R12" s="336">
        <v>-43</v>
      </c>
      <c r="S12" s="530">
        <f t="shared" si="5"/>
        <v>1.9</v>
      </c>
      <c r="T12" s="613"/>
      <c r="U12" s="336"/>
      <c r="V12" s="530"/>
      <c r="W12" s="613"/>
      <c r="X12" s="336">
        <v>0</v>
      </c>
      <c r="Y12" s="530" t="str">
        <f t="shared" si="6"/>
        <v xml:space="preserve">    ---- </v>
      </c>
      <c r="Z12" s="613">
        <v>-46</v>
      </c>
      <c r="AA12" s="336">
        <v>-45</v>
      </c>
      <c r="AB12" s="530">
        <f t="shared" si="7"/>
        <v>-2.2000000000000002</v>
      </c>
      <c r="AC12" s="613">
        <v>-1</v>
      </c>
      <c r="AD12" s="336">
        <v>-1</v>
      </c>
      <c r="AE12" s="712">
        <f t="shared" si="8"/>
        <v>0</v>
      </c>
      <c r="AF12" s="613"/>
      <c r="AG12" s="336"/>
      <c r="AH12" s="530"/>
      <c r="AI12" s="613">
        <v>-2.5550000000000002</v>
      </c>
      <c r="AJ12" s="336">
        <v>-2.883</v>
      </c>
      <c r="AK12" s="530">
        <f t="shared" si="10"/>
        <v>12.8</v>
      </c>
      <c r="AL12" s="613">
        <v>-8</v>
      </c>
      <c r="AM12" s="336">
        <v>-6</v>
      </c>
      <c r="AN12" s="530">
        <f t="shared" si="11"/>
        <v>-25</v>
      </c>
      <c r="AO12" s="530">
        <f t="shared" si="12"/>
        <v>-452.53716404999994</v>
      </c>
      <c r="AP12" s="530">
        <f t="shared" si="12"/>
        <v>-456.44843982000003</v>
      </c>
      <c r="AQ12" s="530">
        <f t="shared" si="13"/>
        <v>0.9</v>
      </c>
      <c r="AR12" s="533">
        <f t="shared" si="14"/>
        <v>-452.53716404999994</v>
      </c>
      <c r="AS12" s="533">
        <f t="shared" si="14"/>
        <v>-456.44843982000003</v>
      </c>
      <c r="AT12" s="530">
        <f t="shared" si="15"/>
        <v>0.9</v>
      </c>
    </row>
    <row r="13" spans="1:46" s="506" customFormat="1" ht="18.75" customHeight="1" x14ac:dyDescent="0.3">
      <c r="A13" s="528" t="s">
        <v>294</v>
      </c>
      <c r="B13" s="613">
        <v>604.74400000000003</v>
      </c>
      <c r="C13" s="336">
        <v>2028.5930000000001</v>
      </c>
      <c r="D13" s="530">
        <f t="shared" si="0"/>
        <v>235.4</v>
      </c>
      <c r="E13" s="613">
        <v>210.011</v>
      </c>
      <c r="F13" s="336"/>
      <c r="G13" s="530">
        <f t="shared" si="1"/>
        <v>-100</v>
      </c>
      <c r="H13" s="613">
        <v>1512.7629999999999</v>
      </c>
      <c r="I13" s="336">
        <v>10636.012669539999</v>
      </c>
      <c r="J13" s="530">
        <f t="shared" si="2"/>
        <v>603.1</v>
      </c>
      <c r="K13" s="613"/>
      <c r="L13" s="336"/>
      <c r="M13" s="530"/>
      <c r="N13" s="613">
        <v>68.045000000000002</v>
      </c>
      <c r="O13" s="336"/>
      <c r="P13" s="530">
        <f t="shared" si="4"/>
        <v>-100</v>
      </c>
      <c r="Q13" s="613">
        <v>833.2</v>
      </c>
      <c r="R13" s="336">
        <v>3582</v>
      </c>
      <c r="S13" s="530">
        <f t="shared" si="5"/>
        <v>329.9</v>
      </c>
      <c r="T13" s="613"/>
      <c r="U13" s="336"/>
      <c r="V13" s="530"/>
      <c r="W13" s="613">
        <v>2865.2079699999999</v>
      </c>
      <c r="X13" s="336">
        <v>0</v>
      </c>
      <c r="Y13" s="530">
        <f t="shared" si="6"/>
        <v>-100</v>
      </c>
      <c r="Z13" s="613">
        <v>3627</v>
      </c>
      <c r="AA13" s="336">
        <v>5046</v>
      </c>
      <c r="AB13" s="530">
        <f t="shared" si="7"/>
        <v>39.1</v>
      </c>
      <c r="AC13" s="613">
        <v>0</v>
      </c>
      <c r="AD13" s="336">
        <v>14</v>
      </c>
      <c r="AE13" s="712" t="str">
        <f t="shared" si="8"/>
        <v xml:space="preserve">    ---- </v>
      </c>
      <c r="AF13" s="613">
        <v>59.396436000000001</v>
      </c>
      <c r="AG13" s="336">
        <v>62.222109000000003</v>
      </c>
      <c r="AH13" s="530">
        <f t="shared" si="9"/>
        <v>4.8</v>
      </c>
      <c r="AI13" s="613">
        <v>688.73329681000018</v>
      </c>
      <c r="AJ13" s="336">
        <v>4318.7586514899995</v>
      </c>
      <c r="AK13" s="530">
        <f t="shared" si="10"/>
        <v>527.1</v>
      </c>
      <c r="AL13" s="613">
        <v>4994</v>
      </c>
      <c r="AM13" s="336">
        <v>9991</v>
      </c>
      <c r="AN13" s="530">
        <f t="shared" si="11"/>
        <v>100.1</v>
      </c>
      <c r="AO13" s="530">
        <f t="shared" si="12"/>
        <v>15403.70426681</v>
      </c>
      <c r="AP13" s="530">
        <f t="shared" si="12"/>
        <v>35616.36432103</v>
      </c>
      <c r="AQ13" s="530">
        <f t="shared" si="13"/>
        <v>131.19999999999999</v>
      </c>
      <c r="AR13" s="533">
        <f t="shared" si="14"/>
        <v>15463.100702810001</v>
      </c>
      <c r="AS13" s="533">
        <f t="shared" si="14"/>
        <v>35678.586430030002</v>
      </c>
      <c r="AT13" s="530">
        <f t="shared" si="15"/>
        <v>130.69999999999999</v>
      </c>
    </row>
    <row r="14" spans="1:46" s="506" customFormat="1" ht="18.75" customHeight="1" x14ac:dyDescent="0.3">
      <c r="A14" s="528" t="s">
        <v>295</v>
      </c>
      <c r="B14" s="642">
        <f>SUM(B11:B13)</f>
        <v>1811.8650000000002</v>
      </c>
      <c r="C14" s="643">
        <f>SUM(C11:C13)</f>
        <v>3348.13</v>
      </c>
      <c r="D14" s="530">
        <f t="shared" si="0"/>
        <v>84.8</v>
      </c>
      <c r="E14" s="612">
        <f>SUM(E11:E13)</f>
        <v>570.71399999999994</v>
      </c>
      <c r="F14" s="434"/>
      <c r="G14" s="530">
        <f t="shared" si="1"/>
        <v>-100</v>
      </c>
      <c r="H14" s="612">
        <f>SUM(H11:H13)</f>
        <v>8843.1660000000011</v>
      </c>
      <c r="I14" s="434">
        <f>SUM(I11:I13)</f>
        <v>18777.566590689999</v>
      </c>
      <c r="J14" s="530">
        <f t="shared" si="2"/>
        <v>112.3</v>
      </c>
      <c r="K14" s="612">
        <f>SUM(K11:K13)</f>
        <v>1620.6852323599996</v>
      </c>
      <c r="L14" s="434">
        <f>SUM(L11:L13)</f>
        <v>1712.4566221699999</v>
      </c>
      <c r="M14" s="530">
        <f t="shared" si="3"/>
        <v>5.7</v>
      </c>
      <c r="N14" s="612">
        <f>SUM(N11:N13)</f>
        <v>882.47799999999995</v>
      </c>
      <c r="O14" s="434">
        <f>SUM(O11:O13)</f>
        <v>551.59500000000003</v>
      </c>
      <c r="P14" s="530">
        <f t="shared" si="4"/>
        <v>-37.5</v>
      </c>
      <c r="Q14" s="612">
        <f>SUM(Q11:Q13)</f>
        <v>2733.1</v>
      </c>
      <c r="R14" s="434">
        <f>SUM(R11:R13)</f>
        <v>5748</v>
      </c>
      <c r="S14" s="530">
        <f t="shared" si="5"/>
        <v>110.3</v>
      </c>
      <c r="T14" s="612">
        <f>SUM(T11:T13)</f>
        <v>17.6440299</v>
      </c>
      <c r="U14" s="434">
        <f>SUM(U11:U13)</f>
        <v>17.481722049999998</v>
      </c>
      <c r="V14" s="530">
        <f>IF(T14=0, "    ---- ", IF(ABS(ROUND(100/T14*U14-100,1))&lt;999,ROUND(100/T14*U14-100,1),IF(ROUND(100/T14*U14-100,1)&gt;999,999,-999)))</f>
        <v>-0.9</v>
      </c>
      <c r="W14" s="612">
        <v>17123.706063959999</v>
      </c>
      <c r="X14" s="434">
        <v>33633.640321949999</v>
      </c>
      <c r="Y14" s="530">
        <f t="shared" si="6"/>
        <v>96.4</v>
      </c>
      <c r="Z14" s="612">
        <f>SUM(Z11:Z13)</f>
        <v>10443.6</v>
      </c>
      <c r="AA14" s="434">
        <f>SUM(AA11:AA13)</f>
        <v>15188.92</v>
      </c>
      <c r="AB14" s="530">
        <f t="shared" si="7"/>
        <v>45.4</v>
      </c>
      <c r="AC14" s="612">
        <f>SUM(AC11:AC13)</f>
        <v>1570</v>
      </c>
      <c r="AD14" s="434">
        <f>SUM(AD11:AD13)</f>
        <v>2141</v>
      </c>
      <c r="AE14" s="530">
        <f t="shared" si="8"/>
        <v>36.4</v>
      </c>
      <c r="AF14" s="612">
        <f>SUM(AF11:AF13)</f>
        <v>126.59381955000001</v>
      </c>
      <c r="AG14" s="434">
        <f>SUM(AG11:AG13)</f>
        <v>145.29655890000001</v>
      </c>
      <c r="AH14" s="530">
        <f t="shared" si="9"/>
        <v>14.8</v>
      </c>
      <c r="AI14" s="612">
        <f>SUM(AI11:AI13)</f>
        <v>3430.4867102500002</v>
      </c>
      <c r="AJ14" s="434">
        <f>SUM(AJ11:AJ13)</f>
        <v>7451.8808425099996</v>
      </c>
      <c r="AK14" s="530">
        <f t="shared" si="10"/>
        <v>117.2</v>
      </c>
      <c r="AL14" s="612">
        <f>SUM(AL11:AL13)</f>
        <v>15000</v>
      </c>
      <c r="AM14" s="434">
        <f>SUM(AM11:AM13)</f>
        <v>20431</v>
      </c>
      <c r="AN14" s="530">
        <f t="shared" si="11"/>
        <v>36.200000000000003</v>
      </c>
      <c r="AO14" s="530">
        <f t="shared" si="12"/>
        <v>64029.801006569993</v>
      </c>
      <c r="AP14" s="530">
        <f t="shared" si="12"/>
        <v>108984.18937732</v>
      </c>
      <c r="AQ14" s="530">
        <f t="shared" si="13"/>
        <v>70.2</v>
      </c>
      <c r="AR14" s="533">
        <f t="shared" si="14"/>
        <v>64174.038856019994</v>
      </c>
      <c r="AS14" s="533">
        <f t="shared" si="14"/>
        <v>109146.96765826999</v>
      </c>
      <c r="AT14" s="530">
        <f t="shared" si="15"/>
        <v>70.099999999999994</v>
      </c>
    </row>
    <row r="15" spans="1:46" s="506" customFormat="1" ht="18.75" customHeight="1" x14ac:dyDescent="0.3">
      <c r="A15" s="528" t="s">
        <v>296</v>
      </c>
      <c r="B15" s="194">
        <v>28.352</v>
      </c>
      <c r="C15" s="444">
        <v>6.3520000000000003</v>
      </c>
      <c r="D15" s="530">
        <f t="shared" si="0"/>
        <v>-77.599999999999994</v>
      </c>
      <c r="E15" s="194">
        <v>6.2119999999999997</v>
      </c>
      <c r="F15" s="444"/>
      <c r="G15" s="530">
        <f t="shared" si="1"/>
        <v>-100</v>
      </c>
      <c r="H15" s="194">
        <v>-2046.6210000000001</v>
      </c>
      <c r="I15" s="444">
        <v>4304.0444400499991</v>
      </c>
      <c r="J15" s="530">
        <f t="shared" si="2"/>
        <v>-310.3</v>
      </c>
      <c r="K15" s="647">
        <v>80.608414219999986</v>
      </c>
      <c r="L15" s="590">
        <v>49.402295670000001</v>
      </c>
      <c r="M15" s="530">
        <f t="shared" si="3"/>
        <v>-38.700000000000003</v>
      </c>
      <c r="N15" s="647">
        <v>6.1429999999999998</v>
      </c>
      <c r="O15" s="590">
        <v>34.645000000000003</v>
      </c>
      <c r="P15" s="530">
        <f t="shared" si="4"/>
        <v>464</v>
      </c>
      <c r="Q15" s="194">
        <v>37.9</v>
      </c>
      <c r="R15" s="444">
        <v>145</v>
      </c>
      <c r="S15" s="530">
        <f t="shared" si="5"/>
        <v>282.60000000000002</v>
      </c>
      <c r="T15" s="639"/>
      <c r="U15" s="588"/>
      <c r="V15" s="530"/>
      <c r="W15" s="194">
        <v>-2658.1925992500001</v>
      </c>
      <c r="X15" s="444">
        <v>26258.92207103</v>
      </c>
      <c r="Y15" s="530">
        <f t="shared" si="6"/>
        <v>-999</v>
      </c>
      <c r="Z15" s="194">
        <v>343.62</v>
      </c>
      <c r="AA15" s="444">
        <v>2313.12</v>
      </c>
      <c r="AB15" s="530">
        <f t="shared" si="7"/>
        <v>573.20000000000005</v>
      </c>
      <c r="AC15" s="194">
        <v>861</v>
      </c>
      <c r="AD15" s="444">
        <v>6310</v>
      </c>
      <c r="AE15" s="530">
        <f t="shared" si="8"/>
        <v>632.9</v>
      </c>
      <c r="AF15" s="639"/>
      <c r="AG15" s="588"/>
      <c r="AH15" s="530"/>
      <c r="AI15" s="651">
        <v>-104.66657224000001</v>
      </c>
      <c r="AJ15" s="535">
        <v>899.80529314999967</v>
      </c>
      <c r="AK15" s="530">
        <f t="shared" si="10"/>
        <v>-959.7</v>
      </c>
      <c r="AL15" s="194">
        <v>5104</v>
      </c>
      <c r="AM15" s="444">
        <v>3739</v>
      </c>
      <c r="AN15" s="530">
        <f t="shared" si="11"/>
        <v>-26.7</v>
      </c>
      <c r="AO15" s="530">
        <f t="shared" si="12"/>
        <v>1658.3552427300006</v>
      </c>
      <c r="AP15" s="530">
        <f t="shared" si="12"/>
        <v>44060.291099900001</v>
      </c>
      <c r="AQ15" s="530">
        <f t="shared" si="13"/>
        <v>999</v>
      </c>
      <c r="AR15" s="533">
        <f t="shared" si="14"/>
        <v>1658.3552427300006</v>
      </c>
      <c r="AS15" s="533">
        <f t="shared" si="14"/>
        <v>44060.291099900001</v>
      </c>
      <c r="AT15" s="530">
        <f t="shared" si="15"/>
        <v>999</v>
      </c>
    </row>
    <row r="16" spans="1:46" s="506" customFormat="1" ht="18.75" customHeight="1" x14ac:dyDescent="0.3">
      <c r="A16" s="528" t="s">
        <v>297</v>
      </c>
      <c r="B16" s="194">
        <v>-556.26400000000001</v>
      </c>
      <c r="C16" s="444">
        <v>1863.248</v>
      </c>
      <c r="D16" s="530">
        <f t="shared" si="0"/>
        <v>-435</v>
      </c>
      <c r="E16" s="194">
        <v>-182.934</v>
      </c>
      <c r="F16" s="444"/>
      <c r="G16" s="536">
        <f t="shared" si="1"/>
        <v>-100</v>
      </c>
      <c r="H16" s="194">
        <v>-3924.877</v>
      </c>
      <c r="I16" s="444">
        <v>10126.777253290002</v>
      </c>
      <c r="J16" s="530">
        <f t="shared" si="2"/>
        <v>-358</v>
      </c>
      <c r="K16" s="647"/>
      <c r="L16" s="590"/>
      <c r="M16" s="530"/>
      <c r="N16" s="647">
        <v>-171.66499999999999</v>
      </c>
      <c r="O16" s="590"/>
      <c r="P16" s="530">
        <f t="shared" si="4"/>
        <v>-100</v>
      </c>
      <c r="Q16" s="194">
        <v>-875.8</v>
      </c>
      <c r="R16" s="444">
        <v>2792</v>
      </c>
      <c r="S16" s="529">
        <f t="shared" si="5"/>
        <v>-418.8</v>
      </c>
      <c r="T16" s="639"/>
      <c r="U16" s="588"/>
      <c r="V16" s="536"/>
      <c r="W16" s="194">
        <v>-44.313166539999997</v>
      </c>
      <c r="X16" s="444">
        <v>102.25999252</v>
      </c>
      <c r="Y16" s="536">
        <f t="shared" si="6"/>
        <v>-330.8</v>
      </c>
      <c r="Z16" s="194">
        <v>-2629.49</v>
      </c>
      <c r="AA16" s="444">
        <v>8249.2000000000007</v>
      </c>
      <c r="AB16" s="530">
        <f t="shared" si="7"/>
        <v>-413.7</v>
      </c>
      <c r="AC16" s="194"/>
      <c r="AD16" s="444"/>
      <c r="AE16" s="530"/>
      <c r="AF16" s="194">
        <v>-21.71357897</v>
      </c>
      <c r="AG16" s="535">
        <v>306.74204885</v>
      </c>
      <c r="AH16" s="530">
        <f t="shared" si="9"/>
        <v>-999</v>
      </c>
      <c r="AI16" s="651">
        <v>-1429.48286852</v>
      </c>
      <c r="AJ16" s="535">
        <v>4187.0494846000011</v>
      </c>
      <c r="AK16" s="530">
        <f t="shared" si="10"/>
        <v>-392.9</v>
      </c>
      <c r="AL16" s="194">
        <v>-4402</v>
      </c>
      <c r="AM16" s="444">
        <v>12076</v>
      </c>
      <c r="AN16" s="530">
        <f t="shared" si="11"/>
        <v>-374.3</v>
      </c>
      <c r="AO16" s="530">
        <f t="shared" si="12"/>
        <v>-14216.826035059999</v>
      </c>
      <c r="AP16" s="530">
        <f t="shared" si="12"/>
        <v>39396.53473041</v>
      </c>
      <c r="AQ16" s="530">
        <f t="shared" si="13"/>
        <v>-377.1</v>
      </c>
      <c r="AR16" s="533">
        <f t="shared" si="14"/>
        <v>-14238.53961403</v>
      </c>
      <c r="AS16" s="533">
        <f t="shared" si="14"/>
        <v>39703.276779259999</v>
      </c>
      <c r="AT16" s="530">
        <f t="shared" si="15"/>
        <v>-378.8</v>
      </c>
    </row>
    <row r="17" spans="1:46" s="506" customFormat="1" ht="18.75" customHeight="1" x14ac:dyDescent="0.3">
      <c r="A17" s="528" t="s">
        <v>298</v>
      </c>
      <c r="B17" s="194"/>
      <c r="C17" s="444"/>
      <c r="D17" s="530"/>
      <c r="E17" s="194">
        <v>7.2949999999999999</v>
      </c>
      <c r="F17" s="444"/>
      <c r="G17" s="530">
        <f t="shared" si="1"/>
        <v>-100</v>
      </c>
      <c r="H17" s="194">
        <v>3.7650000000000001</v>
      </c>
      <c r="I17" s="444">
        <v>21.465635219999999</v>
      </c>
      <c r="J17" s="530">
        <f t="shared" si="2"/>
        <v>470.1</v>
      </c>
      <c r="K17" s="647">
        <v>5.5680446999999988</v>
      </c>
      <c r="L17" s="590">
        <v>3.6125157699999701</v>
      </c>
      <c r="M17" s="530">
        <f t="shared" si="3"/>
        <v>-35.1</v>
      </c>
      <c r="N17" s="647">
        <v>72.150999999999996</v>
      </c>
      <c r="O17" s="590">
        <v>3.4000000000000002E-2</v>
      </c>
      <c r="P17" s="530">
        <f t="shared" si="4"/>
        <v>-100</v>
      </c>
      <c r="Q17" s="194">
        <v>86.4</v>
      </c>
      <c r="R17" s="444">
        <v>109</v>
      </c>
      <c r="S17" s="711">
        <f t="shared" si="5"/>
        <v>26.2</v>
      </c>
      <c r="T17" s="639"/>
      <c r="U17" s="588"/>
      <c r="V17" s="530"/>
      <c r="W17" s="194">
        <v>582.38912300000004</v>
      </c>
      <c r="X17" s="444">
        <v>614.16579400000001</v>
      </c>
      <c r="Y17" s="530">
        <f t="shared" si="6"/>
        <v>5.5</v>
      </c>
      <c r="Z17" s="194">
        <v>106.6</v>
      </c>
      <c r="AA17" s="444">
        <v>179.78</v>
      </c>
      <c r="AB17" s="530">
        <f t="shared" si="7"/>
        <v>68.599999999999994</v>
      </c>
      <c r="AC17" s="194">
        <v>105</v>
      </c>
      <c r="AD17" s="444">
        <v>7</v>
      </c>
      <c r="AE17" s="530">
        <f t="shared" si="8"/>
        <v>-93.3</v>
      </c>
      <c r="AF17" s="639"/>
      <c r="AG17" s="588"/>
      <c r="AH17" s="530"/>
      <c r="AI17" s="651">
        <v>112.32798865000001</v>
      </c>
      <c r="AJ17" s="535">
        <v>165.42150764000002</v>
      </c>
      <c r="AK17" s="530">
        <f t="shared" si="10"/>
        <v>47.3</v>
      </c>
      <c r="AL17" s="194">
        <v>407</v>
      </c>
      <c r="AM17" s="444">
        <v>413</v>
      </c>
      <c r="AN17" s="530">
        <f t="shared" si="11"/>
        <v>1.5</v>
      </c>
      <c r="AO17" s="530">
        <f t="shared" si="12"/>
        <v>1488.4961563500001</v>
      </c>
      <c r="AP17" s="530">
        <f t="shared" si="12"/>
        <v>1513.47945263</v>
      </c>
      <c r="AQ17" s="530">
        <f t="shared" si="13"/>
        <v>1.7</v>
      </c>
      <c r="AR17" s="533">
        <f t="shared" si="14"/>
        <v>1488.4961563500001</v>
      </c>
      <c r="AS17" s="533">
        <f t="shared" si="14"/>
        <v>1513.47945263</v>
      </c>
      <c r="AT17" s="530">
        <f t="shared" si="15"/>
        <v>1.7</v>
      </c>
    </row>
    <row r="18" spans="1:46" s="506" customFormat="1" ht="18.75" customHeight="1" x14ac:dyDescent="0.3">
      <c r="A18" s="528" t="s">
        <v>299</v>
      </c>
      <c r="B18" s="194"/>
      <c r="C18" s="444"/>
      <c r="D18" s="530"/>
      <c r="E18" s="194"/>
      <c r="F18" s="444"/>
      <c r="G18" s="530"/>
      <c r="H18" s="194"/>
      <c r="I18" s="444"/>
      <c r="J18" s="530"/>
      <c r="K18" s="647"/>
      <c r="L18" s="590"/>
      <c r="M18" s="530"/>
      <c r="N18" s="647"/>
      <c r="O18" s="590"/>
      <c r="P18" s="530"/>
      <c r="Q18" s="194"/>
      <c r="R18" s="444"/>
      <c r="S18" s="529"/>
      <c r="T18" s="639"/>
      <c r="U18" s="588"/>
      <c r="V18" s="530"/>
      <c r="W18" s="194"/>
      <c r="X18" s="444"/>
      <c r="Y18" s="530"/>
      <c r="Z18" s="654"/>
      <c r="AA18" s="537"/>
      <c r="AB18" s="530"/>
      <c r="AC18" s="194"/>
      <c r="AD18" s="444"/>
      <c r="AE18" s="530"/>
      <c r="AF18" s="639"/>
      <c r="AG18" s="588"/>
      <c r="AH18" s="530"/>
      <c r="AI18" s="651"/>
      <c r="AJ18" s="535"/>
      <c r="AK18" s="530"/>
      <c r="AL18" s="194"/>
      <c r="AM18" s="444"/>
      <c r="AN18" s="530"/>
      <c r="AO18" s="530"/>
      <c r="AP18" s="530"/>
      <c r="AQ18" s="530"/>
      <c r="AR18" s="538"/>
      <c r="AS18" s="538"/>
      <c r="AT18" s="532"/>
    </row>
    <row r="19" spans="1:46" s="506" customFormat="1" ht="18.75" customHeight="1" x14ac:dyDescent="0.3">
      <c r="A19" s="528" t="s">
        <v>300</v>
      </c>
      <c r="B19" s="612">
        <f>-452.92+24.263</f>
        <v>-428.65700000000004</v>
      </c>
      <c r="C19" s="434">
        <f>-376.934+27.392</f>
        <v>-349.54200000000003</v>
      </c>
      <c r="D19" s="530">
        <f>IF(B19=0, "    ---- ", IF(ABS(ROUND(100/B19*C19-100,1))&lt;999,ROUND(100/B19*C19-100,1),IF(ROUND(100/B19*C19-100,1)&gt;999,999,-999)))</f>
        <v>-18.5</v>
      </c>
      <c r="E19" s="612">
        <v>-49.353000000000002</v>
      </c>
      <c r="F19" s="434"/>
      <c r="G19" s="530">
        <f t="shared" si="1"/>
        <v>-100</v>
      </c>
      <c r="H19" s="612">
        <v>-7170.5770000000002</v>
      </c>
      <c r="I19" s="434">
        <v>-7189.9717912300011</v>
      </c>
      <c r="J19" s="530">
        <f>IF(H19=0, "    ---- ", IF(ABS(ROUND(100/H19*I19-100,1))&lt;999,ROUND(100/H19*I19-100,1),IF(ROUND(100/H19*I19-100,1)&gt;999,999,-999)))</f>
        <v>0.3</v>
      </c>
      <c r="K19" s="612">
        <v>-717.21192671999995</v>
      </c>
      <c r="L19" s="434">
        <v>-706.58488940999996</v>
      </c>
      <c r="M19" s="530">
        <f>IF(K19=0, "    ---- ", IF(ABS(ROUND(100/K19*L19-100,1))&lt;999,ROUND(100/K19*L19-100,1),IF(ROUND(100/K19*L19-100,1)&gt;999,999,-999)))</f>
        <v>-1.5</v>
      </c>
      <c r="N19" s="612">
        <v>-82.308999999999997</v>
      </c>
      <c r="O19" s="434">
        <v>-60.947000000000003</v>
      </c>
      <c r="P19" s="530">
        <f>IF(N19=0, "    ---- ", IF(ABS(ROUND(100/N19*O19-100,1))&lt;999,ROUND(100/N19*O19-100,1),IF(ROUND(100/N19*O19-100,1)&gt;999,999,-999)))</f>
        <v>-26</v>
      </c>
      <c r="Q19" s="612">
        <f>-311.8+5.9</f>
        <v>-305.90000000000003</v>
      </c>
      <c r="R19" s="434">
        <v>-366</v>
      </c>
      <c r="S19" s="530">
        <f>IF(Q19=0, "    ---- ", IF(ABS(ROUND(100/Q19*R19-100,1))&lt;999,ROUND(100/Q19*R19-100,1),IF(ROUND(100/Q19*R19-100,1)&gt;999,999,-999)))</f>
        <v>19.600000000000001</v>
      </c>
      <c r="T19" s="612">
        <v>-8.6502949999999998</v>
      </c>
      <c r="U19" s="434">
        <v>-8.0804240000000007</v>
      </c>
      <c r="V19" s="530">
        <f>IF(T19=0, "    ---- ", IF(ABS(ROUND(100/T19*U19-100,1))&lt;999,ROUND(100/T19*U19-100,1),IF(ROUND(100/T19*U19-100,1)&gt;999,999,-999)))</f>
        <v>-6.6</v>
      </c>
      <c r="W19" s="612">
        <v>-10153.921458000001</v>
      </c>
      <c r="X19" s="434">
        <v>-10753.423612000001</v>
      </c>
      <c r="Y19" s="530">
        <f>IF(W19=0, "    ---- ", IF(ABS(ROUND(100/W19*X19-100,1))&lt;999,ROUND(100/W19*X19-100,1),IF(ROUND(100/W19*X19-100,1)&gt;999,999,-999)))</f>
        <v>5.9</v>
      </c>
      <c r="Z19" s="612">
        <v>-4751.99</v>
      </c>
      <c r="AA19" s="434">
        <v>-3041.22</v>
      </c>
      <c r="AB19" s="530">
        <f>IF(Z19=0, "    ---- ", IF(ABS(ROUND(100/Z19*AA19-100,1))&lt;999,ROUND(100/Z19*AA19-100,1),IF(ROUND(100/Z19*AA19-100,1)&gt;999,999,-999)))</f>
        <v>-36</v>
      </c>
      <c r="AC19" s="612">
        <v>-1546</v>
      </c>
      <c r="AD19" s="434">
        <v>-1501</v>
      </c>
      <c r="AE19" s="530">
        <f>IF(AC19=0, "    ---- ", IF(ABS(ROUND(100/AC19*AD19-100,1))&lt;999,ROUND(100/AC19*AD19-100,1),IF(ROUND(100/AC19*AD19-100,1)&gt;999,999,-999)))</f>
        <v>-2.9</v>
      </c>
      <c r="AF19" s="612">
        <v>-121.0840513</v>
      </c>
      <c r="AG19" s="434">
        <v>-78.93904234</v>
      </c>
      <c r="AH19" s="530">
        <f>IF(AF19=0, "    ---- ", IF(ABS(ROUND(100/AF19*AG19-100,1))&lt;999,ROUND(100/AF19*AG19-100,1),IF(ROUND(100/AF19*AG19-100,1)&gt;999,999,-999)))</f>
        <v>-34.799999999999997</v>
      </c>
      <c r="AI19" s="652">
        <v>-781.47132558999999</v>
      </c>
      <c r="AJ19" s="539">
        <v>-802.75139572</v>
      </c>
      <c r="AK19" s="530">
        <f>IF(AI19=0, "    ---- ", IF(ABS(ROUND(100/AI19*AJ19-100,1))&lt;999,ROUND(100/AI19*AJ19-100,1),IF(ROUND(100/AI19*AJ19-100,1)&gt;999,999,-999)))</f>
        <v>2.7</v>
      </c>
      <c r="AL19" s="612">
        <f>-6459+4</f>
        <v>-6455</v>
      </c>
      <c r="AM19" s="434">
        <f>-6230+7</f>
        <v>-6223</v>
      </c>
      <c r="AN19" s="530">
        <f>IF(AL19=0, "    ---- ", IF(ABS(ROUND(100/AL19*AM19-100,1))&lt;999,ROUND(100/AL19*AM19-100,1),IF(ROUND(100/AL19*AM19-100,1)&gt;999,999,-999)))</f>
        <v>-3.6</v>
      </c>
      <c r="AO19" s="530">
        <f t="shared" ref="AO19:AP21" si="16">B19+H19+K19+N19+Q19+W19+E19+Z19+AC19+AI19+AL19</f>
        <v>-32442.390710309999</v>
      </c>
      <c r="AP19" s="530">
        <f t="shared" si="16"/>
        <v>-30994.440688360002</v>
      </c>
      <c r="AQ19" s="530">
        <f t="shared" si="13"/>
        <v>-4.5</v>
      </c>
      <c r="AR19" s="533">
        <f t="shared" ref="AR19:AS21" si="17">+B19+H19+K19+N19+Q19+T19+W19+E19+Z19+AC19+AF19+AI19+AL19</f>
        <v>-32572.125056609999</v>
      </c>
      <c r="AS19" s="533">
        <f t="shared" si="17"/>
        <v>-31081.460154700002</v>
      </c>
      <c r="AT19" s="530">
        <f>IF(AR19=0, "    ---- ", IF(ABS(ROUND(100/AR19*AS19-100,1))&lt;999,ROUND(100/AR19*AS19-100,1),IF(ROUND(100/AR19*AS19-100,1)&gt;999,999,-999)))</f>
        <v>-4.5999999999999996</v>
      </c>
    </row>
    <row r="20" spans="1:46" s="506" customFormat="1" ht="18.75" customHeight="1" x14ac:dyDescent="0.3">
      <c r="A20" s="528" t="s">
        <v>362</v>
      </c>
      <c r="B20" s="613">
        <v>-389.35199999999998</v>
      </c>
      <c r="C20" s="336">
        <v>-2000.0050000000001</v>
      </c>
      <c r="D20" s="530">
        <f>IF(B20=0, "    ---- ", IF(ABS(ROUND(100/B20*C20-100,1))&lt;999,ROUND(100/B20*C20-100,1),IF(ROUND(100/B20*C20-100,1)&gt;999,999,-999)))</f>
        <v>413.7</v>
      </c>
      <c r="E20" s="613">
        <v>-44.686</v>
      </c>
      <c r="F20" s="336"/>
      <c r="G20" s="530">
        <f t="shared" si="1"/>
        <v>-100</v>
      </c>
      <c r="H20" s="613">
        <v>-5453.9589999999998</v>
      </c>
      <c r="I20" s="336">
        <v>-11738.444416849999</v>
      </c>
      <c r="J20" s="530">
        <f>IF(H20=0, "    ---- ", IF(ABS(ROUND(100/H20*I20-100,1))&lt;999,ROUND(100/H20*I20-100,1),IF(ROUND(100/H20*I20-100,1)&gt;999,999,-999)))</f>
        <v>115.2</v>
      </c>
      <c r="K20" s="613">
        <v>75.65547312999999</v>
      </c>
      <c r="L20" s="336">
        <v>69.219940859999994</v>
      </c>
      <c r="M20" s="530">
        <f>IF(K20=0, "    ---- ", IF(ABS(ROUND(100/K20*L20-100,1))&lt;999,ROUND(100/K20*L20-100,1),IF(ROUND(100/K20*L20-100,1)&gt;999,999,-999)))</f>
        <v>-8.5</v>
      </c>
      <c r="N20" s="613">
        <v>-89.043999999999997</v>
      </c>
      <c r="O20" s="336"/>
      <c r="P20" s="530">
        <f>IF(N20=0, "    ---- ", IF(ABS(ROUND(100/N20*O20-100,1))&lt;999,ROUND(100/N20*O20-100,1),IF(ROUND(100/N20*O20-100,1)&gt;999,999,-999)))</f>
        <v>-100</v>
      </c>
      <c r="Q20" s="613">
        <v>-1703.9</v>
      </c>
      <c r="R20" s="336">
        <v>-3929</v>
      </c>
      <c r="S20" s="530">
        <f>IF(Q20=0, "    ---- ", IF(ABS(ROUND(100/Q20*R20-100,1))&lt;999,ROUND(100/Q20*R20-100,1),IF(ROUND(100/Q20*R20-100,1)&gt;999,999,-999)))</f>
        <v>130.6</v>
      </c>
      <c r="T20" s="613"/>
      <c r="U20" s="336"/>
      <c r="V20" s="530"/>
      <c r="W20" s="613">
        <v>-7655.4593569999997</v>
      </c>
      <c r="X20" s="336">
        <v>-8346.1223590000009</v>
      </c>
      <c r="Y20" s="530">
        <f>IF(W20=0, "    ---- ", IF(ABS(ROUND(100/W20*X20-100,1))&lt;999,ROUND(100/W20*X20-100,1),IF(ROUND(100/W20*X20-100,1)&gt;999,999,-999)))</f>
        <v>9</v>
      </c>
      <c r="Z20" s="653">
        <v>-1270</v>
      </c>
      <c r="AA20" s="540">
        <v>-5033</v>
      </c>
      <c r="AB20" s="530">
        <f>IF(Z20=0, "    ---- ", IF(ABS(ROUND(100/Z20*AA20-100,1))&lt;999,ROUND(100/Z20*AA20-100,1),IF(ROUND(100/Z20*AA20-100,1)&gt;999,999,-999)))</f>
        <v>296.3</v>
      </c>
      <c r="AC20" s="653">
        <v>-40</v>
      </c>
      <c r="AD20" s="540"/>
      <c r="AE20" s="530"/>
      <c r="AF20" s="613">
        <v>-6.2916858400000004</v>
      </c>
      <c r="AG20" s="336">
        <v>-70.127128600000006</v>
      </c>
      <c r="AH20" s="530">
        <f>IF(AF20=0, "    ---- ", IF(ABS(ROUND(100/AF20*AG20-100,1))&lt;999,ROUND(100/AF20*AG20-100,1),IF(ROUND(100/AF20*AG20-100,1)&gt;999,999,-999)))</f>
        <v>999</v>
      </c>
      <c r="AI20" s="653">
        <v>-438.91143519999991</v>
      </c>
      <c r="AJ20" s="540">
        <v>-3363.5469635099998</v>
      </c>
      <c r="AK20" s="530">
        <f>IF(AI20=0, "    ---- ", IF(ABS(ROUND(100/AI20*AJ20-100,1))&lt;999,ROUND(100/AI20*AJ20-100,1),IF(ROUND(100/AI20*AJ20-100,1)&gt;999,999,-999)))</f>
        <v>666.3</v>
      </c>
      <c r="AL20" s="613">
        <v>-2977</v>
      </c>
      <c r="AM20" s="336">
        <v>-8162</v>
      </c>
      <c r="AN20" s="530">
        <f>IF(AL20=0, "    ---- ", IF(ABS(ROUND(100/AL20*AM20-100,1))&lt;999,ROUND(100/AL20*AM20-100,1),IF(ROUND(100/AL20*AM20-100,1)&gt;999,999,-999)))</f>
        <v>174.2</v>
      </c>
      <c r="AO20" s="530">
        <f t="shared" si="16"/>
        <v>-19986.65631907</v>
      </c>
      <c r="AP20" s="530">
        <f t="shared" si="16"/>
        <v>-42502.898798499999</v>
      </c>
      <c r="AQ20" s="530">
        <f t="shared" si="13"/>
        <v>112.7</v>
      </c>
      <c r="AR20" s="533">
        <f t="shared" si="17"/>
        <v>-19992.948004909998</v>
      </c>
      <c r="AS20" s="533">
        <f t="shared" si="17"/>
        <v>-42573.025927099996</v>
      </c>
      <c r="AT20" s="530">
        <f>IF(AR20=0, "    ---- ", IF(ABS(ROUND(100/AR20*AS20-100,1))&lt;999,ROUND(100/AR20*AS20-100,1),IF(ROUND(100/AR20*AS20-100,1)&gt;999,999,-999)))</f>
        <v>112.9</v>
      </c>
    </row>
    <row r="21" spans="1:46" s="506" customFormat="1" ht="18.75" customHeight="1" x14ac:dyDescent="0.3">
      <c r="A21" s="528" t="s">
        <v>301</v>
      </c>
      <c r="B21" s="612">
        <f>SUM(B19:B20)</f>
        <v>-818.00900000000001</v>
      </c>
      <c r="C21" s="434">
        <f>SUM(C19:C20)</f>
        <v>-2349.547</v>
      </c>
      <c r="D21" s="530">
        <f>IF(B21=0, "    ---- ", IF(ABS(ROUND(100/B21*C21-100,1))&lt;999,ROUND(100/B21*C21-100,1),IF(ROUND(100/B21*C21-100,1)&gt;999,999,-999)))</f>
        <v>187.2</v>
      </c>
      <c r="E21" s="612">
        <f>SUM(E19:E20)</f>
        <v>-94.039000000000001</v>
      </c>
      <c r="F21" s="434"/>
      <c r="G21" s="530">
        <f t="shared" si="1"/>
        <v>-100</v>
      </c>
      <c r="H21" s="612">
        <f>SUM(H19:H20)</f>
        <v>-12624.536</v>
      </c>
      <c r="I21" s="434">
        <f>SUM(I19:I20)</f>
        <v>-18928.416208080002</v>
      </c>
      <c r="J21" s="530">
        <f>IF(H21=0, "    ---- ", IF(ABS(ROUND(100/H21*I21-100,1))&lt;999,ROUND(100/H21*I21-100,1),IF(ROUND(100/H21*I21-100,1)&gt;999,999,-999)))</f>
        <v>49.9</v>
      </c>
      <c r="K21" s="612">
        <f>SUM(K19:K20)</f>
        <v>-641.55645358999993</v>
      </c>
      <c r="L21" s="434">
        <v>-637.36494855000001</v>
      </c>
      <c r="M21" s="530">
        <f>IF(K21=0, "    ---- ", IF(ABS(ROUND(100/K21*L21-100,1))&lt;999,ROUND(100/K21*L21-100,1),IF(ROUND(100/K21*L21-100,1)&gt;999,999,-999)))</f>
        <v>-0.7</v>
      </c>
      <c r="N21" s="612">
        <f>SUM(N19:N20)</f>
        <v>-171.35300000000001</v>
      </c>
      <c r="O21" s="434">
        <f>SUM(O19:O20)</f>
        <v>-60.947000000000003</v>
      </c>
      <c r="P21" s="530">
        <f>IF(N21=0, "    ---- ", IF(ABS(ROUND(100/N21*O21-100,1))&lt;999,ROUND(100/N21*O21-100,1),IF(ROUND(100/N21*O21-100,1)&gt;999,999,-999)))</f>
        <v>-64.400000000000006</v>
      </c>
      <c r="Q21" s="612">
        <f>SUM(Q19:Q20)</f>
        <v>-2009.8000000000002</v>
      </c>
      <c r="R21" s="434">
        <f>SUM(R19:R20)</f>
        <v>-4295</v>
      </c>
      <c r="S21" s="530">
        <f>IF(Q21=0, "    ---- ", IF(ABS(ROUND(100/Q21*R21-100,1))&lt;999,ROUND(100/Q21*R21-100,1),IF(ROUND(100/Q21*R21-100,1)&gt;999,999,-999)))</f>
        <v>113.7</v>
      </c>
      <c r="T21" s="612">
        <f>SUM(T19:T20)</f>
        <v>-8.6502949999999998</v>
      </c>
      <c r="U21" s="434">
        <f>SUM(U19:U20)</f>
        <v>-8.0804240000000007</v>
      </c>
      <c r="V21" s="530">
        <f>IF(T21=0, "    ---- ", IF(ABS(ROUND(100/T21*U21-100,1))&lt;999,ROUND(100/T21*U21-100,1),IF(ROUND(100/T21*U21-100,1)&gt;999,999,-999)))</f>
        <v>-6.6</v>
      </c>
      <c r="W21" s="612">
        <v>-17809.380815</v>
      </c>
      <c r="X21" s="434">
        <v>-19099.545971</v>
      </c>
      <c r="Y21" s="530">
        <f>IF(W21=0, "    ---- ", IF(ABS(ROUND(100/W21*X21-100,1))&lt;999,ROUND(100/W21*X21-100,1),IF(ROUND(100/W21*X21-100,1)&gt;999,999,-999)))</f>
        <v>7.2</v>
      </c>
      <c r="Z21" s="612">
        <f>SUM(Z19:Z20)</f>
        <v>-6021.99</v>
      </c>
      <c r="AA21" s="434">
        <f>SUM(AA19:AA20)</f>
        <v>-8074.2199999999993</v>
      </c>
      <c r="AB21" s="530">
        <f>IF(Z21=0, "    ---- ", IF(ABS(ROUND(100/Z21*AA21-100,1))&lt;999,ROUND(100/Z21*AA21-100,1),IF(ROUND(100/Z21*AA21-100,1)&gt;999,999,-999)))</f>
        <v>34.1</v>
      </c>
      <c r="AC21" s="612">
        <f>SUM(AC19:AC20)</f>
        <v>-1586</v>
      </c>
      <c r="AD21" s="434">
        <f>SUM(AD19:AD20)</f>
        <v>-1501</v>
      </c>
      <c r="AE21" s="530">
        <f>IF(AC21=0, "    ---- ", IF(ABS(ROUND(100/AC21*AD21-100,1))&lt;999,ROUND(100/AC21*AD21-100,1),IF(ROUND(100/AC21*AD21-100,1)&gt;999,999,-999)))</f>
        <v>-5.4</v>
      </c>
      <c r="AF21" s="612">
        <f>SUM(AF19:AF20)</f>
        <v>-127.37573714</v>
      </c>
      <c r="AG21" s="434">
        <f>SUM(AG19:AG20)</f>
        <v>-149.06617094000001</v>
      </c>
      <c r="AH21" s="530">
        <f>IF(AF21=0, "    ---- ", IF(ABS(ROUND(100/AF21*AG21-100,1))&lt;999,ROUND(100/AF21*AG21-100,1),IF(ROUND(100/AF21*AG21-100,1)&gt;999,999,-999)))</f>
        <v>17</v>
      </c>
      <c r="AI21" s="612">
        <f>SUM(AI19:AI20)</f>
        <v>-1220.3827607899998</v>
      </c>
      <c r="AJ21" s="434">
        <f>SUM(AJ19:AJ20)</f>
        <v>-4166.2983592299997</v>
      </c>
      <c r="AK21" s="530">
        <f>IF(AI21=0, "    ---- ", IF(ABS(ROUND(100/AI21*AJ21-100,1))&lt;999,ROUND(100/AI21*AJ21-100,1),IF(ROUND(100/AI21*AJ21-100,1)&gt;999,999,-999)))</f>
        <v>241.4</v>
      </c>
      <c r="AL21" s="612">
        <f>SUM(AL19:AL20)</f>
        <v>-9432</v>
      </c>
      <c r="AM21" s="434">
        <f>SUM(AM19:AM20)</f>
        <v>-14385</v>
      </c>
      <c r="AN21" s="530">
        <f>IF(AL21=0, "    ---- ", IF(ABS(ROUND(100/AL21*AM21-100,1))&lt;999,ROUND(100/AL21*AM21-100,1),IF(ROUND(100/AL21*AM21-100,1)&gt;999,999,-999)))</f>
        <v>52.5</v>
      </c>
      <c r="AO21" s="530">
        <f t="shared" si="16"/>
        <v>-52429.047029379995</v>
      </c>
      <c r="AP21" s="530">
        <f t="shared" si="16"/>
        <v>-73497.339486860001</v>
      </c>
      <c r="AQ21" s="530">
        <f t="shared" si="13"/>
        <v>40.200000000000003</v>
      </c>
      <c r="AR21" s="533">
        <f t="shared" si="17"/>
        <v>-52565.073061519994</v>
      </c>
      <c r="AS21" s="533">
        <f t="shared" si="17"/>
        <v>-73654.486081800002</v>
      </c>
      <c r="AT21" s="530">
        <f>IF(AR21=0, "    ---- ", IF(ABS(ROUND(100/AR21*AS21-100,1))&lt;999,ROUND(100/AR21*AS21-100,1),IF(ROUND(100/AR21*AS21-100,1)&gt;999,999,-999)))</f>
        <v>40.1</v>
      </c>
    </row>
    <row r="22" spans="1:46" s="506" customFormat="1" ht="18.75" customHeight="1" x14ac:dyDescent="0.3">
      <c r="A22" s="528" t="s">
        <v>302</v>
      </c>
      <c r="B22" s="194"/>
      <c r="C22" s="444"/>
      <c r="D22" s="530"/>
      <c r="E22" s="639"/>
      <c r="F22" s="588"/>
      <c r="G22" s="530"/>
      <c r="H22" s="194"/>
      <c r="I22" s="444"/>
      <c r="J22" s="530"/>
      <c r="K22" s="639"/>
      <c r="L22" s="588"/>
      <c r="M22" s="530"/>
      <c r="N22" s="639"/>
      <c r="O22" s="588"/>
      <c r="P22" s="530"/>
      <c r="Q22" s="194"/>
      <c r="R22" s="444"/>
      <c r="S22" s="530"/>
      <c r="T22" s="639"/>
      <c r="U22" s="588"/>
      <c r="V22" s="530"/>
      <c r="W22" s="194"/>
      <c r="X22" s="444"/>
      <c r="Y22" s="530"/>
      <c r="Z22" s="639"/>
      <c r="AA22" s="588"/>
      <c r="AB22" s="530"/>
      <c r="AC22" s="639"/>
      <c r="AD22" s="588"/>
      <c r="AE22" s="530"/>
      <c r="AF22" s="639"/>
      <c r="AG22" s="588"/>
      <c r="AH22" s="530"/>
      <c r="AI22" s="639"/>
      <c r="AJ22" s="588"/>
      <c r="AK22" s="530"/>
      <c r="AL22" s="194"/>
      <c r="AM22" s="444"/>
      <c r="AN22" s="530"/>
      <c r="AO22" s="530"/>
      <c r="AP22" s="530"/>
      <c r="AQ22" s="530"/>
      <c r="AR22" s="530"/>
      <c r="AS22" s="530"/>
      <c r="AT22" s="530"/>
    </row>
    <row r="23" spans="1:46" s="506" customFormat="1" ht="18.75" customHeight="1" x14ac:dyDescent="0.3">
      <c r="A23" s="528" t="s">
        <v>303</v>
      </c>
      <c r="B23" s="613">
        <f>-66.885+13.519</f>
        <v>-53.366000000000007</v>
      </c>
      <c r="C23" s="336">
        <f>-41.973+22.897</f>
        <v>-19.076000000000001</v>
      </c>
      <c r="D23" s="530">
        <f t="shared" ref="D23:D29" si="18">IF(B23=0, "    ---- ", IF(ABS(ROUND(100/B23*C23-100,1))&lt;999,ROUND(100/B23*C23-100,1),IF(ROUND(100/B23*C23-100,1)&gt;999,999,-999)))</f>
        <v>-64.3</v>
      </c>
      <c r="E23" s="613">
        <v>-41.134999999999998</v>
      </c>
      <c r="F23" s="336"/>
      <c r="G23" s="530">
        <f t="shared" si="1"/>
        <v>-100</v>
      </c>
      <c r="H23" s="613">
        <v>2161.0050000000001</v>
      </c>
      <c r="I23" s="336">
        <v>1903.4160139100002</v>
      </c>
      <c r="J23" s="530">
        <f t="shared" ref="J23:J29" si="19">IF(H23=0, "    ---- ", IF(ABS(ROUND(100/H23*I23-100,1))&lt;999,ROUND(100/H23*I23-100,1),IF(ROUND(100/H23*I23-100,1)&gt;999,999,-999)))</f>
        <v>-11.9</v>
      </c>
      <c r="K23" s="613">
        <v>-689.87961434999988</v>
      </c>
      <c r="L23" s="336">
        <v>-264.12609701999963</v>
      </c>
      <c r="M23" s="530">
        <f>IF(K23=0, "    ---- ", IF(ABS(ROUND(100/K23*L23-100,1))&lt;999,ROUND(100/K23*L23-100,1),IF(ROUND(100/K23*L23-100,1)&gt;999,999,-999)))</f>
        <v>-61.7</v>
      </c>
      <c r="N23" s="613">
        <v>-355.26499999999999</v>
      </c>
      <c r="O23" s="336">
        <v>-363.79500000000002</v>
      </c>
      <c r="P23" s="530">
        <f>IF(N23=0, "    ---- ", IF(ABS(ROUND(100/N23*O23-100,1))&lt;999,ROUND(100/N23*O23-100,1),IF(ROUND(100/N23*O23-100,1)&gt;999,999,-999)))</f>
        <v>2.4</v>
      </c>
      <c r="Q23" s="613">
        <f>-231.6+35.5</f>
        <v>-196.1</v>
      </c>
      <c r="R23" s="336">
        <v>-254</v>
      </c>
      <c r="S23" s="530">
        <f t="shared" ref="S23:S31" si="20">IF(Q23=0, "    ---- ", IF(ABS(ROUND(100/Q23*R23-100,1))&lt;999,ROUND(100/Q23*R23-100,1),IF(ROUND(100/Q23*R23-100,1)&gt;999,999,-999)))</f>
        <v>29.5</v>
      </c>
      <c r="T23" s="613">
        <v>2.2488542100000002</v>
      </c>
      <c r="U23" s="336">
        <v>4.4641909999999996</v>
      </c>
      <c r="V23" s="712">
        <f>IF(T23=0, "    ---- ", IF(ABS(ROUND(100/T23*U23-100,1))&lt;999,ROUND(100/T23*U23-100,1),IF(ROUND(100/T23*U23-100,1)&gt;999,999,-999)))</f>
        <v>98.5</v>
      </c>
      <c r="W23" s="613">
        <v>-5561.4162991800004</v>
      </c>
      <c r="X23" s="336">
        <v>-20154.715421000001</v>
      </c>
      <c r="Y23" s="530">
        <f t="shared" ref="Y23:Y30" si="21">IF(W23=0, "    ---- ", IF(ABS(ROUND(100/W23*X23-100,1))&lt;999,ROUND(100/W23*X23-100,1),IF(ROUND(100/W23*X23-100,1)&gt;999,999,-999)))</f>
        <v>262.39999999999998</v>
      </c>
      <c r="Z23" s="613">
        <v>-286.94</v>
      </c>
      <c r="AA23" s="336">
        <v>-311.90999999999997</v>
      </c>
      <c r="AB23" s="530">
        <f t="shared" ref="AB23:AB29" si="22">IF(Z23=0, "    ---- ", IF(ABS(ROUND(100/Z23*AA23-100,1))&lt;999,ROUND(100/Z23*AA23-100,1),IF(ROUND(100/Z23*AA23-100,1)&gt;999,999,-999)))</f>
        <v>8.6999999999999993</v>
      </c>
      <c r="AC23" s="613">
        <v>-586</v>
      </c>
      <c r="AD23" s="336">
        <v>-1140</v>
      </c>
      <c r="AE23" s="530">
        <f t="shared" ref="AE23:AE29" si="23">IF(AC23=0, "    ---- ", IF(ABS(ROUND(100/AC23*AD23-100,1))&lt;999,ROUND(100/AC23*AD23-100,1),IF(ROUND(100/AC23*AD23-100,1)&gt;999,999,-999)))</f>
        <v>94.5</v>
      </c>
      <c r="AF23" s="613"/>
      <c r="AG23" s="336"/>
      <c r="AH23" s="530"/>
      <c r="AI23" s="613">
        <v>-201.33692213</v>
      </c>
      <c r="AJ23" s="336">
        <v>-182.39668214</v>
      </c>
      <c r="AK23" s="530">
        <f t="shared" ref="AK23:AK29" si="24">IF(AI23=0, "    ---- ", IF(ABS(ROUND(100/AI23*AJ23-100,1))&lt;999,ROUND(100/AI23*AJ23-100,1),IF(ROUND(100/AI23*AJ23-100,1)&gt;999,999,-999)))</f>
        <v>-9.4</v>
      </c>
      <c r="AL23" s="613">
        <v>-362</v>
      </c>
      <c r="AM23" s="336">
        <v>-6288</v>
      </c>
      <c r="AN23" s="530">
        <f t="shared" ref="AN23:AN29" si="25">IF(AL23=0, "    ---- ", IF(ABS(ROUND(100/AL23*AM23-100,1))&lt;999,ROUND(100/AL23*AM23-100,1),IF(ROUND(100/AL23*AM23-100,1)&gt;999,999,-999)))</f>
        <v>999</v>
      </c>
      <c r="AO23" s="530">
        <f t="shared" ref="AO23:AO34" si="26">B23+H23+K23+N23+Q23+W23+E23+Z23+AC23+AI23+AL23</f>
        <v>-6172.4338356600001</v>
      </c>
      <c r="AP23" s="530">
        <f t="shared" ref="AP23:AP34" si="27">C23+I23+L23+O23+R23+X23+F23+AA23+AD23+AJ23+AM23</f>
        <v>-27074.603186249999</v>
      </c>
      <c r="AQ23" s="530">
        <f t="shared" si="13"/>
        <v>338.6</v>
      </c>
      <c r="AR23" s="530"/>
      <c r="AS23" s="530"/>
      <c r="AT23" s="530"/>
    </row>
    <row r="24" spans="1:46" s="506" customFormat="1" ht="18.75" customHeight="1" x14ac:dyDescent="0.3">
      <c r="A24" s="528" t="s">
        <v>304</v>
      </c>
      <c r="B24" s="613"/>
      <c r="C24" s="336"/>
      <c r="D24" s="530"/>
      <c r="E24" s="613">
        <v>3.0000000000000001E-3</v>
      </c>
      <c r="F24" s="336"/>
      <c r="G24" s="530">
        <f t="shared" si="1"/>
        <v>-100</v>
      </c>
      <c r="H24" s="613">
        <v>5.4610000000000003</v>
      </c>
      <c r="I24" s="336">
        <v>14.086759599999999</v>
      </c>
      <c r="J24" s="530">
        <f t="shared" si="19"/>
        <v>158</v>
      </c>
      <c r="K24" s="613"/>
      <c r="L24" s="336"/>
      <c r="M24" s="530"/>
      <c r="N24" s="613"/>
      <c r="O24" s="336"/>
      <c r="P24" s="530"/>
      <c r="Q24" s="613">
        <v>-0.2</v>
      </c>
      <c r="R24" s="336"/>
      <c r="S24" s="530">
        <f t="shared" si="20"/>
        <v>-100</v>
      </c>
      <c r="T24" s="613"/>
      <c r="U24" s="336"/>
      <c r="V24" s="530"/>
      <c r="W24" s="613">
        <v>489.97288800000001</v>
      </c>
      <c r="X24" s="336">
        <v>611.07972500000005</v>
      </c>
      <c r="Y24" s="530">
        <f t="shared" si="21"/>
        <v>24.7</v>
      </c>
      <c r="Z24" s="613">
        <v>42</v>
      </c>
      <c r="AA24" s="336">
        <v>55</v>
      </c>
      <c r="AB24" s="530">
        <f t="shared" si="22"/>
        <v>31</v>
      </c>
      <c r="AC24" s="613"/>
      <c r="AD24" s="336"/>
      <c r="AE24" s="530"/>
      <c r="AF24" s="613"/>
      <c r="AG24" s="336"/>
      <c r="AH24" s="530"/>
      <c r="AI24" s="613">
        <v>259.26350878</v>
      </c>
      <c r="AJ24" s="336">
        <v>45.266348870000002</v>
      </c>
      <c r="AK24" s="530">
        <f t="shared" si="24"/>
        <v>-82.5</v>
      </c>
      <c r="AL24" s="613">
        <v>60</v>
      </c>
      <c r="AM24" s="336">
        <v>-1203</v>
      </c>
      <c r="AN24" s="530">
        <f t="shared" si="25"/>
        <v>-999</v>
      </c>
      <c r="AO24" s="530">
        <f t="shared" si="26"/>
        <v>856.50039678000007</v>
      </c>
      <c r="AP24" s="530">
        <f t="shared" si="27"/>
        <v>-477.56716652999989</v>
      </c>
      <c r="AQ24" s="530">
        <f t="shared" si="13"/>
        <v>-155.80000000000001</v>
      </c>
      <c r="AR24" s="530"/>
      <c r="AS24" s="530"/>
      <c r="AT24" s="530"/>
    </row>
    <row r="25" spans="1:46" s="506" customFormat="1" ht="18.75" customHeight="1" x14ac:dyDescent="0.3">
      <c r="A25" s="528" t="s">
        <v>305</v>
      </c>
      <c r="B25" s="613">
        <v>-15.893000000000001</v>
      </c>
      <c r="C25" s="336">
        <v>3.8380000000000001</v>
      </c>
      <c r="D25" s="530">
        <f t="shared" si="18"/>
        <v>-124.1</v>
      </c>
      <c r="E25" s="613">
        <v>3.302</v>
      </c>
      <c r="F25" s="336"/>
      <c r="G25" s="530">
        <f t="shared" si="1"/>
        <v>-100</v>
      </c>
      <c r="H25" s="613">
        <v>1900.1379999999999</v>
      </c>
      <c r="I25" s="336">
        <v>1191.22968756</v>
      </c>
      <c r="J25" s="530">
        <f t="shared" si="19"/>
        <v>-37.299999999999997</v>
      </c>
      <c r="K25" s="613">
        <v>-125.893012</v>
      </c>
      <c r="L25" s="336">
        <v>46.184984679999999</v>
      </c>
      <c r="M25" s="712">
        <f>IF(K25=0, "    ---- ", IF(ABS(ROUND(100/K25*L25-100,1))&lt;999,ROUND(100/K25*L25-100,1),IF(ROUND(100/K25*L25-100,1)&gt;999,999,-999)))</f>
        <v>-136.69999999999999</v>
      </c>
      <c r="N25" s="613">
        <v>3.38</v>
      </c>
      <c r="O25" s="336"/>
      <c r="P25" s="712">
        <f>IF(N25=0, "    ---- ", IF(ABS(ROUND(100/N25*O25-100,1))&lt;999,ROUND(100/N25*O25-100,1),IF(ROUND(100/N25*O25-100,1)&gt;999,999,-999)))</f>
        <v>-100</v>
      </c>
      <c r="Q25" s="613">
        <v>20.100000000000001</v>
      </c>
      <c r="R25" s="336">
        <v>-9</v>
      </c>
      <c r="S25" s="530">
        <f t="shared" si="20"/>
        <v>-144.80000000000001</v>
      </c>
      <c r="T25" s="613"/>
      <c r="U25" s="336"/>
      <c r="V25" s="530"/>
      <c r="W25" s="613">
        <v>12650.975177</v>
      </c>
      <c r="X25" s="336">
        <v>-12571.50597151</v>
      </c>
      <c r="Y25" s="530">
        <f t="shared" si="21"/>
        <v>-199.4</v>
      </c>
      <c r="Z25" s="613">
        <v>111</v>
      </c>
      <c r="AA25" s="336">
        <v>-263</v>
      </c>
      <c r="AB25" s="530">
        <f t="shared" si="22"/>
        <v>-336.9</v>
      </c>
      <c r="AC25" s="613">
        <v>510</v>
      </c>
      <c r="AD25" s="336">
        <v>-765</v>
      </c>
      <c r="AE25" s="530">
        <f t="shared" si="23"/>
        <v>-250</v>
      </c>
      <c r="AF25" s="613"/>
      <c r="AG25" s="336"/>
      <c r="AH25" s="530"/>
      <c r="AI25" s="613">
        <v>-40.312083670000007</v>
      </c>
      <c r="AJ25" s="336">
        <v>-126.72927481999999</v>
      </c>
      <c r="AK25" s="530">
        <f t="shared" si="24"/>
        <v>214.4</v>
      </c>
      <c r="AL25" s="613">
        <v>-1903</v>
      </c>
      <c r="AM25" s="336">
        <v>350</v>
      </c>
      <c r="AN25" s="530">
        <f t="shared" si="25"/>
        <v>-118.4</v>
      </c>
      <c r="AO25" s="530">
        <f t="shared" si="26"/>
        <v>13113.79708133</v>
      </c>
      <c r="AP25" s="530">
        <f t="shared" si="27"/>
        <v>-12143.98257409</v>
      </c>
      <c r="AQ25" s="530">
        <f t="shared" si="13"/>
        <v>-192.6</v>
      </c>
      <c r="AR25" s="530"/>
      <c r="AS25" s="530"/>
      <c r="AT25" s="530"/>
    </row>
    <row r="26" spans="1:46" s="506" customFormat="1" ht="18.75" customHeight="1" x14ac:dyDescent="0.3">
      <c r="A26" s="528" t="s">
        <v>306</v>
      </c>
      <c r="B26" s="613"/>
      <c r="C26" s="336"/>
      <c r="D26" s="530"/>
      <c r="E26" s="613">
        <v>-0.21299999999999999</v>
      </c>
      <c r="F26" s="336"/>
      <c r="G26" s="530">
        <f t="shared" si="1"/>
        <v>-100</v>
      </c>
      <c r="H26" s="613">
        <v>-6.45</v>
      </c>
      <c r="I26" s="336">
        <v>-5.2979092899999998</v>
      </c>
      <c r="J26" s="530">
        <f t="shared" si="19"/>
        <v>-17.899999999999999</v>
      </c>
      <c r="K26" s="613"/>
      <c r="L26" s="336"/>
      <c r="M26" s="530"/>
      <c r="N26" s="613"/>
      <c r="O26" s="336"/>
      <c r="P26" s="530"/>
      <c r="Q26" s="613">
        <v>1.5</v>
      </c>
      <c r="R26" s="336">
        <v>2</v>
      </c>
      <c r="S26" s="711">
        <f t="shared" si="20"/>
        <v>33.299999999999997</v>
      </c>
      <c r="T26" s="613"/>
      <c r="U26" s="336"/>
      <c r="V26" s="530"/>
      <c r="W26" s="613">
        <v>-124.221788</v>
      </c>
      <c r="X26" s="336">
        <v>-376.647088</v>
      </c>
      <c r="Y26" s="530">
        <f t="shared" si="21"/>
        <v>203.2</v>
      </c>
      <c r="Z26" s="613">
        <v>-2</v>
      </c>
      <c r="AA26" s="336">
        <v>-2</v>
      </c>
      <c r="AB26" s="530">
        <f t="shared" si="22"/>
        <v>0</v>
      </c>
      <c r="AC26" s="613">
        <v>-17</v>
      </c>
      <c r="AD26" s="336">
        <v>-53</v>
      </c>
      <c r="AE26" s="530">
        <f t="shared" si="23"/>
        <v>211.8</v>
      </c>
      <c r="AF26" s="613"/>
      <c r="AG26" s="336"/>
      <c r="AH26" s="530"/>
      <c r="AI26" s="613">
        <v>-2.1550440000000002</v>
      </c>
      <c r="AJ26" s="336">
        <v>-1.6685589999999999</v>
      </c>
      <c r="AK26" s="530">
        <f t="shared" si="24"/>
        <v>-22.6</v>
      </c>
      <c r="AL26" s="613"/>
      <c r="AM26" s="336">
        <v>-1</v>
      </c>
      <c r="AN26" s="530" t="str">
        <f t="shared" si="25"/>
        <v xml:space="preserve">    ---- </v>
      </c>
      <c r="AO26" s="530">
        <f t="shared" si="26"/>
        <v>-150.53983199999999</v>
      </c>
      <c r="AP26" s="530">
        <f t="shared" si="27"/>
        <v>-437.61355629000002</v>
      </c>
      <c r="AQ26" s="530">
        <f t="shared" si="13"/>
        <v>190.7</v>
      </c>
      <c r="AR26" s="530"/>
      <c r="AS26" s="530"/>
      <c r="AT26" s="530"/>
    </row>
    <row r="27" spans="1:46" s="506" customFormat="1" ht="18.75" customHeight="1" x14ac:dyDescent="0.3">
      <c r="A27" s="528" t="s">
        <v>307</v>
      </c>
      <c r="B27" s="613">
        <v>-0.54700000000000004</v>
      </c>
      <c r="C27" s="336">
        <v>1.288</v>
      </c>
      <c r="D27" s="530">
        <f t="shared" si="18"/>
        <v>-335.5</v>
      </c>
      <c r="E27" s="613"/>
      <c r="F27" s="336"/>
      <c r="G27" s="530"/>
      <c r="H27" s="613">
        <v>-309.44799999999998</v>
      </c>
      <c r="I27" s="336">
        <v>-368.20733756999999</v>
      </c>
      <c r="J27" s="530">
        <f t="shared" si="19"/>
        <v>19</v>
      </c>
      <c r="K27" s="613"/>
      <c r="L27" s="336"/>
      <c r="M27" s="530"/>
      <c r="N27" s="613">
        <v>-1.294</v>
      </c>
      <c r="O27" s="336">
        <v>-3.6669999999999998</v>
      </c>
      <c r="P27" s="530">
        <f>IF(N27=0, "    ---- ", IF(ABS(ROUND(100/N27*O27-100,1))&lt;999,ROUND(100/N27*O27-100,1),IF(ROUND(100/N27*O27-100,1)&gt;999,999,-999)))</f>
        <v>183.4</v>
      </c>
      <c r="Q27" s="613"/>
      <c r="R27" s="336"/>
      <c r="S27" s="530"/>
      <c r="T27" s="613"/>
      <c r="U27" s="336"/>
      <c r="V27" s="530"/>
      <c r="W27" s="613"/>
      <c r="X27" s="336"/>
      <c r="Y27" s="530"/>
      <c r="Z27" s="613"/>
      <c r="AA27" s="336">
        <v>0</v>
      </c>
      <c r="AB27" s="530" t="str">
        <f t="shared" si="22"/>
        <v xml:space="preserve">    ---- </v>
      </c>
      <c r="AC27" s="613">
        <v>-4</v>
      </c>
      <c r="AD27" s="336">
        <v>-9</v>
      </c>
      <c r="AE27" s="712">
        <f t="shared" si="23"/>
        <v>125</v>
      </c>
      <c r="AF27" s="613"/>
      <c r="AG27" s="336"/>
      <c r="AH27" s="530"/>
      <c r="AI27" s="613"/>
      <c r="AJ27" s="336"/>
      <c r="AK27" s="530"/>
      <c r="AL27" s="613">
        <v>-119</v>
      </c>
      <c r="AM27" s="336">
        <v>-3</v>
      </c>
      <c r="AN27" s="530">
        <f t="shared" si="25"/>
        <v>-97.5</v>
      </c>
      <c r="AO27" s="530">
        <f t="shared" si="26"/>
        <v>-434.28899999999999</v>
      </c>
      <c r="AP27" s="530">
        <f t="shared" si="27"/>
        <v>-382.58633756999996</v>
      </c>
      <c r="AQ27" s="530">
        <f t="shared" si="13"/>
        <v>-11.9</v>
      </c>
      <c r="AR27" s="530"/>
      <c r="AS27" s="530"/>
      <c r="AT27" s="530"/>
    </row>
    <row r="28" spans="1:46" s="506" customFormat="1" ht="18.75" customHeight="1" x14ac:dyDescent="0.3">
      <c r="A28" s="528" t="s">
        <v>308</v>
      </c>
      <c r="B28" s="613"/>
      <c r="C28" s="336"/>
      <c r="D28" s="530"/>
      <c r="E28" s="613"/>
      <c r="F28" s="336"/>
      <c r="G28" s="530" t="str">
        <f t="shared" si="1"/>
        <v xml:space="preserve">    ---- </v>
      </c>
      <c r="H28" s="613">
        <v>7.5510000000000002</v>
      </c>
      <c r="I28" s="336">
        <v>3.40292181</v>
      </c>
      <c r="J28" s="530">
        <f t="shared" si="19"/>
        <v>-54.9</v>
      </c>
      <c r="K28" s="613"/>
      <c r="L28" s="336"/>
      <c r="M28" s="530"/>
      <c r="N28" s="613"/>
      <c r="O28" s="336"/>
      <c r="P28" s="530"/>
      <c r="Q28" s="613"/>
      <c r="R28" s="336"/>
      <c r="S28" s="530"/>
      <c r="T28" s="613"/>
      <c r="U28" s="336"/>
      <c r="V28" s="530"/>
      <c r="W28" s="613"/>
      <c r="X28" s="336">
        <v>0</v>
      </c>
      <c r="Y28" s="530" t="str">
        <f t="shared" si="21"/>
        <v xml:space="preserve">    ---- </v>
      </c>
      <c r="Z28" s="613">
        <v>2</v>
      </c>
      <c r="AA28" s="336">
        <v>2</v>
      </c>
      <c r="AB28" s="530">
        <f t="shared" si="22"/>
        <v>0</v>
      </c>
      <c r="AC28" s="613"/>
      <c r="AD28" s="336"/>
      <c r="AE28" s="530"/>
      <c r="AF28" s="613"/>
      <c r="AG28" s="336"/>
      <c r="AH28" s="530"/>
      <c r="AI28" s="613"/>
      <c r="AJ28" s="336">
        <v>0.55512700000000004</v>
      </c>
      <c r="AK28" s="530" t="str">
        <f t="shared" si="24"/>
        <v xml:space="preserve">    ---- </v>
      </c>
      <c r="AL28" s="613">
        <v>-8</v>
      </c>
      <c r="AM28" s="336">
        <v>1226</v>
      </c>
      <c r="AN28" s="530">
        <f t="shared" si="25"/>
        <v>-999</v>
      </c>
      <c r="AO28" s="530">
        <f t="shared" si="26"/>
        <v>1.5510000000000002</v>
      </c>
      <c r="AP28" s="530">
        <f t="shared" si="27"/>
        <v>1231.95804881</v>
      </c>
      <c r="AQ28" s="530">
        <f t="shared" si="13"/>
        <v>999</v>
      </c>
      <c r="AR28" s="530"/>
      <c r="AS28" s="530"/>
      <c r="AT28" s="530"/>
    </row>
    <row r="29" spans="1:46" s="506" customFormat="1" ht="18.75" customHeight="1" x14ac:dyDescent="0.3">
      <c r="A29" s="528" t="s">
        <v>309</v>
      </c>
      <c r="B29" s="613">
        <f>SUM(B23:B28)</f>
        <v>-69.806000000000012</v>
      </c>
      <c r="C29" s="336">
        <f>SUM(C23:C28)</f>
        <v>-13.95</v>
      </c>
      <c r="D29" s="530">
        <f t="shared" si="18"/>
        <v>-80</v>
      </c>
      <c r="E29" s="613">
        <f>SUM(E23:E28)</f>
        <v>-38.042999999999999</v>
      </c>
      <c r="F29" s="336"/>
      <c r="G29" s="530">
        <f t="shared" si="1"/>
        <v>-100</v>
      </c>
      <c r="H29" s="613">
        <f>SUM(H23:H28)</f>
        <v>3758.2570000000001</v>
      </c>
      <c r="I29" s="336">
        <f>SUM(I23:I28)</f>
        <v>2738.63013602</v>
      </c>
      <c r="J29" s="530">
        <f t="shared" si="19"/>
        <v>-27.1</v>
      </c>
      <c r="K29" s="613">
        <f>SUM(K23:K28)</f>
        <v>-815.77262634999988</v>
      </c>
      <c r="L29" s="336">
        <f>SUM(L23:L28)</f>
        <v>-217.94111233999962</v>
      </c>
      <c r="M29" s="530">
        <f>IF(K29=0, "    ---- ", IF(ABS(ROUND(100/K29*L29-100,1))&lt;999,ROUND(100/K29*L29-100,1),IF(ROUND(100/K29*L29-100,1)&gt;999,999,-999)))</f>
        <v>-73.3</v>
      </c>
      <c r="N29" s="613">
        <f>SUM(N23:N28)</f>
        <v>-353.17899999999997</v>
      </c>
      <c r="O29" s="336">
        <f>SUM(O23:O28)</f>
        <v>-367.46199999999999</v>
      </c>
      <c r="P29" s="530">
        <f>IF(N29=0, "    ---- ", IF(ABS(ROUND(100/N29*O29-100,1))&lt;999,ROUND(100/N29*O29-100,1),IF(ROUND(100/N29*O29-100,1)&gt;999,999,-999)))</f>
        <v>4</v>
      </c>
      <c r="Q29" s="613">
        <f>SUM(Q23:Q28)</f>
        <v>-174.7</v>
      </c>
      <c r="R29" s="336">
        <f>SUM(R23:R28)</f>
        <v>-261</v>
      </c>
      <c r="S29" s="530">
        <f t="shared" si="20"/>
        <v>49.4</v>
      </c>
      <c r="T29" s="613">
        <f>SUM(T23:T28)</f>
        <v>2.2488542100000002</v>
      </c>
      <c r="U29" s="336">
        <f>SUM(U23:U28)</f>
        <v>4.4641909999999996</v>
      </c>
      <c r="V29" s="712">
        <f>IF(T29=0, "    ---- ", IF(ABS(ROUND(100/T29*U29-100,1))&lt;999,ROUND(100/T29*U29-100,1),IF(ROUND(100/T29*U29-100,1)&gt;999,999,-999)))</f>
        <v>98.5</v>
      </c>
      <c r="W29" s="613">
        <v>7455.3099778200003</v>
      </c>
      <c r="X29" s="336">
        <v>-32491.788755510002</v>
      </c>
      <c r="Y29" s="530">
        <f t="shared" si="21"/>
        <v>-535.79999999999995</v>
      </c>
      <c r="Z29" s="613">
        <f>SUM(Z23:Z28)</f>
        <v>-133.94</v>
      </c>
      <c r="AA29" s="336">
        <f>SUM(AA23:AA28)</f>
        <v>-519.91</v>
      </c>
      <c r="AB29" s="530">
        <f t="shared" si="22"/>
        <v>288.2</v>
      </c>
      <c r="AC29" s="613">
        <f>SUM(AC23:AC28)</f>
        <v>-97</v>
      </c>
      <c r="AD29" s="336">
        <f>SUM(AD23:AD28)</f>
        <v>-1967</v>
      </c>
      <c r="AE29" s="530">
        <f t="shared" si="23"/>
        <v>999</v>
      </c>
      <c r="AF29" s="613"/>
      <c r="AG29" s="336"/>
      <c r="AH29" s="530"/>
      <c r="AI29" s="613">
        <f>SUM(AI23:AI28)</f>
        <v>15.459458979999983</v>
      </c>
      <c r="AJ29" s="336">
        <f>SUM(AJ23:AJ28)</f>
        <v>-264.97304008999998</v>
      </c>
      <c r="AK29" s="530">
        <f t="shared" si="24"/>
        <v>-999</v>
      </c>
      <c r="AL29" s="613">
        <f>SUM(AL23:AL28)</f>
        <v>-2332</v>
      </c>
      <c r="AM29" s="336">
        <f>SUM(AM23:AM28)</f>
        <v>-5919</v>
      </c>
      <c r="AN29" s="530">
        <f t="shared" si="25"/>
        <v>153.80000000000001</v>
      </c>
      <c r="AO29" s="530">
        <f t="shared" si="26"/>
        <v>7214.5858104500003</v>
      </c>
      <c r="AP29" s="530">
        <f t="shared" si="27"/>
        <v>-39284.394771920008</v>
      </c>
      <c r="AQ29" s="530">
        <f t="shared" si="13"/>
        <v>-644.5</v>
      </c>
      <c r="AR29" s="530"/>
      <c r="AS29" s="530"/>
      <c r="AT29" s="530"/>
    </row>
    <row r="30" spans="1:46" s="506" customFormat="1" ht="18.75" customHeight="1" x14ac:dyDescent="0.3">
      <c r="A30" s="528" t="s">
        <v>310</v>
      </c>
      <c r="B30" s="613">
        <v>-217.06100000000001</v>
      </c>
      <c r="C30" s="336">
        <v>-2675.221</v>
      </c>
      <c r="D30" s="530">
        <f>IF(B30=0, "    ---- ", IF(ABS(ROUND(100/B30*C30-100,1))&lt;999,ROUND(100/B30*C30-100,1),IF(ROUND(100/B30*C30-100,1)&gt;999,999,-999)))</f>
        <v>999</v>
      </c>
      <c r="E30" s="613">
        <v>-268.86099999999999</v>
      </c>
      <c r="F30" s="336"/>
      <c r="G30" s="530">
        <f t="shared" si="1"/>
        <v>-100</v>
      </c>
      <c r="H30" s="613">
        <v>4004.6030000000001</v>
      </c>
      <c r="I30" s="336">
        <v>-13389.19555391</v>
      </c>
      <c r="J30" s="530">
        <f>IF(H30=0, "    ---- ", IF(ABS(ROUND(100/H30*I30-100,1))&lt;999,ROUND(100/H30*I30-100,1),IF(ROUND(100/H30*I30-100,1)&gt;999,999,-999)))</f>
        <v>-434.3</v>
      </c>
      <c r="K30" s="613"/>
      <c r="L30" s="336"/>
      <c r="M30" s="530"/>
      <c r="N30" s="613">
        <v>-3.14</v>
      </c>
      <c r="O30" s="336"/>
      <c r="P30" s="712">
        <f>IF(N30=0, "    ---- ", IF(ABS(ROUND(100/N30*O30-100,1))&lt;999,ROUND(100/N30*O30-100,1),IF(ROUND(100/N30*O30-100,1)&gt;999,999,-999)))</f>
        <v>-100</v>
      </c>
      <c r="Q30" s="613">
        <v>373.3</v>
      </c>
      <c r="R30" s="336">
        <v>-3955</v>
      </c>
      <c r="S30" s="530">
        <f t="shared" si="20"/>
        <v>-999</v>
      </c>
      <c r="T30" s="613"/>
      <c r="U30" s="336"/>
      <c r="V30" s="530"/>
      <c r="W30" s="613">
        <v>612.93469000000005</v>
      </c>
      <c r="X30" s="336">
        <v>-71.554603</v>
      </c>
      <c r="Y30" s="530">
        <f t="shared" si="21"/>
        <v>-111.7</v>
      </c>
      <c r="Z30" s="613">
        <v>-1709.9</v>
      </c>
      <c r="AA30" s="336">
        <v>-15190.02</v>
      </c>
      <c r="AB30" s="530">
        <f>IF(Z30=0, "    ---- ", IF(ABS(ROUND(100/Z30*AA30-100,1))&lt;999,ROUND(100/Z30*AA30-100,1),IF(ROUND(100/Z30*AA30-100,1)&gt;999,999,-999)))</f>
        <v>788.4</v>
      </c>
      <c r="AC30" s="613"/>
      <c r="AD30" s="336"/>
      <c r="AE30" s="530"/>
      <c r="AF30" s="613">
        <v>27.11952458</v>
      </c>
      <c r="AG30" s="336">
        <v>-297.39812167000002</v>
      </c>
      <c r="AH30" s="530">
        <f>IF(AF30=0, "    ---- ", IF(ABS(ROUND(100/AF30*AG30-100,1))&lt;999,ROUND(100/AF30*AG30-100,1),IF(ROUND(100/AF30*AG30-100,1)&gt;999,999,-999)))</f>
        <v>-999</v>
      </c>
      <c r="AI30" s="613">
        <v>-664.83755786000154</v>
      </c>
      <c r="AJ30" s="336">
        <v>-7356.7722469599985</v>
      </c>
      <c r="AK30" s="530">
        <f>IF(AI30=0, "    ---- ", IF(ABS(ROUND(100/AI30*AJ30-100,1))&lt;999,ROUND(100/AI30*AJ30-100,1),IF(ROUND(100/AI30*AJ30-100,1)&gt;999,999,-999)))</f>
        <v>999</v>
      </c>
      <c r="AL30" s="613">
        <v>-2803</v>
      </c>
      <c r="AM30" s="336">
        <v>-13688</v>
      </c>
      <c r="AN30" s="530">
        <f>IF(AL30=0, "    ---- ", IF(ABS(ROUND(100/AL30*AM30-100,1))&lt;999,ROUND(100/AL30*AM30-100,1),IF(ROUND(100/AL30*AM30-100,1)&gt;999,999,-999)))</f>
        <v>388.3</v>
      </c>
      <c r="AO30" s="530">
        <f t="shared" si="26"/>
        <v>-675.96186786000135</v>
      </c>
      <c r="AP30" s="530">
        <f t="shared" si="27"/>
        <v>-56325.763403869998</v>
      </c>
      <c r="AQ30" s="530">
        <f t="shared" si="13"/>
        <v>999</v>
      </c>
      <c r="AR30" s="530"/>
      <c r="AS30" s="530"/>
      <c r="AT30" s="530"/>
    </row>
    <row r="31" spans="1:46" s="506" customFormat="1" ht="18.75" customHeight="1" x14ac:dyDescent="0.3">
      <c r="A31" s="528" t="s">
        <v>311</v>
      </c>
      <c r="B31" s="613"/>
      <c r="C31" s="336"/>
      <c r="D31" s="530"/>
      <c r="E31" s="613">
        <v>0</v>
      </c>
      <c r="F31" s="336"/>
      <c r="G31" s="530"/>
      <c r="H31" s="613">
        <v>-60.389000000000003</v>
      </c>
      <c r="I31" s="336">
        <v>-2582.4419218100002</v>
      </c>
      <c r="J31" s="530">
        <f>IF(H31=0, "    ---- ", IF(ABS(ROUND(100/H31*I31-100,1))&lt;999,ROUND(100/H31*I31-100,1),IF(ROUND(100/H31*I31-100,1)&gt;999,999,-999)))</f>
        <v>999</v>
      </c>
      <c r="K31" s="613"/>
      <c r="L31" s="336">
        <v>-0.57809100000000002</v>
      </c>
      <c r="M31" s="712" t="str">
        <f>IF(K31=0, "    ---- ", IF(ABS(ROUND(100/K31*L31-100,1))&lt;999,ROUND(100/K31*L31-100,1),IF(ROUND(100/K31*L31-100,1)&gt;999,999,-999)))</f>
        <v xml:space="preserve">    ---- </v>
      </c>
      <c r="N31" s="613"/>
      <c r="O31" s="336"/>
      <c r="P31" s="530"/>
      <c r="Q31" s="613">
        <v>47.1</v>
      </c>
      <c r="R31" s="336">
        <v>-29</v>
      </c>
      <c r="S31" s="530">
        <f t="shared" si="20"/>
        <v>-161.6</v>
      </c>
      <c r="T31" s="613"/>
      <c r="U31" s="336"/>
      <c r="V31" s="530"/>
      <c r="W31" s="613">
        <v>-3502.5211850000001</v>
      </c>
      <c r="X31" s="336">
        <v>-7219.6083410000001</v>
      </c>
      <c r="Y31" s="530">
        <f>IF(W31=0, "    ---- ", IF(ABS(ROUND(100/W31*X31-100,1))&lt;999,ROUND(100/W31*X31-100,1),IF(ROUND(100/W31*X31-100,1)&gt;999,999,-999)))</f>
        <v>106.1</v>
      </c>
      <c r="Z31" s="613">
        <v>-17.05</v>
      </c>
      <c r="AA31" s="336">
        <v>-1286.06</v>
      </c>
      <c r="AB31" s="530">
        <f>IF(Z31=0, "    ---- ", IF(ABS(ROUND(100/Z31*AA31-100,1))&lt;999,ROUND(100/Z31*AA31-100,1),IF(ROUND(100/Z31*AA31-100,1)&gt;999,999,-999)))</f>
        <v>999</v>
      </c>
      <c r="AC31" s="613">
        <v>-533</v>
      </c>
      <c r="AD31" s="336">
        <v>-4559</v>
      </c>
      <c r="AE31" s="530">
        <f>IF(AC31=0, "    ---- ", IF(ABS(ROUND(100/AC31*AD31-100,1))&lt;999,ROUND(100/AC31*AD31-100,1),IF(ROUND(100/AC31*AD31-100,1)&gt;999,999,-999)))</f>
        <v>755.3</v>
      </c>
      <c r="AF31" s="613"/>
      <c r="AG31" s="336"/>
      <c r="AH31" s="530"/>
      <c r="AI31" s="613">
        <v>-18.06567055</v>
      </c>
      <c r="AJ31" s="336">
        <v>-476.96063710000004</v>
      </c>
      <c r="AK31" s="530">
        <f>IF(AI31=0, "    ---- ", IF(ABS(ROUND(100/AI31*AJ31-100,1))&lt;999,ROUND(100/AI31*AJ31-100,1),IF(ROUND(100/AI31*AJ31-100,1)&gt;999,999,-999)))</f>
        <v>999</v>
      </c>
      <c r="AL31" s="613">
        <v>-762</v>
      </c>
      <c r="AM31" s="336">
        <v>-1300</v>
      </c>
      <c r="AN31" s="530">
        <f>IF(AL31=0, "    ---- ", IF(ABS(ROUND(100/AL31*AM31-100,1))&lt;999,ROUND(100/AL31*AM31-100,1),IF(ROUND(100/AL31*AM31-100,1)&gt;999,999,-999)))</f>
        <v>70.599999999999994</v>
      </c>
      <c r="AO31" s="530">
        <f t="shared" si="26"/>
        <v>-4845.9258555500001</v>
      </c>
      <c r="AP31" s="530">
        <f t="shared" si="27"/>
        <v>-17453.648990909998</v>
      </c>
      <c r="AQ31" s="530">
        <f t="shared" si="13"/>
        <v>260.2</v>
      </c>
      <c r="AR31" s="530"/>
      <c r="AS31" s="530"/>
      <c r="AT31" s="530"/>
    </row>
    <row r="32" spans="1:46" s="506" customFormat="1" ht="18.75" customHeight="1" x14ac:dyDescent="0.3">
      <c r="A32" s="528" t="s">
        <v>312</v>
      </c>
      <c r="B32" s="613">
        <v>-130.03899999999999</v>
      </c>
      <c r="C32" s="336">
        <v>-115.22</v>
      </c>
      <c r="D32" s="530">
        <f>IF(B32=0, "    ---- ", IF(ABS(ROUND(100/B32*C32-100,1))&lt;999,ROUND(100/B32*C32-100,1),IF(ROUND(100/B32*C32-100,1)&gt;999,999,-999)))</f>
        <v>-11.4</v>
      </c>
      <c r="E32" s="613">
        <v>-37.847999999999999</v>
      </c>
      <c r="F32" s="336"/>
      <c r="G32" s="530">
        <f>IF(E32=0, "    ---- ", IF(ABS(ROUND(100/E32*F32-100,1))&lt;999,ROUND(100/E32*F32-100,1),IF(ROUND(100/E32*F32-100,1)&gt;999,999,-999)))</f>
        <v>-100</v>
      </c>
      <c r="H32" s="613">
        <v>-527.74599999999998</v>
      </c>
      <c r="I32" s="336">
        <v>-580.37261092000006</v>
      </c>
      <c r="J32" s="530">
        <f>IF(H32=0, "    ---- ", IF(ABS(ROUND(100/H32*I32-100,1))&lt;999,ROUND(100/H32*I32-100,1),IF(ROUND(100/H32*I32-100,1)&gt;999,999,-999)))</f>
        <v>10</v>
      </c>
      <c r="K32" s="613">
        <v>-465.11820746000001</v>
      </c>
      <c r="L32" s="336">
        <v>-427.86683173999995</v>
      </c>
      <c r="M32" s="530">
        <f>IF(K32=0, "    ---- ", IF(ABS(ROUND(100/K32*L32-100,1))&lt;999,ROUND(100/K32*L32-100,1),IF(ROUND(100/K32*L32-100,1)&gt;999,999,-999)))</f>
        <v>-8</v>
      </c>
      <c r="N32" s="613">
        <v>-124.70699999999999</v>
      </c>
      <c r="O32" s="336">
        <v>-107.107</v>
      </c>
      <c r="P32" s="530">
        <f>IF(N32=0, "    ---- ", IF(ABS(ROUND(100/N32*O32-100,1))&lt;999,ROUND(100/N32*O32-100,1),IF(ROUND(100/N32*O32-100,1)&gt;999,999,-999)))</f>
        <v>-14.1</v>
      </c>
      <c r="Q32" s="613">
        <v>-150.9</v>
      </c>
      <c r="R32" s="336">
        <v>-153</v>
      </c>
      <c r="S32" s="530">
        <f>IF(Q32=0, "    ---- ", IF(ABS(ROUND(100/Q32*R32-100,1))&lt;999,ROUND(100/Q32*R32-100,1),IF(ROUND(100/Q32*R32-100,1)&gt;999,999,-999)))</f>
        <v>1.4</v>
      </c>
      <c r="T32" s="613">
        <v>-5.4801113900000002</v>
      </c>
      <c r="U32" s="336">
        <v>-5.1997577000000001</v>
      </c>
      <c r="V32" s="530">
        <f>IF(T32=0, "    ---- ", IF(ABS(ROUND(100/T32*U32-100,1))&lt;999,ROUND(100/T32*U32-100,1),IF(ROUND(100/T32*U32-100,1)&gt;999,999,-999)))</f>
        <v>-5.0999999999999996</v>
      </c>
      <c r="W32" s="613">
        <v>-600.86569887999997</v>
      </c>
      <c r="X32" s="336">
        <v>-624.59537211999998</v>
      </c>
      <c r="Y32" s="530">
        <f>IF(W32=0, "    ---- ", IF(ABS(ROUND(100/W32*X32-100,1))&lt;999,ROUND(100/W32*X32-100,1),IF(ROUND(100/W32*X32-100,1)&gt;999,999,-999)))</f>
        <v>3.9</v>
      </c>
      <c r="Z32" s="613">
        <v>-305.52</v>
      </c>
      <c r="AA32" s="336">
        <v>-356.95</v>
      </c>
      <c r="AB32" s="530">
        <f>IF(Z32=0, "    ---- ", IF(ABS(ROUND(100/Z32*AA32-100,1))&lt;999,ROUND(100/Z32*AA32-100,1),IF(ROUND(100/Z32*AA32-100,1)&gt;999,999,-999)))</f>
        <v>16.8</v>
      </c>
      <c r="AC32" s="613"/>
      <c r="AD32" s="336"/>
      <c r="AE32" s="530"/>
      <c r="AF32" s="613">
        <v>2.40989926</v>
      </c>
      <c r="AG32" s="336">
        <v>3.34932775</v>
      </c>
      <c r="AH32" s="530">
        <f>IF(AF32=0, "    ---- ", IF(ABS(ROUND(100/AF32*AG32-100,1))&lt;999,ROUND(100/AF32*AG32-100,1),IF(ROUND(100/AF32*AG32-100,1)&gt;999,999,-999)))</f>
        <v>39</v>
      </c>
      <c r="AI32" s="613">
        <v>-303.65863100519999</v>
      </c>
      <c r="AJ32" s="336">
        <v>-354.23597817999996</v>
      </c>
      <c r="AK32" s="530">
        <f>IF(AI32=0, "    ---- ", IF(ABS(ROUND(100/AI32*AJ32-100,1))&lt;999,ROUND(100/AI32*AJ32-100,1),IF(ROUND(100/AI32*AJ32-100,1)&gt;999,999,-999)))</f>
        <v>16.7</v>
      </c>
      <c r="AL32" s="613">
        <v>-677</v>
      </c>
      <c r="AM32" s="336">
        <v>-677</v>
      </c>
      <c r="AN32" s="530">
        <f>IF(AL32=0, "    ---- ", IF(ABS(ROUND(100/AL32*AM32-100,1))&lt;999,ROUND(100/AL32*AM32-100,1),IF(ROUND(100/AL32*AM32-100,1)&gt;999,999,-999)))</f>
        <v>0</v>
      </c>
      <c r="AO32" s="530">
        <f t="shared" si="26"/>
        <v>-3323.4025373451996</v>
      </c>
      <c r="AP32" s="530">
        <f t="shared" si="27"/>
        <v>-3396.3477929599999</v>
      </c>
      <c r="AQ32" s="530">
        <f t="shared" si="13"/>
        <v>2.2000000000000002</v>
      </c>
      <c r="AR32" s="530"/>
      <c r="AS32" s="530"/>
      <c r="AT32" s="530"/>
    </row>
    <row r="33" spans="1:46" s="541" customFormat="1" ht="18.75" customHeight="1" x14ac:dyDescent="0.3">
      <c r="A33" s="528" t="s">
        <v>313</v>
      </c>
      <c r="B33" s="194"/>
      <c r="C33" s="444"/>
      <c r="D33" s="533"/>
      <c r="E33" s="194">
        <v>-6.702</v>
      </c>
      <c r="F33" s="444"/>
      <c r="G33" s="533">
        <f>IF(E33=0, "    ---- ", IF(ABS(ROUND(100/E33*F33-100,1))&lt;999,ROUND(100/E33*F33-100,1),IF(ROUND(100/E33*F33-100,1)&gt;999,999,-999)))</f>
        <v>-100</v>
      </c>
      <c r="H33" s="194">
        <v>-7.4470000000000001</v>
      </c>
      <c r="I33" s="444">
        <v>-30.7460071</v>
      </c>
      <c r="J33" s="533">
        <f>IF(H33=0, "    ---- ", IF(ABS(ROUND(100/H33*I33-100,1))&lt;999,ROUND(100/H33*I33-100,1),IF(ROUND(100/H33*I33-100,1)&gt;999,999,-999)))</f>
        <v>312.89999999999998</v>
      </c>
      <c r="K33" s="194">
        <v>-6.8049812999999997</v>
      </c>
      <c r="L33" s="444">
        <v>-5.938904520000003</v>
      </c>
      <c r="M33" s="712">
        <f>IF(K33=0, "    ---- ", IF(ABS(ROUND(100/K33*L33-100,1))&lt;999,ROUND(100/K33*L33-100,1),IF(ROUND(100/K33*L33-100,1)&gt;999,999,-999)))</f>
        <v>-12.7</v>
      </c>
      <c r="N33" s="194"/>
      <c r="O33" s="444"/>
      <c r="P33" s="533"/>
      <c r="Q33" s="194"/>
      <c r="R33" s="444"/>
      <c r="S33" s="533"/>
      <c r="T33" s="194"/>
      <c r="U33" s="444"/>
      <c r="V33" s="533"/>
      <c r="W33" s="194">
        <v>-592.79414099999997</v>
      </c>
      <c r="X33" s="444">
        <v>-625.27531999999997</v>
      </c>
      <c r="Y33" s="533">
        <f>IF(W33=0, "    ---- ", IF(ABS(ROUND(100/W33*X33-100,1))&lt;999,ROUND(100/W33*X33-100,1),IF(ROUND(100/W33*X33-100,1)&gt;999,999,-999)))</f>
        <v>5.5</v>
      </c>
      <c r="Z33" s="194">
        <v>-22.9090527</v>
      </c>
      <c r="AA33" s="444">
        <v>-21.40347663</v>
      </c>
      <c r="AB33" s="533">
        <f>IF(Z33=0, "    ---- ", IF(ABS(ROUND(100/Z33*AA33-100,1))&lt;999,ROUND(100/Z33*AA33-100,1),IF(ROUND(100/Z33*AA33-100,1)&gt;999,999,-999)))</f>
        <v>-6.6</v>
      </c>
      <c r="AC33" s="194">
        <v>-92</v>
      </c>
      <c r="AD33" s="444">
        <v>-107</v>
      </c>
      <c r="AE33" s="712">
        <f t="shared" ref="AE33" si="28">IF(AC33=0, "    ---- ", IF(ABS(ROUND(100/AC33*AD33-100,1))&lt;999,ROUND(100/AC33*AD33-100,1),IF(ROUND(100/AC33*AD33-100,1)&gt;999,999,-999)))</f>
        <v>16.3</v>
      </c>
      <c r="AF33" s="194"/>
      <c r="AG33" s="444"/>
      <c r="AH33" s="533"/>
      <c r="AI33" s="194">
        <v>-0.26482768000000001</v>
      </c>
      <c r="AJ33" s="444">
        <v>-1.5540072000000003</v>
      </c>
      <c r="AK33" s="533">
        <f>IF(AI33=0, "    ---- ", IF(ABS(ROUND(100/AI33*AJ33-100,1))&lt;999,ROUND(100/AI33*AJ33-100,1),IF(ROUND(100/AI33*AJ33-100,1)&gt;999,999,-999)))</f>
        <v>486.8</v>
      </c>
      <c r="AL33" s="194">
        <v>-156</v>
      </c>
      <c r="AM33" s="444">
        <v>-68</v>
      </c>
      <c r="AN33" s="533">
        <f>IF(AL33=0, "    ---- ", IF(ABS(ROUND(100/AL33*AM33-100,1))&lt;999,ROUND(100/AL33*AM33-100,1),IF(ROUND(100/AL33*AM33-100,1)&gt;999,999,-999)))</f>
        <v>-56.4</v>
      </c>
      <c r="AO33" s="530">
        <f t="shared" si="26"/>
        <v>-884.92200267999999</v>
      </c>
      <c r="AP33" s="530">
        <f t="shared" si="27"/>
        <v>-859.91771544999995</v>
      </c>
      <c r="AQ33" s="533">
        <f t="shared" si="13"/>
        <v>-2.8</v>
      </c>
      <c r="AR33" s="533"/>
      <c r="AS33" s="533"/>
      <c r="AT33" s="533"/>
    </row>
    <row r="34" spans="1:46" s="544" customFormat="1" ht="18.75" customHeight="1" x14ac:dyDescent="0.3">
      <c r="A34" s="542" t="s">
        <v>314</v>
      </c>
      <c r="B34" s="197">
        <f>SUM(B14+B15+B16+B17+B21+B29+B30+B31+B32+B33)</f>
        <v>49.03800000000038</v>
      </c>
      <c r="C34" s="450">
        <f>SUM(C14+C15+C16+C17+C21+C29+C30+C31+C32+C33)</f>
        <v>63.791999999999717</v>
      </c>
      <c r="D34" s="543">
        <f>IF(B34=0, "    ---- ", IF(ABS(ROUND(100/B34*C34-100,1))&lt;999,ROUND(100/B34*C34-100,1),IF(ROUND(100/B34*C34-100,1)&gt;999,999,-999)))</f>
        <v>30.1</v>
      </c>
      <c r="E34" s="197">
        <f>SUM(E14+E15+E16+E17+E21+E29+E30+E31+E32+E33)</f>
        <v>-44.206000000000003</v>
      </c>
      <c r="F34" s="450"/>
      <c r="G34" s="543">
        <f>IF(E34=0, "    ---- ", IF(ABS(ROUND(100/E34*F34-100,1))&lt;999,ROUND(100/E34*F34-100,1),IF(ROUND(100/E34*F34-100,1)&gt;999,999,-999)))</f>
        <v>-100</v>
      </c>
      <c r="H34" s="197">
        <f>SUM(H14+H15+H16+H17+H21+H29+H30+H31+H32+H33)</f>
        <v>-2581.8249999999994</v>
      </c>
      <c r="I34" s="450">
        <f>SUM(I14+I15+I16+I17+I21+I29+I30+I31+I32+I33)</f>
        <v>457.31175345000264</v>
      </c>
      <c r="J34" s="543">
        <f>IF(H34=0, "    ---- ", IF(ABS(ROUND(100/H34*I34-100,1))&lt;999,ROUND(100/H34*I34-100,1),IF(ROUND(100/H34*I34-100,1)&gt;999,999,-999)))</f>
        <v>-117.7</v>
      </c>
      <c r="K34" s="197">
        <f>SUM(K14+K15+K16+K17+K21+K29+K30+K31+K32+K33)</f>
        <v>-222.39057742000034</v>
      </c>
      <c r="L34" s="450">
        <f>SUM(L14+L15+L16+L17+L21+L29+L30+L31+L32+L33)</f>
        <v>475.78154546000059</v>
      </c>
      <c r="M34" s="543">
        <f>IF(K34=0, "    ---- ", IF(ABS(ROUND(100/K34*L34-100,1))&lt;999,ROUND(100/K34*L34-100,1),IF(ROUND(100/K34*L34-100,1)&gt;999,999,-999)))</f>
        <v>-313.89999999999998</v>
      </c>
      <c r="N34" s="197">
        <f>SUM(N14+N15+N16+N17+N21+N29+N30+N31+N32+N33)</f>
        <v>136.72799999999995</v>
      </c>
      <c r="O34" s="450">
        <f>SUM(O14+O15+O16+O17+O21+O29+O30+O31+O32+O33)</f>
        <v>50.75800000000001</v>
      </c>
      <c r="P34" s="543">
        <f>IF(N34=0, "    ---- ", IF(ABS(ROUND(100/N34*O34-100,1))&lt;999,ROUND(100/N34*O34-100,1),IF(ROUND(100/N34*O34-100,1)&gt;999,999,-999)))</f>
        <v>-62.9</v>
      </c>
      <c r="Q34" s="197">
        <f>SUM(Q14+Q15+Q16+Q17+Q21+Q29+Q30+Q31+Q32+Q33)</f>
        <v>66.599999999999966</v>
      </c>
      <c r="R34" s="450">
        <f>SUM(R14+R15+R16+R17+R21+R29+R30+R31+R32+R33)</f>
        <v>101</v>
      </c>
      <c r="S34" s="543">
        <f>IF(Q34=0, "    ---- ", IF(ABS(ROUND(100/Q34*R34-100,1))&lt;999,ROUND(100/Q34*R34-100,1),IF(ROUND(100/Q34*R34-100,1)&gt;999,999,-999)))</f>
        <v>51.7</v>
      </c>
      <c r="T34" s="197">
        <f>SUM(T14+T15+T16+T17+T21+T29+T30+T31+T32+T33)</f>
        <v>5.7624777200000006</v>
      </c>
      <c r="U34" s="450">
        <f>SUM(U14+U15+U16+U17+U21+U29+U30+U31+U32+U33)</f>
        <v>8.6657313499999979</v>
      </c>
      <c r="V34" s="543">
        <f>IF(T34=0, "    ---- ", IF(ABS(ROUND(100/T34*U34-100,1))&lt;999,ROUND(100/T34*U34-100,1),IF(ROUND(100/T34*U34-100,1)&gt;999,999,-999)))</f>
        <v>50.4</v>
      </c>
      <c r="W34" s="197">
        <v>566.27224910999973</v>
      </c>
      <c r="X34" s="450">
        <v>476.61981686999411</v>
      </c>
      <c r="Y34" s="543">
        <f>IF(W34=0, "    ---- ", IF(ABS(ROUND(100/W34*X34-100,1))&lt;999,ROUND(100/W34*X34-100,1),IF(ROUND(100/W34*X34-100,1)&gt;999,999,-999)))</f>
        <v>-15.8</v>
      </c>
      <c r="Z34" s="197">
        <f>SUM(Z14+Z15+Z16+Z17+Z21+Z29+Z30+Z31+Z32+Z33)</f>
        <v>53.020947300001822</v>
      </c>
      <c r="AA34" s="450">
        <f>SUM(AA14+AA15+AA16+AA17+AA21+AA29+AA30+AA31+AA32+AA33)</f>
        <v>482.45652337000269</v>
      </c>
      <c r="AB34" s="543">
        <f>IF(Z34=0, "    ---- ", IF(ABS(ROUND(100/Z34*AA34-100,1))&lt;999,ROUND(100/Z34*AA34-100,1),IF(ROUND(100/Z34*AA34-100,1)&gt;999,999,-999)))</f>
        <v>809.9</v>
      </c>
      <c r="AC34" s="197">
        <f>SUM(AC14+AC15+AC16+AC17+AC21+AC29+AC30+AC31+AC32+AC33)</f>
        <v>228</v>
      </c>
      <c r="AD34" s="450">
        <f>SUM(AD14+AD15+AD16+AD17+AD21+AD29+AD30+AD31+AD32+AD33)</f>
        <v>324</v>
      </c>
      <c r="AE34" s="543">
        <f>IF(AC34=0, "    ---- ", IF(ABS(ROUND(100/AC34*AD34-100,1))&lt;999,ROUND(100/AC34*AD34-100,1),IF(ROUND(100/AC34*AD34-100,1)&gt;999,999,-999)))</f>
        <v>42.1</v>
      </c>
      <c r="AF34" s="197">
        <f>SUM(AF14+AF15+AF16+AF17+AF21+AF29+AF30+AF31+AF32+AF33)</f>
        <v>7.0339272800000074</v>
      </c>
      <c r="AG34" s="450">
        <f>SUM(AG14+AG15+AG16+AG17+AG21+AG29+AG30+AG31+AG32+AG33)</f>
        <v>8.9236428899999538</v>
      </c>
      <c r="AH34" s="543">
        <f>IF(AF34=0, "    ---- ", IF(ABS(ROUND(100/AF34*AG34-100,1))&lt;999,ROUND(100/AF34*AG34-100,1),IF(ROUND(100/AF34*AG34-100,1)&gt;999,999,-999)))</f>
        <v>26.9</v>
      </c>
      <c r="AI34" s="197">
        <f>SUM(AI14+AI15+AI16+AI17+AI21+AI29+AI30+AI31+AI32+AI33)</f>
        <v>-183.08473076520096</v>
      </c>
      <c r="AJ34" s="450">
        <f>SUM(AJ14+AJ15+AJ16+AJ17+AJ21+AJ29+AJ30+AJ31+AJ32+AJ33)</f>
        <v>83.362859139998307</v>
      </c>
      <c r="AK34" s="543">
        <f>IF(AI34=0, "    ---- ", IF(ABS(ROUND(100/AI34*AJ34-100,1))&lt;999,ROUND(100/AI34*AJ34-100,1),IF(ROUND(100/AI34*AJ34-100,1)&gt;999,999,-999)))</f>
        <v>-145.5</v>
      </c>
      <c r="AL34" s="197">
        <f>SUM(AL14+AL15+AL16+AL17+AL21+AL29+AL30+AL31+AL32+AL33)</f>
        <v>-53</v>
      </c>
      <c r="AM34" s="450">
        <f>SUM(AM14+AM15+AM16+AM17+AM21+AM29+AM30+AM31+AM32+AM33)</f>
        <v>622</v>
      </c>
      <c r="AN34" s="543">
        <f>IF(AL34=0, "    ---- ", IF(ABS(ROUND(100/AL34*AM34-100,1))&lt;999,ROUND(100/AL34*AM34-100,1),IF(ROUND(100/AL34*AM34-100,1)&gt;999,999,-999)))</f>
        <v>-999</v>
      </c>
      <c r="AO34" s="543">
        <f t="shared" si="26"/>
        <v>-1984.8471117751983</v>
      </c>
      <c r="AP34" s="543">
        <f t="shared" si="27"/>
        <v>3137.0824982899981</v>
      </c>
      <c r="AQ34" s="543">
        <f t="shared" si="13"/>
        <v>-258.10000000000002</v>
      </c>
      <c r="AR34" s="543"/>
      <c r="AS34" s="543"/>
      <c r="AT34" s="543"/>
    </row>
    <row r="35" spans="1:46" s="544" customFormat="1" ht="18.75" customHeight="1" x14ac:dyDescent="0.3">
      <c r="A35" s="545"/>
      <c r="B35" s="648"/>
      <c r="C35" s="546"/>
      <c r="D35" s="547"/>
      <c r="E35" s="648"/>
      <c r="F35" s="546"/>
      <c r="G35" s="547"/>
      <c r="H35" s="648"/>
      <c r="I35" s="546"/>
      <c r="J35" s="547"/>
      <c r="K35" s="648"/>
      <c r="L35" s="546"/>
      <c r="M35" s="547"/>
      <c r="N35" s="648"/>
      <c r="O35" s="546"/>
      <c r="P35" s="547"/>
      <c r="Q35" s="648"/>
      <c r="R35" s="546"/>
      <c r="S35" s="547"/>
      <c r="T35" s="648"/>
      <c r="U35" s="546"/>
      <c r="V35" s="547"/>
      <c r="W35" s="648"/>
      <c r="X35" s="546"/>
      <c r="Y35" s="547"/>
      <c r="Z35" s="648"/>
      <c r="AA35" s="546"/>
      <c r="AB35" s="547"/>
      <c r="AC35" s="648"/>
      <c r="AD35" s="546"/>
      <c r="AE35" s="547"/>
      <c r="AF35" s="648"/>
      <c r="AG35" s="546"/>
      <c r="AH35" s="547"/>
      <c r="AI35" s="648"/>
      <c r="AJ35" s="546"/>
      <c r="AK35" s="548"/>
      <c r="AL35" s="648"/>
      <c r="AM35" s="546"/>
      <c r="AN35" s="548"/>
      <c r="AO35" s="548"/>
      <c r="AP35" s="548"/>
      <c r="AQ35" s="548"/>
      <c r="AR35" s="549"/>
      <c r="AS35" s="550"/>
      <c r="AT35" s="551"/>
    </row>
    <row r="36" spans="1:46" s="544" customFormat="1" ht="18.75" customHeight="1" x14ac:dyDescent="0.3">
      <c r="A36" s="520" t="s">
        <v>315</v>
      </c>
      <c r="B36" s="648"/>
      <c r="C36" s="546"/>
      <c r="D36" s="547"/>
      <c r="E36" s="648"/>
      <c r="F36" s="546"/>
      <c r="G36" s="547"/>
      <c r="H36" s="648"/>
      <c r="I36" s="546"/>
      <c r="J36" s="547"/>
      <c r="K36" s="648"/>
      <c r="L36" s="546"/>
      <c r="M36" s="547"/>
      <c r="N36" s="648"/>
      <c r="O36" s="546"/>
      <c r="P36" s="547"/>
      <c r="Q36" s="648"/>
      <c r="R36" s="546"/>
      <c r="S36" s="547"/>
      <c r="T36" s="648"/>
      <c r="U36" s="546"/>
      <c r="V36" s="547"/>
      <c r="W36" s="648"/>
      <c r="X36" s="546"/>
      <c r="Y36" s="547"/>
      <c r="Z36" s="648"/>
      <c r="AA36" s="546"/>
      <c r="AB36" s="547"/>
      <c r="AC36" s="648"/>
      <c r="AD36" s="546"/>
      <c r="AE36" s="547"/>
      <c r="AF36" s="648"/>
      <c r="AG36" s="546"/>
      <c r="AH36" s="547"/>
      <c r="AI36" s="648"/>
      <c r="AJ36" s="546"/>
      <c r="AK36" s="547"/>
      <c r="AL36" s="648"/>
      <c r="AM36" s="546"/>
      <c r="AN36" s="547"/>
      <c r="AO36" s="547"/>
      <c r="AP36" s="547"/>
      <c r="AQ36" s="547"/>
      <c r="AR36" s="552"/>
      <c r="AS36" s="553"/>
      <c r="AT36" s="554"/>
    </row>
    <row r="37" spans="1:46" s="556" customFormat="1" ht="18.75" customHeight="1" x14ac:dyDescent="0.3">
      <c r="A37" s="528" t="s">
        <v>316</v>
      </c>
      <c r="B37" s="649">
        <v>17.277000000000001</v>
      </c>
      <c r="C37" s="531">
        <v>3.49</v>
      </c>
      <c r="D37" s="530">
        <f t="shared" ref="D37:D43" si="29">IF(B37=0, "    ---- ", IF(ABS(ROUND(100/B37*C37-100,1))&lt;999,ROUND(100/B37*C37-100,1),IF(ROUND(100/B37*C37-100,1)&gt;999,999,-999)))</f>
        <v>-79.8</v>
      </c>
      <c r="E37" s="649">
        <v>7.9870000000000001</v>
      </c>
      <c r="F37" s="531"/>
      <c r="G37" s="530">
        <f t="shared" ref="G37:G44" si="30">IF(E37=0, "    ---- ", IF(ABS(ROUND(100/E37*F37-100,1))&lt;999,ROUND(100/E37*F37-100,1),IF(ROUND(100/E37*F37-100,1)&gt;999,999,-999)))</f>
        <v>-100</v>
      </c>
      <c r="H37" s="649">
        <v>251.97800000000001</v>
      </c>
      <c r="I37" s="531">
        <v>567.58240709000006</v>
      </c>
      <c r="J37" s="530">
        <f t="shared" ref="J37:J44" si="31">IF(H37=0, "    ---- ", IF(ABS(ROUND(100/H37*I37-100,1))&lt;999,ROUND(100/H37*I37-100,1),IF(ROUND(100/H37*I37-100,1)&gt;999,999,-999)))</f>
        <v>125.3</v>
      </c>
      <c r="K37" s="649">
        <v>12.490792810000002</v>
      </c>
      <c r="L37" s="531">
        <v>11.959044440000001</v>
      </c>
      <c r="M37" s="530">
        <f t="shared" ref="M37:M43" si="32">IF(K37=0, "    ---- ", IF(ABS(ROUND(100/K37*L37-100,1))&lt;999,ROUND(100/K37*L37-100,1),IF(ROUND(100/K37*L37-100,1)&gt;999,999,-999)))</f>
        <v>-4.3</v>
      </c>
      <c r="N37" s="649">
        <v>2.29</v>
      </c>
      <c r="O37" s="531">
        <v>19.556000000000001</v>
      </c>
      <c r="P37" s="530">
        <f t="shared" ref="P37:P43" si="33">IF(N37=0, "    ---- ", IF(ABS(ROUND(100/N37*O37-100,1))&lt;999,ROUND(100/N37*O37-100,1),IF(ROUND(100/N37*O37-100,1)&gt;999,999,-999)))</f>
        <v>754</v>
      </c>
      <c r="Q37" s="649">
        <v>9.8000000000000007</v>
      </c>
      <c r="R37" s="531">
        <v>4</v>
      </c>
      <c r="S37" s="530">
        <f t="shared" ref="S37:S43" si="34">IF(Q37=0, "    ---- ", IF(ABS(ROUND(100/Q37*R37-100,1))&lt;999,ROUND(100/Q37*R37-100,1),IF(ROUND(100/Q37*R37-100,1)&gt;999,999,-999)))</f>
        <v>-59.2</v>
      </c>
      <c r="T37" s="649">
        <v>1.21228544</v>
      </c>
      <c r="U37" s="531">
        <v>0.38108286000000002</v>
      </c>
      <c r="V37" s="530">
        <f t="shared" ref="V37:V43" si="35">IF(T37=0, "    ---- ", IF(ABS(ROUND(100/T37*U37-100,1))&lt;999,ROUND(100/T37*U37-100,1),IF(ROUND(100/T37*U37-100,1)&gt;999,999,-999)))</f>
        <v>-68.599999999999994</v>
      </c>
      <c r="W37" s="649">
        <v>501.34313507000002</v>
      </c>
      <c r="X37" s="531">
        <v>619.84741544000008</v>
      </c>
      <c r="Y37" s="530">
        <f t="shared" ref="Y37:Y44" si="36">IF(W37=0, "    ---- ", IF(ABS(ROUND(100/W37*X37-100,1))&lt;999,ROUND(100/W37*X37-100,1),IF(ROUND(100/W37*X37-100,1)&gt;999,999,-999)))</f>
        <v>23.6</v>
      </c>
      <c r="Z37" s="649">
        <v>196.25</v>
      </c>
      <c r="AA37" s="531">
        <v>10.87</v>
      </c>
      <c r="AB37" s="530">
        <f t="shared" ref="AB37:AB44" si="37">IF(Z37=0, "    ---- ", IF(ABS(ROUND(100/Z37*AA37-100,1))&lt;999,ROUND(100/Z37*AA37-100,1),IF(ROUND(100/Z37*AA37-100,1)&gt;999,999,-999)))</f>
        <v>-94.5</v>
      </c>
      <c r="AC37" s="649">
        <v>79</v>
      </c>
      <c r="AD37" s="531">
        <v>365</v>
      </c>
      <c r="AE37" s="530">
        <f t="shared" ref="AE37:AE43" si="38">IF(AC37=0, "    ---- ", IF(ABS(ROUND(100/AC37*AD37-100,1))&lt;999,ROUND(100/AC37*AD37-100,1),IF(ROUND(100/AC37*AD37-100,1)&gt;999,999,-999)))</f>
        <v>362</v>
      </c>
      <c r="AF37" s="649"/>
      <c r="AG37" s="531">
        <v>0.18191553999999999</v>
      </c>
      <c r="AH37" s="712" t="str">
        <f>IF(AF37=0, "    ---- ", IF(ABS(ROUND(100/AF37*AG37-100,1))&lt;999,ROUND(100/AF37*AG37-100,1),IF(ROUND(100/AF37*AG37-100,1)&gt;999,999,-999)))</f>
        <v xml:space="preserve">    ---- </v>
      </c>
      <c r="AI37" s="649">
        <v>75.67700382999999</v>
      </c>
      <c r="AJ37" s="531">
        <v>158.88498915999998</v>
      </c>
      <c r="AK37" s="530">
        <f t="shared" ref="AK37:AK43" si="39">IF(AI37=0, "    ---- ", IF(ABS(ROUND(100/AI37*AJ37-100,1))&lt;999,ROUND(100/AI37*AJ37-100,1),IF(ROUND(100/AI37*AJ37-100,1)&gt;999,999,-999)))</f>
        <v>110</v>
      </c>
      <c r="AL37" s="649">
        <v>657</v>
      </c>
      <c r="AM37" s="531">
        <v>1948</v>
      </c>
      <c r="AN37" s="530">
        <f t="shared" ref="AN37:AN44" si="40">IF(AL37=0, "    ---- ", IF(ABS(ROUND(100/AL37*AM37-100,1))&lt;999,ROUND(100/AL37*AM37-100,1),IF(ROUND(100/AL37*AM37-100,1)&gt;999,999,-999)))</f>
        <v>196.5</v>
      </c>
      <c r="AO37" s="530">
        <f t="shared" ref="AO37:AO45" si="41">B37+H37+K37+N37+Q37+W37+E37+Z37+AC37+AI37+AL37</f>
        <v>1811.0929317099999</v>
      </c>
      <c r="AP37" s="530">
        <f t="shared" ref="AP37:AP45" si="42">C37+I37+L37+O37+R37+X37+F37+AA37+AD37+AJ37+AM37</f>
        <v>3709.1898561300004</v>
      </c>
      <c r="AQ37" s="530">
        <f t="shared" si="13"/>
        <v>104.8</v>
      </c>
      <c r="AR37" s="532"/>
      <c r="AS37" s="555"/>
      <c r="AT37" s="534"/>
    </row>
    <row r="38" spans="1:46" s="556" customFormat="1" ht="18.75" customHeight="1" x14ac:dyDescent="0.3">
      <c r="A38" s="528" t="s">
        <v>317</v>
      </c>
      <c r="B38" s="649"/>
      <c r="C38" s="531"/>
      <c r="D38" s="530"/>
      <c r="E38" s="649">
        <v>2.9689999999999999</v>
      </c>
      <c r="F38" s="531"/>
      <c r="G38" s="530">
        <f t="shared" si="30"/>
        <v>-100</v>
      </c>
      <c r="H38" s="649">
        <v>1253.508</v>
      </c>
      <c r="I38" s="531">
        <v>70.280554569999993</v>
      </c>
      <c r="J38" s="530">
        <f t="shared" si="31"/>
        <v>-94.4</v>
      </c>
      <c r="K38" s="649"/>
      <c r="L38" s="531"/>
      <c r="M38" s="530"/>
      <c r="N38" s="649">
        <v>2.7E-2</v>
      </c>
      <c r="O38" s="531">
        <v>2.7E-2</v>
      </c>
      <c r="P38" s="530">
        <f t="shared" si="33"/>
        <v>0</v>
      </c>
      <c r="Q38" s="649"/>
      <c r="R38" s="531"/>
      <c r="S38" s="530"/>
      <c r="T38" s="649"/>
      <c r="U38" s="531"/>
      <c r="V38" s="530"/>
      <c r="W38" s="649">
        <v>4.0914403699999999</v>
      </c>
      <c r="X38" s="531">
        <v>8.8206636199999995</v>
      </c>
      <c r="Y38" s="530">
        <f t="shared" si="36"/>
        <v>115.6</v>
      </c>
      <c r="Z38" s="649">
        <v>0.02</v>
      </c>
      <c r="AA38" s="531">
        <v>0</v>
      </c>
      <c r="AB38" s="530">
        <f t="shared" si="37"/>
        <v>-100</v>
      </c>
      <c r="AC38" s="649">
        <v>5</v>
      </c>
      <c r="AD38" s="531">
        <v>3</v>
      </c>
      <c r="AE38" s="530">
        <f t="shared" si="38"/>
        <v>-40</v>
      </c>
      <c r="AF38" s="649"/>
      <c r="AG38" s="531"/>
      <c r="AH38" s="530"/>
      <c r="AI38" s="649">
        <v>2.6028118200000003</v>
      </c>
      <c r="AJ38" s="531">
        <v>1.2151373000000001</v>
      </c>
      <c r="AK38" s="530">
        <f t="shared" si="39"/>
        <v>-53.3</v>
      </c>
      <c r="AL38" s="649">
        <v>1</v>
      </c>
      <c r="AM38" s="531">
        <v>1</v>
      </c>
      <c r="AN38" s="530">
        <f t="shared" si="40"/>
        <v>0</v>
      </c>
      <c r="AO38" s="530">
        <f t="shared" si="41"/>
        <v>1269.2182521900002</v>
      </c>
      <c r="AP38" s="530">
        <f t="shared" si="42"/>
        <v>84.343355489999993</v>
      </c>
      <c r="AQ38" s="530">
        <f t="shared" si="13"/>
        <v>-93.4</v>
      </c>
      <c r="AR38" s="530"/>
      <c r="AS38" s="557"/>
      <c r="AT38" s="530"/>
    </row>
    <row r="39" spans="1:46" s="556" customFormat="1" ht="18.75" customHeight="1" x14ac:dyDescent="0.3">
      <c r="A39" s="528" t="s">
        <v>318</v>
      </c>
      <c r="B39" s="649"/>
      <c r="C39" s="531"/>
      <c r="D39" s="530"/>
      <c r="E39" s="649">
        <v>-0.21099999999999999</v>
      </c>
      <c r="F39" s="531"/>
      <c r="G39" s="530">
        <f t="shared" si="30"/>
        <v>-100</v>
      </c>
      <c r="H39" s="649">
        <v>-204.35900000000001</v>
      </c>
      <c r="I39" s="531">
        <v>-328.46287622</v>
      </c>
      <c r="J39" s="530">
        <f t="shared" si="31"/>
        <v>60.7</v>
      </c>
      <c r="K39" s="649">
        <v>-7.6069071900000003</v>
      </c>
      <c r="L39" s="531">
        <v>-9.5454535700000012</v>
      </c>
      <c r="M39" s="530">
        <f t="shared" si="32"/>
        <v>25.5</v>
      </c>
      <c r="N39" s="649"/>
      <c r="O39" s="531"/>
      <c r="P39" s="530"/>
      <c r="Q39" s="649">
        <v>-7</v>
      </c>
      <c r="R39" s="531">
        <v>-5</v>
      </c>
      <c r="S39" s="530">
        <f t="shared" si="34"/>
        <v>-28.6</v>
      </c>
      <c r="T39" s="649"/>
      <c r="U39" s="531"/>
      <c r="V39" s="530"/>
      <c r="W39" s="649">
        <v>-548.84608850999996</v>
      </c>
      <c r="X39" s="531">
        <v>-140.53186478000001</v>
      </c>
      <c r="Y39" s="530">
        <f t="shared" si="36"/>
        <v>-74.400000000000006</v>
      </c>
      <c r="Z39" s="649">
        <v>-55.8</v>
      </c>
      <c r="AA39" s="531">
        <v>-40.79</v>
      </c>
      <c r="AB39" s="530">
        <f t="shared" si="37"/>
        <v>-26.9</v>
      </c>
      <c r="AC39" s="649">
        <v>-49</v>
      </c>
      <c r="AD39" s="531">
        <v>-51</v>
      </c>
      <c r="AE39" s="530">
        <f t="shared" si="38"/>
        <v>4.0999999999999996</v>
      </c>
      <c r="AF39" s="649"/>
      <c r="AG39" s="531"/>
      <c r="AH39" s="530"/>
      <c r="AI39" s="649">
        <v>-29.866573164800002</v>
      </c>
      <c r="AJ39" s="531">
        <v>-39.611386180000004</v>
      </c>
      <c r="AK39" s="530">
        <f t="shared" si="39"/>
        <v>32.6</v>
      </c>
      <c r="AL39" s="649">
        <v>-200</v>
      </c>
      <c r="AM39" s="531">
        <v>-211</v>
      </c>
      <c r="AN39" s="530">
        <f t="shared" si="40"/>
        <v>5.5</v>
      </c>
      <c r="AO39" s="530">
        <f t="shared" si="41"/>
        <v>-1102.6895688647999</v>
      </c>
      <c r="AP39" s="530">
        <f t="shared" si="42"/>
        <v>-825.94158074999996</v>
      </c>
      <c r="AQ39" s="530">
        <f t="shared" si="13"/>
        <v>-25.1</v>
      </c>
      <c r="AR39" s="530"/>
      <c r="AS39" s="557"/>
      <c r="AT39" s="530"/>
    </row>
    <row r="40" spans="1:46" s="559" customFormat="1" ht="18.75" customHeight="1" x14ac:dyDescent="0.3">
      <c r="A40" s="545" t="s">
        <v>319</v>
      </c>
      <c r="B40" s="648">
        <f>SUM(B37:B39)</f>
        <v>17.277000000000001</v>
      </c>
      <c r="C40" s="546">
        <f>SUM(C37:C39)</f>
        <v>3.49</v>
      </c>
      <c r="D40" s="547">
        <f t="shared" si="29"/>
        <v>-79.8</v>
      </c>
      <c r="E40" s="648">
        <f>SUM(E37:E39)</f>
        <v>10.744999999999999</v>
      </c>
      <c r="F40" s="546"/>
      <c r="G40" s="547">
        <f t="shared" si="30"/>
        <v>-100</v>
      </c>
      <c r="H40" s="648">
        <f>SUM(H37:H39)</f>
        <v>1301.1270000000002</v>
      </c>
      <c r="I40" s="546">
        <f>SUM(I37:I39)</f>
        <v>309.40008544000011</v>
      </c>
      <c r="J40" s="547">
        <f t="shared" si="31"/>
        <v>-76.2</v>
      </c>
      <c r="K40" s="648">
        <f>SUM(K37:K39)</f>
        <v>4.8838856200000018</v>
      </c>
      <c r="L40" s="546">
        <f>SUM(L37:L39)</f>
        <v>2.4135908700000002</v>
      </c>
      <c r="M40" s="547">
        <f t="shared" si="32"/>
        <v>-50.6</v>
      </c>
      <c r="N40" s="648">
        <f>SUM(N37:N39)</f>
        <v>2.3170000000000002</v>
      </c>
      <c r="O40" s="546">
        <f>SUM(O37:O39)</f>
        <v>19.583000000000002</v>
      </c>
      <c r="P40" s="547">
        <f t="shared" si="33"/>
        <v>745.2</v>
      </c>
      <c r="Q40" s="648">
        <f>SUM(Q37:Q39)</f>
        <v>2.8000000000000007</v>
      </c>
      <c r="R40" s="546">
        <f>SUM(R37:R39)</f>
        <v>-1</v>
      </c>
      <c r="S40" s="547">
        <f t="shared" si="34"/>
        <v>-135.69999999999999</v>
      </c>
      <c r="T40" s="648">
        <f>SUM(T37:T39)</f>
        <v>1.21228544</v>
      </c>
      <c r="U40" s="546">
        <f>SUM(U37:U39)</f>
        <v>0.38108286000000002</v>
      </c>
      <c r="V40" s="547">
        <f t="shared" si="35"/>
        <v>-68.599999999999994</v>
      </c>
      <c r="W40" s="648">
        <v>-43.411513069999955</v>
      </c>
      <c r="X40" s="546">
        <v>488.1362142800001</v>
      </c>
      <c r="Y40" s="547">
        <f t="shared" si="36"/>
        <v>-999</v>
      </c>
      <c r="Z40" s="648">
        <f>SUM(Z37:Z39)</f>
        <v>140.47000000000003</v>
      </c>
      <c r="AA40" s="546">
        <f>SUM(AA37:AA39)</f>
        <v>-29.92</v>
      </c>
      <c r="AB40" s="547">
        <f t="shared" si="37"/>
        <v>-121.3</v>
      </c>
      <c r="AC40" s="648">
        <f>SUM(AC37:AC39)</f>
        <v>35</v>
      </c>
      <c r="AD40" s="546">
        <f>SUM(AD37:AD39)</f>
        <v>317</v>
      </c>
      <c r="AE40" s="547">
        <f t="shared" si="38"/>
        <v>805.7</v>
      </c>
      <c r="AF40" s="648"/>
      <c r="AG40" s="546">
        <f>SUM(AG37:AG39)</f>
        <v>0.18191553999999999</v>
      </c>
      <c r="AH40" s="713" t="str">
        <f>IF(AF40=0, "    ---- ", IF(ABS(ROUND(100/AF40*AG40-100,1))&lt;999,ROUND(100/AF40*AG40-100,1),IF(ROUND(100/AF40*AG40-100,1)&gt;999,999,-999)))</f>
        <v xml:space="preserve">    ---- </v>
      </c>
      <c r="AI40" s="648">
        <f>SUM(AI37:AI39)</f>
        <v>48.413242485199987</v>
      </c>
      <c r="AJ40" s="546">
        <f>SUM(AJ37:AJ39)</f>
        <v>120.48874027999997</v>
      </c>
      <c r="AK40" s="547">
        <f t="shared" si="39"/>
        <v>148.9</v>
      </c>
      <c r="AL40" s="648">
        <f>SUM(AL37:AL39)</f>
        <v>458</v>
      </c>
      <c r="AM40" s="546">
        <f>SUM(AM37:AM39)</f>
        <v>1738</v>
      </c>
      <c r="AN40" s="547">
        <f t="shared" si="40"/>
        <v>279.5</v>
      </c>
      <c r="AO40" s="547">
        <f t="shared" si="41"/>
        <v>1977.6216150352002</v>
      </c>
      <c r="AP40" s="547">
        <f t="shared" si="42"/>
        <v>2967.5916308700002</v>
      </c>
      <c r="AQ40" s="547">
        <f t="shared" si="13"/>
        <v>50.1</v>
      </c>
      <c r="AR40" s="547"/>
      <c r="AS40" s="558"/>
      <c r="AT40" s="547"/>
    </row>
    <row r="41" spans="1:46" s="559" customFormat="1" ht="18.75" customHeight="1" x14ac:dyDescent="0.3">
      <c r="A41" s="545" t="s">
        <v>320</v>
      </c>
      <c r="B41" s="648">
        <f>B34+B40</f>
        <v>66.315000000000381</v>
      </c>
      <c r="C41" s="546">
        <f>C34+C40</f>
        <v>67.281999999999712</v>
      </c>
      <c r="D41" s="547">
        <f t="shared" si="29"/>
        <v>1.5</v>
      </c>
      <c r="E41" s="648">
        <f>E34+E40</f>
        <v>-33.461000000000006</v>
      </c>
      <c r="F41" s="546"/>
      <c r="G41" s="547">
        <f t="shared" si="30"/>
        <v>-100</v>
      </c>
      <c r="H41" s="648">
        <f>H34+H40</f>
        <v>-1280.6979999999992</v>
      </c>
      <c r="I41" s="546">
        <f>I34+I40</f>
        <v>766.71183889000281</v>
      </c>
      <c r="J41" s="547">
        <f t="shared" si="31"/>
        <v>-159.9</v>
      </c>
      <c r="K41" s="648">
        <f>K34+K40</f>
        <v>-217.50669180000034</v>
      </c>
      <c r="L41" s="546">
        <f>L34+L40</f>
        <v>478.19513633000059</v>
      </c>
      <c r="M41" s="547">
        <f t="shared" si="32"/>
        <v>-319.89999999999998</v>
      </c>
      <c r="N41" s="648">
        <f>N34+N40</f>
        <v>139.04499999999996</v>
      </c>
      <c r="O41" s="546">
        <f>O34+O40</f>
        <v>70.341000000000008</v>
      </c>
      <c r="P41" s="547">
        <f t="shared" si="33"/>
        <v>-49.4</v>
      </c>
      <c r="Q41" s="648">
        <f>Q34+Q40</f>
        <v>69.399999999999963</v>
      </c>
      <c r="R41" s="546">
        <f>R34+R40</f>
        <v>100</v>
      </c>
      <c r="S41" s="547">
        <f t="shared" si="34"/>
        <v>44.1</v>
      </c>
      <c r="T41" s="648">
        <f>T34+T40</f>
        <v>6.9747631600000002</v>
      </c>
      <c r="U41" s="546">
        <f>U34+U40</f>
        <v>9.0468142099999973</v>
      </c>
      <c r="V41" s="547">
        <f t="shared" si="35"/>
        <v>29.7</v>
      </c>
      <c r="W41" s="648">
        <v>522.86073603999978</v>
      </c>
      <c r="X41" s="546">
        <v>964.75603114999421</v>
      </c>
      <c r="Y41" s="547">
        <f t="shared" si="36"/>
        <v>84.5</v>
      </c>
      <c r="Z41" s="648">
        <f>Z34+Z40</f>
        <v>193.49094730000184</v>
      </c>
      <c r="AA41" s="546">
        <f>AA34+AA40</f>
        <v>452.53652337000267</v>
      </c>
      <c r="AB41" s="547">
        <f t="shared" si="37"/>
        <v>133.9</v>
      </c>
      <c r="AC41" s="648">
        <f>AC34+AC40</f>
        <v>263</v>
      </c>
      <c r="AD41" s="546">
        <f>AD34+AD40</f>
        <v>641</v>
      </c>
      <c r="AE41" s="547">
        <f t="shared" si="38"/>
        <v>143.69999999999999</v>
      </c>
      <c r="AF41" s="648">
        <f>AF34+AF40</f>
        <v>7.0339272800000074</v>
      </c>
      <c r="AG41" s="546">
        <f>AG34+AG40</f>
        <v>9.1055584299999541</v>
      </c>
      <c r="AH41" s="547">
        <f>IF(AF41=0, "    ---- ", IF(ABS(ROUND(100/AF41*AG41-100,1))&lt;999,ROUND(100/AF41*AG41-100,1),IF(ROUND(100/AF41*AG41-100,1)&gt;999,999,-999)))</f>
        <v>29.5</v>
      </c>
      <c r="AI41" s="648">
        <f>AI34+AI40</f>
        <v>-134.67148828000097</v>
      </c>
      <c r="AJ41" s="546">
        <f>AJ34+AJ40</f>
        <v>203.85159941999828</v>
      </c>
      <c r="AK41" s="547">
        <f t="shared" si="39"/>
        <v>-251.4</v>
      </c>
      <c r="AL41" s="648">
        <f>AL34+AL40</f>
        <v>405</v>
      </c>
      <c r="AM41" s="546">
        <f>AM34+AM40</f>
        <v>2360</v>
      </c>
      <c r="AN41" s="547">
        <f t="shared" si="40"/>
        <v>482.7</v>
      </c>
      <c r="AO41" s="547">
        <f t="shared" si="41"/>
        <v>-7.2254967399985617</v>
      </c>
      <c r="AP41" s="547">
        <f t="shared" si="42"/>
        <v>6104.6741291599983</v>
      </c>
      <c r="AQ41" s="547">
        <f t="shared" si="13"/>
        <v>-999</v>
      </c>
      <c r="AR41" s="547"/>
      <c r="AS41" s="558"/>
      <c r="AT41" s="547"/>
    </row>
    <row r="42" spans="1:46" s="556" customFormat="1" ht="18.75" customHeight="1" x14ac:dyDescent="0.3">
      <c r="A42" s="528" t="s">
        <v>321</v>
      </c>
      <c r="B42" s="649">
        <v>-16.579000000000001</v>
      </c>
      <c r="C42" s="531">
        <v>-16.821000000000002</v>
      </c>
      <c r="D42" s="530">
        <f t="shared" si="29"/>
        <v>1.5</v>
      </c>
      <c r="E42" s="649"/>
      <c r="F42" s="531"/>
      <c r="G42" s="530"/>
      <c r="H42" s="649">
        <v>643.95600000000002</v>
      </c>
      <c r="I42" s="531">
        <v>-139.932603</v>
      </c>
      <c r="J42" s="530">
        <f t="shared" si="31"/>
        <v>-121.7</v>
      </c>
      <c r="K42" s="649">
        <v>54.376672999999997</v>
      </c>
      <c r="L42" s="531">
        <v>-126.67569725</v>
      </c>
      <c r="M42" s="530">
        <f t="shared" si="32"/>
        <v>-333</v>
      </c>
      <c r="N42" s="649">
        <v>-35.014000000000003</v>
      </c>
      <c r="O42" s="531">
        <v>-15.544</v>
      </c>
      <c r="P42" s="530">
        <f t="shared" si="33"/>
        <v>-55.6</v>
      </c>
      <c r="Q42" s="649">
        <v>-17.3</v>
      </c>
      <c r="R42" s="531">
        <v>-25</v>
      </c>
      <c r="S42" s="530">
        <f t="shared" si="34"/>
        <v>44.5</v>
      </c>
      <c r="T42" s="649">
        <v>-1.7494719999999999</v>
      </c>
      <c r="U42" s="531">
        <v>-2.267563</v>
      </c>
      <c r="V42" s="530">
        <f t="shared" si="35"/>
        <v>29.6</v>
      </c>
      <c r="W42" s="649">
        <v>-125.222287475</v>
      </c>
      <c r="X42" s="531">
        <v>-125.338731475</v>
      </c>
      <c r="Y42" s="712">
        <f t="shared" si="36"/>
        <v>0.1</v>
      </c>
      <c r="Z42" s="649">
        <v>-48.37</v>
      </c>
      <c r="AA42" s="531">
        <v>-99.62</v>
      </c>
      <c r="AB42" s="530">
        <f t="shared" si="37"/>
        <v>106</v>
      </c>
      <c r="AC42" s="649">
        <v>-55</v>
      </c>
      <c r="AD42" s="531">
        <v>-180</v>
      </c>
      <c r="AE42" s="530">
        <f t="shared" si="38"/>
        <v>227.3</v>
      </c>
      <c r="AF42" s="649">
        <v>-1.653446</v>
      </c>
      <c r="AG42" s="531">
        <v>-2.0032230000000002</v>
      </c>
      <c r="AH42" s="712">
        <f>IF(AF42=0, "    ---- ", IF(ABS(ROUND(100/AF42*AG42-100,1))&lt;999,ROUND(100/AF42*AG42-100,1),IF(ROUND(100/AF42*AG42-100,1)&gt;999,999,-999)))</f>
        <v>21.2</v>
      </c>
      <c r="AI42" s="649">
        <v>17.619592999999998</v>
      </c>
      <c r="AJ42" s="531">
        <v>-21.991069</v>
      </c>
      <c r="AK42" s="530">
        <f t="shared" si="39"/>
        <v>-224.8</v>
      </c>
      <c r="AL42" s="649">
        <v>596.5</v>
      </c>
      <c r="AM42" s="531">
        <v>-220</v>
      </c>
      <c r="AN42" s="530">
        <f t="shared" si="40"/>
        <v>-136.9</v>
      </c>
      <c r="AO42" s="530">
        <f t="shared" si="41"/>
        <v>1014.9669785250001</v>
      </c>
      <c r="AP42" s="530">
        <f t="shared" si="42"/>
        <v>-970.92310072500004</v>
      </c>
      <c r="AQ42" s="530">
        <f t="shared" si="13"/>
        <v>-195.7</v>
      </c>
      <c r="AR42" s="530"/>
      <c r="AS42" s="557"/>
      <c r="AT42" s="530"/>
    </row>
    <row r="43" spans="1:46" s="559" customFormat="1" ht="18.75" customHeight="1" x14ac:dyDescent="0.3">
      <c r="A43" s="545" t="s">
        <v>322</v>
      </c>
      <c r="B43" s="648">
        <f>B41+B42</f>
        <v>49.736000000000381</v>
      </c>
      <c r="C43" s="546">
        <f>C41+C42</f>
        <v>50.460999999999714</v>
      </c>
      <c r="D43" s="547">
        <f t="shared" si="29"/>
        <v>1.5</v>
      </c>
      <c r="E43" s="648">
        <f>E41+E42</f>
        <v>-33.461000000000006</v>
      </c>
      <c r="F43" s="546"/>
      <c r="G43" s="547">
        <f t="shared" si="30"/>
        <v>-100</v>
      </c>
      <c r="H43" s="648">
        <f>H41+H42</f>
        <v>-636.74199999999917</v>
      </c>
      <c r="I43" s="546">
        <f>I41+I42</f>
        <v>626.77923589000284</v>
      </c>
      <c r="J43" s="547">
        <f t="shared" si="31"/>
        <v>-198.4</v>
      </c>
      <c r="K43" s="648">
        <f>K41+K42</f>
        <v>-163.13001880000036</v>
      </c>
      <c r="L43" s="546">
        <f>L41+L42</f>
        <v>351.51943908000061</v>
      </c>
      <c r="M43" s="547">
        <f t="shared" si="32"/>
        <v>-315.5</v>
      </c>
      <c r="N43" s="648">
        <f>N41+N42</f>
        <v>104.03099999999995</v>
      </c>
      <c r="O43" s="546">
        <f>O41+O42</f>
        <v>54.797000000000011</v>
      </c>
      <c r="P43" s="547">
        <f t="shared" si="33"/>
        <v>-47.3</v>
      </c>
      <c r="Q43" s="648">
        <f>Q41+Q42</f>
        <v>52.099999999999966</v>
      </c>
      <c r="R43" s="546">
        <f>R41+R42</f>
        <v>75</v>
      </c>
      <c r="S43" s="547">
        <f t="shared" si="34"/>
        <v>44</v>
      </c>
      <c r="T43" s="648">
        <f>T41+T42</f>
        <v>5.2252911600000003</v>
      </c>
      <c r="U43" s="546">
        <f>U41+U42</f>
        <v>6.7792512099999973</v>
      </c>
      <c r="V43" s="547">
        <f t="shared" si="35"/>
        <v>29.7</v>
      </c>
      <c r="W43" s="648">
        <v>397.63844856499975</v>
      </c>
      <c r="X43" s="546">
        <v>839.41729967499418</v>
      </c>
      <c r="Y43" s="547">
        <f t="shared" si="36"/>
        <v>111.1</v>
      </c>
      <c r="Z43" s="648">
        <f>Z41+Z42</f>
        <v>145.12094730000183</v>
      </c>
      <c r="AA43" s="546">
        <f>AA41+AA42</f>
        <v>352.91652337000266</v>
      </c>
      <c r="AB43" s="547">
        <f t="shared" si="37"/>
        <v>143.19999999999999</v>
      </c>
      <c r="AC43" s="648">
        <f>AC41+AC42</f>
        <v>208</v>
      </c>
      <c r="AD43" s="546">
        <f>AD41+AD42</f>
        <v>461</v>
      </c>
      <c r="AE43" s="547">
        <f t="shared" si="38"/>
        <v>121.6</v>
      </c>
      <c r="AF43" s="648">
        <f>AF41+AF42</f>
        <v>5.3804812800000077</v>
      </c>
      <c r="AG43" s="546">
        <f>AG41+AG42</f>
        <v>7.1023354299999539</v>
      </c>
      <c r="AH43" s="547">
        <f>IF(AF43=0, "    ---- ", IF(ABS(ROUND(100/AF43*AG43-100,1))&lt;999,ROUND(100/AF43*AG43-100,1),IF(ROUND(100/AF43*AG43-100,1)&gt;999,999,-999)))</f>
        <v>32</v>
      </c>
      <c r="AI43" s="648">
        <f>AI41+AI42</f>
        <v>-117.05189528000098</v>
      </c>
      <c r="AJ43" s="546">
        <f>AJ41+AJ42</f>
        <v>181.86053041999827</v>
      </c>
      <c r="AK43" s="547">
        <f t="shared" si="39"/>
        <v>-255.4</v>
      </c>
      <c r="AL43" s="648">
        <f>AL41+AL42</f>
        <v>1001.5</v>
      </c>
      <c r="AM43" s="546">
        <f>AM41+AM42</f>
        <v>2140</v>
      </c>
      <c r="AN43" s="547">
        <f t="shared" si="40"/>
        <v>113.7</v>
      </c>
      <c r="AO43" s="547">
        <f t="shared" si="41"/>
        <v>1007.7414817850013</v>
      </c>
      <c r="AP43" s="547">
        <f t="shared" si="42"/>
        <v>5133.7510284349983</v>
      </c>
      <c r="AQ43" s="547">
        <f t="shared" si="13"/>
        <v>409.4</v>
      </c>
      <c r="AR43" s="547"/>
      <c r="AS43" s="558"/>
      <c r="AT43" s="547"/>
    </row>
    <row r="44" spans="1:46" s="556" customFormat="1" ht="18.75" customHeight="1" x14ac:dyDescent="0.3">
      <c r="A44" s="528" t="s">
        <v>323</v>
      </c>
      <c r="B44" s="649"/>
      <c r="C44" s="531"/>
      <c r="D44" s="530"/>
      <c r="E44" s="649">
        <v>-5.2160000000000002</v>
      </c>
      <c r="F44" s="531"/>
      <c r="G44" s="530">
        <f t="shared" si="30"/>
        <v>-100</v>
      </c>
      <c r="H44" s="649">
        <v>-7.7249999999999996</v>
      </c>
      <c r="I44" s="531">
        <v>4.9324360499999997</v>
      </c>
      <c r="J44" s="530">
        <f t="shared" si="31"/>
        <v>-163.9</v>
      </c>
      <c r="K44" s="649"/>
      <c r="L44" s="531"/>
      <c r="M44" s="530"/>
      <c r="N44" s="649"/>
      <c r="O44" s="531"/>
      <c r="P44" s="530"/>
      <c r="Q44" s="649"/>
      <c r="R44" s="531"/>
      <c r="S44" s="530"/>
      <c r="T44" s="649"/>
      <c r="U44" s="531"/>
      <c r="V44" s="530"/>
      <c r="W44" s="649">
        <v>-285.55306171500001</v>
      </c>
      <c r="X44" s="531">
        <v>144.460796765</v>
      </c>
      <c r="Y44" s="530">
        <f t="shared" si="36"/>
        <v>-150.6</v>
      </c>
      <c r="Z44" s="649">
        <v>-19.260000000000002</v>
      </c>
      <c r="AA44" s="531">
        <v>4.5199999999999996</v>
      </c>
      <c r="AB44" s="530">
        <f t="shared" si="37"/>
        <v>-123.5</v>
      </c>
      <c r="AC44" s="649"/>
      <c r="AD44" s="531"/>
      <c r="AE44" s="530"/>
      <c r="AF44" s="649"/>
      <c r="AG44" s="531"/>
      <c r="AH44" s="530"/>
      <c r="AI44" s="649"/>
      <c r="AJ44" s="531"/>
      <c r="AK44" s="530"/>
      <c r="AL44" s="649">
        <v>14</v>
      </c>
      <c r="AM44" s="531">
        <v>-27</v>
      </c>
      <c r="AN44" s="530">
        <f t="shared" si="40"/>
        <v>-292.89999999999998</v>
      </c>
      <c r="AO44" s="530">
        <f t="shared" si="41"/>
        <v>-303.75406171500003</v>
      </c>
      <c r="AP44" s="530">
        <f t="shared" si="42"/>
        <v>126.91323281500001</v>
      </c>
      <c r="AQ44" s="530">
        <f t="shared" si="13"/>
        <v>-141.80000000000001</v>
      </c>
      <c r="AR44" s="530"/>
      <c r="AS44" s="557"/>
      <c r="AT44" s="530"/>
    </row>
    <row r="45" spans="1:46" s="559" customFormat="1" ht="18.75" customHeight="1" x14ac:dyDescent="0.3">
      <c r="A45" s="542" t="s">
        <v>324</v>
      </c>
      <c r="B45" s="650">
        <f>B43+B44</f>
        <v>49.736000000000381</v>
      </c>
      <c r="C45" s="560">
        <f>C43+C44</f>
        <v>50.460999999999714</v>
      </c>
      <c r="D45" s="543">
        <f>IF(B45=0, "    ---- ", IF(ABS(ROUND(100/B45*C45-100,1))&lt;999,ROUND(100/B45*C45-100,1),IF(ROUND(100/B45*C45-100,1)&gt;999,999,-999)))</f>
        <v>1.5</v>
      </c>
      <c r="E45" s="650">
        <f>E43+E44</f>
        <v>-38.677000000000007</v>
      </c>
      <c r="F45" s="560"/>
      <c r="G45" s="543">
        <f>IF(E45=0, "    ---- ", IF(ABS(ROUND(100/E45*F45-100,1))&lt;999,ROUND(100/E45*F45-100,1),IF(ROUND(100/E45*F45-100,1)&gt;999,999,-999)))</f>
        <v>-100</v>
      </c>
      <c r="H45" s="650">
        <f>H43+H44</f>
        <v>-644.46699999999919</v>
      </c>
      <c r="I45" s="560">
        <f>I43+I44</f>
        <v>631.71167194000282</v>
      </c>
      <c r="J45" s="543">
        <f>IF(H45=0, "    ---- ", IF(ABS(ROUND(100/H45*I45-100,1))&lt;999,ROUND(100/H45*I45-100,1),IF(ROUND(100/H45*I45-100,1)&gt;999,999,-999)))</f>
        <v>-198</v>
      </c>
      <c r="K45" s="650">
        <f>K43+K44</f>
        <v>-163.13001880000036</v>
      </c>
      <c r="L45" s="560">
        <f>L43+L44</f>
        <v>351.51943908000061</v>
      </c>
      <c r="M45" s="543">
        <f>IF(K45=0, "    ---- ", IF(ABS(ROUND(100/K45*L45-100,1))&lt;999,ROUND(100/K45*L45-100,1),IF(ROUND(100/K45*L45-100,1)&gt;999,999,-999)))</f>
        <v>-315.5</v>
      </c>
      <c r="N45" s="650">
        <f>N43+N44</f>
        <v>104.03099999999995</v>
      </c>
      <c r="O45" s="560">
        <f>O43+O44</f>
        <v>54.797000000000011</v>
      </c>
      <c r="P45" s="543">
        <f>IF(N45=0, "    ---- ", IF(ABS(ROUND(100/N45*O45-100,1))&lt;999,ROUND(100/N45*O45-100,1),IF(ROUND(100/N45*O45-100,1)&gt;999,999,-999)))</f>
        <v>-47.3</v>
      </c>
      <c r="Q45" s="650">
        <f>Q43+Q44</f>
        <v>52.099999999999966</v>
      </c>
      <c r="R45" s="560">
        <f>R43+R44</f>
        <v>75</v>
      </c>
      <c r="S45" s="543">
        <f>IF(Q45=0, "    ---- ", IF(ABS(ROUND(100/Q45*R45-100,1))&lt;999,ROUND(100/Q45*R45-100,1),IF(ROUND(100/Q45*R45-100,1)&gt;999,999,-999)))</f>
        <v>44</v>
      </c>
      <c r="T45" s="650">
        <f>T43+T44</f>
        <v>5.2252911600000003</v>
      </c>
      <c r="U45" s="560">
        <f>U43+U44</f>
        <v>6.7792512099999973</v>
      </c>
      <c r="V45" s="543">
        <f>IF(T45=0, "    ---- ", IF(ABS(ROUND(100/T45*U45-100,1))&lt;999,ROUND(100/T45*U45-100,1),IF(ROUND(100/T45*U45-100,1)&gt;999,999,-999)))</f>
        <v>29.7</v>
      </c>
      <c r="W45" s="650">
        <v>112.08538684999974</v>
      </c>
      <c r="X45" s="560">
        <v>983.87809643999412</v>
      </c>
      <c r="Y45" s="543">
        <f>IF(W45=0, "    ---- ", IF(ABS(ROUND(100/W45*X45-100,1))&lt;999,ROUND(100/W45*X45-100,1),IF(ROUND(100/W45*X45-100,1)&gt;999,999,-999)))</f>
        <v>777.8</v>
      </c>
      <c r="Z45" s="650">
        <f>Z43+Z44</f>
        <v>125.86094730000183</v>
      </c>
      <c r="AA45" s="560">
        <f>AA43+AA44</f>
        <v>357.43652337000265</v>
      </c>
      <c r="AB45" s="543">
        <f>IF(Z45=0, "    ---- ", IF(ABS(ROUND(100/Z45*AA45-100,1))&lt;999,ROUND(100/Z45*AA45-100,1),IF(ROUND(100/Z45*AA45-100,1)&gt;999,999,-999)))</f>
        <v>184</v>
      </c>
      <c r="AC45" s="650">
        <f>AC43+AC44</f>
        <v>208</v>
      </c>
      <c r="AD45" s="560">
        <f>AD43+AD44</f>
        <v>461</v>
      </c>
      <c r="AE45" s="543">
        <f>IF(AC45=0, "    ---- ", IF(ABS(ROUND(100/AC45*AD45-100,1))&lt;999,ROUND(100/AC45*AD45-100,1),IF(ROUND(100/AC45*AD45-100,1)&gt;999,999,-999)))</f>
        <v>121.6</v>
      </c>
      <c r="AF45" s="650">
        <f>AF43+AF44</f>
        <v>5.3804812800000077</v>
      </c>
      <c r="AG45" s="560">
        <f>AG43+AG44</f>
        <v>7.1023354299999539</v>
      </c>
      <c r="AH45" s="543">
        <f>IF(AF45=0, "    ---- ", IF(ABS(ROUND(100/AF45*AG45-100,1))&lt;999,ROUND(100/AF45*AG45-100,1),IF(ROUND(100/AF45*AG45-100,1)&gt;999,999,-999)))</f>
        <v>32</v>
      </c>
      <c r="AI45" s="650">
        <f>AI43+AI44</f>
        <v>-117.05189528000098</v>
      </c>
      <c r="AJ45" s="560">
        <f>AJ43+AJ44</f>
        <v>181.86053041999827</v>
      </c>
      <c r="AK45" s="543">
        <f>IF(AI45=0, "    ---- ", IF(ABS(ROUND(100/AI45*AJ45-100,1))&lt;999,ROUND(100/AI45*AJ45-100,1),IF(ROUND(100/AI45*AJ45-100,1)&gt;999,999,-999)))</f>
        <v>-255.4</v>
      </c>
      <c r="AL45" s="650">
        <f>AL43+AL44</f>
        <v>1015.5</v>
      </c>
      <c r="AM45" s="560">
        <f>AM43+AM44</f>
        <v>2113</v>
      </c>
      <c r="AN45" s="543">
        <f>IF(AL45=0, "    ---- ", IF(ABS(ROUND(100/AL45*AM45-100,1))&lt;999,ROUND(100/AL45*AM45-100,1),IF(ROUND(100/AL45*AM45-100,1)&gt;999,999,-999)))</f>
        <v>108.1</v>
      </c>
      <c r="AO45" s="543">
        <f t="shared" si="41"/>
        <v>703.98742007000135</v>
      </c>
      <c r="AP45" s="543">
        <f t="shared" si="42"/>
        <v>5260.6642612499982</v>
      </c>
      <c r="AQ45" s="543">
        <f t="shared" si="13"/>
        <v>647.29999999999995</v>
      </c>
      <c r="AR45" s="561"/>
      <c r="AS45" s="562"/>
      <c r="AT45" s="563"/>
    </row>
    <row r="46" spans="1:46" s="559" customFormat="1" ht="18.75" customHeight="1" x14ac:dyDescent="0.3">
      <c r="A46" s="564"/>
      <c r="B46" s="671"/>
      <c r="C46" s="671"/>
      <c r="D46" s="566"/>
      <c r="E46" s="671"/>
      <c r="F46" s="565"/>
      <c r="G46" s="548"/>
      <c r="H46" s="671"/>
      <c r="I46" s="671"/>
      <c r="J46" s="548"/>
      <c r="K46" s="671"/>
      <c r="L46" s="671"/>
      <c r="M46" s="548"/>
      <c r="N46" s="671"/>
      <c r="O46" s="671"/>
      <c r="P46" s="548"/>
      <c r="Q46" s="671"/>
      <c r="R46" s="671"/>
      <c r="S46" s="566"/>
      <c r="T46" s="671"/>
      <c r="U46" s="671"/>
      <c r="V46" s="548"/>
      <c r="W46" s="671"/>
      <c r="X46" s="671"/>
      <c r="Y46" s="548"/>
      <c r="Z46" s="671"/>
      <c r="AA46" s="671"/>
      <c r="AB46" s="548"/>
      <c r="AC46" s="671"/>
      <c r="AD46" s="671"/>
      <c r="AE46" s="548"/>
      <c r="AF46" s="671"/>
      <c r="AG46" s="671"/>
      <c r="AH46" s="548"/>
      <c r="AI46" s="671"/>
      <c r="AJ46" s="671"/>
      <c r="AK46" s="548"/>
      <c r="AL46" s="671"/>
      <c r="AM46" s="671"/>
      <c r="AN46" s="548"/>
      <c r="AO46" s="566"/>
      <c r="AP46" s="566"/>
      <c r="AQ46" s="548"/>
      <c r="AR46" s="567"/>
      <c r="AS46" s="567"/>
      <c r="AT46" s="568"/>
    </row>
    <row r="47" spans="1:46" s="569" customFormat="1" ht="18.75" customHeight="1" x14ac:dyDescent="0.3">
      <c r="A47" s="585" t="s">
        <v>325</v>
      </c>
      <c r="B47" s="600"/>
      <c r="C47" s="600"/>
      <c r="D47" s="585"/>
      <c r="E47" s="600"/>
      <c r="F47" s="600"/>
      <c r="G47" s="585"/>
      <c r="H47" s="600"/>
      <c r="I47" s="600"/>
      <c r="J47" s="585"/>
      <c r="K47" s="600"/>
      <c r="L47" s="600"/>
      <c r="M47" s="585"/>
      <c r="N47" s="600"/>
      <c r="O47" s="600"/>
      <c r="P47" s="585"/>
      <c r="Q47" s="600"/>
      <c r="R47" s="600"/>
      <c r="S47" s="585"/>
      <c r="T47" s="600"/>
      <c r="U47" s="600"/>
      <c r="V47" s="585"/>
      <c r="W47" s="600"/>
      <c r="X47" s="600"/>
      <c r="Y47" s="585"/>
      <c r="Z47" s="600"/>
      <c r="AA47" s="600"/>
      <c r="AB47" s="585"/>
      <c r="AC47" s="600"/>
      <c r="AD47" s="600"/>
      <c r="AE47" s="585"/>
      <c r="AF47" s="600"/>
      <c r="AG47" s="600"/>
      <c r="AH47" s="585"/>
      <c r="AI47" s="600"/>
      <c r="AJ47" s="600"/>
      <c r="AK47" s="585"/>
      <c r="AL47" s="600"/>
      <c r="AM47" s="600"/>
      <c r="AN47" s="585"/>
      <c r="AO47" s="585"/>
      <c r="AP47" s="585"/>
      <c r="AQ47" s="585"/>
      <c r="AR47" s="585"/>
      <c r="AS47" s="585"/>
      <c r="AT47" s="585"/>
    </row>
    <row r="48" spans="1:46" s="570" customFormat="1" ht="18.75" customHeight="1" x14ac:dyDescent="0.3">
      <c r="A48" s="585" t="s">
        <v>326</v>
      </c>
      <c r="B48" s="600"/>
      <c r="C48" s="600"/>
      <c r="D48" s="585"/>
      <c r="E48" s="600"/>
      <c r="F48" s="600"/>
      <c r="G48" s="585"/>
      <c r="H48" s="600"/>
      <c r="I48" s="600"/>
      <c r="J48" s="585"/>
      <c r="K48" s="600"/>
      <c r="L48" s="600"/>
      <c r="M48" s="585"/>
      <c r="N48" s="600"/>
      <c r="O48" s="600"/>
      <c r="P48" s="585"/>
      <c r="Q48" s="600"/>
      <c r="R48" s="600"/>
      <c r="S48" s="585"/>
      <c r="T48" s="600"/>
      <c r="U48" s="600"/>
      <c r="V48" s="585"/>
      <c r="W48" s="600"/>
      <c r="X48" s="600"/>
      <c r="Y48" s="585"/>
      <c r="Z48" s="600"/>
      <c r="AA48" s="600"/>
      <c r="AB48" s="585"/>
      <c r="AC48" s="600"/>
      <c r="AD48" s="600"/>
      <c r="AE48" s="585"/>
      <c r="AF48" s="600"/>
      <c r="AG48" s="600"/>
      <c r="AH48" s="585"/>
      <c r="AI48" s="600"/>
      <c r="AJ48" s="600"/>
      <c r="AK48" s="585"/>
      <c r="AL48" s="600"/>
      <c r="AM48" s="600"/>
      <c r="AN48" s="585"/>
      <c r="AO48" s="585"/>
      <c r="AP48" s="585"/>
      <c r="AQ48" s="585"/>
      <c r="AR48" s="585"/>
      <c r="AS48" s="585"/>
      <c r="AT48" s="585"/>
    </row>
    <row r="49" spans="1:46" s="570" customFormat="1" ht="18.75" customHeight="1" x14ac:dyDescent="0.3">
      <c r="A49" s="585" t="s">
        <v>327</v>
      </c>
      <c r="B49" s="600"/>
      <c r="C49" s="600"/>
      <c r="D49" s="585"/>
      <c r="E49" s="600"/>
      <c r="F49" s="600"/>
      <c r="G49" s="585"/>
      <c r="H49" s="600"/>
      <c r="I49" s="600"/>
      <c r="J49" s="585"/>
      <c r="K49" s="600"/>
      <c r="L49" s="600"/>
      <c r="M49" s="585"/>
      <c r="N49" s="600"/>
      <c r="O49" s="600"/>
      <c r="P49" s="585"/>
      <c r="Q49" s="600"/>
      <c r="R49" s="600"/>
      <c r="S49" s="585"/>
      <c r="T49" s="600"/>
      <c r="U49" s="600"/>
      <c r="V49" s="585"/>
      <c r="W49" s="600"/>
      <c r="X49" s="600"/>
      <c r="Y49" s="585"/>
      <c r="Z49" s="600"/>
      <c r="AA49" s="600"/>
      <c r="AB49" s="585"/>
      <c r="AC49" s="600"/>
      <c r="AD49" s="600"/>
      <c r="AE49" s="585"/>
      <c r="AF49" s="600"/>
      <c r="AG49" s="600"/>
      <c r="AH49" s="585"/>
      <c r="AI49" s="600"/>
      <c r="AJ49" s="600"/>
      <c r="AK49" s="585"/>
      <c r="AL49" s="600"/>
      <c r="AM49" s="600"/>
      <c r="AN49" s="585"/>
      <c r="AO49" s="585"/>
      <c r="AP49" s="585"/>
      <c r="AQ49" s="585"/>
      <c r="AR49" s="585"/>
      <c r="AS49" s="585"/>
      <c r="AT49" s="585"/>
    </row>
    <row r="50" spans="1:46" s="570" customFormat="1" ht="18.75" customHeight="1" x14ac:dyDescent="0.3">
      <c r="A50" s="585" t="s">
        <v>328</v>
      </c>
      <c r="B50" s="600"/>
      <c r="C50" s="600"/>
      <c r="D50" s="585"/>
      <c r="E50" s="600"/>
      <c r="F50" s="600"/>
      <c r="G50" s="585"/>
      <c r="H50" s="600"/>
      <c r="I50" s="600"/>
      <c r="J50" s="585"/>
      <c r="K50" s="600"/>
      <c r="L50" s="600"/>
      <c r="M50" s="585"/>
      <c r="N50" s="600"/>
      <c r="O50" s="600"/>
      <c r="P50" s="585"/>
      <c r="Q50" s="600"/>
      <c r="R50" s="600"/>
      <c r="S50" s="585"/>
      <c r="T50" s="600"/>
      <c r="U50" s="600"/>
      <c r="V50" s="585"/>
      <c r="W50" s="600"/>
      <c r="X50" s="600"/>
      <c r="Y50" s="585"/>
      <c r="Z50" s="600"/>
      <c r="AA50" s="600"/>
      <c r="AB50" s="585"/>
      <c r="AC50" s="600"/>
      <c r="AD50" s="600"/>
      <c r="AE50" s="585"/>
      <c r="AF50" s="600"/>
      <c r="AG50" s="600"/>
      <c r="AH50" s="585"/>
      <c r="AI50" s="600"/>
      <c r="AJ50" s="600"/>
      <c r="AK50" s="585"/>
      <c r="AL50" s="600"/>
      <c r="AM50" s="600"/>
      <c r="AN50" s="585"/>
      <c r="AO50" s="585"/>
      <c r="AP50" s="585"/>
      <c r="AQ50" s="585"/>
      <c r="AR50" s="585"/>
      <c r="AS50" s="585"/>
      <c r="AT50" s="585"/>
    </row>
    <row r="51" spans="1:46" s="570" customFormat="1" ht="18.75" customHeight="1" x14ac:dyDescent="0.3">
      <c r="A51" s="585" t="s">
        <v>329</v>
      </c>
      <c r="B51" s="600"/>
      <c r="C51" s="600"/>
      <c r="D51" s="585"/>
      <c r="E51" s="600"/>
      <c r="F51" s="600"/>
      <c r="G51" s="585"/>
      <c r="H51" s="600"/>
      <c r="I51" s="600"/>
      <c r="J51" s="585"/>
      <c r="K51" s="600"/>
      <c r="L51" s="600"/>
      <c r="M51" s="585"/>
      <c r="N51" s="600"/>
      <c r="O51" s="600"/>
      <c r="P51" s="585"/>
      <c r="Q51" s="600"/>
      <c r="R51" s="600"/>
      <c r="S51" s="585"/>
      <c r="T51" s="600"/>
      <c r="U51" s="600"/>
      <c r="V51" s="585"/>
      <c r="W51" s="600"/>
      <c r="X51" s="600"/>
      <c r="Y51" s="585"/>
      <c r="Z51" s="600"/>
      <c r="AA51" s="600"/>
      <c r="AB51" s="585"/>
      <c r="AC51" s="600"/>
      <c r="AD51" s="600"/>
      <c r="AE51" s="585"/>
      <c r="AF51" s="600"/>
      <c r="AG51" s="600"/>
      <c r="AH51" s="585"/>
      <c r="AI51" s="600"/>
      <c r="AJ51" s="600"/>
      <c r="AK51" s="585"/>
      <c r="AL51" s="600"/>
      <c r="AM51" s="600"/>
      <c r="AN51" s="585"/>
      <c r="AO51" s="585"/>
      <c r="AP51" s="585"/>
      <c r="AQ51" s="585"/>
      <c r="AR51" s="585"/>
      <c r="AS51" s="585"/>
      <c r="AT51" s="585"/>
    </row>
    <row r="52" spans="1:46" s="570" customFormat="1" ht="18.75" customHeight="1" x14ac:dyDescent="0.3">
      <c r="A52" s="585" t="s">
        <v>330</v>
      </c>
      <c r="B52" s="600"/>
      <c r="C52" s="600"/>
      <c r="D52" s="585"/>
      <c r="E52" s="600"/>
      <c r="F52" s="600"/>
      <c r="G52" s="585"/>
      <c r="H52" s="600"/>
      <c r="I52" s="600"/>
      <c r="J52" s="585"/>
      <c r="K52" s="600"/>
      <c r="L52" s="600"/>
      <c r="M52" s="585"/>
      <c r="N52" s="600"/>
      <c r="O52" s="600"/>
      <c r="P52" s="585"/>
      <c r="Q52" s="600"/>
      <c r="R52" s="600"/>
      <c r="S52" s="585"/>
      <c r="T52" s="600"/>
      <c r="U52" s="600"/>
      <c r="V52" s="585"/>
      <c r="W52" s="600"/>
      <c r="X52" s="600"/>
      <c r="Y52" s="585"/>
      <c r="Z52" s="600"/>
      <c r="AA52" s="600"/>
      <c r="AB52" s="585"/>
      <c r="AC52" s="600"/>
      <c r="AD52" s="600"/>
      <c r="AE52" s="585"/>
      <c r="AF52" s="600"/>
      <c r="AG52" s="600"/>
      <c r="AH52" s="585"/>
      <c r="AI52" s="600"/>
      <c r="AJ52" s="600"/>
      <c r="AK52" s="585"/>
      <c r="AL52" s="600"/>
      <c r="AM52" s="600"/>
      <c r="AN52" s="585"/>
      <c r="AO52" s="585"/>
      <c r="AP52" s="585"/>
      <c r="AQ52" s="585"/>
      <c r="AR52" s="585"/>
      <c r="AS52" s="585"/>
      <c r="AT52" s="585"/>
    </row>
    <row r="53" spans="1:46" s="570" customFormat="1" ht="18.75" customHeight="1" x14ac:dyDescent="0.3">
      <c r="A53" s="585" t="s">
        <v>331</v>
      </c>
      <c r="B53" s="600"/>
      <c r="C53" s="600"/>
      <c r="D53" s="585"/>
      <c r="E53" s="600"/>
      <c r="F53" s="600"/>
      <c r="G53" s="585"/>
      <c r="H53" s="600"/>
      <c r="I53" s="600"/>
      <c r="J53" s="585"/>
      <c r="K53" s="600"/>
      <c r="L53" s="600"/>
      <c r="M53" s="585"/>
      <c r="N53" s="600"/>
      <c r="O53" s="600"/>
      <c r="P53" s="585"/>
      <c r="Q53" s="600"/>
      <c r="R53" s="600"/>
      <c r="S53" s="585"/>
      <c r="T53" s="600"/>
      <c r="U53" s="600"/>
      <c r="V53" s="585"/>
      <c r="W53" s="600"/>
      <c r="X53" s="600"/>
      <c r="Y53" s="585"/>
      <c r="Z53" s="600"/>
      <c r="AA53" s="600"/>
      <c r="AB53" s="585"/>
      <c r="AC53" s="600"/>
      <c r="AD53" s="600"/>
      <c r="AE53" s="585"/>
      <c r="AF53" s="600"/>
      <c r="AG53" s="600"/>
      <c r="AH53" s="585"/>
      <c r="AI53" s="600"/>
      <c r="AJ53" s="600"/>
      <c r="AK53" s="585"/>
      <c r="AL53" s="600"/>
      <c r="AM53" s="600"/>
      <c r="AN53" s="585"/>
      <c r="AO53" s="585"/>
      <c r="AP53" s="585"/>
      <c r="AQ53" s="585"/>
      <c r="AR53" s="585"/>
      <c r="AS53" s="585"/>
      <c r="AT53" s="585"/>
    </row>
    <row r="54" spans="1:46" s="570" customFormat="1" ht="18.75" customHeight="1" x14ac:dyDescent="0.3">
      <c r="A54" s="585" t="s">
        <v>332</v>
      </c>
      <c r="B54" s="600"/>
      <c r="C54" s="600"/>
      <c r="D54" s="585"/>
      <c r="E54" s="600"/>
      <c r="F54" s="600"/>
      <c r="G54" s="585"/>
      <c r="H54" s="600"/>
      <c r="I54" s="600"/>
      <c r="J54" s="585"/>
      <c r="K54" s="600"/>
      <c r="L54" s="600"/>
      <c r="M54" s="585"/>
      <c r="N54" s="600"/>
      <c r="O54" s="600"/>
      <c r="P54" s="585"/>
      <c r="Q54" s="600"/>
      <c r="R54" s="600"/>
      <c r="S54" s="585"/>
      <c r="T54" s="600"/>
      <c r="U54" s="600"/>
      <c r="V54" s="585"/>
      <c r="W54" s="600"/>
      <c r="X54" s="600"/>
      <c r="Y54" s="585"/>
      <c r="Z54" s="600"/>
      <c r="AA54" s="600"/>
      <c r="AB54" s="585"/>
      <c r="AC54" s="600"/>
      <c r="AD54" s="600"/>
      <c r="AE54" s="585"/>
      <c r="AF54" s="600"/>
      <c r="AG54" s="600"/>
      <c r="AH54" s="585"/>
      <c r="AI54" s="600"/>
      <c r="AJ54" s="600"/>
      <c r="AK54" s="585"/>
      <c r="AL54" s="600"/>
      <c r="AM54" s="600"/>
      <c r="AN54" s="585"/>
      <c r="AO54" s="585"/>
      <c r="AP54" s="585"/>
      <c r="AQ54" s="585"/>
      <c r="AR54" s="585"/>
      <c r="AS54" s="585"/>
      <c r="AT54" s="585"/>
    </row>
    <row r="55" spans="1:46" s="570" customFormat="1" ht="18.75" customHeight="1" x14ac:dyDescent="0.3">
      <c r="A55" s="585" t="s">
        <v>333</v>
      </c>
      <c r="B55" s="600"/>
      <c r="C55" s="600"/>
      <c r="D55" s="585"/>
      <c r="E55" s="600"/>
      <c r="F55" s="600"/>
      <c r="G55" s="585"/>
      <c r="H55" s="600"/>
      <c r="I55" s="600"/>
      <c r="J55" s="585"/>
      <c r="K55" s="600"/>
      <c r="L55" s="600"/>
      <c r="M55" s="585"/>
      <c r="N55" s="600"/>
      <c r="O55" s="600"/>
      <c r="P55" s="585"/>
      <c r="Q55" s="600"/>
      <c r="R55" s="600"/>
      <c r="S55" s="585"/>
      <c r="T55" s="600"/>
      <c r="U55" s="600"/>
      <c r="V55" s="585"/>
      <c r="W55" s="600"/>
      <c r="X55" s="600"/>
      <c r="Y55" s="585"/>
      <c r="Z55" s="600"/>
      <c r="AA55" s="600"/>
      <c r="AB55" s="585"/>
      <c r="AC55" s="600"/>
      <c r="AD55" s="600"/>
      <c r="AE55" s="585"/>
      <c r="AF55" s="600"/>
      <c r="AG55" s="600"/>
      <c r="AH55" s="585"/>
      <c r="AI55" s="600"/>
      <c r="AJ55" s="600"/>
      <c r="AK55" s="585"/>
      <c r="AL55" s="600"/>
      <c r="AM55" s="600"/>
      <c r="AN55" s="585"/>
      <c r="AO55" s="585"/>
      <c r="AP55" s="585"/>
      <c r="AQ55" s="585"/>
      <c r="AR55" s="585"/>
      <c r="AS55" s="585"/>
      <c r="AT55" s="585"/>
    </row>
    <row r="56" spans="1:46" s="570" customFormat="1" ht="18.75" customHeight="1" x14ac:dyDescent="0.3">
      <c r="A56" s="585" t="s">
        <v>334</v>
      </c>
      <c r="B56" s="600"/>
      <c r="C56" s="600"/>
      <c r="D56" s="585"/>
      <c r="E56" s="600"/>
      <c r="F56" s="600"/>
      <c r="G56" s="585"/>
      <c r="H56" s="600"/>
      <c r="I56" s="600"/>
      <c r="J56" s="585"/>
      <c r="K56" s="600"/>
      <c r="L56" s="600"/>
      <c r="M56" s="585"/>
      <c r="N56" s="600"/>
      <c r="O56" s="600"/>
      <c r="P56" s="585"/>
      <c r="Q56" s="600"/>
      <c r="R56" s="600"/>
      <c r="S56" s="585"/>
      <c r="T56" s="600"/>
      <c r="U56" s="600"/>
      <c r="V56" s="585"/>
      <c r="W56" s="600"/>
      <c r="X56" s="600"/>
      <c r="Y56" s="585"/>
      <c r="Z56" s="600"/>
      <c r="AA56" s="600"/>
      <c r="AB56" s="585"/>
      <c r="AC56" s="600"/>
      <c r="AD56" s="600"/>
      <c r="AE56" s="585"/>
      <c r="AF56" s="600"/>
      <c r="AG56" s="600"/>
      <c r="AH56" s="585"/>
      <c r="AI56" s="600"/>
      <c r="AJ56" s="600"/>
      <c r="AK56" s="585"/>
      <c r="AL56" s="600"/>
      <c r="AM56" s="600"/>
      <c r="AN56" s="585"/>
      <c r="AO56" s="585"/>
      <c r="AP56" s="585"/>
      <c r="AQ56" s="585"/>
      <c r="AR56" s="585"/>
      <c r="AS56" s="585"/>
      <c r="AT56" s="585"/>
    </row>
    <row r="57" spans="1:46" s="569" customFormat="1" ht="18.75" customHeight="1" x14ac:dyDescent="0.3">
      <c r="A57" s="586" t="s">
        <v>335</v>
      </c>
      <c r="B57" s="601"/>
      <c r="C57" s="601"/>
      <c r="D57" s="586"/>
      <c r="E57" s="601"/>
      <c r="F57" s="601"/>
      <c r="G57" s="586"/>
      <c r="H57" s="601"/>
      <c r="I57" s="601"/>
      <c r="J57" s="586"/>
      <c r="K57" s="601"/>
      <c r="L57" s="601"/>
      <c r="M57" s="586"/>
      <c r="N57" s="601"/>
      <c r="O57" s="601"/>
      <c r="P57" s="586"/>
      <c r="Q57" s="601"/>
      <c r="R57" s="601"/>
      <c r="S57" s="586"/>
      <c r="T57" s="601"/>
      <c r="U57" s="601"/>
      <c r="V57" s="586"/>
      <c r="W57" s="601"/>
      <c r="X57" s="601"/>
      <c r="Y57" s="586"/>
      <c r="Z57" s="601"/>
      <c r="AA57" s="601"/>
      <c r="AB57" s="586"/>
      <c r="AC57" s="601"/>
      <c r="AD57" s="601"/>
      <c r="AE57" s="586"/>
      <c r="AF57" s="601"/>
      <c r="AG57" s="601"/>
      <c r="AH57" s="586"/>
      <c r="AI57" s="601"/>
      <c r="AJ57" s="601"/>
      <c r="AK57" s="586"/>
      <c r="AL57" s="601"/>
      <c r="AM57" s="601"/>
      <c r="AN57" s="586"/>
      <c r="AO57" s="586"/>
      <c r="AP57" s="586"/>
      <c r="AQ57" s="586"/>
      <c r="AR57" s="586"/>
      <c r="AS57" s="586"/>
      <c r="AT57" s="586"/>
    </row>
    <row r="58" spans="1:46" s="572" customFormat="1" ht="18.75" customHeight="1" x14ac:dyDescent="0.3">
      <c r="A58" s="556" t="s">
        <v>251</v>
      </c>
      <c r="B58" s="556"/>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1"/>
      <c r="AL58" s="571"/>
      <c r="AM58" s="571"/>
      <c r="AN58" s="571"/>
      <c r="AO58" s="571"/>
      <c r="AP58" s="571"/>
      <c r="AQ58" s="571"/>
      <c r="AR58" s="571"/>
      <c r="AS58" s="571"/>
    </row>
    <row r="59" spans="1:46" s="572" customFormat="1" ht="18.75" customHeight="1" x14ac:dyDescent="0.3">
      <c r="A59" s="556" t="s">
        <v>252</v>
      </c>
    </row>
    <row r="60" spans="1:46" s="572" customFormat="1" ht="18.75" customHeight="1" x14ac:dyDescent="0.3">
      <c r="A60" s="556" t="s">
        <v>253</v>
      </c>
    </row>
    <row r="61" spans="1:46" s="572" customFormat="1" ht="18.75" x14ac:dyDescent="0.3"/>
  </sheetData>
  <mergeCells count="25">
    <mergeCell ref="B5:D5"/>
    <mergeCell ref="H5:J5"/>
    <mergeCell ref="K5:M5"/>
    <mergeCell ref="N5:P5"/>
    <mergeCell ref="E5:G5"/>
    <mergeCell ref="B6:D6"/>
    <mergeCell ref="H6:J6"/>
    <mergeCell ref="K6:M6"/>
    <mergeCell ref="N6:P6"/>
    <mergeCell ref="Q6:S6"/>
    <mergeCell ref="E6:G6"/>
    <mergeCell ref="AI6:AK6"/>
    <mergeCell ref="AL6:AN6"/>
    <mergeCell ref="AO6:AQ6"/>
    <mergeCell ref="Q5:S5"/>
    <mergeCell ref="AR6:AT6"/>
    <mergeCell ref="AR5:AT5"/>
    <mergeCell ref="T6:V6"/>
    <mergeCell ref="W6:Y6"/>
    <mergeCell ref="Z6:AB6"/>
    <mergeCell ref="AC6:AE6"/>
    <mergeCell ref="AC5:AE5"/>
    <mergeCell ref="AL5:AN5"/>
    <mergeCell ref="AO5:AQ5"/>
    <mergeCell ref="AF6:AH6"/>
  </mergeCells>
  <conditionalFormatting sqref="K34">
    <cfRule type="expression" dxfId="445" priority="150">
      <formula>#REF! ="35≠14+15+16+17+22+30+31+32+33+34"</formula>
    </cfRule>
  </conditionalFormatting>
  <conditionalFormatting sqref="K45">
    <cfRule type="expression" dxfId="444" priority="149">
      <formula>#REF! ="46≠35+38+39+40+43+45"</formula>
    </cfRule>
  </conditionalFormatting>
  <conditionalFormatting sqref="K21">
    <cfRule type="expression" dxfId="443" priority="148">
      <formula>#REF! ="22≠19+20+21"</formula>
    </cfRule>
  </conditionalFormatting>
  <conditionalFormatting sqref="K14">
    <cfRule type="expression" dxfId="442" priority="147">
      <formula>#REF! ="14≠11+12+13"</formula>
    </cfRule>
  </conditionalFormatting>
  <conditionalFormatting sqref="K29">
    <cfRule type="expression" dxfId="441" priority="146">
      <formula>#REF! ="30≠24+25+26+27+28+29"</formula>
    </cfRule>
  </conditionalFormatting>
  <conditionalFormatting sqref="L14">
    <cfRule type="expression" dxfId="440" priority="151">
      <formula>#REF! ="14≠11+12+13"</formula>
    </cfRule>
  </conditionalFormatting>
  <conditionalFormatting sqref="L21">
    <cfRule type="expression" dxfId="439" priority="152">
      <formula>#REF! ="22≠19+20+21"</formula>
    </cfRule>
  </conditionalFormatting>
  <conditionalFormatting sqref="L29">
    <cfRule type="expression" dxfId="438" priority="153">
      <formula>#REF! ="30≠24+25+26+27+28+29"</formula>
    </cfRule>
  </conditionalFormatting>
  <conditionalFormatting sqref="L34">
    <cfRule type="expression" dxfId="437" priority="154">
      <formula>#REF! ="35≠14+15+16+17+22+30+31+32+33+34"</formula>
    </cfRule>
  </conditionalFormatting>
  <conditionalFormatting sqref="L45">
    <cfRule type="expression" dxfId="436" priority="155">
      <formula>#REF! ="46≠35+38+39+40+43+45"</formula>
    </cfRule>
  </conditionalFormatting>
  <conditionalFormatting sqref="Q29">
    <cfRule type="expression" dxfId="435" priority="116">
      <formula>#REF! ="30≠24+25+26+27+28+29"</formula>
    </cfRule>
  </conditionalFormatting>
  <conditionalFormatting sqref="Q34">
    <cfRule type="expression" dxfId="434" priority="117">
      <formula>#REF! ="35≠14+15+16+17+22+30+31+32+33+34"</formula>
    </cfRule>
  </conditionalFormatting>
  <conditionalFormatting sqref="Q45">
    <cfRule type="expression" dxfId="433" priority="118">
      <formula>#REF! ="46≠35+38+39+40+43+45"</formula>
    </cfRule>
  </conditionalFormatting>
  <conditionalFormatting sqref="Q14">
    <cfRule type="expression" dxfId="432" priority="119">
      <formula>#REF! ="14≠11+12+13"</formula>
    </cfRule>
  </conditionalFormatting>
  <conditionalFormatting sqref="Q21">
    <cfRule type="expression" dxfId="431" priority="120">
      <formula>#REF! ="22≠19+20+21"</formula>
    </cfRule>
  </conditionalFormatting>
  <conditionalFormatting sqref="R14">
    <cfRule type="expression" dxfId="430" priority="121">
      <formula>#REF! ="14≠11+12+13"</formula>
    </cfRule>
  </conditionalFormatting>
  <conditionalFormatting sqref="R21">
    <cfRule type="expression" dxfId="429" priority="122">
      <formula>#REF! ="22≠19+20+21"</formula>
    </cfRule>
  </conditionalFormatting>
  <conditionalFormatting sqref="R29">
    <cfRule type="expression" dxfId="428" priority="123">
      <formula>#REF! ="30≠24+25+26+27+28+29"</formula>
    </cfRule>
  </conditionalFormatting>
  <conditionalFormatting sqref="R34">
    <cfRule type="expression" dxfId="427" priority="124">
      <formula>#REF! ="35≠14+15+16+17+22+30+31+32+33+34"</formula>
    </cfRule>
  </conditionalFormatting>
  <conditionalFormatting sqref="R45">
    <cfRule type="expression" dxfId="426" priority="125">
      <formula>#REF! ="46≠35+38+39+40+43+45"</formula>
    </cfRule>
  </conditionalFormatting>
  <conditionalFormatting sqref="N29">
    <cfRule type="expression" dxfId="425" priority="106">
      <formula>#REF! ="30≠24+25+26+27+28+29"</formula>
    </cfRule>
  </conditionalFormatting>
  <conditionalFormatting sqref="N34">
    <cfRule type="expression" dxfId="424" priority="107">
      <formula>#REF! ="35≠14+15+16+17+22+30+31+32+33+34"</formula>
    </cfRule>
  </conditionalFormatting>
  <conditionalFormatting sqref="N45">
    <cfRule type="expression" dxfId="423" priority="108">
      <formula>#REF! ="46≠35+38+39+40+43+45"</formula>
    </cfRule>
  </conditionalFormatting>
  <conditionalFormatting sqref="N14">
    <cfRule type="expression" dxfId="422" priority="109">
      <formula>#REF! ="14≠11+12+13"</formula>
    </cfRule>
  </conditionalFormatting>
  <conditionalFormatting sqref="N21">
    <cfRule type="expression" dxfId="421" priority="110">
      <formula>#REF! ="22≠19+20+21"</formula>
    </cfRule>
  </conditionalFormatting>
  <conditionalFormatting sqref="O14">
    <cfRule type="expression" dxfId="420" priority="111">
      <formula>#REF! ="14≠11+12+13"</formula>
    </cfRule>
  </conditionalFormatting>
  <conditionalFormatting sqref="O21">
    <cfRule type="expression" dxfId="419" priority="112">
      <formula>#REF! ="22≠19+20+21"</formula>
    </cfRule>
  </conditionalFormatting>
  <conditionalFormatting sqref="O29">
    <cfRule type="expression" dxfId="418" priority="113">
      <formula>#REF! ="30≠24+25+26+27+28+29"</formula>
    </cfRule>
  </conditionalFormatting>
  <conditionalFormatting sqref="O34">
    <cfRule type="expression" dxfId="417" priority="114">
      <formula>#REF! ="35≠14+15+16+17+22+30+31+32+33+34"</formula>
    </cfRule>
  </conditionalFormatting>
  <conditionalFormatting sqref="O45">
    <cfRule type="expression" dxfId="416" priority="115">
      <formula>#REF! ="46≠35+38+39+40+43+45"</formula>
    </cfRule>
  </conditionalFormatting>
  <conditionalFormatting sqref="T29">
    <cfRule type="expression" dxfId="415" priority="96">
      <formula>#REF! ="30≠24+25+26+27+28+29"</formula>
    </cfRule>
  </conditionalFormatting>
  <conditionalFormatting sqref="T34">
    <cfRule type="expression" dxfId="414" priority="97">
      <formula>#REF! ="35≠14+15+16+17+22+30+31+32+33+34"</formula>
    </cfRule>
  </conditionalFormatting>
  <conditionalFormatting sqref="T45">
    <cfRule type="expression" dxfId="413" priority="98">
      <formula>#REF! ="46≠35+38+39+40+43+45"</formula>
    </cfRule>
  </conditionalFormatting>
  <conditionalFormatting sqref="T14">
    <cfRule type="expression" dxfId="412" priority="99">
      <formula>#REF! ="14≠11+12+13"</formula>
    </cfRule>
  </conditionalFormatting>
  <conditionalFormatting sqref="T21">
    <cfRule type="expression" dxfId="411" priority="100">
      <formula>#REF! ="22≠19+20+21"</formula>
    </cfRule>
  </conditionalFormatting>
  <conditionalFormatting sqref="U14">
    <cfRule type="expression" dxfId="410" priority="101">
      <formula>#REF! ="14≠11+12+13"</formula>
    </cfRule>
  </conditionalFormatting>
  <conditionalFormatting sqref="U21">
    <cfRule type="expression" dxfId="409" priority="102">
      <formula>#REF! ="22≠19+20+21"</formula>
    </cfRule>
  </conditionalFormatting>
  <conditionalFormatting sqref="U29">
    <cfRule type="expression" dxfId="408" priority="103">
      <formula>#REF! ="30≠24+25+26+27+28+29"</formula>
    </cfRule>
  </conditionalFormatting>
  <conditionalFormatting sqref="U34">
    <cfRule type="expression" dxfId="407" priority="104">
      <formula>#REF! ="35≠14+15+16+17+22+30+31+32+33+34"</formula>
    </cfRule>
  </conditionalFormatting>
  <conditionalFormatting sqref="U45">
    <cfRule type="expression" dxfId="406" priority="105">
      <formula>#REF! ="46≠35+38+39+40+43+45"</formula>
    </cfRule>
  </conditionalFormatting>
  <conditionalFormatting sqref="AF29">
    <cfRule type="expression" dxfId="405" priority="86">
      <formula>#REF! ="30≠24+25+26+27+28+29"</formula>
    </cfRule>
  </conditionalFormatting>
  <conditionalFormatting sqref="AF34">
    <cfRule type="expression" dxfId="404" priority="87">
      <formula>#REF! ="35≠14+15+16+17+22+30+31+32+33+34"</formula>
    </cfRule>
  </conditionalFormatting>
  <conditionalFormatting sqref="AF45">
    <cfRule type="expression" dxfId="403" priority="88">
      <formula>#REF! ="46≠35+38+39+40+43+45"</formula>
    </cfRule>
  </conditionalFormatting>
  <conditionalFormatting sqref="AF14">
    <cfRule type="expression" dxfId="402" priority="89">
      <formula>#REF! ="14≠11+12+13"</formula>
    </cfRule>
  </conditionalFormatting>
  <conditionalFormatting sqref="AF21">
    <cfRule type="expression" dxfId="401" priority="90">
      <formula>#REF! ="22≠19+20+21"</formula>
    </cfRule>
  </conditionalFormatting>
  <conditionalFormatting sqref="AG14">
    <cfRule type="expression" dxfId="400" priority="91">
      <formula>#REF! ="14≠11+12+13"</formula>
    </cfRule>
  </conditionalFormatting>
  <conditionalFormatting sqref="AG21">
    <cfRule type="expression" dxfId="399" priority="92">
      <formula>#REF! ="22≠19+20+21"</formula>
    </cfRule>
  </conditionalFormatting>
  <conditionalFormatting sqref="AG29">
    <cfRule type="expression" dxfId="398" priority="93">
      <formula>#REF! ="30≠24+25+26+27+28+29"</formula>
    </cfRule>
  </conditionalFormatting>
  <conditionalFormatting sqref="AG34">
    <cfRule type="expression" dxfId="397" priority="94">
      <formula>#REF! ="35≠14+15+16+17+22+30+31+32+33+34"</formula>
    </cfRule>
  </conditionalFormatting>
  <conditionalFormatting sqref="AG45">
    <cfRule type="expression" dxfId="396" priority="95">
      <formula>#REF! ="46≠35+38+39+40+43+45"</formula>
    </cfRule>
  </conditionalFormatting>
  <conditionalFormatting sqref="Z29">
    <cfRule type="expression" dxfId="395" priority="76">
      <formula>#REF! ="30≠24+25+26+27+28+29"</formula>
    </cfRule>
  </conditionalFormatting>
  <conditionalFormatting sqref="Z34">
    <cfRule type="expression" dxfId="394" priority="77">
      <formula>#REF! ="35≠14+15+16+17+22+30+31+32+33+34"</formula>
    </cfRule>
  </conditionalFormatting>
  <conditionalFormatting sqref="Z45">
    <cfRule type="expression" dxfId="393" priority="78">
      <formula>#REF! ="46≠35+38+39+40+43+45"</formula>
    </cfRule>
  </conditionalFormatting>
  <conditionalFormatting sqref="Z14">
    <cfRule type="expression" dxfId="392" priority="79">
      <formula>#REF! ="14≠11+12+13"</formula>
    </cfRule>
  </conditionalFormatting>
  <conditionalFormatting sqref="Z21">
    <cfRule type="expression" dxfId="391" priority="80">
      <formula>#REF! ="22≠19+20+21"</formula>
    </cfRule>
  </conditionalFormatting>
  <conditionalFormatting sqref="AA14">
    <cfRule type="expression" dxfId="390" priority="81">
      <formula>#REF! ="14≠11+12+13"</formula>
    </cfRule>
  </conditionalFormatting>
  <conditionalFormatting sqref="AA21">
    <cfRule type="expression" dxfId="389" priority="82">
      <formula>#REF! ="22≠19+20+21"</formula>
    </cfRule>
  </conditionalFormatting>
  <conditionalFormatting sqref="AA29">
    <cfRule type="expression" dxfId="388" priority="83">
      <formula>#REF! ="30≠24+25+26+27+28+29"</formula>
    </cfRule>
  </conditionalFormatting>
  <conditionalFormatting sqref="AA34">
    <cfRule type="expression" dxfId="387" priority="84">
      <formula>#REF! ="35≠14+15+16+17+22+30+31+32+33+34"</formula>
    </cfRule>
  </conditionalFormatting>
  <conditionalFormatting sqref="AA45">
    <cfRule type="expression" dxfId="386" priority="85">
      <formula>#REF! ="46≠35+38+39+40+43+45"</formula>
    </cfRule>
  </conditionalFormatting>
  <conditionalFormatting sqref="AC29">
    <cfRule type="expression" dxfId="385" priority="66">
      <formula>#REF! ="30≠24+25+26+27+28+29"</formula>
    </cfRule>
  </conditionalFormatting>
  <conditionalFormatting sqref="AC34">
    <cfRule type="expression" dxfId="384" priority="67">
      <formula>#REF! ="35≠14+15+16+17+22+30+31+32+33+34"</formula>
    </cfRule>
  </conditionalFormatting>
  <conditionalFormatting sqref="AC45">
    <cfRule type="expression" dxfId="383" priority="68">
      <formula>#REF! ="46≠35+38+39+40+43+45"</formula>
    </cfRule>
  </conditionalFormatting>
  <conditionalFormatting sqref="AC14">
    <cfRule type="expression" dxfId="382" priority="69">
      <formula>#REF! ="14≠11+12+13"</formula>
    </cfRule>
  </conditionalFormatting>
  <conditionalFormatting sqref="AC21">
    <cfRule type="expression" dxfId="381" priority="70">
      <formula>#REF! ="22≠19+20+21"</formula>
    </cfRule>
  </conditionalFormatting>
  <conditionalFormatting sqref="AD14">
    <cfRule type="expression" dxfId="380" priority="71">
      <formula>#REF! ="14≠11+12+13"</formula>
    </cfRule>
  </conditionalFormatting>
  <conditionalFormatting sqref="AD21">
    <cfRule type="expression" dxfId="379" priority="72">
      <formula>#REF! ="22≠19+20+21"</formula>
    </cfRule>
  </conditionalFormatting>
  <conditionalFormatting sqref="AD29">
    <cfRule type="expression" dxfId="378" priority="73">
      <formula>#REF! ="30≠24+25+26+27+28+29"</formula>
    </cfRule>
  </conditionalFormatting>
  <conditionalFormatting sqref="AD34">
    <cfRule type="expression" dxfId="377" priority="74">
      <formula>#REF! ="35≠14+15+16+17+22+30+31+32+33+34"</formula>
    </cfRule>
  </conditionalFormatting>
  <conditionalFormatting sqref="AD45">
    <cfRule type="expression" dxfId="376" priority="75">
      <formula>#REF! ="46≠35+38+39+40+43+45"</formula>
    </cfRule>
  </conditionalFormatting>
  <conditionalFormatting sqref="AI29">
    <cfRule type="expression" dxfId="375" priority="56">
      <formula>#REF! ="30≠24+25+26+27+28+29"</formula>
    </cfRule>
  </conditionalFormatting>
  <conditionalFormatting sqref="AI34">
    <cfRule type="expression" dxfId="374" priority="57">
      <formula>#REF! ="35≠14+15+16+17+22+30+31+32+33+34"</formula>
    </cfRule>
  </conditionalFormatting>
  <conditionalFormatting sqref="AI45">
    <cfRule type="expression" dxfId="373" priority="58">
      <formula>#REF! ="46≠35+38+39+40+43+45"</formula>
    </cfRule>
  </conditionalFormatting>
  <conditionalFormatting sqref="AI14">
    <cfRule type="expression" dxfId="372" priority="59">
      <formula>#REF! ="14≠11+12+13"</formula>
    </cfRule>
  </conditionalFormatting>
  <conditionalFormatting sqref="AI21">
    <cfRule type="expression" dxfId="371" priority="60">
      <formula>#REF! ="22≠19+20+21"</formula>
    </cfRule>
  </conditionalFormatting>
  <conditionalFormatting sqref="AJ14">
    <cfRule type="expression" dxfId="370" priority="61">
      <formula>#REF! ="14≠11+12+13"</formula>
    </cfRule>
  </conditionalFormatting>
  <conditionalFormatting sqref="AJ21">
    <cfRule type="expression" dxfId="369" priority="62">
      <formula>#REF! ="22≠19+20+21"</formula>
    </cfRule>
  </conditionalFormatting>
  <conditionalFormatting sqref="AJ29">
    <cfRule type="expression" dxfId="368" priority="63">
      <formula>#REF! ="30≠24+25+26+27+28+29"</formula>
    </cfRule>
  </conditionalFormatting>
  <conditionalFormatting sqref="AJ34">
    <cfRule type="expression" dxfId="367" priority="64">
      <formula>#REF! ="35≠14+15+16+17+22+30+31+32+33+34"</formula>
    </cfRule>
  </conditionalFormatting>
  <conditionalFormatting sqref="AJ45">
    <cfRule type="expression" dxfId="366" priority="65">
      <formula>#REF! ="46≠35+38+39+40+43+45"</formula>
    </cfRule>
  </conditionalFormatting>
  <conditionalFormatting sqref="AL29">
    <cfRule type="expression" dxfId="365" priority="51">
      <formula>#REF! ="30≠24+25+26+27+28+29"</formula>
    </cfRule>
  </conditionalFormatting>
  <conditionalFormatting sqref="AL34">
    <cfRule type="expression" dxfId="364" priority="52">
      <formula>#REF! ="35≠14+15+16+17+22+30+31+32+33+34"</formula>
    </cfRule>
  </conditionalFormatting>
  <conditionalFormatting sqref="AL45">
    <cfRule type="expression" dxfId="363" priority="53">
      <formula>#REF! ="46≠35+38+39+40+43+45"</formula>
    </cfRule>
  </conditionalFormatting>
  <conditionalFormatting sqref="AL14">
    <cfRule type="expression" dxfId="362" priority="54">
      <formula>#REF! ="14≠11+12+13"</formula>
    </cfRule>
  </conditionalFormatting>
  <conditionalFormatting sqref="AL21">
    <cfRule type="expression" dxfId="361" priority="55">
      <formula>#REF! ="22≠19+20+21"</formula>
    </cfRule>
  </conditionalFormatting>
  <conditionalFormatting sqref="AM14">
    <cfRule type="expression" dxfId="360" priority="46">
      <formula>#REF! ="14≠11+12+13"</formula>
    </cfRule>
  </conditionalFormatting>
  <conditionalFormatting sqref="AM21">
    <cfRule type="expression" dxfId="359" priority="47">
      <formula>#REF! ="22≠19+20+21"</formula>
    </cfRule>
  </conditionalFormatting>
  <conditionalFormatting sqref="AM29">
    <cfRule type="expression" dxfId="358" priority="48">
      <formula>#REF! ="30≠24+25+26+27+28+29"</formula>
    </cfRule>
  </conditionalFormatting>
  <conditionalFormatting sqref="AM34">
    <cfRule type="expression" dxfId="357" priority="49">
      <formula>#REF! ="35≠14+15+16+17+22+30+31+32+33+34"</formula>
    </cfRule>
  </conditionalFormatting>
  <conditionalFormatting sqref="AM45">
    <cfRule type="expression" dxfId="356" priority="50">
      <formula>#REF! ="46≠35+38+39+40+43+45"</formula>
    </cfRule>
  </conditionalFormatting>
  <conditionalFormatting sqref="E29">
    <cfRule type="expression" dxfId="355" priority="36">
      <formula>#REF! ="30≠24+25+26+27+28+29"</formula>
    </cfRule>
  </conditionalFormatting>
  <conditionalFormatting sqref="E34">
    <cfRule type="expression" dxfId="354" priority="37">
      <formula>#REF! ="35≠14+15+16+17+22+30+31+32+33+34"</formula>
    </cfRule>
  </conditionalFormatting>
  <conditionalFormatting sqref="E45">
    <cfRule type="expression" dxfId="353" priority="38">
      <formula>#REF! ="46≠35+38+39+40+43+45"</formula>
    </cfRule>
  </conditionalFormatting>
  <conditionalFormatting sqref="E14">
    <cfRule type="expression" dxfId="352" priority="39">
      <formula>#REF! ="14≠11+12+13"</formula>
    </cfRule>
  </conditionalFormatting>
  <conditionalFormatting sqref="E21">
    <cfRule type="expression" dxfId="351" priority="40">
      <formula>#REF! ="22≠19+20+21"</formula>
    </cfRule>
  </conditionalFormatting>
  <conditionalFormatting sqref="F14">
    <cfRule type="expression" dxfId="350" priority="41">
      <formula>#REF! ="14≠11+12+13"</formula>
    </cfRule>
  </conditionalFormatting>
  <conditionalFormatting sqref="F21">
    <cfRule type="expression" dxfId="349" priority="42">
      <formula>#REF! ="22≠19+20+21"</formula>
    </cfRule>
  </conditionalFormatting>
  <conditionalFormatting sqref="F29">
    <cfRule type="expression" dxfId="348" priority="43">
      <formula>#REF! ="30≠24+25+26+27+28+29"</formula>
    </cfRule>
  </conditionalFormatting>
  <conditionalFormatting sqref="F34">
    <cfRule type="expression" dxfId="347" priority="44">
      <formula>#REF! ="35≠14+15+16+17+22+30+31+32+33+34"</formula>
    </cfRule>
  </conditionalFormatting>
  <conditionalFormatting sqref="F45">
    <cfRule type="expression" dxfId="346" priority="45">
      <formula>#REF! ="46≠35+38+39+40+43+45"</formula>
    </cfRule>
  </conditionalFormatting>
  <conditionalFormatting sqref="H29">
    <cfRule type="expression" dxfId="345" priority="26">
      <formula>#REF! ="30≠24+25+26+27+28+29"</formula>
    </cfRule>
  </conditionalFormatting>
  <conditionalFormatting sqref="H34">
    <cfRule type="expression" dxfId="344" priority="27">
      <formula>#REF! ="35≠14+15+16+17+22+30+31+32+33+34"</formula>
    </cfRule>
  </conditionalFormatting>
  <conditionalFormatting sqref="H45">
    <cfRule type="expression" dxfId="343" priority="28">
      <formula>#REF! ="46≠35+38+39+40+43+45"</formula>
    </cfRule>
  </conditionalFormatting>
  <conditionalFormatting sqref="H14">
    <cfRule type="expression" dxfId="342" priority="29">
      <formula>#REF! ="14≠11+12+13"</formula>
    </cfRule>
  </conditionalFormatting>
  <conditionalFormatting sqref="H21">
    <cfRule type="expression" dxfId="341" priority="30">
      <formula>#REF! ="22≠19+20+21"</formula>
    </cfRule>
  </conditionalFormatting>
  <conditionalFormatting sqref="I14">
    <cfRule type="expression" dxfId="340" priority="31">
      <formula>#REF! ="14≠11+12+13"</formula>
    </cfRule>
  </conditionalFormatting>
  <conditionalFormatting sqref="I21">
    <cfRule type="expression" dxfId="339" priority="32">
      <formula>#REF! ="22≠19+20+21"</formula>
    </cfRule>
  </conditionalFormatting>
  <conditionalFormatting sqref="I29">
    <cfRule type="expression" dxfId="338" priority="33">
      <formula>#REF! ="30≠24+25+26+27+28+29"</formula>
    </cfRule>
  </conditionalFormatting>
  <conditionalFormatting sqref="I34">
    <cfRule type="expression" dxfId="337" priority="34">
      <formula>#REF! ="35≠14+15+16+17+22+30+31+32+33+34"</formula>
    </cfRule>
  </conditionalFormatting>
  <conditionalFormatting sqref="I45">
    <cfRule type="expression" dxfId="336" priority="35">
      <formula>#REF! ="46≠35+38+39+40+43+45"</formula>
    </cfRule>
  </conditionalFormatting>
  <conditionalFormatting sqref="B29">
    <cfRule type="expression" dxfId="335" priority="11">
      <formula>#REF! ="30≠24+25+26+27+28+29"</formula>
    </cfRule>
  </conditionalFormatting>
  <conditionalFormatting sqref="B34">
    <cfRule type="expression" dxfId="334" priority="12">
      <formula>#REF! ="35≠14+15+16+17+22+30+31+32+33+34"</formula>
    </cfRule>
  </conditionalFormatting>
  <conditionalFormatting sqref="B45">
    <cfRule type="expression" dxfId="333" priority="13">
      <formula>#REF! ="46≠35+38+39+40+43+45"</formula>
    </cfRule>
  </conditionalFormatting>
  <conditionalFormatting sqref="B14">
    <cfRule type="expression" dxfId="332" priority="14">
      <formula>#REF! ="14≠11+12+13"</formula>
    </cfRule>
  </conditionalFormatting>
  <conditionalFormatting sqref="B21">
    <cfRule type="expression" dxfId="331" priority="15">
      <formula>#REF! ="22≠19+20+21"</formula>
    </cfRule>
  </conditionalFormatting>
  <conditionalFormatting sqref="C14">
    <cfRule type="expression" dxfId="330" priority="16">
      <formula>#REF! ="14≠11+12+13"</formula>
    </cfRule>
  </conditionalFormatting>
  <conditionalFormatting sqref="C21">
    <cfRule type="expression" dxfId="329" priority="17">
      <formula>#REF! ="22≠19+20+21"</formula>
    </cfRule>
  </conditionalFormatting>
  <conditionalFormatting sqref="C29">
    <cfRule type="expression" dxfId="328" priority="18">
      <formula>#REF! ="30≠24+25+26+27+28+29"</formula>
    </cfRule>
  </conditionalFormatting>
  <conditionalFormatting sqref="C34">
    <cfRule type="expression" dxfId="327" priority="19">
      <formula>#REF! ="35≠14+15+16+17+22+30+31+32+33+34"</formula>
    </cfRule>
  </conditionalFormatting>
  <conditionalFormatting sqref="C45">
    <cfRule type="expression" dxfId="326" priority="20">
      <formula>#REF! ="46≠35+38+39+40+43+45"</formula>
    </cfRule>
  </conditionalFormatting>
  <conditionalFormatting sqref="W29">
    <cfRule type="expression" dxfId="325" priority="6">
      <formula>#REF! ="30≠24+25+26+27+28+29"</formula>
    </cfRule>
  </conditionalFormatting>
  <conditionalFormatting sqref="W34">
    <cfRule type="expression" dxfId="324" priority="7">
      <formula>#REF! ="35≠14+15+16+17+22+30+31+32+33+34"</formula>
    </cfRule>
  </conditionalFormatting>
  <conditionalFormatting sqref="W45">
    <cfRule type="expression" dxfId="323" priority="8">
      <formula>#REF! ="46≠35+38+39+40+43+45"</formula>
    </cfRule>
  </conditionalFormatting>
  <conditionalFormatting sqref="W14">
    <cfRule type="expression" dxfId="322" priority="9">
      <formula>#REF! ="14≠11+12+13"</formula>
    </cfRule>
  </conditionalFormatting>
  <conditionalFormatting sqref="W21">
    <cfRule type="expression" dxfId="321" priority="10">
      <formula>#REF! ="22≠19+20+21"</formula>
    </cfRule>
  </conditionalFormatting>
  <conditionalFormatting sqref="X14">
    <cfRule type="expression" dxfId="320" priority="1">
      <formula>#REF! ="14≠11+12+13"</formula>
    </cfRule>
  </conditionalFormatting>
  <conditionalFormatting sqref="X21">
    <cfRule type="expression" dxfId="319" priority="2">
      <formula>#REF! ="22≠19+20+21"</formula>
    </cfRule>
  </conditionalFormatting>
  <conditionalFormatting sqref="X29">
    <cfRule type="expression" dxfId="318" priority="3">
      <formula>#REF! ="30≠24+25+26+27+28+29"</formula>
    </cfRule>
  </conditionalFormatting>
  <conditionalFormatting sqref="X34">
    <cfRule type="expression" dxfId="317" priority="4">
      <formula>#REF! ="35≠14+15+16+17+22+30+31+32+33+34"</formula>
    </cfRule>
  </conditionalFormatting>
  <conditionalFormatting sqref="X45">
    <cfRule type="expression" dxfId="316" priority="5">
      <formula>#REF! ="46≠35+38+39+40+43+45"</formula>
    </cfRule>
  </conditionalFormatting>
  <conditionalFormatting sqref="AR29:AS29">
    <cfRule type="expression" dxfId="315" priority="1252">
      <formula>#REF! ="30≠24+25+26+27+28+29"</formula>
    </cfRule>
  </conditionalFormatting>
  <conditionalFormatting sqref="AR34:AS34 AO34:AP34 AO45:AP45">
    <cfRule type="expression" dxfId="314" priority="1253">
      <formula>#REF! ="35≠14+15+16+17+22+30+31+32+33+34"</formula>
    </cfRule>
  </conditionalFormatting>
  <conditionalFormatting sqref="AR45:AS45">
    <cfRule type="expression" dxfId="313" priority="1256">
      <formula>#REF! ="46≠35+38+39+40+43+45"</formula>
    </cfRule>
  </conditionalFormatting>
  <hyperlinks>
    <hyperlink ref="B1" location="Innhold!A1" display="Tilbake" xr:uid="{00000000-0004-0000-1E00-000000000000}"/>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H130"/>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B23" sqref="B23"/>
    </sheetView>
  </sheetViews>
  <sheetFormatPr baseColWidth="10" defaultColWidth="11.42578125" defaultRowHeight="12.75" x14ac:dyDescent="0.2"/>
  <cols>
    <col min="1" max="1" width="106.7109375" style="463" customWidth="1"/>
    <col min="2" max="40" width="11.7109375" style="463" customWidth="1"/>
    <col min="41" max="42" width="13" style="463" customWidth="1"/>
    <col min="43" max="43" width="11.7109375" style="463" customWidth="1"/>
    <col min="44" max="16384" width="11.42578125" style="463"/>
  </cols>
  <sheetData>
    <row r="1" spans="1:60" ht="20.25" customHeight="1" x14ac:dyDescent="0.3">
      <c r="A1" s="468" t="s">
        <v>172</v>
      </c>
      <c r="B1" s="469" t="s">
        <v>52</v>
      </c>
      <c r="C1" s="470"/>
      <c r="D1" s="470"/>
      <c r="H1" s="470"/>
      <c r="I1" s="470"/>
      <c r="J1" s="470"/>
      <c r="K1" s="470"/>
      <c r="L1" s="470"/>
      <c r="M1" s="470"/>
      <c r="N1" s="470"/>
      <c r="O1" s="470"/>
      <c r="P1" s="470"/>
      <c r="AR1" s="471"/>
    </row>
    <row r="2" spans="1:60" ht="20.100000000000001" customHeight="1" x14ac:dyDescent="0.3">
      <c r="A2" s="468" t="s">
        <v>173</v>
      </c>
      <c r="AR2" s="471"/>
    </row>
    <row r="3" spans="1:60" ht="20.100000000000001" customHeight="1" x14ac:dyDescent="0.3">
      <c r="A3" s="472" t="s">
        <v>174</v>
      </c>
      <c r="B3" s="473"/>
      <c r="C3" s="473"/>
      <c r="D3" s="473"/>
      <c r="H3" s="473"/>
      <c r="I3" s="473"/>
      <c r="J3" s="473"/>
      <c r="K3" s="473"/>
      <c r="L3" s="473"/>
      <c r="M3" s="473"/>
      <c r="N3" s="473"/>
      <c r="O3" s="473"/>
      <c r="P3" s="473"/>
      <c r="AR3" s="474"/>
    </row>
    <row r="4" spans="1:60" ht="18.75" customHeight="1" x14ac:dyDescent="0.25">
      <c r="A4" s="475" t="s">
        <v>430</v>
      </c>
      <c r="B4" s="476"/>
      <c r="C4" s="476"/>
      <c r="D4" s="477"/>
      <c r="E4" s="480"/>
      <c r="F4" s="479"/>
      <c r="G4" s="481"/>
      <c r="H4" s="476"/>
      <c r="I4" s="476"/>
      <c r="J4" s="477"/>
      <c r="K4" s="478"/>
      <c r="L4" s="476"/>
      <c r="M4" s="477"/>
      <c r="N4" s="478"/>
      <c r="O4" s="476"/>
      <c r="P4" s="477"/>
      <c r="Q4" s="479"/>
      <c r="R4" s="479"/>
      <c r="S4" s="479"/>
      <c r="T4" s="480"/>
      <c r="U4" s="479"/>
      <c r="V4" s="481"/>
      <c r="W4" s="480"/>
      <c r="X4" s="479"/>
      <c r="Y4" s="481"/>
      <c r="Z4" s="480"/>
      <c r="AA4" s="479"/>
      <c r="AB4" s="481"/>
      <c r="AC4" s="480"/>
      <c r="AD4" s="479"/>
      <c r="AE4" s="481"/>
      <c r="AF4" s="480"/>
      <c r="AG4" s="479"/>
      <c r="AH4" s="481"/>
      <c r="AI4" s="480"/>
      <c r="AJ4" s="479"/>
      <c r="AK4" s="481"/>
      <c r="AL4" s="480"/>
      <c r="AM4" s="479"/>
      <c r="AN4" s="481"/>
      <c r="AO4" s="480"/>
      <c r="AP4" s="479"/>
      <c r="AQ4" s="481"/>
      <c r="AR4" s="482"/>
      <c r="AS4" s="483"/>
      <c r="AT4" s="483"/>
      <c r="AU4" s="483"/>
      <c r="AV4" s="483"/>
      <c r="AW4" s="483"/>
      <c r="AX4" s="483"/>
      <c r="AY4" s="483"/>
      <c r="AZ4" s="483"/>
      <c r="BA4" s="483"/>
      <c r="BB4" s="483"/>
      <c r="BC4" s="483"/>
      <c r="BD4" s="483"/>
      <c r="BE4" s="483"/>
      <c r="BF4" s="483"/>
      <c r="BG4" s="483"/>
      <c r="BH4" s="483"/>
    </row>
    <row r="5" spans="1:60" ht="18.75" customHeight="1" x14ac:dyDescent="0.3">
      <c r="A5" s="484" t="s">
        <v>100</v>
      </c>
      <c r="B5" s="799" t="s">
        <v>175</v>
      </c>
      <c r="C5" s="800"/>
      <c r="D5" s="801"/>
      <c r="E5" s="799" t="s">
        <v>176</v>
      </c>
      <c r="F5" s="800"/>
      <c r="G5" s="801"/>
      <c r="H5" s="799" t="s">
        <v>176</v>
      </c>
      <c r="I5" s="800"/>
      <c r="J5" s="801"/>
      <c r="K5" s="799" t="s">
        <v>403</v>
      </c>
      <c r="L5" s="800"/>
      <c r="M5" s="801"/>
      <c r="N5" s="799" t="s">
        <v>177</v>
      </c>
      <c r="O5" s="800"/>
      <c r="P5" s="801"/>
      <c r="Q5" s="799" t="s">
        <v>178</v>
      </c>
      <c r="R5" s="800"/>
      <c r="S5" s="801"/>
      <c r="T5" s="675" t="s">
        <v>179</v>
      </c>
      <c r="U5" s="676"/>
      <c r="V5" s="677"/>
      <c r="W5" s="695" t="s">
        <v>179</v>
      </c>
      <c r="X5" s="696"/>
      <c r="Y5" s="697"/>
      <c r="Z5" s="675"/>
      <c r="AA5" s="676"/>
      <c r="AB5" s="677"/>
      <c r="AC5" s="799" t="s">
        <v>180</v>
      </c>
      <c r="AD5" s="800"/>
      <c r="AE5" s="801"/>
      <c r="AF5" s="675"/>
      <c r="AG5" s="676"/>
      <c r="AH5" s="677"/>
      <c r="AI5" s="684"/>
      <c r="AJ5" s="685"/>
      <c r="AK5" s="686"/>
      <c r="AL5" s="799" t="s">
        <v>72</v>
      </c>
      <c r="AM5" s="800"/>
      <c r="AN5" s="801"/>
      <c r="AO5" s="799" t="s">
        <v>2</v>
      </c>
      <c r="AP5" s="800"/>
      <c r="AQ5" s="801"/>
      <c r="AR5" s="485"/>
      <c r="AS5" s="486"/>
      <c r="AT5" s="798"/>
      <c r="AU5" s="798"/>
      <c r="AV5" s="798"/>
      <c r="AW5" s="798"/>
      <c r="AX5" s="798"/>
      <c r="AY5" s="798"/>
      <c r="AZ5" s="798"/>
      <c r="BA5" s="798"/>
      <c r="BB5" s="798"/>
      <c r="BC5" s="798"/>
      <c r="BD5" s="798"/>
      <c r="BE5" s="798"/>
      <c r="BF5" s="798"/>
      <c r="BG5" s="798"/>
      <c r="BH5" s="798"/>
    </row>
    <row r="6" spans="1:60" ht="21" customHeight="1" x14ac:dyDescent="0.3">
      <c r="A6" s="487"/>
      <c r="B6" s="802" t="s">
        <v>181</v>
      </c>
      <c r="C6" s="803"/>
      <c r="D6" s="804"/>
      <c r="E6" s="802" t="s">
        <v>427</v>
      </c>
      <c r="F6" s="803"/>
      <c r="G6" s="804"/>
      <c r="H6" s="802" t="s">
        <v>182</v>
      </c>
      <c r="I6" s="803"/>
      <c r="J6" s="804"/>
      <c r="K6" s="802" t="s">
        <v>182</v>
      </c>
      <c r="L6" s="803"/>
      <c r="M6" s="804"/>
      <c r="N6" s="802" t="s">
        <v>182</v>
      </c>
      <c r="O6" s="803"/>
      <c r="P6" s="804"/>
      <c r="Q6" s="802" t="s">
        <v>183</v>
      </c>
      <c r="R6" s="803"/>
      <c r="S6" s="804"/>
      <c r="T6" s="802" t="s">
        <v>90</v>
      </c>
      <c r="U6" s="803"/>
      <c r="V6" s="804"/>
      <c r="W6" s="802" t="s">
        <v>63</v>
      </c>
      <c r="X6" s="803"/>
      <c r="Y6" s="804"/>
      <c r="Z6" s="802" t="s">
        <v>65</v>
      </c>
      <c r="AA6" s="803"/>
      <c r="AB6" s="804"/>
      <c r="AC6" s="802" t="s">
        <v>181</v>
      </c>
      <c r="AD6" s="803"/>
      <c r="AE6" s="804"/>
      <c r="AF6" s="802" t="s">
        <v>71</v>
      </c>
      <c r="AG6" s="803"/>
      <c r="AH6" s="804"/>
      <c r="AI6" s="802" t="s">
        <v>67</v>
      </c>
      <c r="AJ6" s="803"/>
      <c r="AK6" s="804"/>
      <c r="AL6" s="802" t="s">
        <v>182</v>
      </c>
      <c r="AM6" s="803"/>
      <c r="AN6" s="804"/>
      <c r="AO6" s="802" t="s">
        <v>184</v>
      </c>
      <c r="AP6" s="803"/>
      <c r="AQ6" s="804"/>
      <c r="AR6" s="485"/>
      <c r="AS6" s="486"/>
      <c r="AT6" s="798"/>
      <c r="AU6" s="798"/>
      <c r="AV6" s="798"/>
      <c r="AW6" s="798"/>
      <c r="AX6" s="798"/>
      <c r="AY6" s="798"/>
      <c r="AZ6" s="798"/>
      <c r="BA6" s="798"/>
      <c r="BB6" s="798"/>
      <c r="BC6" s="798"/>
      <c r="BD6" s="798"/>
      <c r="BE6" s="798"/>
      <c r="BF6" s="798"/>
      <c r="BG6" s="798"/>
      <c r="BH6" s="798"/>
    </row>
    <row r="7" spans="1:60" ht="18.75" customHeight="1" x14ac:dyDescent="0.3">
      <c r="A7" s="487"/>
      <c r="B7" s="519"/>
      <c r="C7" s="519"/>
      <c r="D7" s="488" t="s">
        <v>80</v>
      </c>
      <c r="E7" s="519"/>
      <c r="F7" s="519"/>
      <c r="G7" s="488" t="s">
        <v>80</v>
      </c>
      <c r="H7" s="519"/>
      <c r="I7" s="519"/>
      <c r="J7" s="488" t="s">
        <v>80</v>
      </c>
      <c r="K7" s="519"/>
      <c r="L7" s="519"/>
      <c r="M7" s="488" t="s">
        <v>80</v>
      </c>
      <c r="N7" s="519"/>
      <c r="O7" s="519"/>
      <c r="P7" s="488" t="s">
        <v>80</v>
      </c>
      <c r="Q7" s="519"/>
      <c r="R7" s="519"/>
      <c r="S7" s="488" t="s">
        <v>80</v>
      </c>
      <c r="T7" s="519"/>
      <c r="U7" s="519"/>
      <c r="V7" s="488" t="s">
        <v>80</v>
      </c>
      <c r="W7" s="519"/>
      <c r="X7" s="519"/>
      <c r="Y7" s="488" t="s">
        <v>80</v>
      </c>
      <c r="Z7" s="519"/>
      <c r="AA7" s="519"/>
      <c r="AB7" s="488" t="s">
        <v>80</v>
      </c>
      <c r="AC7" s="519"/>
      <c r="AD7" s="519"/>
      <c r="AE7" s="488" t="s">
        <v>80</v>
      </c>
      <c r="AF7" s="519"/>
      <c r="AG7" s="519"/>
      <c r="AH7" s="488" t="s">
        <v>80</v>
      </c>
      <c r="AI7" s="519"/>
      <c r="AJ7" s="519"/>
      <c r="AK7" s="488" t="s">
        <v>80</v>
      </c>
      <c r="AL7" s="519"/>
      <c r="AM7" s="519"/>
      <c r="AN7" s="488" t="s">
        <v>80</v>
      </c>
      <c r="AO7" s="519"/>
      <c r="AP7" s="519"/>
      <c r="AQ7" s="488" t="s">
        <v>80</v>
      </c>
      <c r="AR7" s="485"/>
      <c r="AS7" s="486"/>
      <c r="AT7" s="486"/>
      <c r="AU7" s="486"/>
      <c r="AV7" s="486"/>
      <c r="AW7" s="486"/>
      <c r="AX7" s="486"/>
      <c r="AY7" s="486"/>
      <c r="AZ7" s="486"/>
      <c r="BA7" s="486"/>
      <c r="BB7" s="486"/>
      <c r="BC7" s="486"/>
      <c r="BD7" s="486"/>
      <c r="BE7" s="486"/>
      <c r="BF7" s="486"/>
      <c r="BG7" s="486"/>
      <c r="BH7" s="486"/>
    </row>
    <row r="8" spans="1:60" ht="18.75" customHeight="1" x14ac:dyDescent="0.25">
      <c r="A8" s="453" t="s">
        <v>185</v>
      </c>
      <c r="B8" s="640">
        <v>2020</v>
      </c>
      <c r="C8" s="640">
        <v>2021</v>
      </c>
      <c r="D8" s="454" t="s">
        <v>82</v>
      </c>
      <c r="E8" s="640">
        <f>$B$8</f>
        <v>2020</v>
      </c>
      <c r="F8" s="640">
        <f>$C$8</f>
        <v>2021</v>
      </c>
      <c r="G8" s="454" t="s">
        <v>82</v>
      </c>
      <c r="H8" s="640">
        <f t="shared" ref="H8" si="0">$B$8</f>
        <v>2020</v>
      </c>
      <c r="I8" s="640">
        <f t="shared" ref="I8" si="1">$C$8</f>
        <v>2021</v>
      </c>
      <c r="J8" s="454" t="s">
        <v>82</v>
      </c>
      <c r="K8" s="640">
        <f t="shared" ref="K8" si="2">$B$8</f>
        <v>2020</v>
      </c>
      <c r="L8" s="640">
        <f t="shared" ref="L8" si="3">$C$8</f>
        <v>2021</v>
      </c>
      <c r="M8" s="454" t="s">
        <v>82</v>
      </c>
      <c r="N8" s="640">
        <f t="shared" ref="N8" si="4">$B$8</f>
        <v>2020</v>
      </c>
      <c r="O8" s="640">
        <f t="shared" ref="O8" si="5">$C$8</f>
        <v>2021</v>
      </c>
      <c r="P8" s="454" t="s">
        <v>82</v>
      </c>
      <c r="Q8" s="640">
        <f t="shared" ref="Q8" si="6">$B$8</f>
        <v>2020</v>
      </c>
      <c r="R8" s="640">
        <f t="shared" ref="R8" si="7">$C$8</f>
        <v>2021</v>
      </c>
      <c r="S8" s="454" t="s">
        <v>82</v>
      </c>
      <c r="T8" s="640">
        <f t="shared" ref="T8" si="8">$B$8</f>
        <v>2020</v>
      </c>
      <c r="U8" s="640">
        <f t="shared" ref="U8" si="9">$C$8</f>
        <v>2021</v>
      </c>
      <c r="V8" s="454" t="s">
        <v>82</v>
      </c>
      <c r="W8" s="640">
        <f t="shared" ref="W8" si="10">$B$8</f>
        <v>2020</v>
      </c>
      <c r="X8" s="640">
        <f t="shared" ref="X8" si="11">$C$8</f>
        <v>2021</v>
      </c>
      <c r="Y8" s="454" t="s">
        <v>82</v>
      </c>
      <c r="Z8" s="640">
        <f t="shared" ref="Z8" si="12">$B$8</f>
        <v>2020</v>
      </c>
      <c r="AA8" s="640">
        <f t="shared" ref="AA8" si="13">$C$8</f>
        <v>2021</v>
      </c>
      <c r="AB8" s="454" t="s">
        <v>82</v>
      </c>
      <c r="AC8" s="640">
        <f t="shared" ref="AC8" si="14">$B$8</f>
        <v>2020</v>
      </c>
      <c r="AD8" s="640">
        <f t="shared" ref="AD8" si="15">$C$8</f>
        <v>2021</v>
      </c>
      <c r="AE8" s="454" t="s">
        <v>82</v>
      </c>
      <c r="AF8" s="640">
        <f t="shared" ref="AF8" si="16">$B$8</f>
        <v>2020</v>
      </c>
      <c r="AG8" s="640">
        <f t="shared" ref="AG8" si="17">$C$8</f>
        <v>2021</v>
      </c>
      <c r="AH8" s="454" t="s">
        <v>82</v>
      </c>
      <c r="AI8" s="640">
        <f t="shared" ref="AI8" si="18">$B$8</f>
        <v>2020</v>
      </c>
      <c r="AJ8" s="640">
        <f t="shared" ref="AJ8" si="19">$C$8</f>
        <v>2021</v>
      </c>
      <c r="AK8" s="454" t="s">
        <v>82</v>
      </c>
      <c r="AL8" s="640">
        <f t="shared" ref="AL8" si="20">$B$8</f>
        <v>2020</v>
      </c>
      <c r="AM8" s="640">
        <f t="shared" ref="AM8" si="21">$C$8</f>
        <v>2021</v>
      </c>
      <c r="AN8" s="454" t="s">
        <v>82</v>
      </c>
      <c r="AO8" s="640">
        <f t="shared" ref="AO8" si="22">$B$8</f>
        <v>2020</v>
      </c>
      <c r="AP8" s="640">
        <f t="shared" ref="AP8" si="23">$C$8</f>
        <v>2021</v>
      </c>
      <c r="AQ8" s="454" t="s">
        <v>82</v>
      </c>
      <c r="AR8" s="485"/>
      <c r="AS8" s="489"/>
      <c r="AT8" s="490"/>
      <c r="AU8" s="490"/>
      <c r="AV8" s="489"/>
      <c r="AW8" s="490"/>
      <c r="AX8" s="490"/>
      <c r="AY8" s="489"/>
      <c r="AZ8" s="490"/>
      <c r="BA8" s="490"/>
      <c r="BB8" s="489"/>
      <c r="BC8" s="490"/>
      <c r="BD8" s="490"/>
      <c r="BE8" s="489"/>
      <c r="BF8" s="490"/>
      <c r="BG8" s="490"/>
      <c r="BH8" s="489"/>
    </row>
    <row r="9" spans="1:60" ht="18.75" customHeight="1" x14ac:dyDescent="0.3">
      <c r="A9" s="455"/>
      <c r="B9" s="644"/>
      <c r="C9" s="433"/>
      <c r="D9" s="433"/>
      <c r="E9" s="612"/>
      <c r="F9" s="434"/>
      <c r="G9" s="336"/>
      <c r="H9" s="644"/>
      <c r="I9" s="433"/>
      <c r="J9" s="433"/>
      <c r="K9" s="644"/>
      <c r="L9" s="433"/>
      <c r="M9" s="433"/>
      <c r="N9" s="644"/>
      <c r="O9" s="433"/>
      <c r="P9" s="433"/>
      <c r="Q9" s="612"/>
      <c r="R9" s="434"/>
      <c r="S9" s="434"/>
      <c r="T9" s="659"/>
      <c r="U9" s="435"/>
      <c r="V9" s="336"/>
      <c r="W9" s="612"/>
      <c r="X9" s="434"/>
      <c r="Y9" s="336"/>
      <c r="Z9" s="612"/>
      <c r="AA9" s="434"/>
      <c r="AB9" s="336"/>
      <c r="AC9" s="612"/>
      <c r="AD9" s="434"/>
      <c r="AE9" s="336"/>
      <c r="AF9" s="612"/>
      <c r="AG9" s="434"/>
      <c r="AH9" s="336"/>
      <c r="AI9" s="612"/>
      <c r="AJ9" s="434"/>
      <c r="AK9" s="336"/>
      <c r="AL9" s="612"/>
      <c r="AM9" s="434"/>
      <c r="AN9" s="336"/>
      <c r="AO9" s="436"/>
      <c r="AP9" s="436"/>
      <c r="AQ9" s="336"/>
      <c r="AR9" s="485"/>
      <c r="AS9" s="485"/>
    </row>
    <row r="10" spans="1:60" s="464" customFormat="1" ht="18.75" customHeight="1" x14ac:dyDescent="0.3">
      <c r="A10" s="456" t="s">
        <v>186</v>
      </c>
      <c r="B10" s="645"/>
      <c r="C10" s="437"/>
      <c r="D10" s="437"/>
      <c r="E10" s="612"/>
      <c r="F10" s="434"/>
      <c r="G10" s="336"/>
      <c r="H10" s="645"/>
      <c r="I10" s="437"/>
      <c r="J10" s="437"/>
      <c r="K10" s="645"/>
      <c r="L10" s="437"/>
      <c r="M10" s="437"/>
      <c r="N10" s="645"/>
      <c r="O10" s="437"/>
      <c r="P10" s="437"/>
      <c r="Q10" s="612"/>
      <c r="R10" s="434"/>
      <c r="S10" s="434"/>
      <c r="T10" s="659"/>
      <c r="U10" s="435"/>
      <c r="V10" s="336"/>
      <c r="W10" s="612"/>
      <c r="X10" s="434"/>
      <c r="Y10" s="336"/>
      <c r="Z10" s="612"/>
      <c r="AA10" s="434"/>
      <c r="AB10" s="336"/>
      <c r="AC10" s="612"/>
      <c r="AD10" s="434"/>
      <c r="AE10" s="336"/>
      <c r="AF10" s="612"/>
      <c r="AG10" s="434"/>
      <c r="AH10" s="336"/>
      <c r="AI10" s="612"/>
      <c r="AJ10" s="434"/>
      <c r="AK10" s="336"/>
      <c r="AL10" s="612"/>
      <c r="AM10" s="434"/>
      <c r="AN10" s="336"/>
      <c r="AO10" s="436"/>
      <c r="AP10" s="436"/>
      <c r="AQ10" s="336"/>
      <c r="AR10" s="491"/>
      <c r="AS10" s="491"/>
    </row>
    <row r="11" spans="1:60" s="464" customFormat="1" ht="18.75" customHeight="1" x14ac:dyDescent="0.3">
      <c r="A11" s="457"/>
      <c r="B11" s="645"/>
      <c r="C11" s="437"/>
      <c r="D11" s="437"/>
      <c r="E11" s="612"/>
      <c r="F11" s="434"/>
      <c r="G11" s="336"/>
      <c r="H11" s="645"/>
      <c r="I11" s="437"/>
      <c r="J11" s="437"/>
      <c r="K11" s="645"/>
      <c r="L11" s="437"/>
      <c r="M11" s="437"/>
      <c r="N11" s="645"/>
      <c r="O11" s="437"/>
      <c r="P11" s="437"/>
      <c r="Q11" s="612"/>
      <c r="R11" s="434"/>
      <c r="S11" s="434"/>
      <c r="T11" s="659"/>
      <c r="U11" s="435"/>
      <c r="V11" s="336"/>
      <c r="W11" s="612"/>
      <c r="X11" s="434"/>
      <c r="Y11" s="336"/>
      <c r="Z11" s="612"/>
      <c r="AA11" s="434"/>
      <c r="AB11" s="336"/>
      <c r="AC11" s="612"/>
      <c r="AD11" s="434"/>
      <c r="AE11" s="336"/>
      <c r="AF11" s="612"/>
      <c r="AG11" s="434"/>
      <c r="AH11" s="336"/>
      <c r="AI11" s="612"/>
      <c r="AJ11" s="434"/>
      <c r="AK11" s="336"/>
      <c r="AL11" s="612"/>
      <c r="AM11" s="434"/>
      <c r="AN11" s="336"/>
      <c r="AO11" s="436"/>
      <c r="AP11" s="436"/>
      <c r="AQ11" s="336"/>
      <c r="AR11" s="491"/>
      <c r="AS11" s="491"/>
    </row>
    <row r="12" spans="1:60" s="464" customFormat="1" ht="20.100000000000001" customHeight="1" x14ac:dyDescent="0.3">
      <c r="A12" s="456" t="s">
        <v>187</v>
      </c>
      <c r="B12" s="196"/>
      <c r="C12" s="438"/>
      <c r="D12" s="438"/>
      <c r="E12" s="612"/>
      <c r="F12" s="434"/>
      <c r="G12" s="336"/>
      <c r="H12" s="196"/>
      <c r="I12" s="438"/>
      <c r="J12" s="438"/>
      <c r="K12" s="196"/>
      <c r="L12" s="438"/>
      <c r="M12" s="438"/>
      <c r="N12" s="196"/>
      <c r="O12" s="438"/>
      <c r="P12" s="438"/>
      <c r="Q12" s="612"/>
      <c r="R12" s="434"/>
      <c r="S12" s="434"/>
      <c r="T12" s="659"/>
      <c r="U12" s="435"/>
      <c r="V12" s="336"/>
      <c r="W12" s="612"/>
      <c r="X12" s="434"/>
      <c r="Y12" s="336"/>
      <c r="Z12" s="612"/>
      <c r="AA12" s="434"/>
      <c r="AB12" s="336"/>
      <c r="AC12" s="612"/>
      <c r="AD12" s="434"/>
      <c r="AE12" s="336"/>
      <c r="AF12" s="612"/>
      <c r="AG12" s="434"/>
      <c r="AH12" s="336"/>
      <c r="AI12" s="612"/>
      <c r="AJ12" s="434"/>
      <c r="AK12" s="336"/>
      <c r="AL12" s="612"/>
      <c r="AM12" s="434"/>
      <c r="AN12" s="336"/>
      <c r="AO12" s="436"/>
      <c r="AP12" s="436"/>
      <c r="AQ12" s="336"/>
      <c r="AR12" s="491"/>
      <c r="AS12" s="491"/>
    </row>
    <row r="13" spans="1:60" s="493" customFormat="1" ht="20.100000000000001" customHeight="1" x14ac:dyDescent="0.3">
      <c r="A13" s="456" t="s">
        <v>188</v>
      </c>
      <c r="B13" s="196"/>
      <c r="C13" s="438"/>
      <c r="D13" s="439"/>
      <c r="E13" s="103"/>
      <c r="F13" s="614"/>
      <c r="G13" s="441"/>
      <c r="H13" s="196"/>
      <c r="I13" s="438"/>
      <c r="J13" s="439"/>
      <c r="K13" s="196"/>
      <c r="L13" s="438"/>
      <c r="M13" s="439"/>
      <c r="N13" s="196"/>
      <c r="O13" s="438"/>
      <c r="P13" s="439"/>
      <c r="Q13" s="103"/>
      <c r="R13" s="614"/>
      <c r="S13" s="440"/>
      <c r="T13" s="690"/>
      <c r="U13" s="660"/>
      <c r="V13" s="441"/>
      <c r="W13" s="103"/>
      <c r="X13" s="614"/>
      <c r="Y13" s="441"/>
      <c r="Z13" s="103"/>
      <c r="AA13" s="614"/>
      <c r="AB13" s="441"/>
      <c r="AC13" s="103"/>
      <c r="AD13" s="614"/>
      <c r="AE13" s="441"/>
      <c r="AF13" s="103"/>
      <c r="AG13" s="614"/>
      <c r="AH13" s="441"/>
      <c r="AI13" s="103"/>
      <c r="AJ13" s="614"/>
      <c r="AK13" s="441"/>
      <c r="AL13" s="103"/>
      <c r="AM13" s="614"/>
      <c r="AN13" s="441"/>
      <c r="AO13" s="442"/>
      <c r="AP13" s="442"/>
      <c r="AQ13" s="441"/>
      <c r="AR13" s="492"/>
      <c r="AS13" s="492"/>
    </row>
    <row r="14" spans="1:60" s="493" customFormat="1" ht="20.100000000000001" customHeight="1" x14ac:dyDescent="0.3">
      <c r="A14" s="458" t="s">
        <v>189</v>
      </c>
      <c r="B14" s="194"/>
      <c r="C14" s="444"/>
      <c r="D14" s="441"/>
      <c r="E14" s="103"/>
      <c r="F14" s="614"/>
      <c r="G14" s="441"/>
      <c r="H14" s="194"/>
      <c r="I14" s="444"/>
      <c r="J14" s="441"/>
      <c r="K14" s="194"/>
      <c r="L14" s="444"/>
      <c r="M14" s="441"/>
      <c r="N14" s="194"/>
      <c r="O14" s="444"/>
      <c r="P14" s="441"/>
      <c r="Q14" s="103">
        <v>8.9</v>
      </c>
      <c r="R14" s="614">
        <v>6</v>
      </c>
      <c r="S14" s="434">
        <f>IF(Q14=0, "    ---- ", IF(ABS(ROUND(100/Q14*R14-100,1))&lt;999,ROUND(100/Q14*R14-100,1),IF(ROUND(100/Q14*R14-100,1)&gt;999,999,-999)))</f>
        <v>-32.6</v>
      </c>
      <c r="T14" s="690"/>
      <c r="U14" s="660"/>
      <c r="V14" s="441"/>
      <c r="W14" s="103">
        <v>970.80500874999996</v>
      </c>
      <c r="X14" s="614">
        <v>1001.84924075</v>
      </c>
      <c r="Y14" s="441">
        <f t="shared" ref="Y14:Y28" si="24">IF(W14=0, "    ---- ", IF(ABS(ROUND(100/W14*X14-100,1))&lt;999,ROUND(100/W14*X14-100,1),IF(ROUND(100/W14*X14-100,1)&gt;999,999,-999)))</f>
        <v>3.2</v>
      </c>
      <c r="Z14" s="103"/>
      <c r="AA14" s="614"/>
      <c r="AB14" s="441"/>
      <c r="AC14" s="103"/>
      <c r="AD14" s="614"/>
      <c r="AE14" s="441"/>
      <c r="AF14" s="103"/>
      <c r="AG14" s="614"/>
      <c r="AH14" s="441"/>
      <c r="AI14" s="103"/>
      <c r="AJ14" s="614"/>
      <c r="AK14" s="441"/>
      <c r="AL14" s="103"/>
      <c r="AM14" s="614"/>
      <c r="AN14" s="441"/>
      <c r="AO14" s="442">
        <f t="shared" ref="AO14:AO29" si="25">B14+H14+K14+N14+Q14+T14+W14+E14+Z14+AC14+AF14+AI14+AL14</f>
        <v>979.70500874999993</v>
      </c>
      <c r="AP14" s="442">
        <f t="shared" ref="AP14:AP29" si="26">C14+I14+L14+O14+R14+U14+X14+F14+AA14+AD14+AG14+AJ14+AM14</f>
        <v>1007.84924075</v>
      </c>
      <c r="AQ14" s="441">
        <f t="shared" ref="AQ14:AQ29" si="27">IF(AO14=0, "    ---- ", IF(ABS(ROUND(100/AO14*AP14-100,1))&lt;999,ROUND(100/AO14*AP14-100,1),IF(ROUND(100/AO14*AP14-100,1)&gt;999,999,-999)))</f>
        <v>2.9</v>
      </c>
      <c r="AR14" s="492"/>
      <c r="AS14" s="492"/>
    </row>
    <row r="15" spans="1:60" s="493" customFormat="1" ht="20.100000000000001" customHeight="1" x14ac:dyDescent="0.3">
      <c r="A15" s="458" t="s">
        <v>190</v>
      </c>
      <c r="B15" s="194"/>
      <c r="C15" s="444"/>
      <c r="D15" s="441"/>
      <c r="E15" s="103"/>
      <c r="F15" s="614"/>
      <c r="G15" s="441"/>
      <c r="H15" s="194">
        <v>1439.175</v>
      </c>
      <c r="I15" s="444">
        <v>1340.1964182199999</v>
      </c>
      <c r="J15" s="441">
        <f t="shared" ref="J15:J28" si="28">IF(H15=0, "    ---- ", IF(ABS(ROUND(100/H15*I15-100,1))&lt;999,ROUND(100/H15*I15-100,1),IF(ROUND(100/H15*I15-100,1)&gt;999,999,-999)))</f>
        <v>-6.9</v>
      </c>
      <c r="K15" s="194"/>
      <c r="L15" s="444"/>
      <c r="M15" s="441"/>
      <c r="N15" s="194"/>
      <c r="O15" s="444"/>
      <c r="P15" s="441"/>
      <c r="Q15" s="103"/>
      <c r="R15" s="614"/>
      <c r="S15" s="440"/>
      <c r="T15" s="690"/>
      <c r="U15" s="660"/>
      <c r="V15" s="441"/>
      <c r="W15" s="103">
        <v>8124.6480636800006</v>
      </c>
      <c r="X15" s="614">
        <v>8571.4383648599996</v>
      </c>
      <c r="Y15" s="441">
        <f t="shared" si="24"/>
        <v>5.5</v>
      </c>
      <c r="Z15" s="103"/>
      <c r="AA15" s="614"/>
      <c r="AB15" s="441"/>
      <c r="AC15" s="103">
        <f>586+332</f>
        <v>918</v>
      </c>
      <c r="AD15" s="614">
        <f>1019+365</f>
        <v>1384</v>
      </c>
      <c r="AE15" s="441">
        <f t="shared" ref="AE15:AE28" si="29">IF(AC15=0, "    ---- ", IF(ABS(ROUND(100/AC15*AD15-100,1))&lt;999,ROUND(100/AC15*AD15-100,1),IF(ROUND(100/AC15*AD15-100,1)&gt;999,999,-999)))</f>
        <v>50.8</v>
      </c>
      <c r="AF15" s="103"/>
      <c r="AG15" s="614"/>
      <c r="AH15" s="441"/>
      <c r="AI15" s="103">
        <v>1638.664</v>
      </c>
      <c r="AJ15" s="614">
        <v>1839.2429999999999</v>
      </c>
      <c r="AK15" s="441">
        <f t="shared" ref="AK15:AK28" si="30">IF(AI15=0, "    ---- ", IF(ABS(ROUND(100/AI15*AJ15-100,1))&lt;999,ROUND(100/AI15*AJ15-100,1),IF(ROUND(100/AI15*AJ15-100,1)&gt;999,999,-999)))</f>
        <v>12.2</v>
      </c>
      <c r="AL15" s="103">
        <v>13627</v>
      </c>
      <c r="AM15" s="614">
        <v>12750</v>
      </c>
      <c r="AN15" s="441">
        <f t="shared" ref="AN15:AN28" si="31">IF(AL15=0, "    ---- ", IF(ABS(ROUND(100/AL15*AM15-100,1))&lt;999,ROUND(100/AL15*AM15-100,1),IF(ROUND(100/AL15*AM15-100,1)&gt;999,999,-999)))</f>
        <v>-6.4</v>
      </c>
      <c r="AO15" s="442">
        <f t="shared" si="25"/>
        <v>25747.487063680001</v>
      </c>
      <c r="AP15" s="442">
        <f t="shared" si="26"/>
        <v>25884.877783080003</v>
      </c>
      <c r="AQ15" s="441">
        <f t="shared" si="27"/>
        <v>0.5</v>
      </c>
      <c r="AR15" s="492"/>
      <c r="AS15" s="492"/>
    </row>
    <row r="16" spans="1:60" s="493" customFormat="1" ht="20.100000000000001" customHeight="1" x14ac:dyDescent="0.3">
      <c r="A16" s="458" t="s">
        <v>191</v>
      </c>
      <c r="B16" s="194"/>
      <c r="C16" s="444"/>
      <c r="D16" s="441"/>
      <c r="E16" s="103">
        <f>SUM(E17+E19)</f>
        <v>297.48599999999999</v>
      </c>
      <c r="F16" s="614"/>
      <c r="G16" s="441">
        <f t="shared" ref="G16:G17" si="32">IF(E16=0, "    ---- ", IF(ABS(ROUND(100/E16*F16-100,1))&lt;999,ROUND(100/E16*F16-100,1),IF(ROUND(100/E16*F16-100,1)&gt;999,999,-999)))</f>
        <v>-100</v>
      </c>
      <c r="H16" s="194">
        <f>SUM(H17+H19)</f>
        <v>8720.8649999999998</v>
      </c>
      <c r="I16" s="444">
        <f>SUM(I17+I19)</f>
        <v>12847.410451720001</v>
      </c>
      <c r="J16" s="441">
        <f t="shared" si="28"/>
        <v>47.3</v>
      </c>
      <c r="K16" s="194"/>
      <c r="L16" s="444">
        <v>108.38529961</v>
      </c>
      <c r="M16" s="336" t="str">
        <f>IF(K16=0, "    ---- ", IF(ABS(ROUND(100/K16*L16-100,1))&lt;999,ROUND(100/K16*L16-100,1),IF(ROUND(100/K16*L16-100,1)&gt;999,999,-999)))</f>
        <v xml:space="preserve">    ---- </v>
      </c>
      <c r="N16" s="194">
        <f>SUM(N17+N19)</f>
        <v>73.308000000000007</v>
      </c>
      <c r="O16" s="444">
        <f>SUM(O17+O19)</f>
        <v>93.183000000000007</v>
      </c>
      <c r="P16" s="441">
        <f t="shared" ref="P16:P17" si="33">IF(N16=0, "    ---- ", IF(ABS(ROUND(100/N16*O16-100,1))&lt;999,ROUND(100/N16*O16-100,1),IF(ROUND(100/N16*O16-100,1)&gt;999,999,-999)))</f>
        <v>27.1</v>
      </c>
      <c r="Q16" s="103">
        <f>SUM(Q17+Q19)</f>
        <v>252.1</v>
      </c>
      <c r="R16" s="614">
        <f>SUM(R17+R19)</f>
        <v>223</v>
      </c>
      <c r="S16" s="434">
        <f>IF(Q16=0, "    ---- ", IF(ABS(ROUND(100/Q16*R16-100,1))&lt;999,ROUND(100/Q16*R16-100,1),IF(ROUND(100/Q16*R16-100,1)&gt;999,999,-999)))</f>
        <v>-11.5</v>
      </c>
      <c r="T16" s="690"/>
      <c r="U16" s="660"/>
      <c r="V16" s="441"/>
      <c r="W16" s="103">
        <v>19098.04880221</v>
      </c>
      <c r="X16" s="614">
        <v>19107.32450364</v>
      </c>
      <c r="Y16" s="441">
        <f t="shared" si="24"/>
        <v>0</v>
      </c>
      <c r="Z16" s="103"/>
      <c r="AA16" s="614"/>
      <c r="AB16" s="441"/>
      <c r="AC16" s="103">
        <f>SUM(AC17+AC19)</f>
        <v>4374</v>
      </c>
      <c r="AD16" s="614">
        <f>SUM(AD17+AD19)</f>
        <v>4660</v>
      </c>
      <c r="AE16" s="441">
        <f t="shared" si="29"/>
        <v>6.5</v>
      </c>
      <c r="AF16" s="103"/>
      <c r="AG16" s="614"/>
      <c r="AH16" s="441"/>
      <c r="AI16" s="103">
        <f>SUM(AI17+AI19)</f>
        <v>1119.7860000000001</v>
      </c>
      <c r="AJ16" s="614">
        <f>SUM(AJ17+AJ19)</f>
        <v>1103.0940000000001</v>
      </c>
      <c r="AK16" s="441">
        <f t="shared" si="30"/>
        <v>-1.5</v>
      </c>
      <c r="AL16" s="103">
        <f>SUM(AL17+AL19)</f>
        <v>8920</v>
      </c>
      <c r="AM16" s="614">
        <f>SUM(AM17+AM19)</f>
        <v>8259</v>
      </c>
      <c r="AN16" s="441">
        <f t="shared" si="31"/>
        <v>-7.4</v>
      </c>
      <c r="AO16" s="442">
        <f t="shared" si="25"/>
        <v>42855.593802210002</v>
      </c>
      <c r="AP16" s="442">
        <f t="shared" si="26"/>
        <v>46401.397254969997</v>
      </c>
      <c r="AQ16" s="441">
        <f t="shared" si="27"/>
        <v>8.3000000000000007</v>
      </c>
      <c r="AR16" s="492"/>
      <c r="AS16" s="492"/>
    </row>
    <row r="17" spans="1:46" s="493" customFormat="1" ht="20.100000000000001" customHeight="1" x14ac:dyDescent="0.3">
      <c r="A17" s="458" t="s">
        <v>192</v>
      </c>
      <c r="B17" s="194"/>
      <c r="C17" s="444"/>
      <c r="D17" s="441"/>
      <c r="E17" s="103">
        <v>297.48599999999999</v>
      </c>
      <c r="F17" s="614"/>
      <c r="G17" s="441">
        <f t="shared" si="32"/>
        <v>-100</v>
      </c>
      <c r="H17" s="194">
        <v>6265.1710000000003</v>
      </c>
      <c r="I17" s="444">
        <v>10164.948415090001</v>
      </c>
      <c r="J17" s="441">
        <f t="shared" si="28"/>
        <v>62.2</v>
      </c>
      <c r="K17" s="194"/>
      <c r="L17" s="444"/>
      <c r="M17" s="441"/>
      <c r="N17" s="194">
        <v>73.308000000000007</v>
      </c>
      <c r="O17" s="444">
        <v>93.183000000000007</v>
      </c>
      <c r="P17" s="441">
        <f t="shared" si="33"/>
        <v>27.1</v>
      </c>
      <c r="Q17" s="103"/>
      <c r="R17" s="614"/>
      <c r="S17" s="440"/>
      <c r="T17" s="690"/>
      <c r="U17" s="660"/>
      <c r="V17" s="441"/>
      <c r="W17" s="103">
        <v>7328.1603061400001</v>
      </c>
      <c r="X17" s="614">
        <v>6858.92294356</v>
      </c>
      <c r="Y17" s="441">
        <f t="shared" si="24"/>
        <v>-6.4</v>
      </c>
      <c r="Z17" s="103"/>
      <c r="AA17" s="614"/>
      <c r="AB17" s="441"/>
      <c r="AC17" s="103">
        <v>15</v>
      </c>
      <c r="AD17" s="614">
        <v>10</v>
      </c>
      <c r="AE17" s="441">
        <f t="shared" si="29"/>
        <v>-33.299999999999997</v>
      </c>
      <c r="AF17" s="103"/>
      <c r="AG17" s="614"/>
      <c r="AH17" s="441"/>
      <c r="AI17" s="103">
        <v>74.72</v>
      </c>
      <c r="AJ17" s="614">
        <v>39.399000000000001</v>
      </c>
      <c r="AK17" s="441">
        <f t="shared" si="30"/>
        <v>-47.3</v>
      </c>
      <c r="AL17" s="103"/>
      <c r="AM17" s="614"/>
      <c r="AN17" s="441"/>
      <c r="AO17" s="442">
        <f t="shared" si="25"/>
        <v>14053.845306140001</v>
      </c>
      <c r="AP17" s="442">
        <f t="shared" si="26"/>
        <v>17166.453358650004</v>
      </c>
      <c r="AQ17" s="441">
        <f t="shared" si="27"/>
        <v>22.1</v>
      </c>
      <c r="AR17" s="492"/>
      <c r="AS17" s="492"/>
    </row>
    <row r="18" spans="1:46" s="493" customFormat="1" ht="20.100000000000001" customHeight="1" x14ac:dyDescent="0.3">
      <c r="A18" s="458" t="s">
        <v>193</v>
      </c>
      <c r="B18" s="194"/>
      <c r="C18" s="444"/>
      <c r="D18" s="441"/>
      <c r="E18" s="103"/>
      <c r="F18" s="614"/>
      <c r="G18" s="441"/>
      <c r="H18" s="194">
        <v>6265.1710000000003</v>
      </c>
      <c r="I18" s="444">
        <v>10164.948415090001</v>
      </c>
      <c r="J18" s="441">
        <f t="shared" si="28"/>
        <v>62.2</v>
      </c>
      <c r="K18" s="194"/>
      <c r="L18" s="444"/>
      <c r="M18" s="441"/>
      <c r="N18" s="194"/>
      <c r="O18" s="444"/>
      <c r="P18" s="441"/>
      <c r="Q18" s="103"/>
      <c r="R18" s="614"/>
      <c r="S18" s="440"/>
      <c r="T18" s="690"/>
      <c r="U18" s="660"/>
      <c r="V18" s="441"/>
      <c r="W18" s="103">
        <v>7328.1603061400001</v>
      </c>
      <c r="X18" s="614">
        <v>6858.92294356</v>
      </c>
      <c r="Y18" s="441">
        <f t="shared" si="24"/>
        <v>-6.4</v>
      </c>
      <c r="Z18" s="103"/>
      <c r="AA18" s="614"/>
      <c r="AB18" s="441"/>
      <c r="AC18" s="103"/>
      <c r="AD18" s="614"/>
      <c r="AE18" s="441"/>
      <c r="AF18" s="103"/>
      <c r="AG18" s="614"/>
      <c r="AH18" s="441"/>
      <c r="AI18" s="103">
        <v>7.4999999999996723</v>
      </c>
      <c r="AJ18" s="614">
        <v>-3.2782554626464843E-13</v>
      </c>
      <c r="AK18" s="441">
        <f t="shared" si="30"/>
        <v>-100</v>
      </c>
      <c r="AL18" s="103"/>
      <c r="AM18" s="614"/>
      <c r="AN18" s="441"/>
      <c r="AO18" s="442">
        <f t="shared" si="25"/>
        <v>13600.83130614</v>
      </c>
      <c r="AP18" s="442">
        <f t="shared" si="26"/>
        <v>17023.871358650002</v>
      </c>
      <c r="AQ18" s="441">
        <f t="shared" si="27"/>
        <v>25.2</v>
      </c>
      <c r="AR18" s="492"/>
      <c r="AS18" s="492"/>
    </row>
    <row r="19" spans="1:46" s="493" customFormat="1" ht="20.100000000000001" customHeight="1" x14ac:dyDescent="0.3">
      <c r="A19" s="458" t="s">
        <v>194</v>
      </c>
      <c r="B19" s="194"/>
      <c r="C19" s="444"/>
      <c r="D19" s="441"/>
      <c r="E19" s="103"/>
      <c r="F19" s="614"/>
      <c r="G19" s="441"/>
      <c r="H19" s="194">
        <v>2455.694</v>
      </c>
      <c r="I19" s="444">
        <v>2682.4620366300001</v>
      </c>
      <c r="J19" s="441">
        <f t="shared" si="28"/>
        <v>9.1999999999999993</v>
      </c>
      <c r="K19" s="194"/>
      <c r="L19" s="444">
        <v>108.38529961</v>
      </c>
      <c r="M19" s="336" t="str">
        <f>IF(K19=0, "    ---- ", IF(ABS(ROUND(100/K19*L19-100,1))&lt;999,ROUND(100/K19*L19-100,1),IF(ROUND(100/K19*L19-100,1)&gt;999,999,-999)))</f>
        <v xml:space="preserve">    ---- </v>
      </c>
      <c r="N19" s="194"/>
      <c r="O19" s="444"/>
      <c r="P19" s="441"/>
      <c r="Q19" s="103">
        <v>252.1</v>
      </c>
      <c r="R19" s="614">
        <v>223</v>
      </c>
      <c r="S19" s="434">
        <f>IF(Q19=0, "    ---- ", IF(ABS(ROUND(100/Q19*R19-100,1))&lt;999,ROUND(100/Q19*R19-100,1),IF(ROUND(100/Q19*R19-100,1)&gt;999,999,-999)))</f>
        <v>-11.5</v>
      </c>
      <c r="T19" s="690"/>
      <c r="U19" s="660"/>
      <c r="V19" s="441"/>
      <c r="W19" s="103">
        <v>11769.88849607</v>
      </c>
      <c r="X19" s="614">
        <v>12248.401560079999</v>
      </c>
      <c r="Y19" s="441">
        <f t="shared" si="24"/>
        <v>4.0999999999999996</v>
      </c>
      <c r="Z19" s="103"/>
      <c r="AA19" s="614"/>
      <c r="AB19" s="441"/>
      <c r="AC19" s="103">
        <v>4359</v>
      </c>
      <c r="AD19" s="614">
        <v>4650</v>
      </c>
      <c r="AE19" s="441">
        <f t="shared" si="29"/>
        <v>6.7</v>
      </c>
      <c r="AF19" s="103"/>
      <c r="AG19" s="614"/>
      <c r="AH19" s="441"/>
      <c r="AI19" s="103">
        <v>1045.066</v>
      </c>
      <c r="AJ19" s="614">
        <v>1063.6949999999999</v>
      </c>
      <c r="AK19" s="441">
        <f t="shared" si="30"/>
        <v>1.8</v>
      </c>
      <c r="AL19" s="103">
        <f>1+8113+806</f>
        <v>8920</v>
      </c>
      <c r="AM19" s="614">
        <f>8463-204</f>
        <v>8259</v>
      </c>
      <c r="AN19" s="441">
        <f t="shared" si="31"/>
        <v>-7.4</v>
      </c>
      <c r="AO19" s="442">
        <f t="shared" si="25"/>
        <v>28801.748496069999</v>
      </c>
      <c r="AP19" s="442">
        <f t="shared" si="26"/>
        <v>29234.943896320001</v>
      </c>
      <c r="AQ19" s="441">
        <f t="shared" si="27"/>
        <v>1.5</v>
      </c>
      <c r="AR19" s="492"/>
      <c r="AS19" s="492"/>
    </row>
    <row r="20" spans="1:46" s="493" customFormat="1" ht="20.100000000000001" customHeight="1" x14ac:dyDescent="0.3">
      <c r="A20" s="458" t="s">
        <v>195</v>
      </c>
      <c r="B20" s="194">
        <f>SUM(B21:B25)</f>
        <v>757.03300000000002</v>
      </c>
      <c r="C20" s="444">
        <f>SUM(C21:C25)</f>
        <v>860.077</v>
      </c>
      <c r="D20" s="441">
        <f>IF(B20=0, "    ---- ", IF(ABS(ROUND(100/B20*C20-100,1))&lt;999,ROUND(100/B20*C20-100,1),IF(ROUND(100/B20*C20-100,1)&gt;999,999,-999)))</f>
        <v>13.6</v>
      </c>
      <c r="E20" s="103">
        <f>SUM(E21:E25)</f>
        <v>274.81700000000001</v>
      </c>
      <c r="F20" s="614"/>
      <c r="G20" s="441">
        <f t="shared" ref="G20:G28" si="34">IF(E20=0, "    ---- ", IF(ABS(ROUND(100/E20*F20-100,1))&lt;999,ROUND(100/E20*F20-100,1),IF(ROUND(100/E20*F20-100,1)&gt;999,999,-999)))</f>
        <v>-100</v>
      </c>
      <c r="H20" s="194">
        <f>SUM(H21:H25)</f>
        <v>22362.158000000003</v>
      </c>
      <c r="I20" s="444">
        <f>SUM(I21:I25)</f>
        <v>20231.48321446</v>
      </c>
      <c r="J20" s="441">
        <f t="shared" si="28"/>
        <v>-9.5</v>
      </c>
      <c r="K20" s="194">
        <v>1399.9362183000003</v>
      </c>
      <c r="L20" s="444">
        <v>2260.3766205899997</v>
      </c>
      <c r="M20" s="441">
        <f t="shared" ref="M20:M22" si="35">IF(K20=0, "    ---- ", IF(ABS(ROUND(100/K20*L20-100,1))&lt;999,ROUND(100/K20*L20-100,1),IF(ROUND(100/K20*L20-100,1)&gt;999,999,-999)))</f>
        <v>61.5</v>
      </c>
      <c r="N20" s="194">
        <f>SUM(N21:N25)</f>
        <v>357.68399999999997</v>
      </c>
      <c r="O20" s="444">
        <f>SUM(O21:O25)</f>
        <v>354.45100000000002</v>
      </c>
      <c r="P20" s="441">
        <f t="shared" ref="P20:P28" si="36">IF(N20=0, "    ---- ", IF(ABS(ROUND(100/N20*O20-100,1))&lt;999,ROUND(100/N20*O20-100,1),IF(ROUND(100/N20*O20-100,1)&gt;999,999,-999)))</f>
        <v>-0.9</v>
      </c>
      <c r="Q20" s="103">
        <f>SUM(Q21:Q25)</f>
        <v>716.09999999999991</v>
      </c>
      <c r="R20" s="614">
        <f>SUM(R21:R25)</f>
        <v>952</v>
      </c>
      <c r="S20" s="440">
        <f t="shared" ref="S20:S28" si="37">IF(Q20=0, "    ---- ", IF(ABS(ROUND(100/Q20*R20-100,1))&lt;999,ROUND(100/Q20*R20-100,1),IF(ROUND(100/Q20*R20-100,1)&gt;999,999,-999)))</f>
        <v>32.9</v>
      </c>
      <c r="T20" s="690">
        <f>SUM(T21:T25)</f>
        <v>151.43561832</v>
      </c>
      <c r="U20" s="660">
        <f>SUM(U21:U25)</f>
        <v>161.02412597</v>
      </c>
      <c r="V20" s="441">
        <f t="shared" ref="V20:V27" si="38">IF(T20=0, "    ---- ", IF(ABS(ROUND(100/T20*U20-100,1))&lt;999,ROUND(100/T20*U20-100,1),IF(ROUND(100/T20*U20-100,1)&gt;999,999,-999)))</f>
        <v>6.3</v>
      </c>
      <c r="W20" s="103">
        <v>19528.102857320002</v>
      </c>
      <c r="X20" s="614">
        <v>11514.439054279999</v>
      </c>
      <c r="Y20" s="441">
        <f t="shared" si="24"/>
        <v>-41</v>
      </c>
      <c r="Z20" s="103">
        <f>SUM(Z21:Z25)</f>
        <v>10469.219999999999</v>
      </c>
      <c r="AA20" s="614">
        <f>SUM(AA21:AA25)</f>
        <v>11104.21</v>
      </c>
      <c r="AB20" s="441">
        <f t="shared" ref="AB20:AB28" si="39">IF(Z20=0, "    ---- ", IF(ABS(ROUND(100/Z20*AA20-100,1))&lt;999,ROUND(100/Z20*AA20-100,1),IF(ROUND(100/Z20*AA20-100,1)&gt;999,999,-999)))</f>
        <v>6.1</v>
      </c>
      <c r="AC20" s="103">
        <f>SUM(AC21:AC25)</f>
        <v>4653</v>
      </c>
      <c r="AD20" s="614">
        <f>SUM(AD21:AD25)</f>
        <v>4313</v>
      </c>
      <c r="AE20" s="441">
        <f t="shared" si="29"/>
        <v>-7.3</v>
      </c>
      <c r="AF20" s="103">
        <f>SUM(AF21:AF25)</f>
        <v>79</v>
      </c>
      <c r="AG20" s="614">
        <f>SUM(AG21:AG25)</f>
        <v>92.876365059999998</v>
      </c>
      <c r="AH20" s="336">
        <f>IF(AF20=0, "    ---- ", IF(ABS(ROUND(100/AF20*AG20-100,1))&lt;999,ROUND(100/AF20*AG20-100,1),IF(ROUND(100/AF20*AG20-100,1)&gt;999,999,-999)))</f>
        <v>17.600000000000001</v>
      </c>
      <c r="AI20" s="103">
        <f>SUM(AI21:AI25)</f>
        <v>3637.8420000000001</v>
      </c>
      <c r="AJ20" s="614">
        <f>SUM(AJ21:AJ25)</f>
        <v>3186.1890000000003</v>
      </c>
      <c r="AK20" s="441">
        <f t="shared" si="30"/>
        <v>-12.4</v>
      </c>
      <c r="AL20" s="103">
        <f>SUM(AL21:AL25)</f>
        <v>11907</v>
      </c>
      <c r="AM20" s="614">
        <f>SUM(AM21:AM25)</f>
        <v>13889</v>
      </c>
      <c r="AN20" s="441">
        <f t="shared" si="31"/>
        <v>16.600000000000001</v>
      </c>
      <c r="AO20" s="442">
        <f t="shared" si="25"/>
        <v>76293.328693940013</v>
      </c>
      <c r="AP20" s="442">
        <f t="shared" si="26"/>
        <v>68919.126380360001</v>
      </c>
      <c r="AQ20" s="441">
        <f t="shared" si="27"/>
        <v>-9.6999999999999993</v>
      </c>
      <c r="AR20" s="492"/>
      <c r="AS20" s="492"/>
    </row>
    <row r="21" spans="1:46" s="493" customFormat="1" ht="20.100000000000001" customHeight="1" x14ac:dyDescent="0.3">
      <c r="A21" s="458" t="s">
        <v>196</v>
      </c>
      <c r="B21" s="194">
        <v>5.8639999999999999</v>
      </c>
      <c r="C21" s="444">
        <v>7.0830000000000002</v>
      </c>
      <c r="D21" s="441">
        <f>IF(B21=0, "    ---- ", IF(ABS(ROUND(100/B21*C21-100,1))&lt;999,ROUND(100/B21*C21-100,1),IF(ROUND(100/B21*C21-100,1)&gt;999,999,-999)))</f>
        <v>20.8</v>
      </c>
      <c r="E21" s="103">
        <v>253.71299999999999</v>
      </c>
      <c r="F21" s="614"/>
      <c r="G21" s="441">
        <f t="shared" si="34"/>
        <v>-100</v>
      </c>
      <c r="H21" s="194">
        <v>526.19799999999998</v>
      </c>
      <c r="I21" s="444">
        <v>1721.5203767799999</v>
      </c>
      <c r="J21" s="441">
        <f t="shared" si="28"/>
        <v>227.2</v>
      </c>
      <c r="K21" s="194"/>
      <c r="L21" s="444"/>
      <c r="M21" s="441"/>
      <c r="N21" s="194">
        <v>41.003</v>
      </c>
      <c r="O21" s="444">
        <v>51.673000000000002</v>
      </c>
      <c r="P21" s="441">
        <f t="shared" si="36"/>
        <v>26</v>
      </c>
      <c r="Q21" s="103">
        <v>9.3000000000000007</v>
      </c>
      <c r="R21" s="614">
        <v>3</v>
      </c>
      <c r="S21" s="440">
        <f t="shared" si="37"/>
        <v>-67.7</v>
      </c>
      <c r="T21" s="690"/>
      <c r="U21" s="660"/>
      <c r="V21" s="441"/>
      <c r="W21" s="103">
        <v>5.2555584500000005</v>
      </c>
      <c r="X21" s="614">
        <v>6.7540584500000005</v>
      </c>
      <c r="Y21" s="441">
        <f t="shared" si="24"/>
        <v>28.5</v>
      </c>
      <c r="Z21" s="103">
        <v>0</v>
      </c>
      <c r="AA21" s="614">
        <v>7.22</v>
      </c>
      <c r="AB21" s="441" t="str">
        <f t="shared" si="39"/>
        <v xml:space="preserve">    ---- </v>
      </c>
      <c r="AC21" s="103">
        <v>2175</v>
      </c>
      <c r="AD21" s="614">
        <v>2318</v>
      </c>
      <c r="AE21" s="441">
        <f t="shared" si="29"/>
        <v>6.6</v>
      </c>
      <c r="AF21" s="103"/>
      <c r="AG21" s="614"/>
      <c r="AH21" s="441"/>
      <c r="AI21" s="103">
        <v>0.48899999999999999</v>
      </c>
      <c r="AJ21" s="614">
        <v>1.204</v>
      </c>
      <c r="AK21" s="441">
        <f t="shared" si="30"/>
        <v>146.19999999999999</v>
      </c>
      <c r="AL21" s="103">
        <v>33</v>
      </c>
      <c r="AM21" s="614">
        <v>362</v>
      </c>
      <c r="AN21" s="441">
        <f t="shared" si="31"/>
        <v>997</v>
      </c>
      <c r="AO21" s="442">
        <f t="shared" si="25"/>
        <v>3049.8225584500001</v>
      </c>
      <c r="AP21" s="442">
        <f t="shared" si="26"/>
        <v>4478.4544352299999</v>
      </c>
      <c r="AQ21" s="441">
        <f t="shared" si="27"/>
        <v>46.8</v>
      </c>
      <c r="AR21" s="492"/>
      <c r="AS21" s="492"/>
    </row>
    <row r="22" spans="1:46" s="493" customFormat="1" ht="20.100000000000001" customHeight="1" x14ac:dyDescent="0.3">
      <c r="A22" s="458" t="s">
        <v>197</v>
      </c>
      <c r="B22" s="194">
        <v>751.16899999999998</v>
      </c>
      <c r="C22" s="444">
        <v>852.99400000000003</v>
      </c>
      <c r="D22" s="441">
        <f>IF(B22=0, "    ---- ", IF(ABS(ROUND(100/B22*C22-100,1))&lt;999,ROUND(100/B22*C22-100,1),IF(ROUND(100/B22*C22-100,1)&gt;999,999,-999)))</f>
        <v>13.6</v>
      </c>
      <c r="E22" s="103"/>
      <c r="F22" s="614"/>
      <c r="G22" s="441"/>
      <c r="H22" s="194">
        <v>21504.741000000002</v>
      </c>
      <c r="I22" s="444">
        <v>18194.313288189998</v>
      </c>
      <c r="J22" s="441">
        <f t="shared" si="28"/>
        <v>-15.4</v>
      </c>
      <c r="K22" s="194">
        <v>1399.5387254100003</v>
      </c>
      <c r="L22" s="444">
        <v>2363.15759871</v>
      </c>
      <c r="M22" s="441">
        <f t="shared" si="35"/>
        <v>68.900000000000006</v>
      </c>
      <c r="N22" s="194">
        <v>273.43099999999998</v>
      </c>
      <c r="O22" s="444">
        <v>219.441</v>
      </c>
      <c r="P22" s="441">
        <f t="shared" si="36"/>
        <v>-19.7</v>
      </c>
      <c r="Q22" s="103">
        <v>706.8</v>
      </c>
      <c r="R22" s="614">
        <v>949</v>
      </c>
      <c r="S22" s="440">
        <f t="shared" si="37"/>
        <v>34.299999999999997</v>
      </c>
      <c r="T22" s="690"/>
      <c r="U22" s="660"/>
      <c r="V22" s="441"/>
      <c r="W22" s="103">
        <v>9534.09418878</v>
      </c>
      <c r="X22" s="614">
        <v>9177.16506777</v>
      </c>
      <c r="Y22" s="441">
        <f t="shared" si="24"/>
        <v>-3.7</v>
      </c>
      <c r="Z22" s="103">
        <v>10468.959999999999</v>
      </c>
      <c r="AA22" s="614">
        <v>11096.73</v>
      </c>
      <c r="AB22" s="441">
        <f t="shared" si="39"/>
        <v>6</v>
      </c>
      <c r="AC22" s="103">
        <v>2462</v>
      </c>
      <c r="AD22" s="614">
        <v>1963</v>
      </c>
      <c r="AE22" s="441">
        <f t="shared" si="29"/>
        <v>-20.3</v>
      </c>
      <c r="AF22" s="103"/>
      <c r="AG22" s="614"/>
      <c r="AH22" s="441"/>
      <c r="AI22" s="103">
        <v>3192.665</v>
      </c>
      <c r="AJ22" s="614">
        <v>2739.04</v>
      </c>
      <c r="AK22" s="441">
        <f t="shared" si="30"/>
        <v>-14.2</v>
      </c>
      <c r="AL22" s="103">
        <v>10573</v>
      </c>
      <c r="AM22" s="614">
        <v>12724</v>
      </c>
      <c r="AN22" s="441">
        <f t="shared" si="31"/>
        <v>20.3</v>
      </c>
      <c r="AO22" s="442">
        <f t="shared" si="25"/>
        <v>60866.398914190002</v>
      </c>
      <c r="AP22" s="442">
        <f t="shared" si="26"/>
        <v>60278.840954669991</v>
      </c>
      <c r="AQ22" s="441">
        <f t="shared" si="27"/>
        <v>-1</v>
      </c>
      <c r="AR22" s="492"/>
      <c r="AS22" s="492"/>
    </row>
    <row r="23" spans="1:46" s="493" customFormat="1" ht="20.100000000000001" customHeight="1" x14ac:dyDescent="0.3">
      <c r="A23" s="458" t="s">
        <v>198</v>
      </c>
      <c r="B23" s="194"/>
      <c r="C23" s="444"/>
      <c r="D23" s="441"/>
      <c r="E23" s="103">
        <v>21.103999999999999</v>
      </c>
      <c r="F23" s="614"/>
      <c r="G23" s="441">
        <f t="shared" si="34"/>
        <v>-100</v>
      </c>
      <c r="H23" s="194">
        <v>33.286999999999999</v>
      </c>
      <c r="I23" s="444">
        <v>13.34355268</v>
      </c>
      <c r="J23" s="441">
        <f t="shared" si="28"/>
        <v>-59.9</v>
      </c>
      <c r="K23" s="194">
        <v>-20.234618819999991</v>
      </c>
      <c r="L23" s="444">
        <v>-105.05672758999998</v>
      </c>
      <c r="M23" s="336">
        <f>IF(K23=0, "    ---- ", IF(ABS(ROUND(100/K23*L23-100,1))&lt;999,ROUND(100/K23*L23-100,1),IF(ROUND(100/K23*L23-100,1)&gt;999,999,-999)))</f>
        <v>419.2</v>
      </c>
      <c r="N23" s="194"/>
      <c r="O23" s="444"/>
      <c r="P23" s="441"/>
      <c r="Q23" s="103"/>
      <c r="R23" s="614"/>
      <c r="S23" s="440" t="str">
        <f t="shared" si="37"/>
        <v xml:space="preserve">    ---- </v>
      </c>
      <c r="T23" s="690"/>
      <c r="U23" s="660"/>
      <c r="V23" s="441"/>
      <c r="W23" s="103">
        <v>4078.65558104</v>
      </c>
      <c r="X23" s="614">
        <v>1683.88260941</v>
      </c>
      <c r="Y23" s="441">
        <f t="shared" si="24"/>
        <v>-58.7</v>
      </c>
      <c r="Z23" s="103">
        <v>0.26</v>
      </c>
      <c r="AA23" s="614">
        <v>0.26</v>
      </c>
      <c r="AB23" s="441">
        <f t="shared" si="39"/>
        <v>0</v>
      </c>
      <c r="AC23" s="103"/>
      <c r="AD23" s="614"/>
      <c r="AE23" s="441"/>
      <c r="AF23" s="103"/>
      <c r="AG23" s="614"/>
      <c r="AH23" s="441"/>
      <c r="AI23" s="103"/>
      <c r="AJ23" s="614">
        <v>0</v>
      </c>
      <c r="AK23" s="441" t="str">
        <f t="shared" si="30"/>
        <v xml:space="preserve">    ---- </v>
      </c>
      <c r="AL23" s="103"/>
      <c r="AM23" s="614"/>
      <c r="AN23" s="441"/>
      <c r="AO23" s="442">
        <f t="shared" si="25"/>
        <v>4113.0719622200004</v>
      </c>
      <c r="AP23" s="442">
        <f t="shared" si="26"/>
        <v>1592.4294345000001</v>
      </c>
      <c r="AQ23" s="441">
        <f t="shared" si="27"/>
        <v>-61.3</v>
      </c>
      <c r="AR23" s="492"/>
      <c r="AS23" s="492"/>
    </row>
    <row r="24" spans="1:46" s="493" customFormat="1" ht="20.100000000000001" customHeight="1" x14ac:dyDescent="0.3">
      <c r="A24" s="458" t="s">
        <v>199</v>
      </c>
      <c r="B24" s="194"/>
      <c r="C24" s="444"/>
      <c r="D24" s="441"/>
      <c r="E24" s="103"/>
      <c r="F24" s="614"/>
      <c r="G24" s="441"/>
      <c r="H24" s="194"/>
      <c r="I24" s="444">
        <v>7.1259599999999998E-3</v>
      </c>
      <c r="J24" s="441" t="str">
        <f t="shared" si="28"/>
        <v xml:space="preserve">    ---- </v>
      </c>
      <c r="K24" s="194"/>
      <c r="L24" s="444"/>
      <c r="M24" s="441"/>
      <c r="N24" s="194"/>
      <c r="O24" s="444"/>
      <c r="P24" s="441"/>
      <c r="Q24" s="103"/>
      <c r="R24" s="614"/>
      <c r="S24" s="440"/>
      <c r="T24" s="690"/>
      <c r="U24" s="660"/>
      <c r="V24" s="441"/>
      <c r="W24" s="103">
        <v>1060.2007095500001</v>
      </c>
      <c r="X24" s="614">
        <v>645.84341294000001</v>
      </c>
      <c r="Y24" s="441">
        <f t="shared" si="24"/>
        <v>-39.1</v>
      </c>
      <c r="Z24" s="103">
        <v>0</v>
      </c>
      <c r="AA24" s="614">
        <v>0</v>
      </c>
      <c r="AB24" s="441" t="str">
        <f t="shared" si="39"/>
        <v xml:space="preserve">    ---- </v>
      </c>
      <c r="AC24" s="103">
        <v>16</v>
      </c>
      <c r="AD24" s="614">
        <v>32</v>
      </c>
      <c r="AE24" s="441">
        <f t="shared" si="29"/>
        <v>100</v>
      </c>
      <c r="AF24" s="103"/>
      <c r="AG24" s="614"/>
      <c r="AH24" s="441"/>
      <c r="AI24" s="103">
        <v>0.63500000000000001</v>
      </c>
      <c r="AJ24" s="614">
        <v>1.1499999999999999</v>
      </c>
      <c r="AK24" s="441">
        <f t="shared" si="30"/>
        <v>81.099999999999994</v>
      </c>
      <c r="AL24" s="103">
        <v>1301</v>
      </c>
      <c r="AM24" s="614">
        <v>803</v>
      </c>
      <c r="AN24" s="441">
        <f t="shared" si="31"/>
        <v>-38.299999999999997</v>
      </c>
      <c r="AO24" s="442">
        <f t="shared" si="25"/>
        <v>2377.83570955</v>
      </c>
      <c r="AP24" s="442">
        <f t="shared" si="26"/>
        <v>1482.0005389</v>
      </c>
      <c r="AQ24" s="441">
        <f t="shared" si="27"/>
        <v>-37.700000000000003</v>
      </c>
      <c r="AR24" s="492"/>
      <c r="AS24" s="492"/>
    </row>
    <row r="25" spans="1:46" s="493" customFormat="1" ht="20.100000000000001" customHeight="1" x14ac:dyDescent="0.3">
      <c r="A25" s="458" t="s">
        <v>200</v>
      </c>
      <c r="B25" s="194"/>
      <c r="C25" s="444"/>
      <c r="D25" s="441"/>
      <c r="E25" s="103"/>
      <c r="F25" s="614"/>
      <c r="G25" s="441"/>
      <c r="H25" s="194">
        <v>297.93200000000002</v>
      </c>
      <c r="I25" s="444">
        <v>302.29887085000001</v>
      </c>
      <c r="J25" s="441">
        <f t="shared" si="28"/>
        <v>1.5</v>
      </c>
      <c r="K25" s="194">
        <v>20.63211171</v>
      </c>
      <c r="L25" s="444">
        <v>2.2757494699999987</v>
      </c>
      <c r="M25" s="441">
        <f t="shared" ref="M25" si="40">IF(K25=0, "    ---- ", IF(ABS(ROUND(100/K25*L25-100,1))&lt;999,ROUND(100/K25*L25-100,1),IF(ROUND(100/K25*L25-100,1)&gt;999,999,-999)))</f>
        <v>-89</v>
      </c>
      <c r="N25" s="194">
        <v>43.25</v>
      </c>
      <c r="O25" s="444">
        <v>83.337000000000003</v>
      </c>
      <c r="P25" s="441">
        <f t="shared" si="36"/>
        <v>92.7</v>
      </c>
      <c r="Q25" s="103"/>
      <c r="R25" s="614"/>
      <c r="S25" s="440"/>
      <c r="T25" s="690">
        <v>151.43561832</v>
      </c>
      <c r="U25" s="660">
        <v>161.02412597</v>
      </c>
      <c r="V25" s="441">
        <f t="shared" si="38"/>
        <v>6.3</v>
      </c>
      <c r="W25" s="103">
        <v>4849.8968194999998</v>
      </c>
      <c r="X25" s="614">
        <v>0.79390570999999999</v>
      </c>
      <c r="Y25" s="441">
        <f t="shared" si="24"/>
        <v>-100</v>
      </c>
      <c r="Z25" s="103">
        <v>0</v>
      </c>
      <c r="AA25" s="614">
        <v>0</v>
      </c>
      <c r="AB25" s="441" t="str">
        <f t="shared" si="39"/>
        <v xml:space="preserve">    ---- </v>
      </c>
      <c r="AC25" s="103"/>
      <c r="AD25" s="614"/>
      <c r="AE25" s="441"/>
      <c r="AF25" s="103">
        <v>79</v>
      </c>
      <c r="AG25" s="614">
        <v>92.876365059999998</v>
      </c>
      <c r="AH25" s="336">
        <f>IF(AF25=0, "    ---- ", IF(ABS(ROUND(100/AF25*AG25-100,1))&lt;999,ROUND(100/AF25*AG25-100,1),IF(ROUND(100/AF25*AG25-100,1)&gt;999,999,-999)))</f>
        <v>17.600000000000001</v>
      </c>
      <c r="AI25" s="103">
        <v>444.053</v>
      </c>
      <c r="AJ25" s="614">
        <v>444.79500000000002</v>
      </c>
      <c r="AK25" s="441">
        <f t="shared" si="30"/>
        <v>0.2</v>
      </c>
      <c r="AL25" s="103"/>
      <c r="AM25" s="614"/>
      <c r="AN25" s="441"/>
      <c r="AO25" s="442">
        <f t="shared" si="25"/>
        <v>5886.1995495299998</v>
      </c>
      <c r="AP25" s="442">
        <f t="shared" si="26"/>
        <v>1087.40101706</v>
      </c>
      <c r="AQ25" s="441">
        <f t="shared" si="27"/>
        <v>-81.5</v>
      </c>
      <c r="AR25" s="492"/>
      <c r="AS25" s="492"/>
    </row>
    <row r="26" spans="1:46" s="493" customFormat="1" ht="20.100000000000001" customHeight="1" x14ac:dyDescent="0.3">
      <c r="A26" s="458" t="s">
        <v>201</v>
      </c>
      <c r="B26" s="194"/>
      <c r="C26" s="444"/>
      <c r="D26" s="441"/>
      <c r="E26" s="103"/>
      <c r="F26" s="614"/>
      <c r="G26" s="441"/>
      <c r="H26" s="194"/>
      <c r="I26" s="444"/>
      <c r="J26" s="441"/>
      <c r="K26" s="194"/>
      <c r="L26" s="444"/>
      <c r="M26" s="441"/>
      <c r="N26" s="194"/>
      <c r="O26" s="444"/>
      <c r="P26" s="441"/>
      <c r="Q26" s="103"/>
      <c r="R26" s="614"/>
      <c r="S26" s="440"/>
      <c r="T26" s="690"/>
      <c r="U26" s="660"/>
      <c r="V26" s="441"/>
      <c r="W26" s="103"/>
      <c r="X26" s="614"/>
      <c r="Y26" s="441"/>
      <c r="Z26" s="103">
        <v>0</v>
      </c>
      <c r="AA26" s="614">
        <v>0</v>
      </c>
      <c r="AB26" s="441" t="str">
        <f t="shared" si="39"/>
        <v xml:space="preserve">    ---- </v>
      </c>
      <c r="AC26" s="103"/>
      <c r="AD26" s="614"/>
      <c r="AE26" s="441"/>
      <c r="AF26" s="103"/>
      <c r="AG26" s="614"/>
      <c r="AH26" s="441"/>
      <c r="AI26" s="103"/>
      <c r="AJ26" s="614"/>
      <c r="AK26" s="441"/>
      <c r="AL26" s="103"/>
      <c r="AM26" s="614"/>
      <c r="AN26" s="441"/>
      <c r="AO26" s="442">
        <f t="shared" si="25"/>
        <v>0</v>
      </c>
      <c r="AP26" s="442">
        <f t="shared" si="26"/>
        <v>0</v>
      </c>
      <c r="AQ26" s="441" t="str">
        <f t="shared" si="27"/>
        <v xml:space="preserve">    ---- </v>
      </c>
      <c r="AR26" s="492"/>
      <c r="AS26" s="492"/>
    </row>
    <row r="27" spans="1:46" s="493" customFormat="1" ht="20.100000000000001" customHeight="1" x14ac:dyDescent="0.3">
      <c r="A27" s="459" t="s">
        <v>202</v>
      </c>
      <c r="B27" s="194">
        <f>SUM(B14+B15+B16+B20+B26)</f>
        <v>757.03300000000002</v>
      </c>
      <c r="C27" s="444">
        <f>SUM(C14+C15+C16+C20+C26)</f>
        <v>860.077</v>
      </c>
      <c r="D27" s="441">
        <f>IF(B27=0, "    ---- ", IF(ABS(ROUND(100/B27*C27-100,1))&lt;999,ROUND(100/B27*C27-100,1),IF(ROUND(100/B27*C27-100,1)&gt;999,999,-999)))</f>
        <v>13.6</v>
      </c>
      <c r="E27" s="103">
        <f>SUM(E14+E15+E16+E20+E26)</f>
        <v>572.303</v>
      </c>
      <c r="F27" s="614"/>
      <c r="G27" s="441">
        <f t="shared" si="34"/>
        <v>-100</v>
      </c>
      <c r="H27" s="194">
        <f>SUM(H14+H15+H16+H20+H26)</f>
        <v>32522.198000000004</v>
      </c>
      <c r="I27" s="444">
        <f>SUM(I14+I15+I16+I20+I26)</f>
        <v>34419.090084399999</v>
      </c>
      <c r="J27" s="441">
        <f t="shared" si="28"/>
        <v>5.8</v>
      </c>
      <c r="K27" s="194">
        <f>SUM(K14+K15+K16+K20+K26)</f>
        <v>1399.9362183000003</v>
      </c>
      <c r="L27" s="444">
        <f>SUM(L14+L15+L16+L20+L26)</f>
        <v>2368.7619201999996</v>
      </c>
      <c r="M27" s="441">
        <f t="shared" ref="M27:M28" si="41">IF(K27=0, "    ---- ", IF(ABS(ROUND(100/K27*L27-100,1))&lt;999,ROUND(100/K27*L27-100,1),IF(ROUND(100/K27*L27-100,1)&gt;999,999,-999)))</f>
        <v>69.2</v>
      </c>
      <c r="N27" s="194">
        <f>SUM(N14+N15+N16+N20+N26)</f>
        <v>430.99199999999996</v>
      </c>
      <c r="O27" s="444">
        <f>SUM(O14+O15+O16+O20+O26)</f>
        <v>447.63400000000001</v>
      </c>
      <c r="P27" s="441">
        <f t="shared" si="36"/>
        <v>3.9</v>
      </c>
      <c r="Q27" s="103">
        <f>SUM(Q14+Q15+Q16+Q20+Q26)</f>
        <v>977.09999999999991</v>
      </c>
      <c r="R27" s="614">
        <f>SUM(R14+R15+R16+R20+R26)</f>
        <v>1181</v>
      </c>
      <c r="S27" s="440">
        <f t="shared" si="37"/>
        <v>20.9</v>
      </c>
      <c r="T27" s="690">
        <f>SUM(T14+T15+T16+T20+T26)</f>
        <v>151.43561832</v>
      </c>
      <c r="U27" s="660">
        <f>SUM(U14+U15+U16+U20+U26)</f>
        <v>161.02412597</v>
      </c>
      <c r="V27" s="441">
        <f t="shared" si="38"/>
        <v>6.3</v>
      </c>
      <c r="W27" s="103">
        <v>47721.604731960004</v>
      </c>
      <c r="X27" s="614">
        <v>40195.051163529999</v>
      </c>
      <c r="Y27" s="441">
        <f t="shared" si="24"/>
        <v>-15.8</v>
      </c>
      <c r="Z27" s="103">
        <f>SUM(Z14+Z15+Z16+Z20+Z26)</f>
        <v>10469.219999999999</v>
      </c>
      <c r="AA27" s="614">
        <f>SUM(AA14+AA15+AA16+AA20+AA26)</f>
        <v>11104.21</v>
      </c>
      <c r="AB27" s="441">
        <f t="shared" si="39"/>
        <v>6.1</v>
      </c>
      <c r="AC27" s="103">
        <f>SUM(AC14+AC15+AC16+AC20+AC26)</f>
        <v>9945</v>
      </c>
      <c r="AD27" s="614">
        <f>SUM(AD14+AD15+AD16+AD20+AD26)</f>
        <v>10357</v>
      </c>
      <c r="AE27" s="441">
        <f t="shared" si="29"/>
        <v>4.0999999999999996</v>
      </c>
      <c r="AF27" s="103">
        <f>SUM(AF14+AF15+AF16+AF20+AF26)</f>
        <v>79</v>
      </c>
      <c r="AG27" s="614">
        <f>SUM(AG14+AG15+AG16+AG20+AG26)</f>
        <v>92.876365059999998</v>
      </c>
      <c r="AH27" s="336">
        <f>IF(AF27=0, "    ---- ", IF(ABS(ROUND(100/AF27*AG27-100,1))&lt;999,ROUND(100/AF27*AG27-100,1),IF(ROUND(100/AF27*AG27-100,1)&gt;999,999,-999)))</f>
        <v>17.600000000000001</v>
      </c>
      <c r="AI27" s="103">
        <f>SUM(AI14+AI15+AI16+AI20+AI26)</f>
        <v>6396.2919999999995</v>
      </c>
      <c r="AJ27" s="614">
        <f>SUM(AJ14+AJ15+AJ16+AJ20+AJ26)</f>
        <v>6128.5259999999998</v>
      </c>
      <c r="AK27" s="441">
        <f t="shared" si="30"/>
        <v>-4.2</v>
      </c>
      <c r="AL27" s="103">
        <f>SUM(AL14+AL15+AL16+AL20+AL26)</f>
        <v>34454</v>
      </c>
      <c r="AM27" s="614">
        <f>SUM(AM14+AM15+AM16+AM20+AM26)</f>
        <v>34898</v>
      </c>
      <c r="AN27" s="441">
        <f t="shared" si="31"/>
        <v>1.3</v>
      </c>
      <c r="AO27" s="442">
        <f t="shared" si="25"/>
        <v>145876.11456858</v>
      </c>
      <c r="AP27" s="442">
        <f t="shared" si="26"/>
        <v>142213.25065916</v>
      </c>
      <c r="AQ27" s="441">
        <f t="shared" si="27"/>
        <v>-2.5</v>
      </c>
      <c r="AR27" s="492"/>
      <c r="AS27" s="492"/>
    </row>
    <row r="28" spans="1:46" s="493" customFormat="1" ht="20.100000000000001" customHeight="1" x14ac:dyDescent="0.3">
      <c r="A28" s="458" t="s">
        <v>203</v>
      </c>
      <c r="B28" s="194">
        <f>62.181+130.869+3.925</f>
        <v>196.97500000000002</v>
      </c>
      <c r="C28" s="444">
        <f>82.173+96.444+3.397</f>
        <v>182.01400000000001</v>
      </c>
      <c r="D28" s="441">
        <f>IF(B28=0, "    ---- ", IF(ABS(ROUND(100/B28*C28-100,1))&lt;999,ROUND(100/B28*C28-100,1),IF(ROUND(100/B28*C28-100,1)&gt;999,999,-999)))</f>
        <v>-7.6</v>
      </c>
      <c r="E28" s="103">
        <v>28.085000000000001</v>
      </c>
      <c r="F28" s="614"/>
      <c r="G28" s="441">
        <f t="shared" si="34"/>
        <v>-100</v>
      </c>
      <c r="H28" s="194">
        <f>2.585+152.593+521.082+151.831</f>
        <v>828.09100000000001</v>
      </c>
      <c r="I28" s="444">
        <v>1267.499</v>
      </c>
      <c r="J28" s="441">
        <f t="shared" si="28"/>
        <v>53.1</v>
      </c>
      <c r="K28" s="194">
        <v>1579.1475227699998</v>
      </c>
      <c r="L28" s="444">
        <v>1252.9071101299999</v>
      </c>
      <c r="M28" s="441">
        <f t="shared" si="41"/>
        <v>-20.7</v>
      </c>
      <c r="N28" s="194">
        <v>453.685</v>
      </c>
      <c r="O28" s="444">
        <v>388.39299999999997</v>
      </c>
      <c r="P28" s="441">
        <f t="shared" si="36"/>
        <v>-14.4</v>
      </c>
      <c r="Q28" s="103">
        <f>32.2+145.7+307.1+1.5</f>
        <v>486.5</v>
      </c>
      <c r="R28" s="614">
        <v>378</v>
      </c>
      <c r="S28" s="440">
        <f t="shared" si="37"/>
        <v>-22.3</v>
      </c>
      <c r="T28" s="690"/>
      <c r="U28" s="660"/>
      <c r="V28" s="441"/>
      <c r="W28" s="103">
        <v>2679.6004479099997</v>
      </c>
      <c r="X28" s="614">
        <v>24164.375588930001</v>
      </c>
      <c r="Y28" s="441">
        <f t="shared" si="24"/>
        <v>801.8</v>
      </c>
      <c r="Z28" s="103">
        <v>1032</v>
      </c>
      <c r="AA28" s="614">
        <v>1136</v>
      </c>
      <c r="AB28" s="441">
        <f t="shared" si="39"/>
        <v>10.1</v>
      </c>
      <c r="AC28" s="103">
        <v>1316</v>
      </c>
      <c r="AD28" s="614">
        <f>62+59+1349+22</f>
        <v>1492</v>
      </c>
      <c r="AE28" s="441">
        <f t="shared" si="29"/>
        <v>13.4</v>
      </c>
      <c r="AF28" s="103"/>
      <c r="AG28" s="614"/>
      <c r="AH28" s="441"/>
      <c r="AI28" s="103">
        <v>512.62400000000002</v>
      </c>
      <c r="AJ28" s="614">
        <v>891.74</v>
      </c>
      <c r="AK28" s="441">
        <f t="shared" si="30"/>
        <v>74</v>
      </c>
      <c r="AL28" s="103">
        <f>380+1687+2924+47</f>
        <v>5038</v>
      </c>
      <c r="AM28" s="614">
        <f>468+5319+2539+47</f>
        <v>8373</v>
      </c>
      <c r="AN28" s="441">
        <f t="shared" si="31"/>
        <v>66.2</v>
      </c>
      <c r="AO28" s="442">
        <f t="shared" si="25"/>
        <v>14150.70797068</v>
      </c>
      <c r="AP28" s="442">
        <f t="shared" si="26"/>
        <v>39525.928699060001</v>
      </c>
      <c r="AQ28" s="441">
        <f t="shared" si="27"/>
        <v>179.3</v>
      </c>
      <c r="AR28" s="492"/>
      <c r="AS28" s="492"/>
    </row>
    <row r="29" spans="1:46" s="493" customFormat="1" ht="20.100000000000001" customHeight="1" x14ac:dyDescent="0.3">
      <c r="A29" s="458" t="s">
        <v>204</v>
      </c>
      <c r="B29" s="194">
        <f>SUM(B27+B28)</f>
        <v>954.00800000000004</v>
      </c>
      <c r="C29" s="444">
        <f>SUM(C27+C28)</f>
        <v>1042.0909999999999</v>
      </c>
      <c r="D29" s="441">
        <f>IF(B29=0, "    ---- ", IF(ABS(ROUND(100/B29*C29-100,1))&lt;999,ROUND(100/B29*C29-100,1),IF(ROUND(100/B29*C29-100,1)&gt;999,999,-999)))</f>
        <v>9.1999999999999993</v>
      </c>
      <c r="E29" s="194">
        <f>SUM(E27+E28)</f>
        <v>600.38800000000003</v>
      </c>
      <c r="F29" s="444"/>
      <c r="G29" s="441">
        <f>IF(E29=0, "    ---- ", IF(ABS(ROUND(100/E29*F29-100,1))&lt;999,ROUND(100/E29*F29-100,1),IF(ROUND(100/E29*F29-100,1)&gt;999,999,-999)))</f>
        <v>-100</v>
      </c>
      <c r="H29" s="194">
        <f>SUM(H27+H28)</f>
        <v>33350.289000000004</v>
      </c>
      <c r="I29" s="444">
        <f>SUM(I27+I28)</f>
        <v>35686.589084400002</v>
      </c>
      <c r="J29" s="441">
        <f>IF(H29=0, "    ---- ", IF(ABS(ROUND(100/H29*I29-100,1))&lt;999,ROUND(100/H29*I29-100,1),IF(ROUND(100/H29*I29-100,1)&gt;999,999,-999)))</f>
        <v>7</v>
      </c>
      <c r="K29" s="194">
        <f>SUM(K27+K28)</f>
        <v>2979.0837410700001</v>
      </c>
      <c r="L29" s="444">
        <f>SUM(L27+L28)</f>
        <v>3621.6690303299993</v>
      </c>
      <c r="M29" s="441">
        <f>IF(K29=0, "    ---- ", IF(ABS(ROUND(100/K29*L29-100,1))&lt;999,ROUND(100/K29*L29-100,1),IF(ROUND(100/K29*L29-100,1)&gt;999,999,-999)))</f>
        <v>21.6</v>
      </c>
      <c r="N29" s="194">
        <f>SUM(N27+N28)</f>
        <v>884.67699999999991</v>
      </c>
      <c r="O29" s="444">
        <f>SUM(O27+O28)</f>
        <v>836.02700000000004</v>
      </c>
      <c r="P29" s="441">
        <f>IF(N29=0, "    ---- ", IF(ABS(ROUND(100/N29*O29-100,1))&lt;999,ROUND(100/N29*O29-100,1),IF(ROUND(100/N29*O29-100,1)&gt;999,999,-999)))</f>
        <v>-5.5</v>
      </c>
      <c r="Q29" s="194">
        <f>SUM(Q27+Q28)</f>
        <v>1463.6</v>
      </c>
      <c r="R29" s="444">
        <f>SUM(R27+R28)</f>
        <v>1559</v>
      </c>
      <c r="S29" s="441">
        <f>IF(Q29=0, "    ---- ", IF(ABS(ROUND(100/Q29*R29-100,1))&lt;999,ROUND(100/Q29*R29-100,1),IF(ROUND(100/Q29*R29-100,1)&gt;999,999,-999)))</f>
        <v>6.5</v>
      </c>
      <c r="T29" s="194">
        <f>SUM(T27+T28)</f>
        <v>151.43561832</v>
      </c>
      <c r="U29" s="444">
        <f>SUM(U27+U28)</f>
        <v>161.02412597</v>
      </c>
      <c r="V29" s="441">
        <f>IF(T29=0, "    ---- ", IF(ABS(ROUND(100/T29*U29-100,1))&lt;999,ROUND(100/T29*U29-100,1),IF(ROUND(100/T29*U29-100,1)&gt;999,999,-999)))</f>
        <v>6.3</v>
      </c>
      <c r="W29" s="194">
        <v>50401.205179870005</v>
      </c>
      <c r="X29" s="444">
        <v>64359.42675246</v>
      </c>
      <c r="Y29" s="441">
        <f>IF(W29=0, "    ---- ", IF(ABS(ROUND(100/W29*X29-100,1))&lt;999,ROUND(100/W29*X29-100,1),IF(ROUND(100/W29*X29-100,1)&gt;999,999,-999)))</f>
        <v>27.7</v>
      </c>
      <c r="Z29" s="194">
        <f>SUM(Z27+Z28)</f>
        <v>11501.22</v>
      </c>
      <c r="AA29" s="444">
        <f>SUM(AA27+AA28)</f>
        <v>12240.21</v>
      </c>
      <c r="AB29" s="441">
        <f>IF(Z29=0, "    ---- ", IF(ABS(ROUND(100/Z29*AA29-100,1))&lt;999,ROUND(100/Z29*AA29-100,1),IF(ROUND(100/Z29*AA29-100,1)&gt;999,999,-999)))</f>
        <v>6.4</v>
      </c>
      <c r="AC29" s="194">
        <f>SUM(AC27+AC28)</f>
        <v>11261</v>
      </c>
      <c r="AD29" s="444">
        <f>SUM(AD27+AD28)</f>
        <v>11849</v>
      </c>
      <c r="AE29" s="441">
        <f>IF(AC29=0, "    ---- ", IF(ABS(ROUND(100/AC29*AD29-100,1))&lt;999,ROUND(100/AC29*AD29-100,1),IF(ROUND(100/AC29*AD29-100,1)&gt;999,999,-999)))</f>
        <v>5.2</v>
      </c>
      <c r="AF29" s="194">
        <f>SUM(AF27+AF28)</f>
        <v>79</v>
      </c>
      <c r="AG29" s="444">
        <f>SUM(AG27+AG28)</f>
        <v>92.876365059999998</v>
      </c>
      <c r="AH29" s="441">
        <f>IF(AF29=0, "    ---- ", IF(ABS(ROUND(100/AF29*AG29-100,1))&lt;999,ROUND(100/AF29*AG29-100,1),IF(ROUND(100/AF29*AG29-100,1)&gt;999,999,-999)))</f>
        <v>17.600000000000001</v>
      </c>
      <c r="AI29" s="194">
        <f>SUM(AI27+AI28)</f>
        <v>6908.9159999999993</v>
      </c>
      <c r="AJ29" s="444">
        <f>SUM(AJ27+AJ28)</f>
        <v>7020.2659999999996</v>
      </c>
      <c r="AK29" s="441">
        <f>IF(AI29=0, "    ---- ", IF(ABS(ROUND(100/AI29*AJ29-100,1))&lt;999,ROUND(100/AI29*AJ29-100,1),IF(ROUND(100/AI29*AJ29-100,1)&gt;999,999,-999)))</f>
        <v>1.6</v>
      </c>
      <c r="AL29" s="194">
        <f>SUM(AL27+AL28)</f>
        <v>39492</v>
      </c>
      <c r="AM29" s="444">
        <f>SUM(AM27+AM28)</f>
        <v>43271</v>
      </c>
      <c r="AN29" s="441">
        <f>IF(AL29=0, "    ---- ", IF(ABS(ROUND(100/AL29*AM29-100,1))&lt;999,ROUND(100/AL29*AM29-100,1),IF(ROUND(100/AL29*AM29-100,1)&gt;999,999,-999)))</f>
        <v>9.6</v>
      </c>
      <c r="AO29" s="442">
        <f t="shared" si="25"/>
        <v>160026.82253926003</v>
      </c>
      <c r="AP29" s="442">
        <f t="shared" si="26"/>
        <v>181739.17935821999</v>
      </c>
      <c r="AQ29" s="443">
        <f t="shared" si="27"/>
        <v>13.6</v>
      </c>
      <c r="AR29" s="492"/>
      <c r="AS29" s="492"/>
      <c r="AT29" s="494"/>
    </row>
    <row r="30" spans="1:46" s="464" customFormat="1" ht="20.100000000000001" customHeight="1" x14ac:dyDescent="0.3">
      <c r="A30" s="458"/>
      <c r="B30" s="612"/>
      <c r="C30" s="434"/>
      <c r="D30" s="444"/>
      <c r="E30" s="612"/>
      <c r="F30" s="434"/>
      <c r="G30" s="336"/>
      <c r="H30" s="612"/>
      <c r="I30" s="434"/>
      <c r="J30" s="444"/>
      <c r="K30" s="612"/>
      <c r="L30" s="434"/>
      <c r="M30" s="444"/>
      <c r="N30" s="612"/>
      <c r="O30" s="434"/>
      <c r="P30" s="444"/>
      <c r="Q30" s="194"/>
      <c r="R30" s="444"/>
      <c r="S30" s="434"/>
      <c r="T30" s="612"/>
      <c r="U30" s="434"/>
      <c r="V30" s="336"/>
      <c r="W30" s="612"/>
      <c r="X30" s="434"/>
      <c r="Y30" s="336"/>
      <c r="Z30" s="612"/>
      <c r="AA30" s="434"/>
      <c r="AB30" s="336"/>
      <c r="AC30" s="612"/>
      <c r="AD30" s="434"/>
      <c r="AE30" s="336"/>
      <c r="AF30" s="612"/>
      <c r="AG30" s="434"/>
      <c r="AH30" s="336"/>
      <c r="AI30" s="612"/>
      <c r="AJ30" s="434"/>
      <c r="AK30" s="336"/>
      <c r="AL30" s="612"/>
      <c r="AM30" s="434"/>
      <c r="AN30" s="336"/>
      <c r="AO30" s="436"/>
      <c r="AP30" s="436"/>
      <c r="AQ30" s="445"/>
      <c r="AR30" s="491"/>
      <c r="AS30" s="491"/>
    </row>
    <row r="31" spans="1:46" s="464" customFormat="1" ht="20.100000000000001" customHeight="1" x14ac:dyDescent="0.3">
      <c r="A31" s="456" t="s">
        <v>205</v>
      </c>
      <c r="B31" s="194"/>
      <c r="C31" s="444"/>
      <c r="D31" s="444"/>
      <c r="E31" s="194"/>
      <c r="F31" s="444"/>
      <c r="G31" s="336"/>
      <c r="H31" s="194"/>
      <c r="I31" s="444"/>
      <c r="J31" s="444"/>
      <c r="K31" s="194"/>
      <c r="L31" s="444"/>
      <c r="M31" s="444"/>
      <c r="N31" s="194"/>
      <c r="O31" s="444"/>
      <c r="P31" s="444"/>
      <c r="Q31" s="194"/>
      <c r="R31" s="444"/>
      <c r="S31" s="434"/>
      <c r="T31" s="194"/>
      <c r="U31" s="444"/>
      <c r="V31" s="336"/>
      <c r="W31" s="194"/>
      <c r="X31" s="444"/>
      <c r="Y31" s="336"/>
      <c r="Z31" s="194"/>
      <c r="AA31" s="444"/>
      <c r="AB31" s="336"/>
      <c r="AC31" s="194"/>
      <c r="AD31" s="444"/>
      <c r="AE31" s="336"/>
      <c r="AF31" s="194"/>
      <c r="AG31" s="444"/>
      <c r="AH31" s="336"/>
      <c r="AI31" s="194"/>
      <c r="AJ31" s="444"/>
      <c r="AK31" s="336"/>
      <c r="AL31" s="194"/>
      <c r="AM31" s="444"/>
      <c r="AN31" s="336"/>
      <c r="AO31" s="436"/>
      <c r="AP31" s="436"/>
      <c r="AQ31" s="445"/>
      <c r="AR31" s="491"/>
      <c r="AS31" s="491"/>
    </row>
    <row r="32" spans="1:46" s="464" customFormat="1" ht="20.100000000000001" customHeight="1" x14ac:dyDescent="0.3">
      <c r="A32" s="456" t="s">
        <v>206</v>
      </c>
      <c r="B32" s="194"/>
      <c r="C32" s="444"/>
      <c r="D32" s="336"/>
      <c r="E32" s="194"/>
      <c r="F32" s="444"/>
      <c r="G32" s="336"/>
      <c r="H32" s="194"/>
      <c r="I32" s="444"/>
      <c r="J32" s="336"/>
      <c r="K32" s="194"/>
      <c r="L32" s="444"/>
      <c r="M32" s="336"/>
      <c r="N32" s="194"/>
      <c r="O32" s="444"/>
      <c r="P32" s="336"/>
      <c r="Q32" s="194"/>
      <c r="R32" s="444"/>
      <c r="S32" s="434"/>
      <c r="T32" s="194"/>
      <c r="U32" s="444"/>
      <c r="V32" s="336"/>
      <c r="W32" s="194"/>
      <c r="X32" s="444"/>
      <c r="Y32" s="336"/>
      <c r="Z32" s="194"/>
      <c r="AA32" s="444"/>
      <c r="AB32" s="336"/>
      <c r="AC32" s="194"/>
      <c r="AD32" s="444"/>
      <c r="AE32" s="336"/>
      <c r="AF32" s="194"/>
      <c r="AG32" s="444"/>
      <c r="AH32" s="336"/>
      <c r="AI32" s="194"/>
      <c r="AJ32" s="444"/>
      <c r="AK32" s="336"/>
      <c r="AL32" s="194"/>
      <c r="AM32" s="444"/>
      <c r="AN32" s="336"/>
      <c r="AO32" s="436"/>
      <c r="AP32" s="436"/>
      <c r="AQ32" s="445"/>
      <c r="AR32" s="491"/>
      <c r="AS32" s="491"/>
    </row>
    <row r="33" spans="1:46" s="464" customFormat="1" ht="20.100000000000001" customHeight="1" x14ac:dyDescent="0.3">
      <c r="A33" s="458" t="s">
        <v>207</v>
      </c>
      <c r="B33" s="194"/>
      <c r="C33" s="444"/>
      <c r="D33" s="444"/>
      <c r="E33" s="194"/>
      <c r="F33" s="444"/>
      <c r="G33" s="336"/>
      <c r="H33" s="194">
        <v>22.242999999999999</v>
      </c>
      <c r="I33" s="444">
        <v>19.31040771</v>
      </c>
      <c r="J33" s="444">
        <f t="shared" ref="J33:J91" si="42">IF(H33=0, "    ---- ", IF(ABS(ROUND(100/H33*I33-100,1))&lt;999,ROUND(100/H33*I33-100,1),IF(ROUND(100/H33*I33-100,1)&gt;999,999,-999)))</f>
        <v>-13.2</v>
      </c>
      <c r="K33" s="194"/>
      <c r="L33" s="444"/>
      <c r="M33" s="444"/>
      <c r="N33" s="194"/>
      <c r="O33" s="444"/>
      <c r="P33" s="444"/>
      <c r="Q33" s="194"/>
      <c r="R33" s="444"/>
      <c r="S33" s="434"/>
      <c r="T33" s="194"/>
      <c r="U33" s="444"/>
      <c r="V33" s="336"/>
      <c r="W33" s="194"/>
      <c r="X33" s="444"/>
      <c r="Y33" s="336"/>
      <c r="Z33" s="194">
        <v>1.9699999999999998E-6</v>
      </c>
      <c r="AA33" s="444">
        <v>1.9699999999999998E-6</v>
      </c>
      <c r="AB33" s="336">
        <f t="shared" ref="AB33:AB91" si="43">IF(Z33=0, "    ---- ", IF(ABS(ROUND(100/Z33*AA33-100,1))&lt;999,ROUND(100/Z33*AA33-100,1),IF(ROUND(100/Z33*AA33-100,1)&gt;999,999,-999)))</f>
        <v>0</v>
      </c>
      <c r="AC33" s="194"/>
      <c r="AD33" s="444"/>
      <c r="AE33" s="336"/>
      <c r="AF33" s="194"/>
      <c r="AG33" s="444"/>
      <c r="AH33" s="336"/>
      <c r="AI33" s="194"/>
      <c r="AJ33" s="444"/>
      <c r="AK33" s="336"/>
      <c r="AL33" s="194"/>
      <c r="AM33" s="444"/>
      <c r="AN33" s="336"/>
      <c r="AO33" s="442">
        <f t="shared" ref="AO33:AO46" si="44">B33+H33+K33+N33+Q33+T33+W33+E33+Z33+AC33+AF33+AI33+AL33</f>
        <v>22.243001969999998</v>
      </c>
      <c r="AP33" s="442">
        <f t="shared" ref="AP33:AP46" si="45">C33+I33+L33+O33+R33+U33+X33+F33+AA33+AD33+AG33+AJ33+AM33</f>
        <v>19.310409679999999</v>
      </c>
      <c r="AQ33" s="445">
        <f t="shared" ref="AQ33:AQ91" si="46">IF(AO33=0, "    ---- ", IF(ABS(ROUND(100/AO33*AP33-100,1))&lt;999,ROUND(100/AO33*AP33-100,1),IF(ROUND(100/AO33*AP33-100,1)&gt;999,999,-999)))</f>
        <v>-13.2</v>
      </c>
      <c r="AR33" s="491"/>
      <c r="AS33" s="491"/>
      <c r="AT33" s="495"/>
    </row>
    <row r="34" spans="1:46" s="464" customFormat="1" ht="20.100000000000001" customHeight="1" x14ac:dyDescent="0.3">
      <c r="A34" s="458" t="s">
        <v>208</v>
      </c>
      <c r="B34" s="194"/>
      <c r="C34" s="444"/>
      <c r="D34" s="444"/>
      <c r="E34" s="194">
        <v>189.631</v>
      </c>
      <c r="F34" s="444"/>
      <c r="G34" s="336">
        <f>IF(E34=0, "    ---- ", IF(ABS(ROUND(100/E34*F34-100,1))&lt;999,ROUND(100/E34*F34-100,1),IF(ROUND(100/E34*F34-100,1)&gt;999,999,-999)))</f>
        <v>-100</v>
      </c>
      <c r="H34" s="194">
        <v>27622.489000000001</v>
      </c>
      <c r="I34" s="444">
        <v>29302.248</v>
      </c>
      <c r="J34" s="444">
        <f t="shared" si="42"/>
        <v>6.1</v>
      </c>
      <c r="K34" s="194"/>
      <c r="L34" s="444"/>
      <c r="M34" s="444"/>
      <c r="N34" s="194"/>
      <c r="O34" s="444"/>
      <c r="P34" s="444"/>
      <c r="Q34" s="194">
        <v>969.8</v>
      </c>
      <c r="R34" s="444">
        <v>1145</v>
      </c>
      <c r="S34" s="434">
        <f>IF(Q34=0, "    ---- ", IF(ABS(ROUND(100/Q34*R34-100,1))&lt;999,ROUND(100/Q34*R34-100,1),IF(ROUND(100/Q34*R34-100,1)&gt;999,999,-999)))</f>
        <v>18.100000000000001</v>
      </c>
      <c r="T34" s="194"/>
      <c r="U34" s="444"/>
      <c r="V34" s="336"/>
      <c r="W34" s="194">
        <v>74805.739974490003</v>
      </c>
      <c r="X34" s="444">
        <v>82505.728371550009</v>
      </c>
      <c r="Y34" s="336">
        <f>IF(W34=0, "    ---- ", IF(ABS(ROUND(100/W34*X34-100,1))&lt;999,ROUND(100/W34*X34-100,1),IF(ROUND(100/W34*X34-100,1)&gt;999,999,-999)))</f>
        <v>10.3</v>
      </c>
      <c r="Z34" s="194">
        <v>7547.9900551700002</v>
      </c>
      <c r="AA34" s="444">
        <v>7796.0871254100011</v>
      </c>
      <c r="AB34" s="336">
        <f t="shared" si="43"/>
        <v>3.3</v>
      </c>
      <c r="AC34" s="194">
        <f>9820+5950</f>
        <v>15770</v>
      </c>
      <c r="AD34" s="444">
        <f>13909+7452</f>
        <v>21361</v>
      </c>
      <c r="AE34" s="336">
        <f t="shared" ref="AE34:AE41" si="47">IF(AC34=0, "    ---- ", IF(ABS(ROUND(100/AC34*AD34-100,1))&lt;999,ROUND(100/AC34*AD34-100,1),IF(ROUND(100/AC34*AD34-100,1)&gt;999,999,-999)))</f>
        <v>35.5</v>
      </c>
      <c r="AF34" s="194"/>
      <c r="AG34" s="444"/>
      <c r="AH34" s="336"/>
      <c r="AI34" s="194">
        <v>4788.7860000000001</v>
      </c>
      <c r="AJ34" s="444">
        <v>5141.16</v>
      </c>
      <c r="AK34" s="336">
        <f t="shared" ref="AK34:AK91" si="48">IF(AI34=0, "    ---- ", IF(ABS(ROUND(100/AI34*AJ34-100,1))&lt;999,ROUND(100/AI34*AJ34-100,1),IF(ROUND(100/AI34*AJ34-100,1)&gt;999,999,-999)))</f>
        <v>7.4</v>
      </c>
      <c r="AL34" s="194">
        <v>29255</v>
      </c>
      <c r="AM34" s="444">
        <v>21024</v>
      </c>
      <c r="AN34" s="336">
        <f t="shared" ref="AN34:AN91" si="49">IF(AL34=0, "    ---- ", IF(ABS(ROUND(100/AL34*AM34-100,1))&lt;999,ROUND(100/AL34*AM34-100,1),IF(ROUND(100/AL34*AM34-100,1)&gt;999,999,-999)))</f>
        <v>-28.1</v>
      </c>
      <c r="AO34" s="442">
        <f t="shared" si="44"/>
        <v>160949.43602965999</v>
      </c>
      <c r="AP34" s="442">
        <f t="shared" si="45"/>
        <v>168275.22349696001</v>
      </c>
      <c r="AQ34" s="445">
        <f t="shared" si="46"/>
        <v>4.5999999999999996</v>
      </c>
      <c r="AR34" s="491"/>
      <c r="AS34" s="491"/>
      <c r="AT34" s="495"/>
    </row>
    <row r="35" spans="1:46" s="464" customFormat="1" ht="20.100000000000001" customHeight="1" x14ac:dyDescent="0.3">
      <c r="A35" s="458" t="s">
        <v>209</v>
      </c>
      <c r="B35" s="194"/>
      <c r="C35" s="444"/>
      <c r="D35" s="444"/>
      <c r="E35" s="194">
        <f>SUM(E36+E38)</f>
        <v>1451.2250000000001</v>
      </c>
      <c r="F35" s="444"/>
      <c r="G35" s="336">
        <f>IF(E35=0, "    ---- ", IF(ABS(ROUND(100/E35*F35-100,1))&lt;999,ROUND(100/E35*F35-100,1),IF(ROUND(100/E35*F35-100,1)&gt;999,999,-999)))</f>
        <v>-100</v>
      </c>
      <c r="H35" s="194">
        <f>SUM(H36+H38)</f>
        <v>101009.45999999999</v>
      </c>
      <c r="I35" s="444">
        <f>SUM(I36+I38)</f>
        <v>97468.290218110007</v>
      </c>
      <c r="J35" s="444">
        <f t="shared" si="42"/>
        <v>-3.5</v>
      </c>
      <c r="K35" s="194"/>
      <c r="L35" s="444">
        <f>SUM(L36+L38)</f>
        <v>402.62045264</v>
      </c>
      <c r="M35" s="336" t="str">
        <f>IF(K35=0, "    ---- ", IF(ABS(ROUND(100/K35*L35-100,1))&lt;999,ROUND(100/K35*L35-100,1),IF(ROUND(100/K35*L35-100,1)&gt;999,999,-999)))</f>
        <v xml:space="preserve">    ---- </v>
      </c>
      <c r="N35" s="194">
        <f>SUM(N36+N38)</f>
        <v>198.94399999999999</v>
      </c>
      <c r="O35" s="444">
        <f>SUM(O36+O38)</f>
        <v>240.51400000000001</v>
      </c>
      <c r="P35" s="441">
        <f t="shared" ref="P35:P36" si="50">IF(N35=0, "    ---- ", IF(ABS(ROUND(100/N35*O35-100,1))&lt;999,ROUND(100/N35*O35-100,1),IF(ROUND(100/N35*O35-100,1)&gt;999,999,-999)))</f>
        <v>20.9</v>
      </c>
      <c r="Q35" s="194">
        <f>SUM(Q36+Q38)</f>
        <v>5284.9</v>
      </c>
      <c r="R35" s="444">
        <f>SUM(R36+R38)</f>
        <v>5490</v>
      </c>
      <c r="S35" s="434">
        <f>IF(Q35=0, "    ---- ", IF(ABS(ROUND(100/Q35*R35-100,1))&lt;999,ROUND(100/Q35*R35-100,1),IF(ROUND(100/Q35*R35-100,1)&gt;999,999,-999)))</f>
        <v>3.9</v>
      </c>
      <c r="T35" s="194"/>
      <c r="U35" s="444"/>
      <c r="V35" s="336"/>
      <c r="W35" s="194">
        <v>252979.5383938</v>
      </c>
      <c r="X35" s="444">
        <v>250342.27880901998</v>
      </c>
      <c r="Y35" s="336">
        <f>IF(W35=0, "    ---- ", IF(ABS(ROUND(100/W35*X35-100,1))&lt;999,ROUND(100/W35*X35-100,1),IF(ROUND(100/W35*X35-100,1)&gt;999,999,-999)))</f>
        <v>-1</v>
      </c>
      <c r="Z35" s="194">
        <f>SUM(Z36+Z38)</f>
        <v>32010.23397746</v>
      </c>
      <c r="AA35" s="444">
        <f>SUM(AA36+AA38)</f>
        <v>33587.803333219897</v>
      </c>
      <c r="AB35" s="336">
        <f t="shared" si="43"/>
        <v>4.9000000000000004</v>
      </c>
      <c r="AC35" s="194">
        <f>SUM(AC36+AC38)</f>
        <v>20625</v>
      </c>
      <c r="AD35" s="444">
        <f>SUM(AD36+AD38)</f>
        <v>24084</v>
      </c>
      <c r="AE35" s="336">
        <f t="shared" si="47"/>
        <v>16.8</v>
      </c>
      <c r="AF35" s="194"/>
      <c r="AG35" s="444"/>
      <c r="AH35" s="336"/>
      <c r="AI35" s="194">
        <f>SUM(AI36+AI38)</f>
        <v>7764.7690000000002</v>
      </c>
      <c r="AJ35" s="444">
        <f>SUM(AJ36+AJ38)</f>
        <v>7640.9009999999998</v>
      </c>
      <c r="AK35" s="336">
        <f t="shared" si="48"/>
        <v>-1.6</v>
      </c>
      <c r="AL35" s="194">
        <f>SUM(AL36+AL38)</f>
        <v>135304</v>
      </c>
      <c r="AM35" s="444">
        <f>SUM(AM36+AM38)</f>
        <v>140905</v>
      </c>
      <c r="AN35" s="336">
        <f t="shared" si="49"/>
        <v>4.0999999999999996</v>
      </c>
      <c r="AO35" s="442">
        <f t="shared" si="44"/>
        <v>556628.07037125994</v>
      </c>
      <c r="AP35" s="442">
        <f t="shared" si="45"/>
        <v>560161.4078129899</v>
      </c>
      <c r="AQ35" s="445">
        <f t="shared" si="46"/>
        <v>0.6</v>
      </c>
      <c r="AR35" s="491"/>
      <c r="AS35" s="491"/>
      <c r="AT35" s="495"/>
    </row>
    <row r="36" spans="1:46" s="464" customFormat="1" ht="20.100000000000001" customHeight="1" x14ac:dyDescent="0.3">
      <c r="A36" s="458" t="s">
        <v>210</v>
      </c>
      <c r="B36" s="194"/>
      <c r="C36" s="444"/>
      <c r="D36" s="336"/>
      <c r="E36" s="194">
        <v>94.716999999999999</v>
      </c>
      <c r="F36" s="444"/>
      <c r="G36" s="336">
        <f>IF(E36=0, "    ---- ", IF(ABS(ROUND(100/E36*F36-100,1))&lt;999,ROUND(100/E36*F36-100,1),IF(ROUND(100/E36*F36-100,1)&gt;999,999,-999)))</f>
        <v>-100</v>
      </c>
      <c r="H36" s="194">
        <v>72838.452999999994</v>
      </c>
      <c r="I36" s="444">
        <v>69621.323034740009</v>
      </c>
      <c r="J36" s="336">
        <f t="shared" si="42"/>
        <v>-4.4000000000000004</v>
      </c>
      <c r="K36" s="194"/>
      <c r="L36" s="444"/>
      <c r="M36" s="336"/>
      <c r="N36" s="194">
        <v>198.94399999999999</v>
      </c>
      <c r="O36" s="444">
        <v>240.51400000000001</v>
      </c>
      <c r="P36" s="441">
        <f t="shared" si="50"/>
        <v>20.9</v>
      </c>
      <c r="Q36" s="194"/>
      <c r="R36" s="444"/>
      <c r="S36" s="434"/>
      <c r="T36" s="194"/>
      <c r="U36" s="444"/>
      <c r="V36" s="336"/>
      <c r="W36" s="194">
        <v>23802.649544220003</v>
      </c>
      <c r="X36" s="444">
        <v>20929.823240470003</v>
      </c>
      <c r="Y36" s="336">
        <f>IF(W36=0, "    ---- ", IF(ABS(ROUND(100/W36*X36-100,1))&lt;999,ROUND(100/W36*X36-100,1),IF(ROUND(100/W36*X36-100,1)&gt;999,999,-999)))</f>
        <v>-12.1</v>
      </c>
      <c r="Z36" s="194">
        <v>523.27204879999999</v>
      </c>
      <c r="AA36" s="444">
        <v>523.27463833000002</v>
      </c>
      <c r="AB36" s="336">
        <f t="shared" si="43"/>
        <v>0</v>
      </c>
      <c r="AC36" s="194"/>
      <c r="AD36" s="444"/>
      <c r="AE36" s="336"/>
      <c r="AF36" s="194"/>
      <c r="AG36" s="444"/>
      <c r="AH36" s="336"/>
      <c r="AI36" s="194">
        <v>578.62099999999998</v>
      </c>
      <c r="AJ36" s="444">
        <v>305.45299999999997</v>
      </c>
      <c r="AK36" s="336">
        <f t="shared" si="48"/>
        <v>-47.2</v>
      </c>
      <c r="AL36" s="194">
        <v>13394</v>
      </c>
      <c r="AM36" s="444">
        <v>10033</v>
      </c>
      <c r="AN36" s="336">
        <f t="shared" si="49"/>
        <v>-25.1</v>
      </c>
      <c r="AO36" s="442">
        <f t="shared" si="44"/>
        <v>111430.65659302002</v>
      </c>
      <c r="AP36" s="442">
        <f t="shared" si="45"/>
        <v>101653.38791354001</v>
      </c>
      <c r="AQ36" s="445">
        <f t="shared" si="46"/>
        <v>-8.8000000000000007</v>
      </c>
      <c r="AR36" s="491"/>
      <c r="AS36" s="491"/>
      <c r="AT36" s="495"/>
    </row>
    <row r="37" spans="1:46" s="464" customFormat="1" ht="20.100000000000001" customHeight="1" x14ac:dyDescent="0.3">
      <c r="A37" s="458" t="s">
        <v>193</v>
      </c>
      <c r="B37" s="194"/>
      <c r="C37" s="444"/>
      <c r="D37" s="444"/>
      <c r="E37" s="194"/>
      <c r="F37" s="444"/>
      <c r="G37" s="336"/>
      <c r="H37" s="194">
        <v>72838.452999999994</v>
      </c>
      <c r="I37" s="444">
        <v>69621.323034740009</v>
      </c>
      <c r="J37" s="444">
        <f t="shared" si="42"/>
        <v>-4.4000000000000004</v>
      </c>
      <c r="K37" s="194"/>
      <c r="L37" s="444"/>
      <c r="M37" s="444"/>
      <c r="N37" s="194"/>
      <c r="O37" s="444"/>
      <c r="P37" s="444"/>
      <c r="Q37" s="194"/>
      <c r="R37" s="444"/>
      <c r="S37" s="434"/>
      <c r="T37" s="194"/>
      <c r="U37" s="444"/>
      <c r="V37" s="336"/>
      <c r="W37" s="194">
        <v>23802.649544220003</v>
      </c>
      <c r="X37" s="444">
        <v>20929.823240470003</v>
      </c>
      <c r="Y37" s="336">
        <f>IF(W37=0, "    ---- ", IF(ABS(ROUND(100/W37*X37-100,1))&lt;999,ROUND(100/W37*X37-100,1),IF(ROUND(100/W37*X37-100,1)&gt;999,999,-999)))</f>
        <v>-12.1</v>
      </c>
      <c r="Z37" s="194">
        <v>523.27204879999999</v>
      </c>
      <c r="AA37" s="444">
        <v>523.27463833000002</v>
      </c>
      <c r="AB37" s="336">
        <f t="shared" si="43"/>
        <v>0</v>
      </c>
      <c r="AC37" s="194"/>
      <c r="AD37" s="444"/>
      <c r="AE37" s="336"/>
      <c r="AF37" s="194"/>
      <c r="AG37" s="444"/>
      <c r="AH37" s="336"/>
      <c r="AI37" s="194">
        <v>34.499999999999318</v>
      </c>
      <c r="AJ37" s="444">
        <v>-8.4750354290008545E-13</v>
      </c>
      <c r="AK37" s="336">
        <f t="shared" si="48"/>
        <v>-100</v>
      </c>
      <c r="AL37" s="194">
        <v>13394</v>
      </c>
      <c r="AM37" s="444">
        <v>10033</v>
      </c>
      <c r="AN37" s="336">
        <f t="shared" si="49"/>
        <v>-25.1</v>
      </c>
      <c r="AO37" s="442">
        <f t="shared" si="44"/>
        <v>110592.87459301999</v>
      </c>
      <c r="AP37" s="442">
        <f t="shared" si="45"/>
        <v>101107.42091354002</v>
      </c>
      <c r="AQ37" s="445">
        <f t="shared" si="46"/>
        <v>-8.6</v>
      </c>
      <c r="AR37" s="491"/>
      <c r="AS37" s="491"/>
      <c r="AT37" s="495"/>
    </row>
    <row r="38" spans="1:46" s="464" customFormat="1" ht="20.100000000000001" customHeight="1" x14ac:dyDescent="0.3">
      <c r="A38" s="458" t="s">
        <v>211</v>
      </c>
      <c r="B38" s="194"/>
      <c r="C38" s="444"/>
      <c r="D38" s="444"/>
      <c r="E38" s="194">
        <v>1356.508</v>
      </c>
      <c r="F38" s="444"/>
      <c r="G38" s="336">
        <f>IF(E38=0, "    ---- ", IF(ABS(ROUND(100/E38*F38-100,1))&lt;999,ROUND(100/E38*F38-100,1),IF(ROUND(100/E38*F38-100,1)&gt;999,999,-999)))</f>
        <v>-100</v>
      </c>
      <c r="H38" s="194">
        <v>28171.007000000001</v>
      </c>
      <c r="I38" s="444">
        <v>27846.967183369998</v>
      </c>
      <c r="J38" s="444">
        <f t="shared" si="42"/>
        <v>-1.2</v>
      </c>
      <c r="K38" s="194"/>
      <c r="L38" s="444">
        <v>402.62045264</v>
      </c>
      <c r="M38" s="336" t="str">
        <f>IF(K38=0, "    ---- ", IF(ABS(ROUND(100/K38*L38-100,1))&lt;999,ROUND(100/K38*L38-100,1),IF(ROUND(100/K38*L38-100,1)&gt;999,999,-999)))</f>
        <v xml:space="preserve">    ---- </v>
      </c>
      <c r="N38" s="194"/>
      <c r="O38" s="444"/>
      <c r="P38" s="444"/>
      <c r="Q38" s="194">
        <v>5284.9</v>
      </c>
      <c r="R38" s="444">
        <v>5490</v>
      </c>
      <c r="S38" s="434">
        <f t="shared" ref="S38:S56" si="51">IF(Q38=0, "    ---- ", IF(ABS(ROUND(100/Q38*R38-100,1))&lt;999,ROUND(100/Q38*R38-100,1),IF(ROUND(100/Q38*R38-100,1)&gt;999,999,-999)))</f>
        <v>3.9</v>
      </c>
      <c r="T38" s="194"/>
      <c r="U38" s="444"/>
      <c r="V38" s="336"/>
      <c r="W38" s="194">
        <v>229176.88884957999</v>
      </c>
      <c r="X38" s="444">
        <v>229412.45556854998</v>
      </c>
      <c r="Y38" s="336">
        <f t="shared" ref="Y38:Y45" si="52">IF(W38=0, "    ---- ", IF(ABS(ROUND(100/W38*X38-100,1))&lt;999,ROUND(100/W38*X38-100,1),IF(ROUND(100/W38*X38-100,1)&gt;999,999,-999)))</f>
        <v>0.1</v>
      </c>
      <c r="Z38" s="194">
        <v>31486.961928659999</v>
      </c>
      <c r="AA38" s="444">
        <v>33064.528694889901</v>
      </c>
      <c r="AB38" s="336">
        <f t="shared" si="43"/>
        <v>5</v>
      </c>
      <c r="AC38" s="194">
        <v>20625</v>
      </c>
      <c r="AD38" s="444">
        <v>24084</v>
      </c>
      <c r="AE38" s="336">
        <f t="shared" si="47"/>
        <v>16.8</v>
      </c>
      <c r="AF38" s="194"/>
      <c r="AG38" s="444"/>
      <c r="AH38" s="336"/>
      <c r="AI38" s="194">
        <v>7186.1480000000001</v>
      </c>
      <c r="AJ38" s="444">
        <v>7335.4480000000003</v>
      </c>
      <c r="AK38" s="336">
        <f t="shared" si="48"/>
        <v>2.1</v>
      </c>
      <c r="AL38" s="194">
        <f>91312+23378+7220</f>
        <v>121910</v>
      </c>
      <c r="AM38" s="444">
        <f>105078+22402+3392</f>
        <v>130872</v>
      </c>
      <c r="AN38" s="336">
        <f t="shared" si="49"/>
        <v>7.4</v>
      </c>
      <c r="AO38" s="442">
        <f t="shared" si="44"/>
        <v>445197.41377823992</v>
      </c>
      <c r="AP38" s="442">
        <f t="shared" si="45"/>
        <v>458508.01989944984</v>
      </c>
      <c r="AQ38" s="445">
        <f t="shared" si="46"/>
        <v>3</v>
      </c>
      <c r="AR38" s="491"/>
      <c r="AS38" s="491"/>
      <c r="AT38" s="495"/>
    </row>
    <row r="39" spans="1:46" s="464" customFormat="1" ht="20.100000000000001" customHeight="1" x14ac:dyDescent="0.3">
      <c r="A39" s="458" t="s">
        <v>212</v>
      </c>
      <c r="B39" s="194">
        <f>SUM(B40:B44)</f>
        <v>1259.5509999999999</v>
      </c>
      <c r="C39" s="444">
        <f>SUM(C40:C44)</f>
        <v>1358.36</v>
      </c>
      <c r="D39" s="444">
        <f>IF(B39=0, "    ---- ", IF(ABS(ROUND(100/B39*C39-100,1))&lt;999,ROUND(100/B39*C39-100,1),IF(ROUND(100/B39*C39-100,1)&gt;999,999,-999)))</f>
        <v>7.8</v>
      </c>
      <c r="E39" s="194">
        <f>SUM(E40:E44)</f>
        <v>153.26600000000002</v>
      </c>
      <c r="F39" s="444"/>
      <c r="G39" s="336">
        <f>IF(E39=0, "    ---- ", IF(ABS(ROUND(100/E39*F39-100,1))&lt;999,ROUND(100/E39*F39-100,1),IF(ROUND(100/E39*F39-100,1)&gt;999,999,-999)))</f>
        <v>-100</v>
      </c>
      <c r="H39" s="194">
        <f>SUM(H40:H44)</f>
        <v>71847.019</v>
      </c>
      <c r="I39" s="444">
        <f>SUM(I40:I44)</f>
        <v>73318.901702349991</v>
      </c>
      <c r="J39" s="444">
        <f t="shared" si="42"/>
        <v>2</v>
      </c>
      <c r="K39" s="194">
        <v>6249.9387432399999</v>
      </c>
      <c r="L39" s="444">
        <f>SUM(L40:L44)</f>
        <v>6882.6190759100009</v>
      </c>
      <c r="M39" s="444">
        <f t="shared" ref="M39" si="53">IF(K39=0, "    ---- ", IF(ABS(ROUND(100/K39*L39-100,1))&lt;999,ROUND(100/K39*L39-100,1),IF(ROUND(100/K39*L39-100,1)&gt;999,999,-999)))</f>
        <v>10.1</v>
      </c>
      <c r="N39" s="194">
        <f>SUM(N40:N44)</f>
        <v>970.67899999999997</v>
      </c>
      <c r="O39" s="444">
        <f>SUM(O40:O44)</f>
        <v>920.25300000000004</v>
      </c>
      <c r="P39" s="444">
        <f t="shared" ref="P39:P46" si="54">IF(N39=0, "    ---- ", IF(ABS(ROUND(100/N39*O39-100,1))&lt;999,ROUND(100/N39*O39-100,1),IF(ROUND(100/N39*O39-100,1)&gt;999,999,-999)))</f>
        <v>-5.2</v>
      </c>
      <c r="Q39" s="194">
        <f>SUM(Q40:Q44)</f>
        <v>711.1</v>
      </c>
      <c r="R39" s="444">
        <f>SUM(R40:R44)</f>
        <v>891</v>
      </c>
      <c r="S39" s="434">
        <f t="shared" si="51"/>
        <v>25.3</v>
      </c>
      <c r="T39" s="194"/>
      <c r="U39" s="444"/>
      <c r="V39" s="336"/>
      <c r="W39" s="194">
        <v>247104.99250036999</v>
      </c>
      <c r="X39" s="444">
        <v>293432.12656512996</v>
      </c>
      <c r="Y39" s="336">
        <f t="shared" si="52"/>
        <v>18.7</v>
      </c>
      <c r="Z39" s="194">
        <f>SUM(Z40:Z44)</f>
        <v>12677.884736669999</v>
      </c>
      <c r="AA39" s="444">
        <f>SUM(AA40:AA44)</f>
        <v>13916.708105780001</v>
      </c>
      <c r="AB39" s="336">
        <f t="shared" si="43"/>
        <v>9.8000000000000007</v>
      </c>
      <c r="AC39" s="194">
        <f>SUM(AC40:AC44)</f>
        <v>57979</v>
      </c>
      <c r="AD39" s="444">
        <f>SUM(AD40:AD44)</f>
        <v>62214</v>
      </c>
      <c r="AE39" s="336">
        <f t="shared" si="47"/>
        <v>7.3</v>
      </c>
      <c r="AF39" s="194"/>
      <c r="AG39" s="444"/>
      <c r="AH39" s="336"/>
      <c r="AI39" s="194">
        <f>SUM(AI40:AI44)</f>
        <v>9490.0530000000017</v>
      </c>
      <c r="AJ39" s="444">
        <f>SUM(AJ40:AJ44)</f>
        <v>10403.308000000001</v>
      </c>
      <c r="AK39" s="336">
        <f t="shared" si="48"/>
        <v>9.6</v>
      </c>
      <c r="AL39" s="194">
        <f>SUM(AL40:AL44)</f>
        <v>39471</v>
      </c>
      <c r="AM39" s="444">
        <f>SUM(AM40:AM44)</f>
        <v>44493</v>
      </c>
      <c r="AN39" s="336">
        <f t="shared" si="49"/>
        <v>12.7</v>
      </c>
      <c r="AO39" s="442">
        <f t="shared" si="44"/>
        <v>447914.48398028006</v>
      </c>
      <c r="AP39" s="442">
        <f t="shared" si="45"/>
        <v>507830.27644916996</v>
      </c>
      <c r="AQ39" s="445">
        <f t="shared" si="46"/>
        <v>13.4</v>
      </c>
      <c r="AR39" s="491"/>
      <c r="AS39" s="491"/>
      <c r="AT39" s="495"/>
    </row>
    <row r="40" spans="1:46" s="464" customFormat="1" ht="20.100000000000001" customHeight="1" x14ac:dyDescent="0.3">
      <c r="A40" s="458" t="s">
        <v>213</v>
      </c>
      <c r="B40" s="194">
        <v>36.634</v>
      </c>
      <c r="C40" s="444">
        <v>45.462000000000003</v>
      </c>
      <c r="D40" s="336">
        <f>IF(B40=0, "    ---- ", IF(ABS(ROUND(100/B40*C40-100,1))&lt;999,ROUND(100/B40*C40-100,1),IF(ROUND(100/B40*C40-100,1)&gt;999,999,-999)))</f>
        <v>24.1</v>
      </c>
      <c r="E40" s="194">
        <v>89.54</v>
      </c>
      <c r="F40" s="444"/>
      <c r="G40" s="336">
        <f>IF(E40=0, "    ---- ", IF(ABS(ROUND(100/E40*F40-100,1))&lt;999,ROUND(100/E40*F40-100,1),IF(ROUND(100/E40*F40-100,1)&gt;999,999,-999)))</f>
        <v>-100</v>
      </c>
      <c r="H40" s="194">
        <v>6124.2879999999996</v>
      </c>
      <c r="I40" s="444">
        <v>11600.124878750001</v>
      </c>
      <c r="J40" s="336">
        <f t="shared" si="42"/>
        <v>89.4</v>
      </c>
      <c r="K40" s="194"/>
      <c r="L40" s="444"/>
      <c r="M40" s="336"/>
      <c r="N40" s="194">
        <v>111.274</v>
      </c>
      <c r="O40" s="444">
        <v>133.37200000000001</v>
      </c>
      <c r="P40" s="336">
        <f t="shared" si="54"/>
        <v>19.899999999999999</v>
      </c>
      <c r="Q40" s="194"/>
      <c r="R40" s="444">
        <v>8</v>
      </c>
      <c r="S40" s="434" t="str">
        <f t="shared" si="51"/>
        <v xml:space="preserve">    ---- </v>
      </c>
      <c r="T40" s="194"/>
      <c r="U40" s="444"/>
      <c r="V40" s="336"/>
      <c r="W40" s="194">
        <v>116468.80258985001</v>
      </c>
      <c r="X40" s="444">
        <v>160576.80735439001</v>
      </c>
      <c r="Y40" s="336">
        <f t="shared" si="52"/>
        <v>37.9</v>
      </c>
      <c r="Z40" s="194">
        <v>5186.3295414799995</v>
      </c>
      <c r="AA40" s="444">
        <v>6562.6317855500001</v>
      </c>
      <c r="AB40" s="336">
        <f t="shared" si="43"/>
        <v>26.5</v>
      </c>
      <c r="AC40" s="194">
        <v>35718</v>
      </c>
      <c r="AD40" s="444">
        <v>40497</v>
      </c>
      <c r="AE40" s="336">
        <f t="shared" si="47"/>
        <v>13.4</v>
      </c>
      <c r="AF40" s="194"/>
      <c r="AG40" s="444"/>
      <c r="AH40" s="336"/>
      <c r="AI40" s="194">
        <v>3076.337</v>
      </c>
      <c r="AJ40" s="444">
        <v>3715.7249999999999</v>
      </c>
      <c r="AK40" s="336">
        <f t="shared" si="48"/>
        <v>20.8</v>
      </c>
      <c r="AL40" s="194">
        <v>5262</v>
      </c>
      <c r="AM40" s="444">
        <v>16810</v>
      </c>
      <c r="AN40" s="336">
        <f t="shared" si="49"/>
        <v>219.5</v>
      </c>
      <c r="AO40" s="442">
        <f t="shared" si="44"/>
        <v>172073.20513133</v>
      </c>
      <c r="AP40" s="442">
        <f t="shared" si="45"/>
        <v>239949.12301869004</v>
      </c>
      <c r="AQ40" s="445">
        <f t="shared" si="46"/>
        <v>39.4</v>
      </c>
      <c r="AR40" s="491"/>
      <c r="AS40" s="491"/>
      <c r="AT40" s="495"/>
    </row>
    <row r="41" spans="1:46" s="464" customFormat="1" ht="20.100000000000001" customHeight="1" x14ac:dyDescent="0.3">
      <c r="A41" s="458" t="s">
        <v>214</v>
      </c>
      <c r="B41" s="194">
        <v>1154.93</v>
      </c>
      <c r="C41" s="444">
        <v>1290.318</v>
      </c>
      <c r="D41" s="444">
        <f>IF(B41=0, "    ---- ", IF(ABS(ROUND(100/B41*C41-100,1))&lt;999,ROUND(100/B41*C41-100,1),IF(ROUND(100/B41*C41-100,1)&gt;999,999,-999)))</f>
        <v>11.7</v>
      </c>
      <c r="E41" s="194"/>
      <c r="F41" s="444"/>
      <c r="G41" s="336"/>
      <c r="H41" s="194">
        <v>63420.766000000003</v>
      </c>
      <c r="I41" s="444">
        <v>60193.175287239996</v>
      </c>
      <c r="J41" s="444">
        <f t="shared" si="42"/>
        <v>-5.0999999999999996</v>
      </c>
      <c r="K41" s="194">
        <v>6005.4457192399996</v>
      </c>
      <c r="L41" s="444">
        <v>6656.4172912800004</v>
      </c>
      <c r="M41" s="444">
        <f>IF(K41=0, "    ---- ", IF(ABS(ROUND(100/K41*L41-100,1))&lt;999,ROUND(100/K41*L41-100,1),IF(ROUND(100/K41*L41-100,1)&gt;999,999,-999)))</f>
        <v>10.8</v>
      </c>
      <c r="N41" s="194">
        <v>742.03300000000002</v>
      </c>
      <c r="O41" s="444">
        <v>566.39700000000005</v>
      </c>
      <c r="P41" s="444">
        <f>IF(N41=0, "    ---- ", IF(ABS(ROUND(100/N41*O41-100,1))&lt;999,ROUND(100/N41*O41-100,1),IF(ROUND(100/N41*O41-100,1)&gt;999,999,-999)))</f>
        <v>-23.7</v>
      </c>
      <c r="Q41" s="194">
        <v>595.9</v>
      </c>
      <c r="R41" s="444">
        <v>860</v>
      </c>
      <c r="S41" s="434">
        <f t="shared" si="51"/>
        <v>44.3</v>
      </c>
      <c r="T41" s="194"/>
      <c r="U41" s="444"/>
      <c r="V41" s="336"/>
      <c r="W41" s="194">
        <v>112083.08928238999</v>
      </c>
      <c r="X41" s="444">
        <v>114108.86984314</v>
      </c>
      <c r="Y41" s="336">
        <f t="shared" si="52"/>
        <v>1.8</v>
      </c>
      <c r="Z41" s="194">
        <v>7383.9275416800001</v>
      </c>
      <c r="AA41" s="444">
        <v>7163.6901250200008</v>
      </c>
      <c r="AB41" s="336">
        <f t="shared" si="43"/>
        <v>-3</v>
      </c>
      <c r="AC41" s="194">
        <v>19715</v>
      </c>
      <c r="AD41" s="444">
        <v>19668</v>
      </c>
      <c r="AE41" s="336">
        <f t="shared" si="47"/>
        <v>-0.2</v>
      </c>
      <c r="AF41" s="194"/>
      <c r="AG41" s="444"/>
      <c r="AH41" s="336"/>
      <c r="AI41" s="194">
        <v>6003.2030000000004</v>
      </c>
      <c r="AJ41" s="444">
        <v>6414.777</v>
      </c>
      <c r="AK41" s="336">
        <f t="shared" si="48"/>
        <v>6.9</v>
      </c>
      <c r="AL41" s="194">
        <v>28385</v>
      </c>
      <c r="AM41" s="444">
        <v>25552</v>
      </c>
      <c r="AN41" s="336">
        <f t="shared" si="49"/>
        <v>-10</v>
      </c>
      <c r="AO41" s="442">
        <f t="shared" si="44"/>
        <v>245489.29454330998</v>
      </c>
      <c r="AP41" s="442">
        <f t="shared" si="45"/>
        <v>242473.64454667998</v>
      </c>
      <c r="AQ41" s="445">
        <f t="shared" si="46"/>
        <v>-1.2</v>
      </c>
      <c r="AR41" s="491"/>
      <c r="AS41" s="491"/>
      <c r="AT41" s="495"/>
    </row>
    <row r="42" spans="1:46" s="464" customFormat="1" ht="20.100000000000001" customHeight="1" x14ac:dyDescent="0.3">
      <c r="A42" s="458" t="s">
        <v>215</v>
      </c>
      <c r="B42" s="194"/>
      <c r="C42" s="444"/>
      <c r="D42" s="444"/>
      <c r="E42" s="194">
        <v>63.725999999999999</v>
      </c>
      <c r="F42" s="444"/>
      <c r="G42" s="336">
        <f>IF(E42=0, "    ---- ", IF(ABS(ROUND(100/E42*F42-100,1))&lt;999,ROUND(100/E42*F42-100,1),IF(ROUND(100/E42*F42-100,1)&gt;999,999,-999)))</f>
        <v>-100</v>
      </c>
      <c r="H42" s="194">
        <v>1134.17</v>
      </c>
      <c r="I42" s="444">
        <v>525.692947</v>
      </c>
      <c r="J42" s="444">
        <f t="shared" si="42"/>
        <v>-53.6</v>
      </c>
      <c r="K42" s="194">
        <v>20.234618819999991</v>
      </c>
      <c r="L42" s="444">
        <v>105.05672758999998</v>
      </c>
      <c r="M42" s="444">
        <f>IF(K42=0, "    ---- ", IF(ABS(ROUND(100/K42*L42-100,1))&lt;999,ROUND(100/K42*L42-100,1),IF(ROUND(100/K42*L42-100,1)&gt;999,999,-999)))</f>
        <v>419.2</v>
      </c>
      <c r="N42" s="194"/>
      <c r="O42" s="444"/>
      <c r="P42" s="444"/>
      <c r="Q42" s="194"/>
      <c r="R42" s="444"/>
      <c r="S42" s="434"/>
      <c r="T42" s="194"/>
      <c r="U42" s="444"/>
      <c r="V42" s="336"/>
      <c r="W42" s="194">
        <v>10202.808916559999</v>
      </c>
      <c r="X42" s="444">
        <v>12980.211771229999</v>
      </c>
      <c r="Y42" s="336">
        <f t="shared" si="52"/>
        <v>27.2</v>
      </c>
      <c r="Z42" s="194">
        <v>0</v>
      </c>
      <c r="AA42" s="444">
        <v>0</v>
      </c>
      <c r="AB42" s="336" t="str">
        <f t="shared" si="43"/>
        <v xml:space="preserve">    ---- </v>
      </c>
      <c r="AC42" s="194"/>
      <c r="AD42" s="444"/>
      <c r="AE42" s="336"/>
      <c r="AF42" s="194"/>
      <c r="AG42" s="444"/>
      <c r="AH42" s="336"/>
      <c r="AI42" s="194"/>
      <c r="AJ42" s="444"/>
      <c r="AK42" s="336"/>
      <c r="AL42" s="194"/>
      <c r="AM42" s="444">
        <v>-1</v>
      </c>
      <c r="AN42" s="336" t="str">
        <f t="shared" si="49"/>
        <v xml:space="preserve">    ---- </v>
      </c>
      <c r="AO42" s="442">
        <f t="shared" si="44"/>
        <v>11420.939535380001</v>
      </c>
      <c r="AP42" s="442">
        <f t="shared" si="45"/>
        <v>13609.961445819999</v>
      </c>
      <c r="AQ42" s="445">
        <f t="shared" si="46"/>
        <v>19.2</v>
      </c>
      <c r="AR42" s="491"/>
      <c r="AS42" s="491"/>
      <c r="AT42" s="495"/>
    </row>
    <row r="43" spans="1:46" s="464" customFormat="1" ht="20.100000000000001" customHeight="1" x14ac:dyDescent="0.3">
      <c r="A43" s="458" t="s">
        <v>216</v>
      </c>
      <c r="B43" s="194">
        <v>0.79300000000000004</v>
      </c>
      <c r="C43" s="444"/>
      <c r="D43" s="444">
        <f>IF(B43=0, "    ---- ", IF(ABS(ROUND(100/B43*C43-100,1))&lt;999,ROUND(100/B43*C43-100,1),IF(ROUND(100/B43*C43-100,1)&gt;999,999,-999)))</f>
        <v>-100</v>
      </c>
      <c r="E43" s="194"/>
      <c r="F43" s="444"/>
      <c r="G43" s="336"/>
      <c r="H43" s="194">
        <v>377.44400000000002</v>
      </c>
      <c r="I43" s="444">
        <v>84.738546650000004</v>
      </c>
      <c r="J43" s="444">
        <f t="shared" si="42"/>
        <v>-77.5</v>
      </c>
      <c r="K43" s="194">
        <v>52.596458499999997</v>
      </c>
      <c r="L43" s="444"/>
      <c r="M43" s="444"/>
      <c r="N43" s="194"/>
      <c r="O43" s="444"/>
      <c r="P43" s="444"/>
      <c r="Q43" s="194"/>
      <c r="R43" s="444"/>
      <c r="S43" s="434"/>
      <c r="T43" s="194"/>
      <c r="U43" s="444"/>
      <c r="V43" s="336"/>
      <c r="W43" s="194">
        <v>4761.1135534899995</v>
      </c>
      <c r="X43" s="444">
        <v>310.01896543999999</v>
      </c>
      <c r="Y43" s="336">
        <f t="shared" si="52"/>
        <v>-93.5</v>
      </c>
      <c r="Z43" s="194">
        <v>6.0875059999999995E-2</v>
      </c>
      <c r="AA43" s="444">
        <v>0.93320679000000006</v>
      </c>
      <c r="AB43" s="336">
        <f t="shared" si="43"/>
        <v>999</v>
      </c>
      <c r="AC43" s="194">
        <v>1042</v>
      </c>
      <c r="AD43" s="444">
        <v>187</v>
      </c>
      <c r="AE43" s="336">
        <f>IF(AC43=0, "    ---- ", IF(ABS(ROUND(100/AC43*AD43-100,1))&lt;999,ROUND(100/AC43*AD43-100,1),IF(ROUND(100/AC43*AD43-100,1)&gt;999,999,-999)))</f>
        <v>-82.1</v>
      </c>
      <c r="AF43" s="194"/>
      <c r="AG43" s="444"/>
      <c r="AH43" s="336"/>
      <c r="AI43" s="194">
        <v>82.885000000000005</v>
      </c>
      <c r="AJ43" s="444">
        <v>88.918000000000006</v>
      </c>
      <c r="AK43" s="336">
        <f t="shared" si="48"/>
        <v>7.3</v>
      </c>
      <c r="AL43" s="194">
        <v>5824</v>
      </c>
      <c r="AM43" s="444">
        <v>2132</v>
      </c>
      <c r="AN43" s="336">
        <f t="shared" si="49"/>
        <v>-63.4</v>
      </c>
      <c r="AO43" s="442">
        <f t="shared" si="44"/>
        <v>12140.89288705</v>
      </c>
      <c r="AP43" s="442">
        <f t="shared" si="45"/>
        <v>2803.6087188800002</v>
      </c>
      <c r="AQ43" s="445">
        <f t="shared" si="46"/>
        <v>-76.900000000000006</v>
      </c>
      <c r="AR43" s="491"/>
      <c r="AS43" s="491"/>
      <c r="AT43" s="495"/>
    </row>
    <row r="44" spans="1:46" s="464" customFormat="1" ht="20.100000000000001" customHeight="1" x14ac:dyDescent="0.3">
      <c r="A44" s="458" t="s">
        <v>217</v>
      </c>
      <c r="B44" s="194">
        <v>67.194000000000003</v>
      </c>
      <c r="C44" s="444">
        <v>22.58</v>
      </c>
      <c r="D44" s="444">
        <f>IF(B44=0, "    ---- ", IF(ABS(ROUND(100/B44*C44-100,1))&lt;999,ROUND(100/B44*C44-100,1),IF(ROUND(100/B44*C44-100,1)&gt;999,999,-999)))</f>
        <v>-66.400000000000006</v>
      </c>
      <c r="E44" s="194"/>
      <c r="F44" s="444"/>
      <c r="G44" s="336"/>
      <c r="H44" s="194">
        <v>790.351</v>
      </c>
      <c r="I44" s="444">
        <v>915.17004271000019</v>
      </c>
      <c r="J44" s="444">
        <f t="shared" si="42"/>
        <v>15.8</v>
      </c>
      <c r="K44" s="194">
        <v>171.66194668</v>
      </c>
      <c r="L44" s="444">
        <v>121.14505704000001</v>
      </c>
      <c r="M44" s="444">
        <f t="shared" ref="M44:M46" si="55">IF(K44=0, "    ---- ", IF(ABS(ROUND(100/K44*L44-100,1))&lt;999,ROUND(100/K44*L44-100,1),IF(ROUND(100/K44*L44-100,1)&gt;999,999,-999)))</f>
        <v>-29.4</v>
      </c>
      <c r="N44" s="194">
        <v>117.372</v>
      </c>
      <c r="O44" s="444">
        <v>220.48400000000001</v>
      </c>
      <c r="P44" s="444">
        <f t="shared" si="54"/>
        <v>87.9</v>
      </c>
      <c r="Q44" s="194">
        <v>115.2</v>
      </c>
      <c r="R44" s="444">
        <v>23</v>
      </c>
      <c r="S44" s="434">
        <f t="shared" si="51"/>
        <v>-80</v>
      </c>
      <c r="T44" s="194"/>
      <c r="U44" s="444"/>
      <c r="V44" s="336"/>
      <c r="W44" s="194">
        <v>3589.1781580799998</v>
      </c>
      <c r="X44" s="444">
        <v>5456.2186309300005</v>
      </c>
      <c r="Y44" s="336">
        <f t="shared" si="52"/>
        <v>52</v>
      </c>
      <c r="Z44" s="194">
        <v>107.56677845</v>
      </c>
      <c r="AA44" s="444">
        <v>189.45298842</v>
      </c>
      <c r="AB44" s="336">
        <f t="shared" si="43"/>
        <v>76.099999999999994</v>
      </c>
      <c r="AC44" s="194">
        <v>1504</v>
      </c>
      <c r="AD44" s="444">
        <f>1861+1</f>
        <v>1862</v>
      </c>
      <c r="AE44" s="336">
        <f>IF(AC44=0, "    ---- ", IF(ABS(ROUND(100/AC44*AD44-100,1))&lt;999,ROUND(100/AC44*AD44-100,1),IF(ROUND(100/AC44*AD44-100,1)&gt;999,999,-999)))</f>
        <v>23.8</v>
      </c>
      <c r="AF44" s="194"/>
      <c r="AG44" s="444"/>
      <c r="AH44" s="336"/>
      <c r="AI44" s="194">
        <v>327.62799999999999</v>
      </c>
      <c r="AJ44" s="444">
        <v>183.88800000000001</v>
      </c>
      <c r="AK44" s="336">
        <f t="shared" si="48"/>
        <v>-43.9</v>
      </c>
      <c r="AL44" s="194"/>
      <c r="AM44" s="444"/>
      <c r="AN44" s="336"/>
      <c r="AO44" s="442">
        <f t="shared" si="44"/>
        <v>6790.1518832100001</v>
      </c>
      <c r="AP44" s="442">
        <f t="shared" si="45"/>
        <v>8993.9387191000005</v>
      </c>
      <c r="AQ44" s="445">
        <f t="shared" si="46"/>
        <v>32.5</v>
      </c>
      <c r="AR44" s="491"/>
      <c r="AS44" s="491"/>
      <c r="AT44" s="495"/>
    </row>
    <row r="45" spans="1:46" s="464" customFormat="1" ht="20.100000000000001" customHeight="1" x14ac:dyDescent="0.3">
      <c r="A45" s="459" t="s">
        <v>218</v>
      </c>
      <c r="B45" s="194">
        <f>SUM(B33+B34+B35+B39)</f>
        <v>1259.5509999999999</v>
      </c>
      <c r="C45" s="444">
        <f>SUM(C33+C34+C35+C39)</f>
        <v>1358.36</v>
      </c>
      <c r="D45" s="336">
        <f>IF(B45=0, "    ---- ", IF(ABS(ROUND(100/B45*C45-100,1))&lt;999,ROUND(100/B45*C45-100,1),IF(ROUND(100/B45*C45-100,1)&gt;999,999,-999)))</f>
        <v>7.8</v>
      </c>
      <c r="E45" s="194">
        <f>SUM(E33+E34+E35+E39)</f>
        <v>1794.1220000000003</v>
      </c>
      <c r="F45" s="444"/>
      <c r="G45" s="336">
        <f>IF(E45=0, "    ---- ", IF(ABS(ROUND(100/E45*F45-100,1))&lt;999,ROUND(100/E45*F45-100,1),IF(ROUND(100/E45*F45-100,1)&gt;999,999,-999)))</f>
        <v>-100</v>
      </c>
      <c r="H45" s="194">
        <f>SUM(H33+H34+H35+H39)</f>
        <v>200501.21100000001</v>
      </c>
      <c r="I45" s="444">
        <f>SUM(I33+I34+I35+I39)</f>
        <v>200108.75032817002</v>
      </c>
      <c r="J45" s="336">
        <f t="shared" si="42"/>
        <v>-0.2</v>
      </c>
      <c r="K45" s="194">
        <f>SUM(K33+K34+K35+K39)</f>
        <v>6249.9387432399999</v>
      </c>
      <c r="L45" s="444">
        <f>SUM(L33+L34+L35+L39)</f>
        <v>7285.2395285500006</v>
      </c>
      <c r="M45" s="336">
        <f t="shared" si="55"/>
        <v>16.600000000000001</v>
      </c>
      <c r="N45" s="194">
        <f>SUM(N33+N34+N35+N39)</f>
        <v>1169.623</v>
      </c>
      <c r="O45" s="444">
        <f>SUM(O33+O34+O35+O39)</f>
        <v>1160.7670000000001</v>
      </c>
      <c r="P45" s="336">
        <f t="shared" si="54"/>
        <v>-0.8</v>
      </c>
      <c r="Q45" s="194">
        <f>SUM(Q33+Q34+Q35+Q39)</f>
        <v>6965.8</v>
      </c>
      <c r="R45" s="444">
        <f>SUM(R33+R34+R35+R39)</f>
        <v>7526</v>
      </c>
      <c r="S45" s="434">
        <f t="shared" si="51"/>
        <v>8</v>
      </c>
      <c r="T45" s="194"/>
      <c r="U45" s="444"/>
      <c r="V45" s="336"/>
      <c r="W45" s="194">
        <v>574890.27086865995</v>
      </c>
      <c r="X45" s="444">
        <v>626280.13374569989</v>
      </c>
      <c r="Y45" s="336">
        <f t="shared" si="52"/>
        <v>8.9</v>
      </c>
      <c r="Z45" s="194">
        <f>SUM(Z33+Z34+Z35+Z39)</f>
        <v>52236.108771270003</v>
      </c>
      <c r="AA45" s="444">
        <f>SUM(AA33+AA34+AA35+AA39)</f>
        <v>55300.5985663799</v>
      </c>
      <c r="AB45" s="336">
        <f t="shared" si="43"/>
        <v>5.9</v>
      </c>
      <c r="AC45" s="194">
        <f>SUM(AC33+AC34+AC35+AC39)</f>
        <v>94374</v>
      </c>
      <c r="AD45" s="444">
        <f>SUM(AD33+AD34+AD35+AD39)</f>
        <v>107659</v>
      </c>
      <c r="AE45" s="336">
        <f>IF(AC45=0, "    ---- ", IF(ABS(ROUND(100/AC45*AD45-100,1))&lt;999,ROUND(100/AC45*AD45-100,1),IF(ROUND(100/AC45*AD45-100,1)&gt;999,999,-999)))</f>
        <v>14.1</v>
      </c>
      <c r="AF45" s="194"/>
      <c r="AG45" s="444"/>
      <c r="AH45" s="336"/>
      <c r="AI45" s="194">
        <f>SUM(AI33+AI34+AI35+AI39)</f>
        <v>22043.608</v>
      </c>
      <c r="AJ45" s="444">
        <f>SUM(AJ33+AJ34+AJ35+AJ39)</f>
        <v>23185.368999999999</v>
      </c>
      <c r="AK45" s="336">
        <f t="shared" si="48"/>
        <v>5.2</v>
      </c>
      <c r="AL45" s="194">
        <f>SUM(AL33+AL34+AL35+AL39)</f>
        <v>204030</v>
      </c>
      <c r="AM45" s="444">
        <f>SUM(AM33+AM34+AM35+AM39)</f>
        <v>206422</v>
      </c>
      <c r="AN45" s="336">
        <f t="shared" si="49"/>
        <v>1.2</v>
      </c>
      <c r="AO45" s="442">
        <f t="shared" si="44"/>
        <v>1165514.2333831699</v>
      </c>
      <c r="AP45" s="442">
        <f t="shared" si="45"/>
        <v>1236286.2181687998</v>
      </c>
      <c r="AQ45" s="445">
        <f t="shared" si="46"/>
        <v>6.1</v>
      </c>
      <c r="AR45" s="491"/>
      <c r="AS45" s="491"/>
      <c r="AT45" s="495"/>
    </row>
    <row r="46" spans="1:46" s="464" customFormat="1" ht="20.100000000000001" customHeight="1" x14ac:dyDescent="0.3">
      <c r="A46" s="456" t="s">
        <v>337</v>
      </c>
      <c r="B46" s="194">
        <v>156.25800000000001</v>
      </c>
      <c r="C46" s="444">
        <v>191.999</v>
      </c>
      <c r="D46" s="336">
        <f>IF(B46=0, "    ---- ", IF(ABS(ROUND(100/B46*C46-100,1))&lt;999,ROUND(100/B46*C46-100,1),IF(ROUND(100/B46*C46-100,1)&gt;999,999,-999)))</f>
        <v>22.9</v>
      </c>
      <c r="E46" s="194"/>
      <c r="F46" s="444"/>
      <c r="G46" s="336"/>
      <c r="H46" s="194">
        <v>218.928</v>
      </c>
      <c r="I46" s="444">
        <v>264.57889319999998</v>
      </c>
      <c r="J46" s="444">
        <f t="shared" si="42"/>
        <v>20.9</v>
      </c>
      <c r="K46" s="194">
        <v>518.96165052999993</v>
      </c>
      <c r="L46" s="444">
        <v>521.48008708999998</v>
      </c>
      <c r="M46" s="336">
        <f t="shared" si="55"/>
        <v>0.5</v>
      </c>
      <c r="N46" s="194">
        <v>56.255000000000003</v>
      </c>
      <c r="O46" s="444">
        <v>53.441000000000003</v>
      </c>
      <c r="P46" s="336">
        <f t="shared" si="54"/>
        <v>-5</v>
      </c>
      <c r="Q46" s="194">
        <v>489.8</v>
      </c>
      <c r="R46" s="444">
        <v>554</v>
      </c>
      <c r="S46" s="434">
        <f t="shared" si="51"/>
        <v>13.1</v>
      </c>
      <c r="T46" s="194"/>
      <c r="U46" s="444"/>
      <c r="V46" s="336"/>
      <c r="W46" s="194"/>
      <c r="X46" s="444"/>
      <c r="Y46" s="336"/>
      <c r="Z46" s="194">
        <v>54.44</v>
      </c>
      <c r="AA46" s="444">
        <v>60.29</v>
      </c>
      <c r="AB46" s="336">
        <f t="shared" si="43"/>
        <v>10.7</v>
      </c>
      <c r="AC46" s="194"/>
      <c r="AD46" s="444"/>
      <c r="AE46" s="336"/>
      <c r="AF46" s="194"/>
      <c r="AG46" s="444"/>
      <c r="AH46" s="336"/>
      <c r="AI46" s="194"/>
      <c r="AJ46" s="444">
        <v>4.0069999999999997</v>
      </c>
      <c r="AK46" s="336" t="str">
        <f t="shared" si="48"/>
        <v xml:space="preserve">    ---- </v>
      </c>
      <c r="AL46" s="194">
        <v>21</v>
      </c>
      <c r="AM46" s="444">
        <v>4</v>
      </c>
      <c r="AN46" s="336">
        <f t="shared" si="49"/>
        <v>-81</v>
      </c>
      <c r="AO46" s="442">
        <f t="shared" si="44"/>
        <v>1515.6426505300001</v>
      </c>
      <c r="AP46" s="442">
        <f t="shared" si="45"/>
        <v>1653.79598029</v>
      </c>
      <c r="AQ46" s="445">
        <f t="shared" si="46"/>
        <v>9.1</v>
      </c>
      <c r="AR46" s="491"/>
      <c r="AS46" s="491"/>
      <c r="AT46" s="495"/>
    </row>
    <row r="47" spans="1:46" s="464" customFormat="1" ht="20.100000000000001" customHeight="1" x14ac:dyDescent="0.3">
      <c r="A47" s="456" t="s">
        <v>219</v>
      </c>
      <c r="B47" s="194"/>
      <c r="C47" s="444"/>
      <c r="D47" s="444"/>
      <c r="E47" s="194"/>
      <c r="F47" s="444"/>
      <c r="G47" s="336"/>
      <c r="H47" s="194"/>
      <c r="I47" s="444"/>
      <c r="J47" s="444"/>
      <c r="K47" s="194"/>
      <c r="L47" s="444"/>
      <c r="M47" s="444"/>
      <c r="N47" s="194"/>
      <c r="O47" s="444"/>
      <c r="P47" s="444"/>
      <c r="Q47" s="194"/>
      <c r="R47" s="444"/>
      <c r="S47" s="434"/>
      <c r="T47" s="194"/>
      <c r="U47" s="444"/>
      <c r="V47" s="336"/>
      <c r="W47" s="194"/>
      <c r="X47" s="444"/>
      <c r="Y47" s="336"/>
      <c r="Z47" s="194"/>
      <c r="AA47" s="444"/>
      <c r="AB47" s="336"/>
      <c r="AC47" s="194"/>
      <c r="AD47" s="444"/>
      <c r="AE47" s="336"/>
      <c r="AF47" s="194"/>
      <c r="AG47" s="444"/>
      <c r="AH47" s="336"/>
      <c r="AI47" s="194"/>
      <c r="AJ47" s="444"/>
      <c r="AK47" s="336"/>
      <c r="AL47" s="194"/>
      <c r="AM47" s="444"/>
      <c r="AN47" s="336"/>
      <c r="AO47" s="436"/>
      <c r="AP47" s="436"/>
      <c r="AQ47" s="445"/>
      <c r="AR47" s="491"/>
      <c r="AS47" s="491"/>
      <c r="AT47" s="495"/>
    </row>
    <row r="48" spans="1:46" s="464" customFormat="1" ht="20.100000000000001" customHeight="1" x14ac:dyDescent="0.3">
      <c r="A48" s="458" t="s">
        <v>220</v>
      </c>
      <c r="B48" s="194"/>
      <c r="C48" s="444"/>
      <c r="D48" s="444"/>
      <c r="E48" s="194"/>
      <c r="F48" s="444"/>
      <c r="G48" s="336"/>
      <c r="H48" s="194"/>
      <c r="I48" s="444"/>
      <c r="J48" s="444"/>
      <c r="K48" s="194"/>
      <c r="L48" s="444"/>
      <c r="M48" s="444"/>
      <c r="N48" s="194"/>
      <c r="O48" s="444"/>
      <c r="P48" s="444"/>
      <c r="Q48" s="194"/>
      <c r="R48" s="444"/>
      <c r="S48" s="434"/>
      <c r="T48" s="194"/>
      <c r="U48" s="444"/>
      <c r="V48" s="336"/>
      <c r="W48" s="194"/>
      <c r="X48" s="444"/>
      <c r="Y48" s="336"/>
      <c r="Z48" s="194"/>
      <c r="AA48" s="444"/>
      <c r="AB48" s="336"/>
      <c r="AC48" s="194"/>
      <c r="AD48" s="444"/>
      <c r="AE48" s="336"/>
      <c r="AF48" s="194"/>
      <c r="AG48" s="444"/>
      <c r="AH48" s="336"/>
      <c r="AI48" s="194"/>
      <c r="AJ48" s="444"/>
      <c r="AK48" s="336"/>
      <c r="AL48" s="194"/>
      <c r="AM48" s="444"/>
      <c r="AN48" s="336"/>
      <c r="AO48" s="442">
        <f t="shared" ref="AO48:AO62" si="56">B48+H48+K48+N48+Q48+T48+W48+E48+Z48+AC48+AF48+AI48+AL48</f>
        <v>0</v>
      </c>
      <c r="AP48" s="442">
        <f t="shared" ref="AP48:AP62" si="57">C48+I48+L48+O48+R48+U48+X48+F48+AA48+AD48+AG48+AJ48+AM48</f>
        <v>0</v>
      </c>
      <c r="AQ48" s="445" t="str">
        <f t="shared" si="46"/>
        <v xml:space="preserve">    ---- </v>
      </c>
      <c r="AR48" s="491"/>
      <c r="AS48" s="491"/>
      <c r="AT48" s="495"/>
    </row>
    <row r="49" spans="1:46" s="464" customFormat="1" ht="20.100000000000001" customHeight="1" x14ac:dyDescent="0.3">
      <c r="A49" s="458" t="s">
        <v>221</v>
      </c>
      <c r="B49" s="194"/>
      <c r="C49" s="444"/>
      <c r="D49" s="444"/>
      <c r="E49" s="194"/>
      <c r="F49" s="444"/>
      <c r="G49" s="336"/>
      <c r="H49" s="194"/>
      <c r="I49" s="444"/>
      <c r="J49" s="444"/>
      <c r="K49" s="194"/>
      <c r="L49" s="444"/>
      <c r="M49" s="444"/>
      <c r="N49" s="194"/>
      <c r="O49" s="444"/>
      <c r="P49" s="444"/>
      <c r="Q49" s="194">
        <v>1525.5</v>
      </c>
      <c r="R49" s="444">
        <v>1731</v>
      </c>
      <c r="S49" s="434">
        <f t="shared" si="51"/>
        <v>13.5</v>
      </c>
      <c r="T49" s="194"/>
      <c r="U49" s="444"/>
      <c r="V49" s="336"/>
      <c r="W49" s="194">
        <v>274.01296287999998</v>
      </c>
      <c r="X49" s="444">
        <v>300.90565088</v>
      </c>
      <c r="Y49" s="336">
        <f t="shared" ref="Y49:Y60" si="58">IF(W49=0, "    ---- ", IF(ABS(ROUND(100/W49*X49-100,1))&lt;999,ROUND(100/W49*X49-100,1),IF(ROUND(100/W49*X49-100,1)&gt;999,999,-999)))</f>
        <v>9.8000000000000007</v>
      </c>
      <c r="Z49" s="194"/>
      <c r="AA49" s="444"/>
      <c r="AB49" s="336"/>
      <c r="AC49" s="194"/>
      <c r="AD49" s="444"/>
      <c r="AE49" s="336"/>
      <c r="AF49" s="194"/>
      <c r="AG49" s="444"/>
      <c r="AH49" s="336"/>
      <c r="AI49" s="194"/>
      <c r="AJ49" s="444"/>
      <c r="AK49" s="336"/>
      <c r="AL49" s="194">
        <v>20774</v>
      </c>
      <c r="AM49" s="444">
        <v>6030</v>
      </c>
      <c r="AN49" s="336">
        <f t="shared" si="49"/>
        <v>-71</v>
      </c>
      <c r="AO49" s="442">
        <f t="shared" si="56"/>
        <v>22573.512962879999</v>
      </c>
      <c r="AP49" s="442">
        <f t="shared" si="57"/>
        <v>8061.9056508800004</v>
      </c>
      <c r="AQ49" s="445">
        <f t="shared" si="46"/>
        <v>-64.3</v>
      </c>
      <c r="AR49" s="491"/>
      <c r="AS49" s="491"/>
      <c r="AT49" s="495"/>
    </row>
    <row r="50" spans="1:46" s="464" customFormat="1" ht="20.100000000000001" customHeight="1" x14ac:dyDescent="0.3">
      <c r="A50" s="458" t="s">
        <v>222</v>
      </c>
      <c r="B50" s="194"/>
      <c r="C50" s="444"/>
      <c r="D50" s="444"/>
      <c r="E50" s="194"/>
      <c r="F50" s="444"/>
      <c r="G50" s="336"/>
      <c r="H50" s="194"/>
      <c r="I50" s="444"/>
      <c r="J50" s="444"/>
      <c r="K50" s="194"/>
      <c r="L50" s="444"/>
      <c r="M50" s="444"/>
      <c r="N50" s="194"/>
      <c r="O50" s="444"/>
      <c r="P50" s="444"/>
      <c r="Q50" s="194"/>
      <c r="R50" s="444">
        <f>SUM(R51+R53)</f>
        <v>0</v>
      </c>
      <c r="S50" s="434" t="str">
        <f t="shared" si="51"/>
        <v xml:space="preserve">    ---- </v>
      </c>
      <c r="T50" s="194"/>
      <c r="U50" s="444"/>
      <c r="V50" s="336"/>
      <c r="W50" s="194">
        <v>714.90278091000005</v>
      </c>
      <c r="X50" s="444">
        <v>742.64416683000013</v>
      </c>
      <c r="Y50" s="336">
        <f t="shared" si="58"/>
        <v>3.9</v>
      </c>
      <c r="Z50" s="194"/>
      <c r="AA50" s="444"/>
      <c r="AB50" s="336"/>
      <c r="AC50" s="194"/>
      <c r="AD50" s="444"/>
      <c r="AE50" s="336"/>
      <c r="AF50" s="194"/>
      <c r="AG50" s="444"/>
      <c r="AH50" s="336"/>
      <c r="AI50" s="194"/>
      <c r="AJ50" s="444"/>
      <c r="AK50" s="336"/>
      <c r="AL50" s="194">
        <f>SUM(AL51+AL53)</f>
        <v>36</v>
      </c>
      <c r="AM50" s="444">
        <f>SUM(AM51+AM53)</f>
        <v>1375</v>
      </c>
      <c r="AN50" s="336">
        <f t="shared" si="49"/>
        <v>999</v>
      </c>
      <c r="AO50" s="442">
        <f t="shared" si="56"/>
        <v>750.90278091000005</v>
      </c>
      <c r="AP50" s="442">
        <f t="shared" si="57"/>
        <v>2117.6441668300004</v>
      </c>
      <c r="AQ50" s="445">
        <f t="shared" si="46"/>
        <v>182</v>
      </c>
      <c r="AR50" s="491"/>
      <c r="AS50" s="491"/>
      <c r="AT50" s="495"/>
    </row>
    <row r="51" spans="1:46" s="464" customFormat="1" ht="20.100000000000001" customHeight="1" x14ac:dyDescent="0.3">
      <c r="A51" s="458" t="s">
        <v>223</v>
      </c>
      <c r="B51" s="194"/>
      <c r="C51" s="444"/>
      <c r="D51" s="336"/>
      <c r="E51" s="194"/>
      <c r="F51" s="444"/>
      <c r="G51" s="336"/>
      <c r="H51" s="194"/>
      <c r="I51" s="444"/>
      <c r="J51" s="336"/>
      <c r="K51" s="194"/>
      <c r="L51" s="444"/>
      <c r="M51" s="336"/>
      <c r="N51" s="194"/>
      <c r="O51" s="444"/>
      <c r="P51" s="336"/>
      <c r="Q51" s="194"/>
      <c r="R51" s="444"/>
      <c r="S51" s="434"/>
      <c r="T51" s="194"/>
      <c r="U51" s="444"/>
      <c r="V51" s="336"/>
      <c r="W51" s="194">
        <v>49.651621799999994</v>
      </c>
      <c r="X51" s="444">
        <v>49.686903869999995</v>
      </c>
      <c r="Y51" s="336">
        <f t="shared" si="58"/>
        <v>0.1</v>
      </c>
      <c r="Z51" s="194"/>
      <c r="AA51" s="444"/>
      <c r="AB51" s="336"/>
      <c r="AC51" s="194"/>
      <c r="AD51" s="444"/>
      <c r="AE51" s="336"/>
      <c r="AF51" s="194"/>
      <c r="AG51" s="444"/>
      <c r="AH51" s="336"/>
      <c r="AI51" s="194"/>
      <c r="AJ51" s="444"/>
      <c r="AK51" s="336"/>
      <c r="AL51" s="194"/>
      <c r="AM51" s="444"/>
      <c r="AN51" s="336"/>
      <c r="AO51" s="442">
        <f t="shared" si="56"/>
        <v>49.651621799999994</v>
      </c>
      <c r="AP51" s="442">
        <f t="shared" si="57"/>
        <v>49.686903869999995</v>
      </c>
      <c r="AQ51" s="445">
        <f t="shared" si="46"/>
        <v>0.1</v>
      </c>
      <c r="AR51" s="491"/>
      <c r="AS51" s="491"/>
      <c r="AT51" s="495"/>
    </row>
    <row r="52" spans="1:46" s="493" customFormat="1" ht="20.100000000000001" customHeight="1" x14ac:dyDescent="0.3">
      <c r="A52" s="458" t="s">
        <v>193</v>
      </c>
      <c r="B52" s="194"/>
      <c r="C52" s="444"/>
      <c r="D52" s="441"/>
      <c r="E52" s="194"/>
      <c r="F52" s="444"/>
      <c r="G52" s="441"/>
      <c r="H52" s="194"/>
      <c r="I52" s="444"/>
      <c r="J52" s="441"/>
      <c r="K52" s="194"/>
      <c r="L52" s="444"/>
      <c r="M52" s="441"/>
      <c r="N52" s="194"/>
      <c r="O52" s="444"/>
      <c r="P52" s="441"/>
      <c r="Q52" s="194"/>
      <c r="R52" s="444"/>
      <c r="S52" s="440"/>
      <c r="T52" s="194"/>
      <c r="U52" s="444"/>
      <c r="V52" s="441"/>
      <c r="W52" s="194">
        <v>49.651621799999994</v>
      </c>
      <c r="X52" s="444">
        <v>49.686903869999995</v>
      </c>
      <c r="Y52" s="336">
        <f t="shared" si="58"/>
        <v>0.1</v>
      </c>
      <c r="Z52" s="194"/>
      <c r="AA52" s="444"/>
      <c r="AB52" s="441"/>
      <c r="AC52" s="194"/>
      <c r="AD52" s="444"/>
      <c r="AE52" s="441"/>
      <c r="AF52" s="194"/>
      <c r="AG52" s="444"/>
      <c r="AH52" s="441"/>
      <c r="AI52" s="194"/>
      <c r="AJ52" s="444"/>
      <c r="AK52" s="441"/>
      <c r="AL52" s="194"/>
      <c r="AM52" s="444"/>
      <c r="AN52" s="441"/>
      <c r="AO52" s="442">
        <f t="shared" si="56"/>
        <v>49.651621799999994</v>
      </c>
      <c r="AP52" s="442">
        <f t="shared" si="57"/>
        <v>49.686903869999995</v>
      </c>
      <c r="AQ52" s="443">
        <f t="shared" si="46"/>
        <v>0.1</v>
      </c>
      <c r="AR52" s="492"/>
      <c r="AS52" s="492"/>
      <c r="AT52" s="494"/>
    </row>
    <row r="53" spans="1:46" s="464" customFormat="1" ht="20.100000000000001" customHeight="1" x14ac:dyDescent="0.3">
      <c r="A53" s="458" t="s">
        <v>224</v>
      </c>
      <c r="B53" s="194"/>
      <c r="C53" s="444"/>
      <c r="D53" s="444"/>
      <c r="E53" s="194"/>
      <c r="F53" s="444"/>
      <c r="G53" s="336"/>
      <c r="H53" s="194"/>
      <c r="I53" s="444"/>
      <c r="J53" s="444"/>
      <c r="K53" s="194"/>
      <c r="L53" s="444"/>
      <c r="M53" s="444"/>
      <c r="N53" s="194"/>
      <c r="O53" s="444"/>
      <c r="P53" s="444"/>
      <c r="Q53" s="194"/>
      <c r="R53" s="444"/>
      <c r="S53" s="434"/>
      <c r="T53" s="194"/>
      <c r="U53" s="444"/>
      <c r="V53" s="336"/>
      <c r="W53" s="194">
        <v>665.25115911</v>
      </c>
      <c r="X53" s="444">
        <v>692.95726296000009</v>
      </c>
      <c r="Y53" s="336">
        <f t="shared" si="58"/>
        <v>4.2</v>
      </c>
      <c r="Z53" s="194"/>
      <c r="AA53" s="444"/>
      <c r="AB53" s="336"/>
      <c r="AC53" s="194"/>
      <c r="AD53" s="444"/>
      <c r="AE53" s="336"/>
      <c r="AF53" s="194"/>
      <c r="AG53" s="444"/>
      <c r="AH53" s="336"/>
      <c r="AI53" s="194"/>
      <c r="AJ53" s="444"/>
      <c r="AK53" s="336"/>
      <c r="AL53" s="194">
        <v>36</v>
      </c>
      <c r="AM53" s="444">
        <f>1007+368</f>
        <v>1375</v>
      </c>
      <c r="AN53" s="336">
        <f t="shared" si="49"/>
        <v>999</v>
      </c>
      <c r="AO53" s="442">
        <f t="shared" si="56"/>
        <v>701.25115911</v>
      </c>
      <c r="AP53" s="442">
        <f t="shared" si="57"/>
        <v>2067.9572629600002</v>
      </c>
      <c r="AQ53" s="445">
        <f t="shared" si="46"/>
        <v>194.9</v>
      </c>
      <c r="AR53" s="491"/>
      <c r="AS53" s="491"/>
      <c r="AT53" s="495"/>
    </row>
    <row r="54" spans="1:46" s="464" customFormat="1" ht="20.100000000000001" customHeight="1" x14ac:dyDescent="0.3">
      <c r="A54" s="458" t="s">
        <v>225</v>
      </c>
      <c r="B54" s="194">
        <f>SUM(B55:B59)</f>
        <v>20948.923999999999</v>
      </c>
      <c r="C54" s="444">
        <f>SUM(C55:C59)</f>
        <v>26763.940000000002</v>
      </c>
      <c r="D54" s="444">
        <f>IF(B54=0, "    ---- ", IF(ABS(ROUND(100/B54*C54-100,1))&lt;999,ROUND(100/B54*C54-100,1),IF(ROUND(100/B54*C54-100,1)&gt;999,999,-999)))</f>
        <v>27.8</v>
      </c>
      <c r="E54" s="194">
        <f>SUM(E55:E59)</f>
        <v>5167.9110000000001</v>
      </c>
      <c r="F54" s="444"/>
      <c r="G54" s="336">
        <f>IF(E54=0, "    ---- ", IF(ABS(ROUND(100/E54*F54-100,1))&lt;999,ROUND(100/E54*F54-100,1),IF(ROUND(100/E54*F54-100,1)&gt;999,999,-999)))</f>
        <v>-100</v>
      </c>
      <c r="H54" s="194">
        <f>SUM(H55:H59)</f>
        <v>95193.911000000007</v>
      </c>
      <c r="I54" s="444">
        <f>SUM(I55:I59)</f>
        <v>129966.18731614</v>
      </c>
      <c r="J54" s="444">
        <f t="shared" si="42"/>
        <v>36.5</v>
      </c>
      <c r="K54" s="194"/>
      <c r="L54" s="444"/>
      <c r="M54" s="444"/>
      <c r="N54" s="194">
        <f>SUM(N55:N59)</f>
        <v>4269.2669999999998</v>
      </c>
      <c r="O54" s="444"/>
      <c r="P54" s="444">
        <f>IF(N54=0, "    ---- ", IF(ABS(ROUND(100/N54*O54-100,1))&lt;999,ROUND(100/N54*O54-100,1),IF(ROUND(100/N54*O54-100,1)&gt;999,999,-999)))</f>
        <v>-100</v>
      </c>
      <c r="Q54" s="194">
        <f>SUM(Q55:Q59)</f>
        <v>28229.3</v>
      </c>
      <c r="R54" s="444">
        <f>SUM(R55:R59)</f>
        <v>36921</v>
      </c>
      <c r="S54" s="434">
        <f t="shared" si="51"/>
        <v>30.8</v>
      </c>
      <c r="T54" s="194"/>
      <c r="U54" s="444"/>
      <c r="V54" s="336"/>
      <c r="W54" s="194">
        <v>977.49404066</v>
      </c>
      <c r="X54" s="444">
        <v>1171.2549528399998</v>
      </c>
      <c r="Y54" s="336">
        <f t="shared" si="58"/>
        <v>19.8</v>
      </c>
      <c r="Z54" s="194">
        <f>SUM(Z55:Z59)</f>
        <v>79687.040000000008</v>
      </c>
      <c r="AA54" s="444">
        <f>SUM(AA55:AA59)</f>
        <v>114051.49</v>
      </c>
      <c r="AB54" s="336">
        <f t="shared" si="43"/>
        <v>43.1</v>
      </c>
      <c r="AC54" s="194"/>
      <c r="AD54" s="444"/>
      <c r="AE54" s="336"/>
      <c r="AF54" s="194">
        <f>SUM(AF55:AF59)</f>
        <v>2519.6196610400002</v>
      </c>
      <c r="AG54" s="444">
        <f>SUM(AG55:AG59)</f>
        <v>3241.4234022800001</v>
      </c>
      <c r="AH54" s="336">
        <f>IF(AF54=0, "    ---- ", IF(ABS(ROUND(100/AF54*AG54-100,1))&lt;999,ROUND(100/AF54*AG54-100,1),IF(ROUND(100/AF54*AG54-100,1)&gt;999,999,-999)))</f>
        <v>28.6</v>
      </c>
      <c r="AI54" s="194">
        <f>SUM(AI55:AI59)</f>
        <v>36530.807000000001</v>
      </c>
      <c r="AJ54" s="444">
        <f>SUM(AJ55:AJ59)</f>
        <v>51072.960000000006</v>
      </c>
      <c r="AK54" s="336">
        <f t="shared" si="48"/>
        <v>39.799999999999997</v>
      </c>
      <c r="AL54" s="194">
        <f>SUM(AL55:AL59)</f>
        <v>96693</v>
      </c>
      <c r="AM54" s="444">
        <f>SUM(AM55:AM59)</f>
        <v>144330</v>
      </c>
      <c r="AN54" s="336">
        <f t="shared" si="49"/>
        <v>49.3</v>
      </c>
      <c r="AO54" s="442">
        <f t="shared" si="56"/>
        <v>370217.27370170003</v>
      </c>
      <c r="AP54" s="442">
        <f t="shared" si="57"/>
        <v>507518.25567126006</v>
      </c>
      <c r="AQ54" s="445">
        <f t="shared" si="46"/>
        <v>37.1</v>
      </c>
      <c r="AR54" s="491"/>
      <c r="AS54" s="491"/>
      <c r="AT54" s="495"/>
    </row>
    <row r="55" spans="1:46" s="464" customFormat="1" ht="20.100000000000001" customHeight="1" x14ac:dyDescent="0.3">
      <c r="A55" s="458" t="s">
        <v>226</v>
      </c>
      <c r="B55" s="194">
        <v>12822.056</v>
      </c>
      <c r="C55" s="444">
        <v>17368.796999999999</v>
      </c>
      <c r="D55" s="444">
        <f>IF(B55=0, "    ---- ", IF(ABS(ROUND(100/B55*C55-100,1))&lt;999,ROUND(100/B55*C55-100,1),IF(ROUND(100/B55*C55-100,1)&gt;999,999,-999)))</f>
        <v>35.5</v>
      </c>
      <c r="E55" s="194">
        <v>5168.451</v>
      </c>
      <c r="F55" s="444"/>
      <c r="G55" s="336">
        <f>IF(E55=0, "    ---- ", IF(ABS(ROUND(100/E55*F55-100,1))&lt;999,ROUND(100/E55*F55-100,1),IF(ROUND(100/E55*F55-100,1)&gt;999,999,-999)))</f>
        <v>-100</v>
      </c>
      <c r="H55" s="194">
        <v>53886.171000000002</v>
      </c>
      <c r="I55" s="444">
        <v>78842.47264018</v>
      </c>
      <c r="J55" s="444">
        <f t="shared" si="42"/>
        <v>46.3</v>
      </c>
      <c r="K55" s="194"/>
      <c r="L55" s="444"/>
      <c r="M55" s="444"/>
      <c r="N55" s="194">
        <f>4269.267-N59</f>
        <v>2862.9789999999998</v>
      </c>
      <c r="O55" s="444"/>
      <c r="P55" s="444">
        <f>IF(N55=0, "    ---- ", IF(ABS(ROUND(100/N55*O55-100,1))&lt;999,ROUND(100/N55*O55-100,1),IF(ROUND(100/N55*O55-100,1)&gt;999,999,-999)))</f>
        <v>-100</v>
      </c>
      <c r="Q55" s="194">
        <v>24090.5</v>
      </c>
      <c r="R55" s="444">
        <v>31120</v>
      </c>
      <c r="S55" s="434">
        <f t="shared" si="51"/>
        <v>29.2</v>
      </c>
      <c r="T55" s="194"/>
      <c r="U55" s="444"/>
      <c r="V55" s="336"/>
      <c r="W55" s="194">
        <v>511.05584636999998</v>
      </c>
      <c r="X55" s="444">
        <v>719.14954827999998</v>
      </c>
      <c r="Y55" s="336">
        <f t="shared" si="58"/>
        <v>40.700000000000003</v>
      </c>
      <c r="Z55" s="194">
        <v>42565.47</v>
      </c>
      <c r="AA55" s="444">
        <v>71963.83</v>
      </c>
      <c r="AB55" s="336">
        <f t="shared" si="43"/>
        <v>69.099999999999994</v>
      </c>
      <c r="AC55" s="194"/>
      <c r="AD55" s="444"/>
      <c r="AE55" s="336"/>
      <c r="AF55" s="194">
        <v>2519.6196610400002</v>
      </c>
      <c r="AG55" s="444">
        <v>3241.4234022800001</v>
      </c>
      <c r="AH55" s="336">
        <f>IF(AF55=0, "    ---- ", IF(ABS(ROUND(100/AF55*AG55-100,1))&lt;999,ROUND(100/AF55*AG55-100,1),IF(ROUND(100/AF55*AG55-100,1)&gt;999,999,-999)))</f>
        <v>28.6</v>
      </c>
      <c r="AI55" s="194">
        <v>22161.429</v>
      </c>
      <c r="AJ55" s="444">
        <v>33282.163</v>
      </c>
      <c r="AK55" s="336">
        <f t="shared" si="48"/>
        <v>50.2</v>
      </c>
      <c r="AL55" s="194">
        <v>55425</v>
      </c>
      <c r="AM55" s="444">
        <v>101141</v>
      </c>
      <c r="AN55" s="336">
        <f t="shared" si="49"/>
        <v>82.5</v>
      </c>
      <c r="AO55" s="442">
        <f t="shared" si="56"/>
        <v>222012.73150741</v>
      </c>
      <c r="AP55" s="442">
        <f t="shared" si="57"/>
        <v>337678.83559073997</v>
      </c>
      <c r="AQ55" s="445">
        <f t="shared" si="46"/>
        <v>52.1</v>
      </c>
      <c r="AR55" s="491"/>
      <c r="AS55" s="491"/>
      <c r="AT55" s="495"/>
    </row>
    <row r="56" spans="1:46" s="464" customFormat="1" ht="20.100000000000001" customHeight="1" x14ac:dyDescent="0.3">
      <c r="A56" s="458" t="s">
        <v>227</v>
      </c>
      <c r="B56" s="194">
        <v>7846.0829999999996</v>
      </c>
      <c r="C56" s="444">
        <v>9120.5990000000002</v>
      </c>
      <c r="D56" s="444">
        <f>IF(B56=0, "    ---- ", IF(ABS(ROUND(100/B56*C56-100,1))&lt;999,ROUND(100/B56*C56-100,1),IF(ROUND(100/B56*C56-100,1)&gt;999,999,-999)))</f>
        <v>16.2</v>
      </c>
      <c r="E56" s="194"/>
      <c r="F56" s="444"/>
      <c r="G56" s="336"/>
      <c r="H56" s="194">
        <v>39853.464</v>
      </c>
      <c r="I56" s="444">
        <v>49731.871310759998</v>
      </c>
      <c r="J56" s="444">
        <f t="shared" si="42"/>
        <v>24.8</v>
      </c>
      <c r="K56" s="194"/>
      <c r="L56" s="444"/>
      <c r="M56" s="444"/>
      <c r="N56" s="194"/>
      <c r="O56" s="444"/>
      <c r="P56" s="444"/>
      <c r="Q56" s="194">
        <v>4079.1</v>
      </c>
      <c r="R56" s="444">
        <v>5680</v>
      </c>
      <c r="S56" s="434">
        <f t="shared" si="51"/>
        <v>39.200000000000003</v>
      </c>
      <c r="T56" s="194"/>
      <c r="U56" s="444"/>
      <c r="V56" s="336"/>
      <c r="W56" s="194">
        <v>368.48095145999997</v>
      </c>
      <c r="X56" s="444">
        <v>335.06336322999999</v>
      </c>
      <c r="Y56" s="336">
        <f t="shared" si="58"/>
        <v>-9.1</v>
      </c>
      <c r="Z56" s="194">
        <v>36736.29</v>
      </c>
      <c r="AA56" s="444">
        <v>41970.05</v>
      </c>
      <c r="AB56" s="336">
        <f t="shared" si="43"/>
        <v>14.2</v>
      </c>
      <c r="AC56" s="194"/>
      <c r="AD56" s="444"/>
      <c r="AE56" s="336"/>
      <c r="AF56" s="194"/>
      <c r="AG56" s="444"/>
      <c r="AH56" s="336"/>
      <c r="AI56" s="194">
        <v>14268.388999999999</v>
      </c>
      <c r="AJ56" s="444">
        <v>17692.641</v>
      </c>
      <c r="AK56" s="336">
        <f t="shared" si="48"/>
        <v>24</v>
      </c>
      <c r="AL56" s="194">
        <v>40050</v>
      </c>
      <c r="AM56" s="444">
        <v>43026</v>
      </c>
      <c r="AN56" s="336">
        <f t="shared" si="49"/>
        <v>7.4</v>
      </c>
      <c r="AO56" s="442">
        <f t="shared" si="56"/>
        <v>143201.80695145999</v>
      </c>
      <c r="AP56" s="442">
        <f t="shared" si="57"/>
        <v>167556.22467399001</v>
      </c>
      <c r="AQ56" s="445">
        <f t="shared" si="46"/>
        <v>17</v>
      </c>
      <c r="AR56" s="491"/>
      <c r="AS56" s="491"/>
      <c r="AT56" s="495"/>
    </row>
    <row r="57" spans="1:46" s="464" customFormat="1" ht="20.100000000000001" customHeight="1" x14ac:dyDescent="0.3">
      <c r="A57" s="458" t="s">
        <v>228</v>
      </c>
      <c r="B57" s="194"/>
      <c r="C57" s="444"/>
      <c r="D57" s="336"/>
      <c r="E57" s="194">
        <v>-0.54</v>
      </c>
      <c r="F57" s="444"/>
      <c r="G57" s="336">
        <f>IF(E57=0, "    ---- ", IF(ABS(ROUND(100/E57*F57-100,1))&lt;999,ROUND(100/E57*F57-100,1),IF(ROUND(100/E57*F57-100,1)&gt;999,999,-999)))</f>
        <v>-100</v>
      </c>
      <c r="H57" s="194">
        <v>1454.2760000000001</v>
      </c>
      <c r="I57" s="444">
        <v>1391.8433652000001</v>
      </c>
      <c r="J57" s="336">
        <f t="shared" si="42"/>
        <v>-4.3</v>
      </c>
      <c r="K57" s="194"/>
      <c r="L57" s="444"/>
      <c r="M57" s="336"/>
      <c r="N57" s="194"/>
      <c r="O57" s="444"/>
      <c r="P57" s="336"/>
      <c r="Q57" s="194"/>
      <c r="R57" s="444"/>
      <c r="S57" s="336"/>
      <c r="T57" s="194"/>
      <c r="U57" s="444"/>
      <c r="V57" s="336"/>
      <c r="W57" s="194">
        <v>89.215434620000011</v>
      </c>
      <c r="X57" s="444">
        <v>117.01406073</v>
      </c>
      <c r="Y57" s="336">
        <f t="shared" si="58"/>
        <v>31.2</v>
      </c>
      <c r="Z57" s="194"/>
      <c r="AA57" s="444">
        <v>0</v>
      </c>
      <c r="AB57" s="336" t="str">
        <f t="shared" si="43"/>
        <v xml:space="preserve">    ---- </v>
      </c>
      <c r="AC57" s="194"/>
      <c r="AD57" s="444"/>
      <c r="AE57" s="336"/>
      <c r="AF57" s="194"/>
      <c r="AG57" s="444"/>
      <c r="AH57" s="336"/>
      <c r="AI57" s="194"/>
      <c r="AJ57" s="444">
        <v>0</v>
      </c>
      <c r="AK57" s="336" t="str">
        <f t="shared" si="48"/>
        <v xml:space="preserve">    ---- </v>
      </c>
      <c r="AL57" s="194">
        <f>141+321-1</f>
        <v>461</v>
      </c>
      <c r="AM57" s="444">
        <v>138</v>
      </c>
      <c r="AN57" s="336">
        <f t="shared" si="49"/>
        <v>-70.099999999999994</v>
      </c>
      <c r="AO57" s="442">
        <f t="shared" si="56"/>
        <v>2003.9514346200001</v>
      </c>
      <c r="AP57" s="442">
        <f t="shared" si="57"/>
        <v>1646.8574259300001</v>
      </c>
      <c r="AQ57" s="445">
        <f t="shared" si="46"/>
        <v>-17.8</v>
      </c>
      <c r="AR57" s="491"/>
      <c r="AS57" s="491"/>
      <c r="AT57" s="495"/>
    </row>
    <row r="58" spans="1:46" s="464" customFormat="1" ht="20.100000000000001" customHeight="1" x14ac:dyDescent="0.3">
      <c r="A58" s="458" t="s">
        <v>229</v>
      </c>
      <c r="B58" s="194">
        <v>130.15799999999999</v>
      </c>
      <c r="C58" s="444">
        <v>-109.517</v>
      </c>
      <c r="D58" s="444">
        <f>IF(B58=0, "    ---- ", IF(ABS(ROUND(100/B58*C58-100,1))&lt;999,ROUND(100/B58*C58-100,1),IF(ROUND(100/B58*C58-100,1)&gt;999,999,-999)))</f>
        <v>-184.1</v>
      </c>
      <c r="E58" s="194"/>
      <c r="F58" s="444"/>
      <c r="G58" s="336"/>
      <c r="H58" s="194"/>
      <c r="I58" s="444"/>
      <c r="J58" s="336"/>
      <c r="K58" s="194"/>
      <c r="L58" s="444"/>
      <c r="M58" s="336"/>
      <c r="N58" s="194"/>
      <c r="O58" s="444"/>
      <c r="P58" s="336"/>
      <c r="Q58" s="194"/>
      <c r="R58" s="444"/>
      <c r="S58" s="336"/>
      <c r="T58" s="194"/>
      <c r="U58" s="444"/>
      <c r="V58" s="336"/>
      <c r="W58" s="194">
        <v>8.7418082200000011</v>
      </c>
      <c r="X58" s="444">
        <v>2.2478209999999998E-2</v>
      </c>
      <c r="Y58" s="336">
        <f t="shared" si="58"/>
        <v>-99.7</v>
      </c>
      <c r="Z58" s="194">
        <v>-24.16</v>
      </c>
      <c r="AA58" s="444">
        <v>-247.62</v>
      </c>
      <c r="AB58" s="336">
        <f t="shared" si="43"/>
        <v>924.9</v>
      </c>
      <c r="AC58" s="194"/>
      <c r="AD58" s="444"/>
      <c r="AE58" s="336"/>
      <c r="AF58" s="194"/>
      <c r="AG58" s="444"/>
      <c r="AH58" s="336"/>
      <c r="AI58" s="194">
        <v>12.138999999999999</v>
      </c>
      <c r="AJ58" s="444">
        <v>0</v>
      </c>
      <c r="AK58" s="336">
        <f t="shared" si="48"/>
        <v>-100</v>
      </c>
      <c r="AL58" s="194">
        <v>757</v>
      </c>
      <c r="AM58" s="444">
        <v>25</v>
      </c>
      <c r="AN58" s="336">
        <f t="shared" si="49"/>
        <v>-96.7</v>
      </c>
      <c r="AO58" s="442">
        <f t="shared" si="56"/>
        <v>883.87880822</v>
      </c>
      <c r="AP58" s="442">
        <f t="shared" si="57"/>
        <v>-332.11452179000003</v>
      </c>
      <c r="AQ58" s="445">
        <f t="shared" si="46"/>
        <v>-137.6</v>
      </c>
      <c r="AR58" s="491"/>
      <c r="AS58" s="491"/>
      <c r="AT58" s="495"/>
    </row>
    <row r="59" spans="1:46" s="464" customFormat="1" ht="20.100000000000001" customHeight="1" x14ac:dyDescent="0.3">
      <c r="A59" s="458" t="s">
        <v>230</v>
      </c>
      <c r="B59" s="194">
        <f>52.011+98.616</f>
        <v>150.62700000000001</v>
      </c>
      <c r="C59" s="444">
        <f>265.851+118.21</f>
        <v>384.06099999999998</v>
      </c>
      <c r="D59" s="336">
        <f>IF(B59=0, "    ---- ", IF(ABS(ROUND(100/B59*C59-100,1))&lt;999,ROUND(100/B59*C59-100,1),IF(ROUND(100/B59*C59-100,1)&gt;999,999,-999)))</f>
        <v>155</v>
      </c>
      <c r="E59" s="194"/>
      <c r="F59" s="444"/>
      <c r="G59" s="336"/>
      <c r="H59" s="194"/>
      <c r="I59" s="444"/>
      <c r="J59" s="336"/>
      <c r="K59" s="194"/>
      <c r="L59" s="444"/>
      <c r="M59" s="336"/>
      <c r="N59" s="194">
        <v>1406.288</v>
      </c>
      <c r="O59" s="444"/>
      <c r="P59" s="336">
        <f>IF(N59=0, "    ---- ", IF(ABS(ROUND(100/N59*O59-100,1))&lt;999,ROUND(100/N59*O59-100,1),IF(ROUND(100/N59*O59-100,1)&gt;999,999,-999)))</f>
        <v>-100</v>
      </c>
      <c r="Q59" s="194">
        <f>31+28.7</f>
        <v>59.7</v>
      </c>
      <c r="R59" s="444">
        <v>121</v>
      </c>
      <c r="S59" s="336">
        <f>IF(Q59=0, "    ---- ", IF(ABS(ROUND(100/Q59*R59-100,1))&lt;999,ROUND(100/Q59*R59-100,1),IF(ROUND(100/Q59*R59-100,1)&gt;999,999,-999)))</f>
        <v>102.7</v>
      </c>
      <c r="T59" s="194"/>
      <c r="U59" s="444"/>
      <c r="V59" s="336"/>
      <c r="W59" s="194">
        <v>-1E-8</v>
      </c>
      <c r="X59" s="444">
        <v>5.5023900000000002E-3</v>
      </c>
      <c r="Y59" s="336">
        <f t="shared" si="58"/>
        <v>-999</v>
      </c>
      <c r="Z59" s="194">
        <v>409.44</v>
      </c>
      <c r="AA59" s="444">
        <v>365.23</v>
      </c>
      <c r="AB59" s="336">
        <f t="shared" si="43"/>
        <v>-10.8</v>
      </c>
      <c r="AC59" s="194"/>
      <c r="AD59" s="444"/>
      <c r="AE59" s="336"/>
      <c r="AF59" s="194"/>
      <c r="AG59" s="444"/>
      <c r="AH59" s="336"/>
      <c r="AI59" s="194">
        <v>88.85</v>
      </c>
      <c r="AJ59" s="444">
        <v>98.156000000000006</v>
      </c>
      <c r="AK59" s="336">
        <f t="shared" si="48"/>
        <v>10.5</v>
      </c>
      <c r="AL59" s="194"/>
      <c r="AM59" s="444"/>
      <c r="AN59" s="336"/>
      <c r="AO59" s="442">
        <f t="shared" si="56"/>
        <v>2114.9049999900003</v>
      </c>
      <c r="AP59" s="442">
        <f t="shared" si="57"/>
        <v>968.45250239000006</v>
      </c>
      <c r="AQ59" s="445">
        <f t="shared" si="46"/>
        <v>-54.2</v>
      </c>
      <c r="AR59" s="491"/>
      <c r="AS59" s="491"/>
      <c r="AT59" s="495"/>
    </row>
    <row r="60" spans="1:46" s="464" customFormat="1" ht="20.100000000000001" customHeight="1" x14ac:dyDescent="0.3">
      <c r="A60" s="459" t="s">
        <v>231</v>
      </c>
      <c r="B60" s="194">
        <f>SUM(B48+B49+B50+B54)</f>
        <v>20948.923999999999</v>
      </c>
      <c r="C60" s="444">
        <f>SUM(C48+C49+C50+C54)</f>
        <v>26763.940000000002</v>
      </c>
      <c r="D60" s="336">
        <f>IF(B60=0, "    ---- ", IF(ABS(ROUND(100/B60*C60-100,1))&lt;999,ROUND(100/B60*C60-100,1),IF(ROUND(100/B60*C60-100,1)&gt;999,999,-999)))</f>
        <v>27.8</v>
      </c>
      <c r="E60" s="194">
        <f>SUM(E48+E49+E50+E54)</f>
        <v>5167.9110000000001</v>
      </c>
      <c r="F60" s="444"/>
      <c r="G60" s="336">
        <f>IF(E60=0, "    ---- ", IF(ABS(ROUND(100/E60*F60-100,1))&lt;999,ROUND(100/E60*F60-100,1),IF(ROUND(100/E60*F60-100,1)&gt;999,999,-999)))</f>
        <v>-100</v>
      </c>
      <c r="H60" s="194">
        <f>SUM(H48+H49+H50+H54)</f>
        <v>95193.911000000007</v>
      </c>
      <c r="I60" s="444">
        <f>SUM(I48+I49+I50+I54)</f>
        <v>129966.18731614</v>
      </c>
      <c r="J60" s="336">
        <f t="shared" si="42"/>
        <v>36.5</v>
      </c>
      <c r="K60" s="194"/>
      <c r="L60" s="444"/>
      <c r="M60" s="336"/>
      <c r="N60" s="194">
        <f>SUM(N48+N49+N50+N54)</f>
        <v>4269.2669999999998</v>
      </c>
      <c r="O60" s="444">
        <f>SUM(O48+O49+O50+O54)</f>
        <v>0</v>
      </c>
      <c r="P60" s="336">
        <f>IF(N60=0, "    ---- ", IF(ABS(ROUND(100/N60*O60-100,1))&lt;999,ROUND(100/N60*O60-100,1),IF(ROUND(100/N60*O60-100,1)&gt;999,999,-999)))</f>
        <v>-100</v>
      </c>
      <c r="Q60" s="194">
        <f>SUM(Q48+Q49+Q50+Q54)</f>
        <v>29754.799999999999</v>
      </c>
      <c r="R60" s="444">
        <f>SUM(R48+R49+R50+R54)</f>
        <v>38652</v>
      </c>
      <c r="S60" s="336">
        <f>IF(Q60=0, "    ---- ", IF(ABS(ROUND(100/Q60*R60-100,1))&lt;999,ROUND(100/Q60*R60-100,1),IF(ROUND(100/Q60*R60-100,1)&gt;999,999,-999)))</f>
        <v>29.9</v>
      </c>
      <c r="T60" s="194"/>
      <c r="U60" s="444"/>
      <c r="V60" s="336"/>
      <c r="W60" s="194">
        <v>1966.4097844500002</v>
      </c>
      <c r="X60" s="444">
        <v>2214.8047705499998</v>
      </c>
      <c r="Y60" s="336">
        <f t="shared" si="58"/>
        <v>12.6</v>
      </c>
      <c r="Z60" s="194">
        <f>SUM(Z48+Z49+Z50+Z54)</f>
        <v>79687.040000000008</v>
      </c>
      <c r="AA60" s="444">
        <f>SUM(AA48+AA49+AA50+AA54)</f>
        <v>114051.49</v>
      </c>
      <c r="AB60" s="336">
        <f t="shared" si="43"/>
        <v>43.1</v>
      </c>
      <c r="AC60" s="194"/>
      <c r="AD60" s="444"/>
      <c r="AE60" s="336"/>
      <c r="AF60" s="194">
        <f>SUM(AF48+AF49+AF50+AF54)</f>
        <v>2519.6196610400002</v>
      </c>
      <c r="AG60" s="444">
        <f>SUM(AG48+AG49+AG50+AG54)</f>
        <v>3241.4234022800001</v>
      </c>
      <c r="AH60" s="336">
        <f>IF(AF60=0, "    ---- ", IF(ABS(ROUND(100/AF60*AG60-100,1))&lt;999,ROUND(100/AF60*AG60-100,1),IF(ROUND(100/AF60*AG60-100,1)&gt;999,999,-999)))</f>
        <v>28.6</v>
      </c>
      <c r="AI60" s="194">
        <f>SUM(AI48+AI49+AI50+AI54)</f>
        <v>36530.807000000001</v>
      </c>
      <c r="AJ60" s="444">
        <f>SUM(AJ48+AJ49+AJ50+AJ54)</f>
        <v>51072.960000000006</v>
      </c>
      <c r="AK60" s="336">
        <f t="shared" si="48"/>
        <v>39.799999999999997</v>
      </c>
      <c r="AL60" s="194">
        <f>SUM(AL48+AL49+AL50+AL54)</f>
        <v>117503</v>
      </c>
      <c r="AM60" s="444">
        <f>SUM(AM48+AM49+AM50+AM54)</f>
        <v>151735</v>
      </c>
      <c r="AN60" s="336">
        <f t="shared" si="49"/>
        <v>29.1</v>
      </c>
      <c r="AO60" s="442">
        <f t="shared" si="56"/>
        <v>393541.68944549002</v>
      </c>
      <c r="AP60" s="442">
        <f t="shared" si="57"/>
        <v>517697.80548897001</v>
      </c>
      <c r="AQ60" s="445">
        <f t="shared" si="46"/>
        <v>31.5</v>
      </c>
      <c r="AR60" s="491"/>
      <c r="AS60" s="491"/>
      <c r="AT60" s="495"/>
    </row>
    <row r="61" spans="1:46" s="464" customFormat="1" ht="20.100000000000001" customHeight="1" x14ac:dyDescent="0.3">
      <c r="A61" s="456" t="s">
        <v>338</v>
      </c>
      <c r="B61" s="194"/>
      <c r="C61" s="444"/>
      <c r="D61" s="336"/>
      <c r="E61" s="194"/>
      <c r="F61" s="444"/>
      <c r="G61" s="336"/>
      <c r="H61" s="194"/>
      <c r="I61" s="444"/>
      <c r="J61" s="336"/>
      <c r="K61" s="194"/>
      <c r="L61" s="444"/>
      <c r="M61" s="336"/>
      <c r="N61" s="194"/>
      <c r="O61" s="444"/>
      <c r="P61" s="336"/>
      <c r="Q61" s="194"/>
      <c r="R61" s="444">
        <v>4</v>
      </c>
      <c r="S61" s="336"/>
      <c r="T61" s="194"/>
      <c r="U61" s="444"/>
      <c r="V61" s="336"/>
      <c r="W61" s="194"/>
      <c r="X61" s="444"/>
      <c r="Y61" s="336"/>
      <c r="Z61" s="194"/>
      <c r="AA61" s="444"/>
      <c r="AB61" s="336"/>
      <c r="AC61" s="194"/>
      <c r="AD61" s="444"/>
      <c r="AE61" s="336"/>
      <c r="AF61" s="194"/>
      <c r="AG61" s="444"/>
      <c r="AH61" s="336"/>
      <c r="AI61" s="194"/>
      <c r="AJ61" s="444"/>
      <c r="AK61" s="336"/>
      <c r="AL61" s="194"/>
      <c r="AM61" s="444"/>
      <c r="AN61" s="336"/>
      <c r="AO61" s="442">
        <f t="shared" si="56"/>
        <v>0</v>
      </c>
      <c r="AP61" s="442">
        <f t="shared" si="57"/>
        <v>4</v>
      </c>
      <c r="AQ61" s="445" t="str">
        <f t="shared" si="46"/>
        <v xml:space="preserve">    ---- </v>
      </c>
      <c r="AR61" s="491"/>
      <c r="AS61" s="491"/>
      <c r="AT61" s="495"/>
    </row>
    <row r="62" spans="1:46" s="464" customFormat="1" ht="20.100000000000001" customHeight="1" x14ac:dyDescent="0.3">
      <c r="A62" s="458" t="s">
        <v>232</v>
      </c>
      <c r="B62" s="194">
        <f>SUM(B45+B46+B60+B61)</f>
        <v>22364.733</v>
      </c>
      <c r="C62" s="444">
        <f>SUM(C45+C46+C60+C61)</f>
        <v>28314.299000000003</v>
      </c>
      <c r="D62" s="336">
        <f>IF(B62=0, "    ---- ", IF(ABS(ROUND(100/B62*C62-100,1))&lt;999,ROUND(100/B62*C62-100,1),IF(ROUND(100/B62*C62-100,1)&gt;999,999,-999)))</f>
        <v>26.6</v>
      </c>
      <c r="E62" s="194">
        <f>SUM(E45+E46+E60+E61)</f>
        <v>6962.0330000000004</v>
      </c>
      <c r="F62" s="444"/>
      <c r="G62" s="336">
        <f>IF(E62=0, "    ---- ", IF(ABS(ROUND(100/E62*F62-100,1))&lt;999,ROUND(100/E62*F62-100,1),IF(ROUND(100/E62*F62-100,1)&gt;999,999,-999)))</f>
        <v>-100</v>
      </c>
      <c r="H62" s="194">
        <f>SUM(H45+H46+H60+H61)</f>
        <v>295914.05000000005</v>
      </c>
      <c r="I62" s="444">
        <f>SUM(I45+I46+I60+I61)</f>
        <v>330339.51653751003</v>
      </c>
      <c r="J62" s="336">
        <f t="shared" si="42"/>
        <v>11.6</v>
      </c>
      <c r="K62" s="194">
        <f>SUM(K45+K46+K60+K61)</f>
        <v>6768.9003937699999</v>
      </c>
      <c r="L62" s="444">
        <f>SUM(L45+L46+L60+L61)</f>
        <v>7806.7196156400005</v>
      </c>
      <c r="M62" s="336">
        <f>IF(K62=0, "    ---- ", IF(ABS(ROUND(100/K62*L62-100,1))&lt;999,ROUND(100/K62*L62-100,1),IF(ROUND(100/K62*L62-100,1)&gt;999,999,-999)))</f>
        <v>15.3</v>
      </c>
      <c r="N62" s="194">
        <f>SUM(N45+N46+N60+N61)</f>
        <v>5495.1450000000004</v>
      </c>
      <c r="O62" s="444">
        <f>SUM(O45+O46+O60+O61)</f>
        <v>1214.2080000000001</v>
      </c>
      <c r="P62" s="336">
        <f>IF(N62=0, "    ---- ", IF(ABS(ROUND(100/N62*O62-100,1))&lt;999,ROUND(100/N62*O62-100,1),IF(ROUND(100/N62*O62-100,1)&gt;999,999,-999)))</f>
        <v>-77.900000000000006</v>
      </c>
      <c r="Q62" s="194">
        <f>SUM(Q45+Q46+Q60+Q61)</f>
        <v>37210.400000000001</v>
      </c>
      <c r="R62" s="444">
        <f>SUM(R45+R46+R60+R61)</f>
        <v>46736</v>
      </c>
      <c r="S62" s="336">
        <f>IF(Q62=0, "    ---- ", IF(ABS(ROUND(100/Q62*R62-100,1))&lt;999,ROUND(100/Q62*R62-100,1),IF(ROUND(100/Q62*R62-100,1)&gt;999,999,-999)))</f>
        <v>25.6</v>
      </c>
      <c r="T62" s="194"/>
      <c r="U62" s="444"/>
      <c r="V62" s="336"/>
      <c r="W62" s="194">
        <f>SUM(W45+W46+W60+W61)</f>
        <v>576856.68065310991</v>
      </c>
      <c r="X62" s="444">
        <v>628494.93851624988</v>
      </c>
      <c r="Y62" s="336">
        <f>IF(W62=0, "    ---- ", IF(ABS(ROUND(100/W62*X62-100,1))&lt;999,ROUND(100/W62*X62-100,1),IF(ROUND(100/W62*X62-100,1)&gt;999,999,-999)))</f>
        <v>9</v>
      </c>
      <c r="Z62" s="194">
        <f>SUM(Z45+Z46+Z60+Z61)</f>
        <v>131977.58877127001</v>
      </c>
      <c r="AA62" s="444">
        <f>SUM(AA45+AA46+AA60+AA61)</f>
        <v>169412.37856637989</v>
      </c>
      <c r="AB62" s="336">
        <f t="shared" si="43"/>
        <v>28.4</v>
      </c>
      <c r="AC62" s="194">
        <f>SUM(AC45+AC46+AC60+AC61)</f>
        <v>94374</v>
      </c>
      <c r="AD62" s="444">
        <f>SUM(AD45+AD46+AD60+AD61)</f>
        <v>107659</v>
      </c>
      <c r="AE62" s="336">
        <f>IF(AC62=0, "    ---- ", IF(ABS(ROUND(100/AC62*AD62-100,1))&lt;999,ROUND(100/AC62*AD62-100,1),IF(ROUND(100/AC62*AD62-100,1)&gt;999,999,-999)))</f>
        <v>14.1</v>
      </c>
      <c r="AF62" s="194">
        <f>SUM(AF45+AF46+AF60+AF61)</f>
        <v>2519.6196610400002</v>
      </c>
      <c r="AG62" s="444">
        <f>SUM(AG45+AG46+AG60+AG61)</f>
        <v>3241.4234022800001</v>
      </c>
      <c r="AH62" s="336">
        <f>IF(AF62=0, "    ---- ", IF(ABS(ROUND(100/AF62*AG62-100,1))&lt;999,ROUND(100/AF62*AG62-100,1),IF(ROUND(100/AF62*AG62-100,1)&gt;999,999,-999)))</f>
        <v>28.6</v>
      </c>
      <c r="AI62" s="194">
        <f>SUM(AI45+AI46+AI60+AI61)</f>
        <v>58574.415000000001</v>
      </c>
      <c r="AJ62" s="444">
        <f>SUM(AJ45+AJ46+AJ60+AJ61)</f>
        <v>74262.33600000001</v>
      </c>
      <c r="AK62" s="336">
        <f t="shared" si="48"/>
        <v>26.8</v>
      </c>
      <c r="AL62" s="194">
        <f>SUM(AL45+AL46+AL60+AL61)</f>
        <v>321554</v>
      </c>
      <c r="AM62" s="444">
        <f>SUM(AM45+AM46+AM60+AM61)</f>
        <v>358161</v>
      </c>
      <c r="AN62" s="336">
        <f t="shared" si="49"/>
        <v>11.4</v>
      </c>
      <c r="AO62" s="442">
        <f t="shared" si="56"/>
        <v>1560571.5654791899</v>
      </c>
      <c r="AP62" s="442">
        <f t="shared" si="57"/>
        <v>1755641.8196380599</v>
      </c>
      <c r="AQ62" s="445">
        <f t="shared" si="46"/>
        <v>12.5</v>
      </c>
      <c r="AR62" s="491"/>
      <c r="AS62" s="496"/>
      <c r="AT62" s="495"/>
    </row>
    <row r="63" spans="1:46" s="499" customFormat="1" ht="20.100000000000001" customHeight="1" x14ac:dyDescent="0.3">
      <c r="A63" s="456"/>
      <c r="B63" s="196"/>
      <c r="C63" s="438"/>
      <c r="D63" s="437"/>
      <c r="E63" s="196"/>
      <c r="F63" s="438"/>
      <c r="G63" s="437"/>
      <c r="H63" s="196"/>
      <c r="I63" s="438"/>
      <c r="J63" s="437"/>
      <c r="K63" s="196"/>
      <c r="L63" s="438"/>
      <c r="M63" s="437"/>
      <c r="N63" s="196"/>
      <c r="O63" s="438"/>
      <c r="P63" s="437"/>
      <c r="Q63" s="196"/>
      <c r="R63" s="438"/>
      <c r="S63" s="446"/>
      <c r="T63" s="196"/>
      <c r="U63" s="438"/>
      <c r="V63" s="437"/>
      <c r="W63" s="196"/>
      <c r="X63" s="438"/>
      <c r="Y63" s="437"/>
      <c r="Z63" s="196"/>
      <c r="AA63" s="438"/>
      <c r="AB63" s="437"/>
      <c r="AC63" s="196"/>
      <c r="AD63" s="438"/>
      <c r="AE63" s="437"/>
      <c r="AF63" s="196"/>
      <c r="AG63" s="438"/>
      <c r="AH63" s="437"/>
      <c r="AI63" s="196"/>
      <c r="AJ63" s="438"/>
      <c r="AK63" s="437"/>
      <c r="AL63" s="196"/>
      <c r="AM63" s="438"/>
      <c r="AN63" s="437"/>
      <c r="AO63" s="447"/>
      <c r="AP63" s="447"/>
      <c r="AQ63" s="448"/>
      <c r="AR63" s="497"/>
      <c r="AS63" s="497"/>
      <c r="AT63" s="498"/>
    </row>
    <row r="64" spans="1:46" s="499" customFormat="1" ht="20.100000000000001" customHeight="1" x14ac:dyDescent="0.3">
      <c r="A64" s="456" t="s">
        <v>233</v>
      </c>
      <c r="B64" s="196">
        <f>SUM(B29+B62)</f>
        <v>23318.741000000002</v>
      </c>
      <c r="C64" s="438">
        <f>SUM(C29+C62)</f>
        <v>29356.390000000003</v>
      </c>
      <c r="D64" s="437">
        <f>IF(B64=0, "    ---- ", IF(ABS(ROUND(100/B64*C64-100,1))&lt;999,ROUND(100/B64*C64-100,1),IF(ROUND(100/B64*C64-100,1)&gt;999,999,-999)))</f>
        <v>25.9</v>
      </c>
      <c r="E64" s="196">
        <f>SUM(E29+E62)</f>
        <v>7562.4210000000003</v>
      </c>
      <c r="F64" s="438"/>
      <c r="G64" s="437">
        <f>IF(E64=0, "    ---- ", IF(ABS(ROUND(100/E64*F64-100,1))&lt;999,ROUND(100/E64*F64-100,1),IF(ROUND(100/E64*F64-100,1)&gt;999,999,-999)))</f>
        <v>-100</v>
      </c>
      <c r="H64" s="196">
        <f>SUM(H29+H62)</f>
        <v>329264.33900000004</v>
      </c>
      <c r="I64" s="438">
        <f>SUM(I29+I62)</f>
        <v>366026.10562191001</v>
      </c>
      <c r="J64" s="437">
        <f t="shared" si="42"/>
        <v>11.2</v>
      </c>
      <c r="K64" s="196">
        <f>SUM(K29+K62)</f>
        <v>9747.9841348400005</v>
      </c>
      <c r="L64" s="438">
        <f>SUM(L29+L62)</f>
        <v>11428.388645970001</v>
      </c>
      <c r="M64" s="437">
        <f>IF(K64=0, "    ---- ", IF(ABS(ROUND(100/K64*L64-100,1))&lt;999,ROUND(100/K64*L64-100,1),IF(ROUND(100/K64*L64-100,1)&gt;999,999,-999)))</f>
        <v>17.2</v>
      </c>
      <c r="N64" s="196">
        <f>SUM(N29+N62)</f>
        <v>6379.8220000000001</v>
      </c>
      <c r="O64" s="438">
        <f>SUM(O29+O62)</f>
        <v>2050.2350000000001</v>
      </c>
      <c r="P64" s="437">
        <f>IF(N64=0, "    ---- ", IF(ABS(ROUND(100/N64*O64-100,1))&lt;999,ROUND(100/N64*O64-100,1),IF(ROUND(100/N64*O64-100,1)&gt;999,999,-999)))</f>
        <v>-67.900000000000006</v>
      </c>
      <c r="Q64" s="196">
        <f>SUM(Q29+Q62)</f>
        <v>38674</v>
      </c>
      <c r="R64" s="438">
        <f>SUM(R29+R62)</f>
        <v>48295</v>
      </c>
      <c r="S64" s="446">
        <f>IF(Q64=0, "    ---- ", IF(ABS(ROUND(100/Q64*R64-100,1))&lt;999,ROUND(100/Q64*R64-100,1),IF(ROUND(100/Q64*R64-100,1)&gt;999,999,-999)))</f>
        <v>24.9</v>
      </c>
      <c r="T64" s="196">
        <f>SUM(T29+T62)</f>
        <v>151.43561832</v>
      </c>
      <c r="U64" s="438">
        <f>SUM(U29+U62)</f>
        <v>161.02412597</v>
      </c>
      <c r="V64" s="437">
        <f>IF(T64=0, "    ---- ", IF(ABS(ROUND(100/T64*U64-100,1))&lt;999,ROUND(100/T64*U64-100,1),IF(ROUND(100/T64*U64-100,1)&gt;999,999,-999)))</f>
        <v>6.3</v>
      </c>
      <c r="W64" s="196">
        <f>SUM(W29+W62)</f>
        <v>627257.88583297993</v>
      </c>
      <c r="X64" s="438">
        <v>692854.36526870984</v>
      </c>
      <c r="Y64" s="437">
        <f>IF(W64=0, "    ---- ", IF(ABS(ROUND(100/W64*X64-100,1))&lt;999,ROUND(100/W64*X64-100,1),IF(ROUND(100/W64*X64-100,1)&gt;999,999,-999)))</f>
        <v>10.5</v>
      </c>
      <c r="Z64" s="196">
        <f>SUM(Z29+Z62)</f>
        <v>143478.80877127001</v>
      </c>
      <c r="AA64" s="438">
        <f>SUM(AA29+AA62)</f>
        <v>181652.58856637988</v>
      </c>
      <c r="AB64" s="437">
        <f t="shared" si="43"/>
        <v>26.6</v>
      </c>
      <c r="AC64" s="196">
        <f>SUM(AC29+AC62)</f>
        <v>105635</v>
      </c>
      <c r="AD64" s="438">
        <f>SUM(AD29+AD62)</f>
        <v>119508</v>
      </c>
      <c r="AE64" s="437">
        <f>IF(AC64=0, "    ---- ", IF(ABS(ROUND(100/AC64*AD64-100,1))&lt;999,ROUND(100/AC64*AD64-100,1),IF(ROUND(100/AC64*AD64-100,1)&gt;999,999,-999)))</f>
        <v>13.1</v>
      </c>
      <c r="AF64" s="196">
        <f>SUM(AF29+AF62)</f>
        <v>2598.6196610400002</v>
      </c>
      <c r="AG64" s="438">
        <f>SUM(AG29+AG62)</f>
        <v>3334.29976734</v>
      </c>
      <c r="AH64" s="437">
        <f>IF(AF64=0, "    ---- ", IF(ABS(ROUND(100/AF64*AG64-100,1))&lt;999,ROUND(100/AF64*AG64-100,1),IF(ROUND(100/AF64*AG64-100,1)&gt;999,999,-999)))</f>
        <v>28.3</v>
      </c>
      <c r="AI64" s="196">
        <f>SUM(AI29+AI62)</f>
        <v>65483.330999999998</v>
      </c>
      <c r="AJ64" s="438">
        <f>SUM(AJ29+AJ62)</f>
        <v>81282.602000000014</v>
      </c>
      <c r="AK64" s="437">
        <f t="shared" si="48"/>
        <v>24.1</v>
      </c>
      <c r="AL64" s="196">
        <f>SUM(AL29+AL62)</f>
        <v>361046</v>
      </c>
      <c r="AM64" s="438">
        <f>SUM(AM29+AM62)</f>
        <v>401432</v>
      </c>
      <c r="AN64" s="437">
        <f t="shared" si="49"/>
        <v>11.2</v>
      </c>
      <c r="AO64" s="449">
        <f>B64+H64+K64+N64+Q64+T64+W64+E64+Z64+AC64+AF64+AI64+AL64</f>
        <v>1720598.3880184498</v>
      </c>
      <c r="AP64" s="449">
        <f>C64+I64+L64+O64+R64+U64+X64+F64+AA64+AD64+AG64+AJ64+AM64</f>
        <v>1937380.9989962797</v>
      </c>
      <c r="AQ64" s="448">
        <f t="shared" si="46"/>
        <v>12.6</v>
      </c>
      <c r="AR64" s="497"/>
      <c r="AS64" s="497"/>
      <c r="AT64" s="495"/>
    </row>
    <row r="65" spans="1:46" s="464" customFormat="1" ht="20.100000000000001" customHeight="1" x14ac:dyDescent="0.3">
      <c r="A65" s="460"/>
      <c r="B65" s="194"/>
      <c r="C65" s="444"/>
      <c r="D65" s="336"/>
      <c r="E65" s="194"/>
      <c r="F65" s="444"/>
      <c r="G65" s="336"/>
      <c r="H65" s="194"/>
      <c r="I65" s="444"/>
      <c r="J65" s="336"/>
      <c r="K65" s="194"/>
      <c r="L65" s="444"/>
      <c r="M65" s="336"/>
      <c r="N65" s="194"/>
      <c r="O65" s="444"/>
      <c r="P65" s="336"/>
      <c r="Q65" s="194"/>
      <c r="R65" s="444"/>
      <c r="S65" s="434"/>
      <c r="T65" s="194"/>
      <c r="U65" s="444"/>
      <c r="V65" s="336"/>
      <c r="W65" s="194"/>
      <c r="X65" s="444"/>
      <c r="Y65" s="336"/>
      <c r="Z65" s="194"/>
      <c r="AA65" s="444"/>
      <c r="AB65" s="336"/>
      <c r="AC65" s="194"/>
      <c r="AD65" s="444"/>
      <c r="AE65" s="336"/>
      <c r="AF65" s="194"/>
      <c r="AG65" s="444"/>
      <c r="AH65" s="336"/>
      <c r="AI65" s="194"/>
      <c r="AJ65" s="444"/>
      <c r="AK65" s="336"/>
      <c r="AL65" s="194"/>
      <c r="AM65" s="444"/>
      <c r="AN65" s="336"/>
      <c r="AO65" s="436"/>
      <c r="AP65" s="436"/>
      <c r="AQ65" s="445"/>
      <c r="AR65" s="491"/>
      <c r="AS65" s="491"/>
      <c r="AT65" s="495"/>
    </row>
    <row r="66" spans="1:46" s="464" customFormat="1" ht="20.100000000000001" customHeight="1" x14ac:dyDescent="0.3">
      <c r="A66" s="456" t="s">
        <v>234</v>
      </c>
      <c r="B66" s="194"/>
      <c r="C66" s="444"/>
      <c r="D66" s="336"/>
      <c r="E66" s="194"/>
      <c r="F66" s="444"/>
      <c r="G66" s="336"/>
      <c r="H66" s="194"/>
      <c r="I66" s="444"/>
      <c r="J66" s="336"/>
      <c r="K66" s="194"/>
      <c r="L66" s="444"/>
      <c r="M66" s="336"/>
      <c r="N66" s="194"/>
      <c r="O66" s="444"/>
      <c r="P66" s="336"/>
      <c r="Q66" s="194"/>
      <c r="R66" s="444"/>
      <c r="S66" s="434"/>
      <c r="T66" s="194"/>
      <c r="U66" s="444"/>
      <c r="V66" s="336"/>
      <c r="W66" s="194"/>
      <c r="X66" s="444"/>
      <c r="Y66" s="336"/>
      <c r="Z66" s="194"/>
      <c r="AA66" s="444"/>
      <c r="AB66" s="336"/>
      <c r="AC66" s="194"/>
      <c r="AD66" s="444"/>
      <c r="AE66" s="336"/>
      <c r="AF66" s="194"/>
      <c r="AG66" s="444"/>
      <c r="AH66" s="336"/>
      <c r="AI66" s="194"/>
      <c r="AJ66" s="444"/>
      <c r="AK66" s="336"/>
      <c r="AL66" s="194"/>
      <c r="AM66" s="444"/>
      <c r="AN66" s="336"/>
      <c r="AO66" s="436"/>
      <c r="AP66" s="436"/>
      <c r="AQ66" s="445"/>
      <c r="AR66" s="491"/>
      <c r="AS66" s="491"/>
      <c r="AT66" s="495"/>
    </row>
    <row r="67" spans="1:46" s="464" customFormat="1" ht="20.100000000000001" customHeight="1" x14ac:dyDescent="0.3">
      <c r="A67" s="456"/>
      <c r="B67" s="194"/>
      <c r="C67" s="444"/>
      <c r="D67" s="336"/>
      <c r="E67" s="194"/>
      <c r="F67" s="444"/>
      <c r="G67" s="336"/>
      <c r="H67" s="194"/>
      <c r="I67" s="444"/>
      <c r="J67" s="336"/>
      <c r="K67" s="194"/>
      <c r="L67" s="444"/>
      <c r="M67" s="336"/>
      <c r="N67" s="194"/>
      <c r="O67" s="444"/>
      <c r="P67" s="336"/>
      <c r="Q67" s="194"/>
      <c r="R67" s="444"/>
      <c r="S67" s="434"/>
      <c r="T67" s="194"/>
      <c r="U67" s="444"/>
      <c r="V67" s="336"/>
      <c r="W67" s="194"/>
      <c r="X67" s="444"/>
      <c r="Y67" s="336"/>
      <c r="Z67" s="194"/>
      <c r="AA67" s="444"/>
      <c r="AB67" s="336"/>
      <c r="AC67" s="194"/>
      <c r="AD67" s="444"/>
      <c r="AE67" s="336"/>
      <c r="AF67" s="194"/>
      <c r="AG67" s="444"/>
      <c r="AH67" s="336"/>
      <c r="AI67" s="194"/>
      <c r="AJ67" s="444"/>
      <c r="AK67" s="336"/>
      <c r="AL67" s="194"/>
      <c r="AM67" s="444"/>
      <c r="AN67" s="336"/>
      <c r="AO67" s="436"/>
      <c r="AP67" s="436"/>
      <c r="AQ67" s="445"/>
      <c r="AR67" s="491"/>
      <c r="AS67" s="491"/>
      <c r="AT67" s="495"/>
    </row>
    <row r="68" spans="1:46" s="464" customFormat="1" ht="20.100000000000001" customHeight="1" x14ac:dyDescent="0.3">
      <c r="A68" s="458" t="s">
        <v>235</v>
      </c>
      <c r="B68" s="194">
        <v>406.16</v>
      </c>
      <c r="C68" s="444">
        <v>406.16</v>
      </c>
      <c r="D68" s="336">
        <f>IF(B68=0, "    ---- ", IF(ABS(ROUND(100/B68*C68-100,1))&lt;999,ROUND(100/B68*C68-100,1),IF(ROUND(100/B68*C68-100,1)&gt;999,999,-999)))</f>
        <v>0</v>
      </c>
      <c r="E68" s="194">
        <v>841.25</v>
      </c>
      <c r="F68" s="444"/>
      <c r="G68" s="336">
        <f>IF(E68=0, "    ---- ", IF(ABS(ROUND(100/E68*F68-100,1))&lt;999,ROUND(100/E68*F68-100,1),IF(ROUND(100/E68*F68-100,1)&gt;999,999,-999)))</f>
        <v>-100</v>
      </c>
      <c r="H68" s="194">
        <v>7657.0529999999999</v>
      </c>
      <c r="I68" s="444">
        <v>7657.0531522000001</v>
      </c>
      <c r="J68" s="336">
        <f t="shared" si="42"/>
        <v>0</v>
      </c>
      <c r="K68" s="194">
        <v>2252.057311</v>
      </c>
      <c r="L68" s="444">
        <v>2452.057311</v>
      </c>
      <c r="M68" s="336">
        <f>IF(K68=0, "    ---- ", IF(ABS(ROUND(100/K68*L68-100,1))&lt;999,ROUND(100/K68*L68-100,1),IF(ROUND(100/K68*L68-100,1)&gt;999,999,-999)))</f>
        <v>8.9</v>
      </c>
      <c r="N68" s="194">
        <v>210</v>
      </c>
      <c r="O68" s="444">
        <v>210</v>
      </c>
      <c r="P68" s="336">
        <f>IF(N68=0, "    ---- ", IF(ABS(ROUND(100/N68*O68-100,1))&lt;999,ROUND(100/N68*O68-100,1),IF(ROUND(100/N68*O68-100,1)&gt;999,999,-999)))</f>
        <v>0</v>
      </c>
      <c r="Q68" s="194">
        <v>121.6</v>
      </c>
      <c r="R68" s="444">
        <v>122</v>
      </c>
      <c r="S68" s="434">
        <f>IF(Q68=0, "    ---- ", IF(ABS(ROUND(100/Q68*R68-100,1))&lt;999,ROUND(100/Q68*R68-100,1),IF(ROUND(100/Q68*R68-100,1)&gt;999,999,-999)))</f>
        <v>0.3</v>
      </c>
      <c r="T68" s="194">
        <v>5</v>
      </c>
      <c r="U68" s="444">
        <v>5</v>
      </c>
      <c r="V68" s="336">
        <f>IF(T68=0, "    ---- ", IF(ABS(ROUND(100/T68*U68-100,1))&lt;999,ROUND(100/T68*U68-100,1),IF(ROUND(100/T68*U68-100,1)&gt;999,999,-999)))</f>
        <v>0</v>
      </c>
      <c r="W68" s="194">
        <v>16332.611500000001</v>
      </c>
      <c r="X68" s="444">
        <v>17936.731146999999</v>
      </c>
      <c r="Y68" s="336">
        <f t="shared" ref="Y68:Y79" si="59">IF(W68=0, "    ---- ", IF(ABS(ROUND(100/W68*X68-100,1))&lt;999,ROUND(100/W68*X68-100,1),IF(ROUND(100/W68*X68-100,1)&gt;999,999,-999)))</f>
        <v>9.8000000000000007</v>
      </c>
      <c r="Z68" s="194">
        <v>1126.76</v>
      </c>
      <c r="AA68" s="444">
        <v>1126.76</v>
      </c>
      <c r="AB68" s="336">
        <f t="shared" si="43"/>
        <v>0</v>
      </c>
      <c r="AC68" s="194">
        <v>1430</v>
      </c>
      <c r="AD68" s="444">
        <v>1430</v>
      </c>
      <c r="AE68" s="336">
        <f>IF(AC68=0, "    ---- ", IF(ABS(ROUND(100/AC68*AD68-100,1))&lt;999,ROUND(100/AC68*AD68-100,1),IF(ROUND(100/AC68*AD68-100,1)&gt;999,999,-999)))</f>
        <v>0</v>
      </c>
      <c r="AF68" s="194">
        <v>48.519831859999996</v>
      </c>
      <c r="AG68" s="444">
        <v>48.519831859999996</v>
      </c>
      <c r="AH68" s="336">
        <f>IF(AF68=0, "    ---- ", IF(ABS(ROUND(100/AF68*AG68-100,1))&lt;999,ROUND(100/AF68*AG68-100,1),IF(ROUND(100/AF68*AG68-100,1)&gt;999,999,-999)))</f>
        <v>0</v>
      </c>
      <c r="AI68" s="194">
        <v>4257.0320000000002</v>
      </c>
      <c r="AJ68" s="444">
        <v>4257.0320000000002</v>
      </c>
      <c r="AK68" s="336">
        <f t="shared" si="48"/>
        <v>0</v>
      </c>
      <c r="AL68" s="194">
        <v>13850</v>
      </c>
      <c r="AM68" s="444">
        <v>14361</v>
      </c>
      <c r="AN68" s="336">
        <f t="shared" si="49"/>
        <v>3.7</v>
      </c>
      <c r="AO68" s="442">
        <f t="shared" ref="AO68:AP71" si="60">B68+H68+K68+N68+Q68+T68+W68+E68+Z68+AC68+AF68+AI68+AL68</f>
        <v>48538.043642860001</v>
      </c>
      <c r="AP68" s="442">
        <f t="shared" si="60"/>
        <v>50012.313442060004</v>
      </c>
      <c r="AQ68" s="445">
        <f t="shared" si="46"/>
        <v>3</v>
      </c>
      <c r="AR68" s="491"/>
      <c r="AS68" s="491"/>
      <c r="AT68" s="495"/>
    </row>
    <row r="69" spans="1:46" s="464" customFormat="1" ht="20.100000000000001" customHeight="1" x14ac:dyDescent="0.3">
      <c r="A69" s="458" t="s">
        <v>236</v>
      </c>
      <c r="B69" s="194">
        <v>545.39</v>
      </c>
      <c r="C69" s="444">
        <v>641.58199999999999</v>
      </c>
      <c r="D69" s="336">
        <f>IF(B69=0, "    ---- ", IF(ABS(ROUND(100/B69*C69-100,1))&lt;999,ROUND(100/B69*C69-100,1),IF(ROUND(100/B69*C69-100,1)&gt;999,999,-999)))</f>
        <v>17.600000000000001</v>
      </c>
      <c r="E69" s="194">
        <v>-288.14400000000001</v>
      </c>
      <c r="F69" s="444"/>
      <c r="G69" s="336">
        <f>IF(E69=0, "    ---- ", IF(ABS(ROUND(100/E69*F69-100,1))&lt;999,ROUND(100/E69*F69-100,1),IF(ROUND(100/E69*F69-100,1)&gt;999,999,-999)))</f>
        <v>-100</v>
      </c>
      <c r="H69" s="194">
        <v>13656.348</v>
      </c>
      <c r="I69" s="444">
        <v>17392.160554090002</v>
      </c>
      <c r="J69" s="336">
        <f t="shared" si="42"/>
        <v>27.4</v>
      </c>
      <c r="K69" s="194">
        <v>-146.34166954999998</v>
      </c>
      <c r="L69" s="444">
        <v>368.30778833000187</v>
      </c>
      <c r="M69" s="336">
        <f>IF(K69=0, "    ---- ", IF(ABS(ROUND(100/K69*L69-100,1))&lt;999,ROUND(100/K69*L69-100,1),IF(ROUND(100/K69*L69-100,1)&gt;999,999,-999)))</f>
        <v>-351.7</v>
      </c>
      <c r="N69" s="194">
        <v>382.94600000000003</v>
      </c>
      <c r="O69" s="444">
        <v>339.43200000000002</v>
      </c>
      <c r="P69" s="336">
        <f>IF(N69=0, "    ---- ", IF(ABS(ROUND(100/N69*O69-100,1))&lt;999,ROUND(100/N69*O69-100,1),IF(ROUND(100/N69*O69-100,1)&gt;999,999,-999)))</f>
        <v>-11.4</v>
      </c>
      <c r="Q69" s="194">
        <v>832.9</v>
      </c>
      <c r="R69" s="444">
        <v>980</v>
      </c>
      <c r="S69" s="434">
        <f>IF(Q69=0, "    ---- ", IF(ABS(ROUND(100/Q69*R69-100,1))&lt;999,ROUND(100/Q69*R69-100,1),IF(ROUND(100/Q69*R69-100,1)&gt;999,999,-999)))</f>
        <v>17.7</v>
      </c>
      <c r="T69" s="194">
        <v>93.217724799999999</v>
      </c>
      <c r="U69" s="444">
        <v>105.69590397</v>
      </c>
      <c r="V69" s="336">
        <f>IF(T69=0, "    ---- ", IF(ABS(ROUND(100/T69*U69-100,1))&lt;999,ROUND(100/T69*U69-100,1),IF(ROUND(100/T69*U69-100,1)&gt;999,999,-999)))</f>
        <v>13.4</v>
      </c>
      <c r="W69" s="194">
        <v>20890.19091867</v>
      </c>
      <c r="X69" s="444">
        <v>22172.270486669997</v>
      </c>
      <c r="Y69" s="336">
        <f t="shared" si="59"/>
        <v>6.1</v>
      </c>
      <c r="Z69" s="194">
        <v>6899.21</v>
      </c>
      <c r="AA69" s="444">
        <v>7772.35</v>
      </c>
      <c r="AB69" s="336">
        <f t="shared" si="43"/>
        <v>12.7</v>
      </c>
      <c r="AC69" s="194">
        <v>8340</v>
      </c>
      <c r="AD69" s="444">
        <v>9495</v>
      </c>
      <c r="AE69" s="336">
        <f>IF(AC69=0, "    ---- ", IF(ABS(ROUND(100/AC69*AD69-100,1))&lt;999,ROUND(100/AC69*AD69-100,1),IF(ROUND(100/AC69*AD69-100,1)&gt;999,999,-999)))</f>
        <v>13.8</v>
      </c>
      <c r="AF69" s="194">
        <v>20.8293916400001</v>
      </c>
      <c r="AG69" s="444">
        <v>34.971344540000104</v>
      </c>
      <c r="AH69" s="336">
        <f>IF(AF69=0, "    ---- ", IF(ABS(ROUND(100/AF69*AG69-100,1))&lt;999,ROUND(100/AF69*AG69-100,1),IF(ROUND(100/AF69*AG69-100,1)&gt;999,999,-999)))</f>
        <v>67.900000000000006</v>
      </c>
      <c r="AI69" s="194">
        <v>750.06799999999998</v>
      </c>
      <c r="AJ69" s="444">
        <v>1083.82</v>
      </c>
      <c r="AK69" s="336">
        <f t="shared" si="48"/>
        <v>44.5</v>
      </c>
      <c r="AL69" s="194">
        <v>12676</v>
      </c>
      <c r="AM69" s="444">
        <v>13285</v>
      </c>
      <c r="AN69" s="336">
        <f t="shared" si="49"/>
        <v>4.8</v>
      </c>
      <c r="AO69" s="442">
        <f t="shared" si="60"/>
        <v>64652.614365559995</v>
      </c>
      <c r="AP69" s="442">
        <f t="shared" si="60"/>
        <v>73670.590077600005</v>
      </c>
      <c r="AQ69" s="445">
        <f t="shared" si="46"/>
        <v>13.9</v>
      </c>
      <c r="AR69" s="491"/>
      <c r="AS69" s="491"/>
      <c r="AT69" s="495"/>
    </row>
    <row r="70" spans="1:46" s="464" customFormat="1" ht="20.100000000000001" customHeight="1" x14ac:dyDescent="0.3">
      <c r="A70" s="458" t="s">
        <v>237</v>
      </c>
      <c r="B70" s="194">
        <v>7.9089999999999998</v>
      </c>
      <c r="C70" s="444">
        <v>8.0370000000000008</v>
      </c>
      <c r="D70" s="444">
        <f>IF(B70=0, "    ---- ", IF(ABS(ROUND(100/B70*C70-100,1))&lt;999,ROUND(100/B70*C70-100,1),IF(ROUND(100/B70*C70-100,1)&gt;999,999,-999)))</f>
        <v>1.6</v>
      </c>
      <c r="E70" s="194">
        <v>7.2119999999999997</v>
      </c>
      <c r="F70" s="444"/>
      <c r="G70" s="336">
        <f>IF(E70=0, "    ---- ", IF(ABS(ROUND(100/E70*F70-100,1))&lt;999,ROUND(100/E70*F70-100,1),IF(ROUND(100/E70*F70-100,1)&gt;999,999,-999)))</f>
        <v>-100</v>
      </c>
      <c r="H70" s="194">
        <v>715.149</v>
      </c>
      <c r="I70" s="444">
        <v>808.35995328000001</v>
      </c>
      <c r="J70" s="336">
        <f>IF(H70=0, "    ---- ", IF(ABS(ROUND(100/H70*I70-100,1))&lt;999,ROUND(100/H70*I70-100,1),IF(ROUND(100/H70*I70-100,1)&gt;999,999,-999)))</f>
        <v>13</v>
      </c>
      <c r="K70" s="194"/>
      <c r="L70" s="444"/>
      <c r="M70" s="336"/>
      <c r="N70" s="194">
        <v>75.566999999999993</v>
      </c>
      <c r="O70" s="444">
        <v>62.503</v>
      </c>
      <c r="P70" s="336">
        <f>IF(N70=0, "    ---- ", IF(ABS(ROUND(100/N70*O70-100,1))&lt;999,ROUND(100/N70*O70-100,1),IF(ROUND(100/N70*O70-100,1)&gt;999,999,-999)))</f>
        <v>-17.3</v>
      </c>
      <c r="Q70" s="194">
        <v>38</v>
      </c>
      <c r="R70" s="444">
        <v>35</v>
      </c>
      <c r="S70" s="336">
        <f>IF(Q70=0, "    ---- ", IF(ABS(ROUND(100/Q70*R70-100,1))&lt;999,ROUND(100/Q70*R70-100,1),IF(ROUND(100/Q70*R70-100,1)&gt;999,999,-999)))</f>
        <v>-7.9</v>
      </c>
      <c r="T70" s="194"/>
      <c r="U70" s="444"/>
      <c r="V70" s="336"/>
      <c r="W70" s="194">
        <v>5797.4477980000001</v>
      </c>
      <c r="X70" s="444">
        <v>5689.2341829999996</v>
      </c>
      <c r="Y70" s="336">
        <f t="shared" si="59"/>
        <v>-1.9</v>
      </c>
      <c r="Z70" s="194">
        <v>40.270000000000003</v>
      </c>
      <c r="AA70" s="444">
        <v>76.790000000000006</v>
      </c>
      <c r="AB70" s="336">
        <f t="shared" si="43"/>
        <v>90.7</v>
      </c>
      <c r="AC70" s="194"/>
      <c r="AD70" s="444"/>
      <c r="AE70" s="336"/>
      <c r="AF70" s="194"/>
      <c r="AG70" s="444"/>
      <c r="AH70" s="336"/>
      <c r="AI70" s="194">
        <v>137.61099999999999</v>
      </c>
      <c r="AJ70" s="444">
        <v>179.34200000000001</v>
      </c>
      <c r="AK70" s="336">
        <f>IF(AI70=0, "    ---- ", IF(ABS(ROUND(100/AI70*AJ70-100,1))&lt;999,ROUND(100/AI70*AJ70-100,1),IF(ROUND(100/AI70*AJ70-100,1)&gt;999,999,-999)))</f>
        <v>30.3</v>
      </c>
      <c r="AL70" s="194">
        <v>459</v>
      </c>
      <c r="AM70" s="444">
        <v>444</v>
      </c>
      <c r="AN70" s="336">
        <f t="shared" si="49"/>
        <v>-3.3</v>
      </c>
      <c r="AO70" s="442">
        <f t="shared" si="60"/>
        <v>7278.1657980000009</v>
      </c>
      <c r="AP70" s="442">
        <f t="shared" si="60"/>
        <v>7303.266136279999</v>
      </c>
      <c r="AQ70" s="445">
        <f t="shared" si="46"/>
        <v>0.3</v>
      </c>
      <c r="AR70" s="491"/>
      <c r="AS70" s="491"/>
      <c r="AT70" s="495"/>
    </row>
    <row r="71" spans="1:46" s="464" customFormat="1" ht="20.100000000000001" customHeight="1" x14ac:dyDescent="0.3">
      <c r="A71" s="458" t="s">
        <v>238</v>
      </c>
      <c r="B71" s="194"/>
      <c r="C71" s="444"/>
      <c r="D71" s="336"/>
      <c r="E71" s="194"/>
      <c r="F71" s="444"/>
      <c r="G71" s="336"/>
      <c r="H71" s="194">
        <v>7000</v>
      </c>
      <c r="I71" s="444">
        <v>7000</v>
      </c>
      <c r="J71" s="336">
        <f t="shared" si="42"/>
        <v>0</v>
      </c>
      <c r="K71" s="194">
        <v>300</v>
      </c>
      <c r="L71" s="444">
        <v>550</v>
      </c>
      <c r="M71" s="336">
        <f>IF(K71=0, "    ---- ", IF(ABS(ROUND(100/K71*L71-100,1))&lt;999,ROUND(100/K71*L71-100,1),IF(ROUND(100/K71*L71-100,1)&gt;999,999,-999)))</f>
        <v>83.3</v>
      </c>
      <c r="N71" s="194"/>
      <c r="O71" s="444"/>
      <c r="P71" s="336"/>
      <c r="Q71" s="194">
        <v>299.89999999999998</v>
      </c>
      <c r="R71" s="444">
        <v>300</v>
      </c>
      <c r="S71" s="434">
        <f>IF(Q71=0, "    ---- ", IF(ABS(ROUND(100/Q71*R71-100,1))&lt;999,ROUND(100/Q71*R71-100,1),IF(ROUND(100/Q71*R71-100,1)&gt;999,999,-999)))</f>
        <v>0</v>
      </c>
      <c r="T71" s="194"/>
      <c r="U71" s="444"/>
      <c r="V71" s="336"/>
      <c r="W71" s="194">
        <v>5193.6224465900004</v>
      </c>
      <c r="X71" s="444">
        <v>4623.4083897199998</v>
      </c>
      <c r="Y71" s="336">
        <f t="shared" si="59"/>
        <v>-11</v>
      </c>
      <c r="Z71" s="194">
        <v>2830</v>
      </c>
      <c r="AA71" s="444">
        <v>2830</v>
      </c>
      <c r="AB71" s="336">
        <f t="shared" si="43"/>
        <v>0</v>
      </c>
      <c r="AC71" s="194">
        <v>1240</v>
      </c>
      <c r="AD71" s="444">
        <v>1240</v>
      </c>
      <c r="AE71" s="336">
        <f>IF(AC71=0, "    ---- ", IF(ABS(ROUND(100/AC71*AD71-100,1))&lt;999,ROUND(100/AC71*AD71-100,1),IF(ROUND(100/AC71*AD71-100,1)&gt;999,999,-999)))</f>
        <v>0</v>
      </c>
      <c r="AF71" s="194"/>
      <c r="AG71" s="444"/>
      <c r="AH71" s="336"/>
      <c r="AI71" s="194">
        <v>1000</v>
      </c>
      <c r="AJ71" s="444">
        <v>1000</v>
      </c>
      <c r="AK71" s="336">
        <f t="shared" si="48"/>
        <v>0</v>
      </c>
      <c r="AL71" s="194">
        <v>8832</v>
      </c>
      <c r="AM71" s="444">
        <v>10929</v>
      </c>
      <c r="AN71" s="336">
        <f t="shared" si="49"/>
        <v>23.7</v>
      </c>
      <c r="AO71" s="442">
        <f t="shared" si="60"/>
        <v>26695.522446589999</v>
      </c>
      <c r="AP71" s="442">
        <f t="shared" si="60"/>
        <v>28472.40838972</v>
      </c>
      <c r="AQ71" s="445">
        <f t="shared" si="46"/>
        <v>6.7</v>
      </c>
      <c r="AR71" s="491"/>
      <c r="AT71" s="495"/>
    </row>
    <row r="72" spans="1:46" s="464" customFormat="1" ht="20.100000000000001" customHeight="1" x14ac:dyDescent="0.3">
      <c r="A72" s="458" t="s">
        <v>239</v>
      </c>
      <c r="B72" s="194"/>
      <c r="C72" s="444"/>
      <c r="D72" s="336"/>
      <c r="E72" s="194"/>
      <c r="F72" s="444"/>
      <c r="G72" s="336"/>
      <c r="H72" s="194"/>
      <c r="I72" s="444"/>
      <c r="J72" s="336"/>
      <c r="K72" s="194"/>
      <c r="L72" s="444"/>
      <c r="M72" s="336"/>
      <c r="N72" s="194"/>
      <c r="O72" s="444"/>
      <c r="P72" s="336"/>
      <c r="Q72" s="194"/>
      <c r="R72" s="444"/>
      <c r="S72" s="434"/>
      <c r="T72" s="194"/>
      <c r="U72" s="444"/>
      <c r="V72" s="336"/>
      <c r="W72" s="194"/>
      <c r="X72" s="444">
        <v>0</v>
      </c>
      <c r="Y72" s="336" t="str">
        <f t="shared" si="59"/>
        <v xml:space="preserve">    ---- </v>
      </c>
      <c r="Z72" s="194"/>
      <c r="AA72" s="444"/>
      <c r="AB72" s="336"/>
      <c r="AC72" s="194"/>
      <c r="AD72" s="444"/>
      <c r="AE72" s="336"/>
      <c r="AF72" s="194"/>
      <c r="AG72" s="444"/>
      <c r="AH72" s="336"/>
      <c r="AI72" s="194"/>
      <c r="AJ72" s="444"/>
      <c r="AK72" s="336"/>
      <c r="AL72" s="194"/>
      <c r="AM72" s="444"/>
      <c r="AN72" s="336"/>
      <c r="AO72" s="436"/>
      <c r="AP72" s="436"/>
      <c r="AQ72" s="445"/>
      <c r="AR72" s="491"/>
      <c r="AS72" s="491"/>
      <c r="AT72" s="495"/>
    </row>
    <row r="73" spans="1:46" s="464" customFormat="1" ht="20.100000000000001" customHeight="1" x14ac:dyDescent="0.3">
      <c r="A73" s="458" t="s">
        <v>396</v>
      </c>
      <c r="B73" s="194">
        <v>1101.0809999999999</v>
      </c>
      <c r="C73" s="444">
        <v>1203.9000000000001</v>
      </c>
      <c r="D73" s="336">
        <f>IF(B73=0, "    ---- ", IF(ABS(ROUND(100/B73*C73-100,1))&lt;999,ROUND(100/B73*C73-100,1),IF(ROUND(100/B73*C73-100,1)&gt;999,999,-999)))</f>
        <v>9.3000000000000007</v>
      </c>
      <c r="E73" s="194">
        <v>1657.4860000000001</v>
      </c>
      <c r="F73" s="444"/>
      <c r="G73" s="336">
        <f>IF(E73=0, "    ---- ", IF(ABS(ROUND(100/E73*F73-100,1))&lt;999,ROUND(100/E73*F73-100,1),IF(ROUND(100/E73*F73-100,1)&gt;999,999,-999)))</f>
        <v>-100</v>
      </c>
      <c r="H73" s="194">
        <v>190282.26699999999</v>
      </c>
      <c r="I73" s="444">
        <v>189347.38728572</v>
      </c>
      <c r="J73" s="336">
        <f t="shared" si="42"/>
        <v>-0.5</v>
      </c>
      <c r="K73" s="194">
        <v>6643.0073816799986</v>
      </c>
      <c r="L73" s="444">
        <v>7330.4358193399985</v>
      </c>
      <c r="M73" s="336">
        <f>IF(K73=0, "    ---- ", IF(ABS(ROUND(100/K73*L73-100,1))&lt;999,ROUND(100/K73*L73-100,1),IF(ROUND(100/K73*L73-100,1)&gt;999,999,-999)))</f>
        <v>10.3</v>
      </c>
      <c r="N73" s="194">
        <v>1353.0440000000001</v>
      </c>
      <c r="O73" s="444">
        <v>1368.395</v>
      </c>
      <c r="P73" s="336">
        <f>IF(N73=0, "    ---- ", IF(ABS(ROUND(100/N73*O73-100,1))&lt;999,ROUND(100/N73*O73-100,1),IF(ROUND(100/N73*O73-100,1)&gt;999,999,-999)))</f>
        <v>1.1000000000000001</v>
      </c>
      <c r="Q73" s="194">
        <v>7136.6</v>
      </c>
      <c r="R73" s="444">
        <v>7663</v>
      </c>
      <c r="S73" s="434">
        <f>IF(Q73=0, "    ---- ", IF(ABS(ROUND(100/Q73*R73-100,1))&lt;999,ROUND(100/Q73*R73-100,1),IF(ROUND(100/Q73*R73-100,1)&gt;999,999,-999)))</f>
        <v>7.4</v>
      </c>
      <c r="T73" s="194">
        <v>49.090873440000003</v>
      </c>
      <c r="U73" s="444">
        <v>43.382034539999999</v>
      </c>
      <c r="V73" s="336">
        <f>IF(T73=0, "    ---- ", IF(ABS(ROUND(100/T73*U73-100,1))&lt;999,ROUND(100/T73*U73-100,1),IF(ROUND(100/T73*U73-100,1)&gt;999,999,-999)))</f>
        <v>-11.6</v>
      </c>
      <c r="W73" s="194">
        <v>464903.97871718998</v>
      </c>
      <c r="X73" s="444">
        <v>476151.54198389</v>
      </c>
      <c r="Y73" s="336">
        <f t="shared" si="59"/>
        <v>2.4</v>
      </c>
      <c r="Z73" s="194">
        <v>47099.636001120001</v>
      </c>
      <c r="AA73" s="444">
        <v>48796.08</v>
      </c>
      <c r="AB73" s="336">
        <f t="shared" si="43"/>
        <v>3.6</v>
      </c>
      <c r="AC73" s="194">
        <v>67484</v>
      </c>
      <c r="AD73" s="444">
        <v>67900</v>
      </c>
      <c r="AE73" s="336">
        <f>IF(AC73=0, "    ---- ", IF(ABS(ROUND(100/AC73*AD73-100,1))&lt;999,ROUND(100/AC73*AD73-100,1),IF(ROUND(100/AC73*AD73-100,1)&gt;999,999,-999)))</f>
        <v>0.6</v>
      </c>
      <c r="AF73" s="194"/>
      <c r="AG73" s="444"/>
      <c r="AH73" s="336"/>
      <c r="AI73" s="194">
        <v>17728.569</v>
      </c>
      <c r="AJ73" s="444">
        <v>18079.832999999999</v>
      </c>
      <c r="AK73" s="336">
        <f t="shared" si="48"/>
        <v>2</v>
      </c>
      <c r="AL73" s="194">
        <v>172534</v>
      </c>
      <c r="AM73" s="444">
        <v>181137</v>
      </c>
      <c r="AN73" s="336">
        <f t="shared" si="49"/>
        <v>5</v>
      </c>
      <c r="AO73" s="442">
        <f t="shared" ref="AO73:AP79" si="61">B73+H73+K73+N73+Q73+T73+W73+E73+Z73+AC73+AF73+AI73+AL73</f>
        <v>977972.75997342996</v>
      </c>
      <c r="AP73" s="442">
        <f t="shared" si="61"/>
        <v>999020.95512348996</v>
      </c>
      <c r="AQ73" s="445">
        <f t="shared" si="46"/>
        <v>2.2000000000000002</v>
      </c>
      <c r="AR73" s="491"/>
      <c r="AS73" s="491"/>
      <c r="AT73" s="495"/>
    </row>
    <row r="74" spans="1:46" s="464" customFormat="1" ht="20.100000000000001" customHeight="1" x14ac:dyDescent="0.3">
      <c r="A74" s="458" t="s">
        <v>240</v>
      </c>
      <c r="B74" s="194">
        <v>26.55</v>
      </c>
      <c r="C74" s="444">
        <v>29.308</v>
      </c>
      <c r="D74" s="336">
        <f>IF(B74=0, "    ---- ", IF(ABS(ROUND(100/B74*C74-100,1))&lt;999,ROUND(100/B74*C74-100,1),IF(ROUND(100/B74*C74-100,1)&gt;999,999,-999)))</f>
        <v>10.4</v>
      </c>
      <c r="E74" s="194">
        <v>109.642</v>
      </c>
      <c r="F74" s="444"/>
      <c r="G74" s="336">
        <f>IF(E74=0, "    ---- ", IF(ABS(ROUND(100/E74*F74-100,1))&lt;999,ROUND(100/E74*F74-100,1),IF(ROUND(100/E74*F74-100,1)&gt;999,999,-999)))</f>
        <v>-100</v>
      </c>
      <c r="H74" s="194">
        <v>7026.9170000000004</v>
      </c>
      <c r="I74" s="444">
        <v>6330.6770845800002</v>
      </c>
      <c r="J74" s="336">
        <f t="shared" si="42"/>
        <v>-9.9</v>
      </c>
      <c r="K74" s="194"/>
      <c r="L74" s="444"/>
      <c r="M74" s="336"/>
      <c r="N74" s="194">
        <v>7.64</v>
      </c>
      <c r="O74" s="444">
        <v>5.7919999999999998</v>
      </c>
      <c r="P74" s="336">
        <f>IF(N74=0, "    ---- ", IF(ABS(ROUND(100/N74*O74-100,1))&lt;999,ROUND(100/N74*O74-100,1),IF(ROUND(100/N74*O74-100,1)&gt;999,999,-999)))</f>
        <v>-24.2</v>
      </c>
      <c r="Q74" s="194">
        <v>284.2</v>
      </c>
      <c r="R74" s="444">
        <v>296</v>
      </c>
      <c r="S74" s="434">
        <f>IF(Q74=0, "    ---- ", IF(ABS(ROUND(100/Q74*R74-100,1))&lt;999,ROUND(100/Q74*R74-100,1),IF(ROUND(100/Q74*R74-100,1)&gt;999,999,-999)))</f>
        <v>4.2</v>
      </c>
      <c r="T74" s="194"/>
      <c r="U74" s="444"/>
      <c r="V74" s="336"/>
      <c r="W74" s="194">
        <v>35726.540239000002</v>
      </c>
      <c r="X74" s="444">
        <v>42715.335400999997</v>
      </c>
      <c r="Y74" s="336">
        <f t="shared" si="59"/>
        <v>19.600000000000001</v>
      </c>
      <c r="Z74" s="194">
        <v>2444.01277014998</v>
      </c>
      <c r="AA74" s="444">
        <v>2544.7399999999998</v>
      </c>
      <c r="AB74" s="336">
        <f t="shared" si="43"/>
        <v>4.0999999999999996</v>
      </c>
      <c r="AC74" s="194">
        <v>7228</v>
      </c>
      <c r="AD74" s="444">
        <v>7899</v>
      </c>
      <c r="AE74" s="336">
        <f>IF(AC74=0, "    ---- ", IF(ABS(ROUND(100/AC74*AD74-100,1))&lt;999,ROUND(100/AC74*AD74-100,1),IF(ROUND(100/AC74*AD74-100,1)&gt;999,999,-999)))</f>
        <v>9.3000000000000007</v>
      </c>
      <c r="AF74" s="194"/>
      <c r="AG74" s="444"/>
      <c r="AH74" s="336"/>
      <c r="AI74" s="194">
        <v>1296.3869999999999</v>
      </c>
      <c r="AJ74" s="444">
        <v>1158.644</v>
      </c>
      <c r="AK74" s="336">
        <f t="shared" si="48"/>
        <v>-10.6</v>
      </c>
      <c r="AL74" s="194">
        <v>8862</v>
      </c>
      <c r="AM74" s="444">
        <v>12476</v>
      </c>
      <c r="AN74" s="336">
        <f t="shared" si="49"/>
        <v>40.799999999999997</v>
      </c>
      <c r="AO74" s="442">
        <f t="shared" si="61"/>
        <v>63011.889009149985</v>
      </c>
      <c r="AP74" s="442">
        <f t="shared" si="61"/>
        <v>73455.496485579992</v>
      </c>
      <c r="AQ74" s="445">
        <f t="shared" si="46"/>
        <v>16.600000000000001</v>
      </c>
      <c r="AR74" s="491"/>
      <c r="AS74" s="491"/>
      <c r="AT74" s="495"/>
    </row>
    <row r="75" spans="1:46" s="464" customFormat="1" ht="20.100000000000001" customHeight="1" x14ac:dyDescent="0.3">
      <c r="A75" s="458" t="s">
        <v>241</v>
      </c>
      <c r="B75" s="194">
        <v>58.487000000000002</v>
      </c>
      <c r="C75" s="444">
        <v>64.567999999999998</v>
      </c>
      <c r="D75" s="336">
        <f>IF(B75=0, "    ---- ", IF(ABS(ROUND(100/B75*C75-100,1))&lt;999,ROUND(100/B75*C75-100,1),IF(ROUND(100/B75*C75-100,1)&gt;999,999,-999)))</f>
        <v>10.4</v>
      </c>
      <c r="E75" s="194">
        <v>15.849</v>
      </c>
      <c r="F75" s="444"/>
      <c r="G75" s="336">
        <f>IF(E75=0, "    ---- ", IF(ABS(ROUND(100/E75*F75-100,1))&lt;999,ROUND(100/E75*F75-100,1),IF(ROUND(100/E75*F75-100,1)&gt;999,999,-999)))</f>
        <v>-100</v>
      </c>
      <c r="H75" s="194">
        <v>3657.0610000000001</v>
      </c>
      <c r="I75" s="444">
        <v>1435.6604822100001</v>
      </c>
      <c r="J75" s="336">
        <f t="shared" si="42"/>
        <v>-60.7</v>
      </c>
      <c r="K75" s="194">
        <v>125.893012</v>
      </c>
      <c r="L75" s="444"/>
      <c r="M75" s="336">
        <f>IF(K75=0, "    ---- ", IF(ABS(ROUND(100/K75*L75-100,1))&lt;999,ROUND(100/K75*L75-100,1),IF(ROUND(100/K75*L75-100,1)&gt;999,999,-999)))</f>
        <v>-100</v>
      </c>
      <c r="N75" s="194">
        <v>3.5</v>
      </c>
      <c r="O75" s="444">
        <v>6.9</v>
      </c>
      <c r="P75" s="336">
        <f>IF(N75=0, "    ---- ", IF(ABS(ROUND(100/N75*O75-100,1))&lt;999,ROUND(100/N75*O75-100,1),IF(ROUND(100/N75*O75-100,1)&gt;999,999,-999)))</f>
        <v>97.1</v>
      </c>
      <c r="Q75" s="194">
        <v>1.1000000000000001</v>
      </c>
      <c r="R75" s="444">
        <v>10</v>
      </c>
      <c r="S75" s="434">
        <f>IF(Q75=0, "    ---- ", IF(ABS(ROUND(100/Q75*R75-100,1))&lt;999,ROUND(100/Q75*R75-100,1),IF(ROUND(100/Q75*R75-100,1)&gt;999,999,-999)))</f>
        <v>809.1</v>
      </c>
      <c r="T75" s="194"/>
      <c r="U75" s="444"/>
      <c r="V75" s="336"/>
      <c r="W75" s="194">
        <v>43109.966547000004</v>
      </c>
      <c r="X75" s="444">
        <v>67708.994693510002</v>
      </c>
      <c r="Y75" s="336">
        <f t="shared" si="59"/>
        <v>57.1</v>
      </c>
      <c r="Z75" s="194">
        <v>1518.49</v>
      </c>
      <c r="AA75" s="444">
        <v>2602.6</v>
      </c>
      <c r="AB75" s="336">
        <f t="shared" si="43"/>
        <v>71.400000000000006</v>
      </c>
      <c r="AC75" s="194">
        <v>16013</v>
      </c>
      <c r="AD75" s="444">
        <v>18370</v>
      </c>
      <c r="AE75" s="336">
        <f>IF(AC75=0, "    ---- ", IF(ABS(ROUND(100/AC75*AD75-100,1))&lt;999,ROUND(100/AC75*AD75-100,1),IF(ROUND(100/AC75*AD75-100,1)&gt;999,999,-999)))</f>
        <v>14.7</v>
      </c>
      <c r="AF75" s="194"/>
      <c r="AG75" s="444"/>
      <c r="AH75" s="336"/>
      <c r="AI75" s="194">
        <v>2366.6179999999999</v>
      </c>
      <c r="AJ75" s="444">
        <v>2933.1210000000001</v>
      </c>
      <c r="AK75" s="336">
        <f t="shared" si="48"/>
        <v>23.9</v>
      </c>
      <c r="AL75" s="194">
        <v>7403</v>
      </c>
      <c r="AM75" s="444">
        <v>6820</v>
      </c>
      <c r="AN75" s="336">
        <f t="shared" si="49"/>
        <v>-7.9</v>
      </c>
      <c r="AO75" s="442">
        <f t="shared" si="61"/>
        <v>74272.964559</v>
      </c>
      <c r="AP75" s="442">
        <f t="shared" si="61"/>
        <v>99951.844175720005</v>
      </c>
      <c r="AQ75" s="445">
        <f t="shared" si="46"/>
        <v>34.6</v>
      </c>
      <c r="AR75" s="491"/>
      <c r="AS75" s="491"/>
      <c r="AT75" s="495"/>
    </row>
    <row r="76" spans="1:46" s="464" customFormat="1" ht="20.100000000000001" customHeight="1" x14ac:dyDescent="0.3">
      <c r="A76" s="458" t="s">
        <v>397</v>
      </c>
      <c r="B76" s="194">
        <v>17.757999999999999</v>
      </c>
      <c r="C76" s="444">
        <v>15.632</v>
      </c>
      <c r="D76" s="336">
        <f>IF(B76=0, "    ---- ", IF(ABS(ROUND(100/B76*C76-100,1))&lt;999,ROUND(100/B76*C76-100,1),IF(ROUND(100/B76*C76-100,1)&gt;999,999,-999)))</f>
        <v>-12</v>
      </c>
      <c r="E76" s="194">
        <v>19.152999999999999</v>
      </c>
      <c r="F76" s="444"/>
      <c r="G76" s="336">
        <f>IF(E76=0, "    ---- ", IF(ABS(ROUND(100/E76*F76-100,1))&lt;999,ROUND(100/E76*F76-100,1),IF(ROUND(100/E76*F76-100,1)&gt;999,999,-999)))</f>
        <v>-100</v>
      </c>
      <c r="H76" s="194">
        <v>0</v>
      </c>
      <c r="I76" s="444">
        <v>0</v>
      </c>
      <c r="J76" s="336" t="str">
        <f t="shared" si="42"/>
        <v xml:space="preserve">    ---- </v>
      </c>
      <c r="K76" s="194"/>
      <c r="L76" s="444"/>
      <c r="M76" s="336"/>
      <c r="N76" s="194"/>
      <c r="O76" s="444"/>
      <c r="P76" s="336"/>
      <c r="Q76" s="194">
        <v>1.4</v>
      </c>
      <c r="R76" s="444">
        <v>1</v>
      </c>
      <c r="S76" s="434">
        <f>IF(Q76=0, "    ---- ", IF(ABS(ROUND(100/Q76*R76-100,1))&lt;999,ROUND(100/Q76*R76-100,1),IF(ROUND(100/Q76*R76-100,1)&gt;999,999,-999)))</f>
        <v>-28.6</v>
      </c>
      <c r="T76" s="194"/>
      <c r="U76" s="444"/>
      <c r="V76" s="336"/>
      <c r="W76" s="194">
        <v>12795.293999</v>
      </c>
      <c r="X76" s="444">
        <v>37609.649799089995</v>
      </c>
      <c r="Y76" s="336">
        <f t="shared" si="59"/>
        <v>193.9</v>
      </c>
      <c r="Z76" s="194">
        <v>793.96</v>
      </c>
      <c r="AA76" s="444">
        <v>857.24</v>
      </c>
      <c r="AB76" s="336">
        <f t="shared" si="43"/>
        <v>8</v>
      </c>
      <c r="AC76" s="194">
        <v>1460</v>
      </c>
      <c r="AD76" s="444">
        <v>7081</v>
      </c>
      <c r="AE76" s="336">
        <f t="shared" ref="AE76:AE78" si="62">IF(AC76=0, "    ---- ", IF(ABS(ROUND(100/AC76*AD76-100,1))&lt;999,ROUND(100/AC76*AD76-100,1),IF(ROUND(100/AC76*AD76-100,1)&gt;999,999,-999)))</f>
        <v>385</v>
      </c>
      <c r="AF76" s="194"/>
      <c r="AG76" s="444"/>
      <c r="AH76" s="336"/>
      <c r="AI76" s="194">
        <v>283.99</v>
      </c>
      <c r="AJ76" s="444">
        <v>257.47699999999998</v>
      </c>
      <c r="AK76" s="336">
        <f t="shared" si="48"/>
        <v>-9.3000000000000007</v>
      </c>
      <c r="AL76" s="194">
        <v>2063</v>
      </c>
      <c r="AM76" s="444">
        <v>2416</v>
      </c>
      <c r="AN76" s="336">
        <f t="shared" si="49"/>
        <v>17.100000000000001</v>
      </c>
      <c r="AO76" s="442">
        <f t="shared" si="61"/>
        <v>17434.554999</v>
      </c>
      <c r="AP76" s="442">
        <f t="shared" si="61"/>
        <v>48237.99879908999</v>
      </c>
      <c r="AQ76" s="445">
        <f t="shared" si="46"/>
        <v>176.7</v>
      </c>
      <c r="AR76" s="491"/>
      <c r="AS76" s="491"/>
      <c r="AT76" s="495"/>
    </row>
    <row r="77" spans="1:46" s="464" customFormat="1" ht="20.100000000000001" customHeight="1" x14ac:dyDescent="0.3">
      <c r="A77" s="458" t="s">
        <v>361</v>
      </c>
      <c r="B77" s="194">
        <v>55.674999999999997</v>
      </c>
      <c r="C77" s="444">
        <v>44.953000000000003</v>
      </c>
      <c r="D77" s="336">
        <f>IF(B77=0, "    ---- ", IF(ABS(ROUND(100/B77*C77-100,1))&lt;999,ROUND(100/B77*C77-100,1),IF(ROUND(100/B77*C77-100,1)&gt;999,999,-999)))</f>
        <v>-19.3</v>
      </c>
      <c r="E77" s="194"/>
      <c r="F77" s="444"/>
      <c r="G77" s="336"/>
      <c r="H77" s="194">
        <v>629.54300000000001</v>
      </c>
      <c r="I77" s="444">
        <v>551.31737009000005</v>
      </c>
      <c r="J77" s="336">
        <f t="shared" si="42"/>
        <v>-12.4</v>
      </c>
      <c r="K77" s="194"/>
      <c r="L77" s="444"/>
      <c r="M77" s="336"/>
      <c r="N77" s="194">
        <v>31.638999999999999</v>
      </c>
      <c r="O77" s="444"/>
      <c r="P77" s="336">
        <f>IF(N77=0, "    ---- ", IF(ABS(ROUND(100/N77*O77-100,1))&lt;999,ROUND(100/N77*O77-100,1),IF(ROUND(100/N77*O77-100,1)&gt;999,999,-999)))</f>
        <v>-100</v>
      </c>
      <c r="Q77" s="194"/>
      <c r="R77" s="444"/>
      <c r="S77" s="434"/>
      <c r="T77" s="194"/>
      <c r="U77" s="444"/>
      <c r="V77" s="336"/>
      <c r="W77" s="194"/>
      <c r="X77" s="444">
        <v>0</v>
      </c>
      <c r="Y77" s="336" t="str">
        <f t="shared" si="59"/>
        <v xml:space="preserve">    ---- </v>
      </c>
      <c r="Z77" s="194"/>
      <c r="AA77" s="444">
        <v>0</v>
      </c>
      <c r="AB77" s="336" t="str">
        <f t="shared" si="43"/>
        <v xml:space="preserve">    ---- </v>
      </c>
      <c r="AC77" s="194">
        <v>407</v>
      </c>
      <c r="AD77" s="444">
        <v>382</v>
      </c>
      <c r="AE77" s="336">
        <f t="shared" si="62"/>
        <v>-6.1</v>
      </c>
      <c r="AF77" s="194"/>
      <c r="AG77" s="444"/>
      <c r="AH77" s="336"/>
      <c r="AI77" s="194"/>
      <c r="AJ77" s="444"/>
      <c r="AK77" s="336"/>
      <c r="AL77" s="194">
        <v>695</v>
      </c>
      <c r="AM77" s="444">
        <v>1328.4</v>
      </c>
      <c r="AN77" s="336">
        <f t="shared" si="49"/>
        <v>91.1</v>
      </c>
      <c r="AO77" s="442">
        <f t="shared" si="61"/>
        <v>1818.857</v>
      </c>
      <c r="AP77" s="442">
        <f t="shared" si="61"/>
        <v>2306.6703700900002</v>
      </c>
      <c r="AQ77" s="445">
        <f t="shared" si="46"/>
        <v>26.8</v>
      </c>
      <c r="AR77" s="491"/>
      <c r="AS77" s="491"/>
      <c r="AT77" s="495"/>
    </row>
    <row r="78" spans="1:46" s="464" customFormat="1" ht="20.100000000000001" customHeight="1" x14ac:dyDescent="0.3">
      <c r="A78" s="458" t="s">
        <v>242</v>
      </c>
      <c r="B78" s="194"/>
      <c r="C78" s="444"/>
      <c r="D78" s="336"/>
      <c r="E78" s="194"/>
      <c r="F78" s="444"/>
      <c r="G78" s="336"/>
      <c r="H78" s="194">
        <v>420.899</v>
      </c>
      <c r="I78" s="444">
        <v>2345.7763337900001</v>
      </c>
      <c r="J78" s="336">
        <f t="shared" si="42"/>
        <v>457.3</v>
      </c>
      <c r="K78" s="194"/>
      <c r="L78" s="444"/>
      <c r="M78" s="336"/>
      <c r="N78" s="194"/>
      <c r="O78" s="444"/>
      <c r="P78" s="336"/>
      <c r="Q78" s="194">
        <v>-47.1</v>
      </c>
      <c r="R78" s="444">
        <v>29</v>
      </c>
      <c r="S78" s="434">
        <f>IF(Q78=0, "    ---- ", IF(ABS(ROUND(100/Q78*R78-100,1))&lt;999,ROUND(100/Q78*R78-100,1),IF(ROUND(100/Q78*R78-100,1)&gt;999,999,-999)))</f>
        <v>-161.6</v>
      </c>
      <c r="T78" s="194"/>
      <c r="U78" s="444"/>
      <c r="V78" s="336"/>
      <c r="W78" s="194">
        <v>3524.8378189999999</v>
      </c>
      <c r="X78" s="444">
        <v>7160.1796679999998</v>
      </c>
      <c r="Y78" s="336">
        <f t="shared" ref="Y78" si="63">IF(W78=0, "    ---- ", IF(ABS(ROUND(100/W78*X78-100,1))&lt;999,ROUND(100/W78*X78-100,1),IF(ROUND(100/W78*X78-100,1)&gt;999,999,-999)))</f>
        <v>103.1</v>
      </c>
      <c r="Z78" s="194"/>
      <c r="AA78" s="444"/>
      <c r="AB78" s="336"/>
      <c r="AC78" s="194">
        <v>533</v>
      </c>
      <c r="AD78" s="444">
        <v>4559</v>
      </c>
      <c r="AE78" s="336">
        <f t="shared" si="62"/>
        <v>755.3</v>
      </c>
      <c r="AF78" s="194"/>
      <c r="AG78" s="444"/>
      <c r="AH78" s="336"/>
      <c r="AI78" s="194">
        <v>-192.1444221899998</v>
      </c>
      <c r="AJ78" s="444">
        <v>467.40655655000018</v>
      </c>
      <c r="AK78" s="336">
        <f t="shared" si="48"/>
        <v>-343.3</v>
      </c>
      <c r="AL78" s="194">
        <v>771</v>
      </c>
      <c r="AM78" s="444">
        <v>694.2</v>
      </c>
      <c r="AN78" s="336">
        <f t="shared" si="49"/>
        <v>-10</v>
      </c>
      <c r="AO78" s="442">
        <f t="shared" si="61"/>
        <v>5010.4923968099993</v>
      </c>
      <c r="AP78" s="442">
        <f t="shared" si="61"/>
        <v>15255.562558340001</v>
      </c>
      <c r="AQ78" s="445">
        <f t="shared" si="46"/>
        <v>204.5</v>
      </c>
      <c r="AR78" s="491"/>
      <c r="AS78" s="491"/>
      <c r="AT78" s="495"/>
    </row>
    <row r="79" spans="1:46" s="464" customFormat="1" ht="20.100000000000001" customHeight="1" x14ac:dyDescent="0.3">
      <c r="A79" s="459" t="s">
        <v>243</v>
      </c>
      <c r="B79" s="194">
        <f>SUM(B73:B78)</f>
        <v>1259.5509999999999</v>
      </c>
      <c r="C79" s="444">
        <f>SUM(C73:C78)</f>
        <v>1358.3610000000001</v>
      </c>
      <c r="D79" s="336">
        <f>IF(B79=0, "    ---- ", IF(ABS(ROUND(100/B79*C79-100,1))&lt;999,ROUND(100/B79*C79-100,1),IF(ROUND(100/B79*C79-100,1)&gt;999,999,-999)))</f>
        <v>7.8</v>
      </c>
      <c r="E79" s="194">
        <f>SUM(E73:E78)</f>
        <v>1802.13</v>
      </c>
      <c r="F79" s="444"/>
      <c r="G79" s="336">
        <f>IF(E79=0, "    ---- ", IF(ABS(ROUND(100/E79*F79-100,1))&lt;999,ROUND(100/E79*F79-100,1),IF(ROUND(100/E79*F79-100,1)&gt;999,999,-999)))</f>
        <v>-100</v>
      </c>
      <c r="H79" s="194">
        <f>SUM(H73:H78)</f>
        <v>202016.68699999998</v>
      </c>
      <c r="I79" s="444">
        <f>SUM(I73:I78)</f>
        <v>200010.81855639</v>
      </c>
      <c r="J79" s="336">
        <f t="shared" si="42"/>
        <v>-1</v>
      </c>
      <c r="K79" s="194">
        <f>SUM(K73:K78)</f>
        <v>6768.9003936799982</v>
      </c>
      <c r="L79" s="444">
        <f>SUM(L73:L78)</f>
        <v>7330.4358193399985</v>
      </c>
      <c r="M79" s="336">
        <f>IF(K79=0, "    ---- ", IF(ABS(ROUND(100/K79*L79-100,1))&lt;999,ROUND(100/K79*L79-100,1),IF(ROUND(100/K79*L79-100,1)&gt;999,999,-999)))</f>
        <v>8.3000000000000007</v>
      </c>
      <c r="N79" s="194">
        <f>SUM(N73:N78)</f>
        <v>1395.8230000000001</v>
      </c>
      <c r="O79" s="444">
        <f>SUM(O73:O78)</f>
        <v>1381.087</v>
      </c>
      <c r="P79" s="336">
        <f>IF(N79=0, "    ---- ", IF(ABS(ROUND(100/N79*O79-100,1))&lt;999,ROUND(100/N79*O79-100,1),IF(ROUND(100/N79*O79-100,1)&gt;999,999,-999)))</f>
        <v>-1.1000000000000001</v>
      </c>
      <c r="Q79" s="194">
        <f>SUM(Q73:Q78)</f>
        <v>7376.2</v>
      </c>
      <c r="R79" s="444">
        <f>SUM(R73:R78)</f>
        <v>7999</v>
      </c>
      <c r="S79" s="434">
        <f>IF(Q79=0, "    ---- ", IF(ABS(ROUND(100/Q79*R79-100,1))&lt;999,ROUND(100/Q79*R79-100,1),IF(ROUND(100/Q79*R79-100,1)&gt;999,999,-999)))</f>
        <v>8.4</v>
      </c>
      <c r="T79" s="194">
        <f>SUM(T73:T78)</f>
        <v>49.090873440000003</v>
      </c>
      <c r="U79" s="444">
        <f>SUM(U73:U78)</f>
        <v>43.382034539999999</v>
      </c>
      <c r="V79" s="336">
        <f>IF(T79=0, "    ---- ", IF(ABS(ROUND(100/T79*U79-100,1))&lt;999,ROUND(100/T79*U79-100,1),IF(ROUND(100/T79*U79-100,1)&gt;999,999,-999)))</f>
        <v>-11.6</v>
      </c>
      <c r="W79" s="194">
        <f>SUM(W73:W78)</f>
        <v>560060.61732118996</v>
      </c>
      <c r="X79" s="444">
        <v>631345.70154548995</v>
      </c>
      <c r="Y79" s="336">
        <f t="shared" si="59"/>
        <v>12.7</v>
      </c>
      <c r="Z79" s="194">
        <f>SUM(Z73:Z78)</f>
        <v>51856.098771269979</v>
      </c>
      <c r="AA79" s="444">
        <f>SUM(AA73:AA78)</f>
        <v>54800.659999999996</v>
      </c>
      <c r="AB79" s="336">
        <f t="shared" si="43"/>
        <v>5.7</v>
      </c>
      <c r="AC79" s="194">
        <f>SUM(AC73:AC78)</f>
        <v>93125</v>
      </c>
      <c r="AD79" s="444">
        <f>SUM(AD73:AD78)</f>
        <v>106191</v>
      </c>
      <c r="AE79" s="336">
        <f>IF(AC79=0, "    ---- ", IF(ABS(ROUND(100/AC79*AD79-100,1))&lt;999,ROUND(100/AC79*AD79-100,1),IF(ROUND(100/AC79*AD79-100,1)&gt;999,999,-999)))</f>
        <v>14</v>
      </c>
      <c r="AF79" s="194"/>
      <c r="AG79" s="444"/>
      <c r="AH79" s="336"/>
      <c r="AI79" s="194">
        <f>SUM(AI73:AI78)</f>
        <v>21483.41957781</v>
      </c>
      <c r="AJ79" s="444">
        <f>SUM(AJ73:AJ78)</f>
        <v>22896.481556549996</v>
      </c>
      <c r="AK79" s="336">
        <f t="shared" si="48"/>
        <v>6.6</v>
      </c>
      <c r="AL79" s="194">
        <f>SUM(AL73:AL78)</f>
        <v>192328</v>
      </c>
      <c r="AM79" s="444">
        <f>SUM(AM73:AM78)</f>
        <v>204871.6</v>
      </c>
      <c r="AN79" s="336">
        <f t="shared" si="49"/>
        <v>6.5</v>
      </c>
      <c r="AO79" s="442">
        <f t="shared" si="61"/>
        <v>1139521.5179373899</v>
      </c>
      <c r="AP79" s="442">
        <f t="shared" si="61"/>
        <v>1238228.5275123101</v>
      </c>
      <c r="AQ79" s="445">
        <f t="shared" si="46"/>
        <v>8.6999999999999993</v>
      </c>
      <c r="AR79" s="491"/>
      <c r="AS79" s="491"/>
      <c r="AT79" s="495"/>
    </row>
    <row r="80" spans="1:46" s="464" customFormat="1" ht="20.100000000000001" customHeight="1" x14ac:dyDescent="0.3">
      <c r="A80" s="458" t="s">
        <v>244</v>
      </c>
      <c r="B80" s="194"/>
      <c r="C80" s="444"/>
      <c r="D80" s="336"/>
      <c r="E80" s="194"/>
      <c r="F80" s="444"/>
      <c r="G80" s="336"/>
      <c r="H80" s="194"/>
      <c r="I80" s="444"/>
      <c r="J80" s="336"/>
      <c r="K80" s="194"/>
      <c r="L80" s="444"/>
      <c r="M80" s="336"/>
      <c r="N80" s="194"/>
      <c r="O80" s="444"/>
      <c r="P80" s="336"/>
      <c r="Q80" s="194"/>
      <c r="R80" s="444"/>
      <c r="S80" s="434"/>
      <c r="T80" s="194"/>
      <c r="U80" s="444"/>
      <c r="V80" s="336"/>
      <c r="W80" s="194"/>
      <c r="X80" s="444"/>
      <c r="Y80" s="336"/>
      <c r="Z80" s="194"/>
      <c r="AA80" s="444"/>
      <c r="AB80" s="336"/>
      <c r="AC80" s="194"/>
      <c r="AD80" s="444"/>
      <c r="AE80" s="336"/>
      <c r="AF80" s="194"/>
      <c r="AG80" s="444"/>
      <c r="AH80" s="336"/>
      <c r="AI80" s="194"/>
      <c r="AJ80" s="444"/>
      <c r="AK80" s="336"/>
      <c r="AL80" s="194"/>
      <c r="AM80" s="444"/>
      <c r="AN80" s="336"/>
      <c r="AO80" s="436"/>
      <c r="AP80" s="436"/>
      <c r="AQ80" s="445"/>
      <c r="AR80" s="491"/>
      <c r="AS80" s="491"/>
      <c r="AT80" s="495"/>
    </row>
    <row r="81" spans="1:46" s="464" customFormat="1" ht="20.100000000000001" customHeight="1" x14ac:dyDescent="0.3">
      <c r="A81" s="458" t="s">
        <v>398</v>
      </c>
      <c r="B81" s="194">
        <v>20886.541000000001</v>
      </c>
      <c r="C81" s="444">
        <v>26687.618999999999</v>
      </c>
      <c r="D81" s="336">
        <f>IF(B81=0, "    ---- ", IF(ABS(ROUND(100/B81*C81-100,1))&lt;999,ROUND(100/B81*C81-100,1),IF(ROUND(100/B81*C81-100,1)&gt;999,999,-999)))</f>
        <v>27.8</v>
      </c>
      <c r="E81" s="194">
        <v>5152.0140000000001</v>
      </c>
      <c r="F81" s="444"/>
      <c r="G81" s="336">
        <f>IF(E81=0, "    ---- ", IF(ABS(ROUND(100/E81*F81-100,1))&lt;999,ROUND(100/E81*F81-100,1),IF(ROUND(100/E81*F81-100,1)&gt;999,999,-999)))</f>
        <v>-100</v>
      </c>
      <c r="H81" s="194">
        <v>94624.83</v>
      </c>
      <c r="I81" s="444">
        <v>129429.83035328001</v>
      </c>
      <c r="J81" s="336">
        <f t="shared" si="42"/>
        <v>36.799999999999997</v>
      </c>
      <c r="K81" s="194"/>
      <c r="L81" s="444"/>
      <c r="M81" s="336"/>
      <c r="N81" s="194">
        <v>4269.2669999999998</v>
      </c>
      <c r="O81" s="444"/>
      <c r="P81" s="336">
        <f>IF(N81=0, "    ---- ", IF(ABS(ROUND(100/N81*O81-100,1))&lt;999,ROUND(100/N81*O81-100,1),IF(ROUND(100/N81*O81-100,1)&gt;999,999,-999)))</f>
        <v>-100</v>
      </c>
      <c r="Q81" s="194">
        <v>29484.7</v>
      </c>
      <c r="R81" s="444">
        <v>38404</v>
      </c>
      <c r="S81" s="434">
        <f>IF(Q81=0, "    ---- ", IF(ABS(ROUND(100/Q81*R81-100,1))&lt;999,ROUND(100/Q81*R81-100,1),IF(ROUND(100/Q81*R81-100,1)&gt;999,999,-999)))</f>
        <v>30.3</v>
      </c>
      <c r="T81" s="194"/>
      <c r="U81" s="444"/>
      <c r="V81" s="336"/>
      <c r="W81" s="194">
        <v>1445.8006971500001</v>
      </c>
      <c r="X81" s="444">
        <v>1544.6398348399998</v>
      </c>
      <c r="Y81" s="336">
        <f t="shared" ref="Y81:Y91" si="64">IF(W81=0, "    ---- ", IF(ABS(ROUND(100/W81*X81-100,1))&lt;999,ROUND(100/W81*X81-100,1),IF(ROUND(100/W81*X81-100,1)&gt;999,999,-999)))</f>
        <v>6.8</v>
      </c>
      <c r="Z81" s="194">
        <v>79687.039999999994</v>
      </c>
      <c r="AA81" s="444">
        <v>114051.5</v>
      </c>
      <c r="AB81" s="336">
        <f t="shared" si="43"/>
        <v>43.1</v>
      </c>
      <c r="AC81" s="194"/>
      <c r="AD81" s="444"/>
      <c r="AE81" s="336"/>
      <c r="AF81" s="194">
        <v>2514.0670805200002</v>
      </c>
      <c r="AG81" s="444">
        <v>3229.1149632900001</v>
      </c>
      <c r="AH81" s="336">
        <f>IF(AF81=0, "    ---- ", IF(ABS(ROUND(100/AF81*AG81-100,1))&lt;999,ROUND(100/AF81*AG81-100,1),IF(ROUND(100/AF81*AG81-100,1)&gt;999,999,-999)))</f>
        <v>28.4</v>
      </c>
      <c r="AI81" s="194">
        <v>35981.123</v>
      </c>
      <c r="AJ81" s="444">
        <v>50255.305</v>
      </c>
      <c r="AK81" s="336">
        <f t="shared" si="48"/>
        <v>39.700000000000003</v>
      </c>
      <c r="AL81" s="194">
        <v>117333</v>
      </c>
      <c r="AM81" s="444">
        <v>150736</v>
      </c>
      <c r="AN81" s="336">
        <f t="shared" si="49"/>
        <v>28.5</v>
      </c>
      <c r="AO81" s="442">
        <f t="shared" ref="AO81:AO89" si="65">B81+H81+K81+N81+Q81+T81+W81+E81+Z81+AC81+AF81+AI81+AL81</f>
        <v>391378.38277766999</v>
      </c>
      <c r="AP81" s="442">
        <f t="shared" ref="AP81:AP89" si="66">C81+I81+L81+O81+R81+U81+X81+F81+AA81+AD81+AG81+AJ81+AM81</f>
        <v>514338.00915140996</v>
      </c>
      <c r="AQ81" s="445">
        <f t="shared" si="46"/>
        <v>31.4</v>
      </c>
      <c r="AR81" s="491"/>
      <c r="AS81" s="491"/>
      <c r="AT81" s="495"/>
    </row>
    <row r="82" spans="1:46" s="464" customFormat="1" ht="20.100000000000001" customHeight="1" x14ac:dyDescent="0.3">
      <c r="A82" s="458" t="s">
        <v>399</v>
      </c>
      <c r="B82" s="194"/>
      <c r="C82" s="444"/>
      <c r="D82" s="336"/>
      <c r="E82" s="194"/>
      <c r="F82" s="444"/>
      <c r="G82" s="336"/>
      <c r="H82" s="194"/>
      <c r="I82" s="444"/>
      <c r="J82" s="336"/>
      <c r="K82" s="194"/>
      <c r="L82" s="444"/>
      <c r="M82" s="336"/>
      <c r="N82" s="194"/>
      <c r="O82" s="444"/>
      <c r="P82" s="336"/>
      <c r="Q82" s="194"/>
      <c r="R82" s="444"/>
      <c r="S82" s="336"/>
      <c r="T82" s="194"/>
      <c r="U82" s="444"/>
      <c r="V82" s="336"/>
      <c r="W82" s="194">
        <v>111.006501</v>
      </c>
      <c r="X82" s="444">
        <v>126.951956</v>
      </c>
      <c r="Y82" s="336">
        <f t="shared" si="64"/>
        <v>14.4</v>
      </c>
      <c r="Z82" s="194"/>
      <c r="AA82" s="444">
        <v>0</v>
      </c>
      <c r="AB82" s="336" t="str">
        <f t="shared" si="43"/>
        <v xml:space="preserve">    ---- </v>
      </c>
      <c r="AC82" s="194"/>
      <c r="AD82" s="444"/>
      <c r="AE82" s="336"/>
      <c r="AF82" s="194"/>
      <c r="AG82" s="444"/>
      <c r="AH82" s="336"/>
      <c r="AI82" s="194"/>
      <c r="AJ82" s="444">
        <v>0</v>
      </c>
      <c r="AK82" s="336" t="str">
        <f t="shared" si="48"/>
        <v xml:space="preserve">    ---- </v>
      </c>
      <c r="AL82" s="194"/>
      <c r="AM82" s="444"/>
      <c r="AN82" s="336"/>
      <c r="AO82" s="442">
        <f t="shared" si="65"/>
        <v>111.006501</v>
      </c>
      <c r="AP82" s="442">
        <f t="shared" si="66"/>
        <v>126.951956</v>
      </c>
      <c r="AQ82" s="445">
        <f t="shared" si="46"/>
        <v>14.4</v>
      </c>
      <c r="AR82" s="491"/>
      <c r="AS82" s="491"/>
      <c r="AT82" s="495"/>
    </row>
    <row r="83" spans="1:46" s="464" customFormat="1" ht="20.100000000000001" customHeight="1" x14ac:dyDescent="0.3">
      <c r="A83" s="458" t="s">
        <v>400</v>
      </c>
      <c r="B83" s="613">
        <v>62.372</v>
      </c>
      <c r="C83" s="336">
        <v>76.320999999999998</v>
      </c>
      <c r="D83" s="336">
        <f>IF(B83=0, "    ---- ", IF(ABS(ROUND(100/B83*C83-100,1))&lt;999,ROUND(100/B83*C83-100,1),IF(ROUND(100/B83*C83-100,1)&gt;999,999,-999)))</f>
        <v>22.4</v>
      </c>
      <c r="E83" s="613">
        <v>15.896000000000001</v>
      </c>
      <c r="F83" s="336"/>
      <c r="G83" s="336">
        <f>IF(E83=0, "    ---- ", IF(ABS(ROUND(100/E83*F83-100,1))&lt;999,ROUND(100/E83*F83-100,1),IF(ROUND(100/E83*F83-100,1)&gt;999,999,-999)))</f>
        <v>-100</v>
      </c>
      <c r="H83" s="613">
        <v>569.08000000000004</v>
      </c>
      <c r="I83" s="444">
        <v>536.35696285999995</v>
      </c>
      <c r="J83" s="336">
        <f t="shared" si="42"/>
        <v>-5.8</v>
      </c>
      <c r="K83" s="613"/>
      <c r="L83" s="336"/>
      <c r="M83" s="336"/>
      <c r="N83" s="613"/>
      <c r="O83" s="336"/>
      <c r="P83" s="336"/>
      <c r="Q83" s="613">
        <v>270.2</v>
      </c>
      <c r="R83" s="336">
        <v>248</v>
      </c>
      <c r="S83" s="336">
        <f>IF(Q83=0, "    ---- ", IF(ABS(ROUND(100/Q83*R83-100,1))&lt;999,ROUND(100/Q83*R83-100,1),IF(ROUND(100/Q83*R83-100,1)&gt;999,999,-999)))</f>
        <v>-8.1999999999999993</v>
      </c>
      <c r="T83" s="613"/>
      <c r="U83" s="336"/>
      <c r="V83" s="336"/>
      <c r="W83" s="613">
        <v>442.71931999999998</v>
      </c>
      <c r="X83" s="336">
        <v>481.22296992000003</v>
      </c>
      <c r="Y83" s="336">
        <f t="shared" si="64"/>
        <v>8.6999999999999993</v>
      </c>
      <c r="Z83" s="613"/>
      <c r="AA83" s="336">
        <v>0</v>
      </c>
      <c r="AB83" s="336"/>
      <c r="AC83" s="613"/>
      <c r="AD83" s="336"/>
      <c r="AE83" s="336"/>
      <c r="AF83" s="613"/>
      <c r="AG83" s="336"/>
      <c r="AH83" s="336"/>
      <c r="AI83" s="613">
        <v>555.36</v>
      </c>
      <c r="AJ83" s="336">
        <v>693.14800000000002</v>
      </c>
      <c r="AK83" s="336">
        <f t="shared" si="48"/>
        <v>24.8</v>
      </c>
      <c r="AL83" s="613"/>
      <c r="AM83" s="336"/>
      <c r="AN83" s="336"/>
      <c r="AO83" s="442">
        <f t="shared" si="65"/>
        <v>1915.6273200000001</v>
      </c>
      <c r="AP83" s="442">
        <f t="shared" si="66"/>
        <v>2035.0489327800001</v>
      </c>
      <c r="AQ83" s="445">
        <f t="shared" si="46"/>
        <v>6.2</v>
      </c>
      <c r="AR83" s="491"/>
      <c r="AS83" s="491"/>
      <c r="AT83" s="495"/>
    </row>
    <row r="84" spans="1:46" s="464" customFormat="1" ht="20.100000000000001" customHeight="1" x14ac:dyDescent="0.3">
      <c r="A84" s="458" t="s">
        <v>242</v>
      </c>
      <c r="B84" s="194"/>
      <c r="C84" s="444"/>
      <c r="D84" s="444"/>
      <c r="E84" s="194"/>
      <c r="F84" s="444"/>
      <c r="G84" s="336"/>
      <c r="H84" s="194"/>
      <c r="I84" s="444"/>
      <c r="J84" s="444"/>
      <c r="K84" s="194"/>
      <c r="L84" s="444"/>
      <c r="M84" s="444"/>
      <c r="N84" s="194"/>
      <c r="O84" s="444"/>
      <c r="P84" s="444"/>
      <c r="Q84" s="194"/>
      <c r="R84" s="444"/>
      <c r="S84" s="434"/>
      <c r="T84" s="194"/>
      <c r="U84" s="444"/>
      <c r="V84" s="336"/>
      <c r="W84" s="194">
        <v>-66.371897000000004</v>
      </c>
      <c r="X84" s="444">
        <v>79.998251999999994</v>
      </c>
      <c r="Y84" s="336">
        <f t="shared" si="64"/>
        <v>-220.5</v>
      </c>
      <c r="Z84" s="194"/>
      <c r="AA84" s="444">
        <v>0</v>
      </c>
      <c r="AB84" s="336"/>
      <c r="AC84" s="194"/>
      <c r="AD84" s="444"/>
      <c r="AE84" s="336"/>
      <c r="AF84" s="194"/>
      <c r="AG84" s="444"/>
      <c r="AH84" s="444"/>
      <c r="AI84" s="194"/>
      <c r="AJ84" s="444"/>
      <c r="AK84" s="336"/>
      <c r="AL84" s="194"/>
      <c r="AM84" s="444"/>
      <c r="AN84" s="336"/>
      <c r="AO84" s="442">
        <f t="shared" si="65"/>
        <v>-66.371897000000004</v>
      </c>
      <c r="AP84" s="442">
        <f t="shared" si="66"/>
        <v>79.998251999999994</v>
      </c>
      <c r="AQ84" s="445">
        <f t="shared" si="46"/>
        <v>-220.5</v>
      </c>
      <c r="AR84" s="491"/>
      <c r="AS84" s="491"/>
      <c r="AT84" s="495"/>
    </row>
    <row r="85" spans="1:46" s="464" customFormat="1" ht="20.100000000000001" customHeight="1" x14ac:dyDescent="0.3">
      <c r="A85" s="459" t="s">
        <v>245</v>
      </c>
      <c r="B85" s="194">
        <f>SUM(B81:B84)</f>
        <v>20948.913</v>
      </c>
      <c r="C85" s="444">
        <f>SUM(C81:C84)</f>
        <v>26763.94</v>
      </c>
      <c r="D85" s="444">
        <f>IF(B85=0, "    ---- ", IF(ABS(ROUND(100/B85*C85-100,1))&lt;999,ROUND(100/B85*C85-100,1),IF(ROUND(100/B85*C85-100,1)&gt;999,999,-999)))</f>
        <v>27.8</v>
      </c>
      <c r="E85" s="194">
        <f>SUM(E81:E84)</f>
        <v>5167.91</v>
      </c>
      <c r="F85" s="444"/>
      <c r="G85" s="336">
        <f>IF(E85=0, "    ---- ", IF(ABS(ROUND(100/E85*F85-100,1))&lt;999,ROUND(100/E85*F85-100,1),IF(ROUND(100/E85*F85-100,1)&gt;999,999,-999)))</f>
        <v>-100</v>
      </c>
      <c r="H85" s="194">
        <f>SUM(H81:H84)</f>
        <v>95193.91</v>
      </c>
      <c r="I85" s="444">
        <f>SUM(I81:I84)</f>
        <v>129966.18731614</v>
      </c>
      <c r="J85" s="444">
        <f t="shared" si="42"/>
        <v>36.5</v>
      </c>
      <c r="K85" s="194"/>
      <c r="L85" s="444"/>
      <c r="M85" s="444"/>
      <c r="N85" s="194">
        <f>SUM(N81:N84)</f>
        <v>4269.2669999999998</v>
      </c>
      <c r="O85" s="444">
        <f>SUM(O81:O84)</f>
        <v>0</v>
      </c>
      <c r="P85" s="444">
        <f>IF(N85=0, "    ---- ", IF(ABS(ROUND(100/N85*O85-100,1))&lt;999,ROUND(100/N85*O85-100,1),IF(ROUND(100/N85*O85-100,1)&gt;999,999,-999)))</f>
        <v>-100</v>
      </c>
      <c r="Q85" s="194">
        <f>SUM(Q81:Q84)</f>
        <v>29754.9</v>
      </c>
      <c r="R85" s="444">
        <f>SUM(R81:R84)</f>
        <v>38652</v>
      </c>
      <c r="S85" s="434">
        <f>IF(Q85=0, "    ---- ", IF(ABS(ROUND(100/Q85*R85-100,1))&lt;999,ROUND(100/Q85*R85-100,1),IF(ROUND(100/Q85*R85-100,1)&gt;999,999,-999)))</f>
        <v>29.9</v>
      </c>
      <c r="T85" s="194"/>
      <c r="U85" s="444"/>
      <c r="V85" s="336"/>
      <c r="W85" s="194">
        <f>SUM(W81:W84)</f>
        <v>1933.1546211500001</v>
      </c>
      <c r="X85" s="444">
        <v>2232.8130127599998</v>
      </c>
      <c r="Y85" s="336">
        <f t="shared" si="64"/>
        <v>15.5</v>
      </c>
      <c r="Z85" s="194">
        <f>SUM(Z81:Z84)</f>
        <v>79687.039999999994</v>
      </c>
      <c r="AA85" s="444">
        <f>SUM(AA81:AA84)</f>
        <v>114051.5</v>
      </c>
      <c r="AB85" s="336">
        <f t="shared" si="43"/>
        <v>43.1</v>
      </c>
      <c r="AC85" s="194"/>
      <c r="AD85" s="444"/>
      <c r="AE85" s="336"/>
      <c r="AF85" s="194">
        <f>SUM(AF81:AF84)</f>
        <v>2514.0670805200002</v>
      </c>
      <c r="AG85" s="444">
        <f>SUM(AG81:AG84)</f>
        <v>3229.1149632900001</v>
      </c>
      <c r="AH85" s="444">
        <f>IF(AF85=0, "    ---- ", IF(ABS(ROUND(100/AF85*AG85-100,1))&lt;999,ROUND(100/AF85*AG85-100,1),IF(ROUND(100/AF85*AG85-100,1)&gt;999,999,-999)))</f>
        <v>28.4</v>
      </c>
      <c r="AI85" s="194">
        <f>SUM(AI81:AI84)</f>
        <v>36536.483</v>
      </c>
      <c r="AJ85" s="444">
        <f>SUM(AJ81:AJ84)</f>
        <v>50948.453000000001</v>
      </c>
      <c r="AK85" s="336">
        <f t="shared" si="48"/>
        <v>39.4</v>
      </c>
      <c r="AL85" s="194">
        <f>SUM(AL81:AL84)</f>
        <v>117333</v>
      </c>
      <c r="AM85" s="444">
        <f>SUM(AM81:AM84)</f>
        <v>150736</v>
      </c>
      <c r="AN85" s="336">
        <f t="shared" si="49"/>
        <v>28.5</v>
      </c>
      <c r="AO85" s="442">
        <f t="shared" si="65"/>
        <v>393338.64470166998</v>
      </c>
      <c r="AP85" s="442">
        <f t="shared" si="66"/>
        <v>516580.00829218997</v>
      </c>
      <c r="AQ85" s="445">
        <f t="shared" si="46"/>
        <v>31.3</v>
      </c>
      <c r="AR85" s="491"/>
      <c r="AS85" s="491"/>
      <c r="AT85" s="495"/>
    </row>
    <row r="86" spans="1:46" s="464" customFormat="1" ht="20.100000000000001" customHeight="1" x14ac:dyDescent="0.3">
      <c r="A86" s="458" t="s">
        <v>246</v>
      </c>
      <c r="B86" s="194">
        <v>41.439</v>
      </c>
      <c r="C86" s="444">
        <v>28.721</v>
      </c>
      <c r="D86" s="336">
        <f>IF(B86=0, "    ---- ", IF(ABS(ROUND(100/B86*C86-100,1))&lt;999,ROUND(100/B86*C86-100,1),IF(ROUND(100/B86*C86-100,1)&gt;999,999,-999)))</f>
        <v>-30.7</v>
      </c>
      <c r="E86" s="194">
        <v>11.999000000000001</v>
      </c>
      <c r="F86" s="444"/>
      <c r="G86" s="336">
        <f>IF(E86=0, "    ---- ", IF(ABS(ROUND(100/E86*F86-100,1))&lt;999,ROUND(100/E86*F86-100,1),IF(ROUND(100/E86*F86-100,1)&gt;999,999,-999)))</f>
        <v>-100</v>
      </c>
      <c r="H86" s="194">
        <v>822.58600000000001</v>
      </c>
      <c r="I86" s="444">
        <v>1887.4520761499998</v>
      </c>
      <c r="J86" s="336">
        <f t="shared" si="42"/>
        <v>129.5</v>
      </c>
      <c r="K86" s="194">
        <v>-22.1221752900002</v>
      </c>
      <c r="L86" s="444">
        <v>186.70778716999999</v>
      </c>
      <c r="M86" s="336">
        <f>IF(K86=0, "    ---- ", IF(ABS(ROUND(100/K86*L86-100,1))&lt;999,ROUND(100/K86*L86-100,1),IF(ROUND(100/K86*L86-100,1)&gt;999,999,-999)))</f>
        <v>-944</v>
      </c>
      <c r="N86" s="194">
        <v>107.014</v>
      </c>
      <c r="O86" s="444">
        <v>102.422</v>
      </c>
      <c r="P86" s="336">
        <f>IF(N86=0, "    ---- ", IF(ABS(ROUND(100/N86*O86-100,1))&lt;999,ROUND(100/N86*O86-100,1),IF(ROUND(100/N86*O86-100,1)&gt;999,999,-999)))</f>
        <v>-4.3</v>
      </c>
      <c r="Q86" s="194">
        <v>104</v>
      </c>
      <c r="R86" s="444">
        <v>51</v>
      </c>
      <c r="S86" s="336">
        <f>IF(Q86=0, "    ---- ", IF(ABS(ROUND(100/Q86*R86-100,1))&lt;999,ROUND(100/Q86*R86-100,1),IF(ROUND(100/Q86*R86-100,1)&gt;999,999,-999)))</f>
        <v>-51</v>
      </c>
      <c r="T86" s="194"/>
      <c r="U86" s="444"/>
      <c r="V86" s="336"/>
      <c r="W86" s="103">
        <v>2321.8546807600001</v>
      </c>
      <c r="X86" s="444">
        <v>1505.2630290299999</v>
      </c>
      <c r="Y86" s="336">
        <f t="shared" si="64"/>
        <v>-35.200000000000003</v>
      </c>
      <c r="Z86" s="194">
        <v>465.89</v>
      </c>
      <c r="AA86" s="444">
        <v>474.19</v>
      </c>
      <c r="AB86" s="336">
        <f t="shared" si="43"/>
        <v>1.8</v>
      </c>
      <c r="AC86" s="194"/>
      <c r="AD86" s="444"/>
      <c r="AE86" s="336"/>
      <c r="AF86" s="194"/>
      <c r="AG86" s="444"/>
      <c r="AH86" s="336"/>
      <c r="AI86" s="194">
        <v>747.51700000000005</v>
      </c>
      <c r="AJ86" s="444">
        <v>414.62700000000001</v>
      </c>
      <c r="AK86" s="336">
        <f t="shared" si="48"/>
        <v>-44.5</v>
      </c>
      <c r="AL86" s="194">
        <v>7</v>
      </c>
      <c r="AM86" s="444">
        <v>7</v>
      </c>
      <c r="AN86" s="336">
        <f t="shared" si="49"/>
        <v>0</v>
      </c>
      <c r="AO86" s="442">
        <f t="shared" si="65"/>
        <v>4607.1775054699992</v>
      </c>
      <c r="AP86" s="442">
        <f t="shared" si="66"/>
        <v>4657.3828923499996</v>
      </c>
      <c r="AQ86" s="445">
        <f t="shared" si="46"/>
        <v>1.1000000000000001</v>
      </c>
      <c r="AR86" s="491"/>
      <c r="AS86" s="491"/>
      <c r="AT86" s="495"/>
    </row>
    <row r="87" spans="1:46" s="464" customFormat="1" ht="20.100000000000001" customHeight="1" x14ac:dyDescent="0.3">
      <c r="A87" s="458" t="s">
        <v>247</v>
      </c>
      <c r="B87" s="194"/>
      <c r="C87" s="444"/>
      <c r="D87" s="336"/>
      <c r="E87" s="194"/>
      <c r="F87" s="444"/>
      <c r="G87" s="336"/>
      <c r="H87" s="194"/>
      <c r="I87" s="444"/>
      <c r="J87" s="336"/>
      <c r="K87" s="194">
        <v>363.38940428999996</v>
      </c>
      <c r="L87" s="444">
        <v>364.02835593000003</v>
      </c>
      <c r="M87" s="444">
        <f t="shared" ref="M87:M88" si="67">IF(K87=0, "    ---- ", IF(ABS(ROUND(100/K87*L87-100,1))&lt;999,ROUND(100/K87*L87-100,1),IF(ROUND(100/K87*L87-100,1)&gt;999,999,-999)))</f>
        <v>0.2</v>
      </c>
      <c r="N87" s="194"/>
      <c r="O87" s="444"/>
      <c r="P87" s="336"/>
      <c r="Q87" s="194"/>
      <c r="R87" s="444"/>
      <c r="S87" s="336"/>
      <c r="T87" s="194"/>
      <c r="U87" s="444"/>
      <c r="V87" s="336"/>
      <c r="W87" s="103"/>
      <c r="X87" s="444">
        <v>0</v>
      </c>
      <c r="Y87" s="336"/>
      <c r="Z87" s="194"/>
      <c r="AA87" s="444">
        <v>0</v>
      </c>
      <c r="AB87" s="336" t="str">
        <f t="shared" si="43"/>
        <v xml:space="preserve">    ---- </v>
      </c>
      <c r="AC87" s="194"/>
      <c r="AD87" s="444"/>
      <c r="AE87" s="336"/>
      <c r="AF87" s="194"/>
      <c r="AG87" s="444"/>
      <c r="AH87" s="336"/>
      <c r="AI87" s="194">
        <v>0</v>
      </c>
      <c r="AJ87" s="444">
        <v>4.0069999999999997</v>
      </c>
      <c r="AK87" s="336" t="str">
        <f t="shared" si="48"/>
        <v xml:space="preserve">    ---- </v>
      </c>
      <c r="AL87" s="194"/>
      <c r="AM87" s="444"/>
      <c r="AN87" s="336"/>
      <c r="AO87" s="442">
        <f t="shared" si="65"/>
        <v>363.38940428999996</v>
      </c>
      <c r="AP87" s="442">
        <f t="shared" si="66"/>
        <v>368.03535593000004</v>
      </c>
      <c r="AQ87" s="445">
        <f t="shared" si="46"/>
        <v>1.3</v>
      </c>
      <c r="AR87" s="491"/>
      <c r="AS87" s="491"/>
      <c r="AT87" s="495"/>
    </row>
    <row r="88" spans="1:46" s="464" customFormat="1" ht="20.100000000000001" customHeight="1" x14ac:dyDescent="0.3">
      <c r="A88" s="458" t="s">
        <v>248</v>
      </c>
      <c r="B88" s="194">
        <v>81.653999999999996</v>
      </c>
      <c r="C88" s="444">
        <v>119.15900000000001</v>
      </c>
      <c r="D88" s="444">
        <f>IF(B88=0, "    ---- ", IF(ABS(ROUND(100/B88*C88-100,1))&lt;999,ROUND(100/B88*C88-100,1),IF(ROUND(100/B88*C88-100,1)&gt;999,999,-999)))</f>
        <v>45.9</v>
      </c>
      <c r="E88" s="194">
        <v>15.693</v>
      </c>
      <c r="F88" s="444"/>
      <c r="G88" s="336">
        <f>IF(E88=0, "    ---- ", IF(ABS(ROUND(100/E88*F88-100,1))&lt;999,ROUND(100/E88*F88-100,1),IF(ROUND(100/E88*F88-100,1)&gt;999,999,-999)))</f>
        <v>-100</v>
      </c>
      <c r="H88" s="194">
        <v>2825.9360000000001</v>
      </c>
      <c r="I88" s="444">
        <v>1846.8153584199933</v>
      </c>
      <c r="J88" s="444">
        <f t="shared" si="42"/>
        <v>-34.6</v>
      </c>
      <c r="K88" s="194">
        <v>228.84756372000001</v>
      </c>
      <c r="L88" s="444">
        <v>178.21455343999997</v>
      </c>
      <c r="M88" s="444">
        <f t="shared" si="67"/>
        <v>-22.1</v>
      </c>
      <c r="N88" s="194"/>
      <c r="O88" s="444"/>
      <c r="P88" s="444"/>
      <c r="Q88" s="194">
        <v>163.5</v>
      </c>
      <c r="R88" s="444">
        <v>168</v>
      </c>
      <c r="S88" s="434">
        <f>IF(Q88=0, "    ---- ", IF(ABS(ROUND(100/Q88*R88-100,1))&lt;999,ROUND(100/Q88*R88-100,1),IF(ROUND(100/Q88*R88-100,1)&gt;999,999,-999)))</f>
        <v>2.8</v>
      </c>
      <c r="T88" s="194">
        <v>3.18047681</v>
      </c>
      <c r="U88" s="444">
        <v>5.9670474000000002</v>
      </c>
      <c r="V88" s="336">
        <f>IF(T88=0, "    ---- ", IF(ABS(ROUND(100/T88*U88-100,1))&lt;999,ROUND(100/T88*U88-100,1),IF(ROUND(100/T88*U88-100,1)&gt;999,999,-999)))</f>
        <v>87.6</v>
      </c>
      <c r="W88" s="103">
        <v>20399.075434840001</v>
      </c>
      <c r="X88" s="444">
        <v>12926.19952072</v>
      </c>
      <c r="Y88" s="336">
        <f t="shared" si="64"/>
        <v>-36.6</v>
      </c>
      <c r="Z88" s="194">
        <v>571.66999999999996</v>
      </c>
      <c r="AA88" s="444">
        <v>557.30999999999995</v>
      </c>
      <c r="AB88" s="336">
        <f t="shared" si="43"/>
        <v>-2.5</v>
      </c>
      <c r="AC88" s="194">
        <v>1500</v>
      </c>
      <c r="AD88" s="444">
        <f>810+258+85-1</f>
        <v>1152</v>
      </c>
      <c r="AE88" s="336">
        <f>IF(AC88=0, "    ---- ", IF(ABS(ROUND(100/AC88*AD88-100,1))&lt;999,ROUND(100/AC88*AD88-100,1),IF(ROUND(100/AC88*AD88-100,1)&gt;999,999,-999)))</f>
        <v>-23.2</v>
      </c>
      <c r="AF88" s="194">
        <v>15.99499366</v>
      </c>
      <c r="AG88" s="444">
        <v>21.15887743</v>
      </c>
      <c r="AH88" s="336">
        <f>IF(AF88=0, "    ---- ", IF(ABS(ROUND(100/AF88*AG88-100,1))&lt;999,ROUND(100/AF88*AG88-100,1),IF(ROUND(100/AF88*AG88-100,1)&gt;999,999,-999)))</f>
        <v>32.299999999999997</v>
      </c>
      <c r="AI88" s="194">
        <v>671.28800000000001</v>
      </c>
      <c r="AJ88" s="444">
        <v>644.89099999999996</v>
      </c>
      <c r="AK88" s="336">
        <f t="shared" si="48"/>
        <v>-3.9</v>
      </c>
      <c r="AL88" s="194">
        <v>15879</v>
      </c>
      <c r="AM88" s="444">
        <v>7071</v>
      </c>
      <c r="AN88" s="336">
        <f t="shared" si="49"/>
        <v>-55.5</v>
      </c>
      <c r="AO88" s="442">
        <f t="shared" si="65"/>
        <v>42355.839469029997</v>
      </c>
      <c r="AP88" s="442">
        <f t="shared" si="66"/>
        <v>24690.715357409994</v>
      </c>
      <c r="AQ88" s="445">
        <f t="shared" si="46"/>
        <v>-41.7</v>
      </c>
      <c r="AR88" s="491"/>
      <c r="AS88" s="491"/>
      <c r="AT88" s="495"/>
    </row>
    <row r="89" spans="1:46" s="464" customFormat="1" ht="20.100000000000001" customHeight="1" x14ac:dyDescent="0.3">
      <c r="A89" s="458" t="s">
        <v>249</v>
      </c>
      <c r="B89" s="194">
        <v>35.622</v>
      </c>
      <c r="C89" s="444">
        <v>38.466999999999999</v>
      </c>
      <c r="D89" s="444">
        <f>IF(B89=0, "    ---- ", IF(ABS(ROUND(100/B89*C89-100,1))&lt;999,ROUND(100/B89*C89-100,1),IF(ROUND(100/B89*C89-100,1)&gt;999,999,-999)))</f>
        <v>8</v>
      </c>
      <c r="E89" s="194">
        <v>11.582000000000001</v>
      </c>
      <c r="F89" s="444"/>
      <c r="G89" s="336">
        <f>IF(E89=0, "    ---- ", IF(ABS(ROUND(100/E89*F89-100,1))&lt;999,ROUND(100/E89*F89-100,1),IF(ROUND(100/E89*F89-100,1)&gt;999,999,-999)))</f>
        <v>-100</v>
      </c>
      <c r="H89" s="194">
        <v>91.819000000000003</v>
      </c>
      <c r="I89" s="444">
        <v>265.94378303999997</v>
      </c>
      <c r="J89" s="444">
        <f t="shared" si="42"/>
        <v>189.6</v>
      </c>
      <c r="K89" s="194">
        <v>3.2533069899999996</v>
      </c>
      <c r="L89" s="444">
        <v>-1.9410602400000003</v>
      </c>
      <c r="M89" s="444">
        <f>IF(K89=0, "    ---- ", IF(ABS(ROUND(100/K89*L89-100,1))&lt;999,ROUND(100/K89*L89-100,1),IF(ROUND(100/K89*L89-100,1)&gt;999,999,-999)))</f>
        <v>-159.69999999999999</v>
      </c>
      <c r="N89" s="194">
        <v>14.773999999999999</v>
      </c>
      <c r="O89" s="444">
        <v>17.295000000000002</v>
      </c>
      <c r="P89" s="444">
        <f>IF(N89=0, "    ---- ", IF(ABS(ROUND(100/N89*O89-100,1))&lt;999,ROUND(100/N89*O89-100,1),IF(ROUND(100/N89*O89-100,1)&gt;999,999,-999)))</f>
        <v>17.100000000000001</v>
      </c>
      <c r="Q89" s="194">
        <v>21.4</v>
      </c>
      <c r="R89" s="444">
        <v>23</v>
      </c>
      <c r="S89" s="336">
        <f>IF(Q89=0, "    ---- ", IF(ABS(ROUND(100/Q89*R89-100,1))&lt;999,ROUND(100/Q89*R89-100,1),IF(ROUND(100/Q89*R89-100,1)&gt;999,999,-999)))</f>
        <v>7.5</v>
      </c>
      <c r="T89" s="194">
        <v>0.28572829999999999</v>
      </c>
      <c r="U89" s="444">
        <v>0.97914009000000002</v>
      </c>
      <c r="V89" s="336">
        <f>IF(T89=0, "    ---- ", IF(ABS(ROUND(100/T89*U89-100,1))&lt;999,ROUND(100/T89*U89-100,1),IF(ROUND(100/T89*U89-100,1)&gt;999,999,-999)))</f>
        <v>242.7</v>
      </c>
      <c r="W89" s="103">
        <v>126.75891084999999</v>
      </c>
      <c r="X89" s="444">
        <v>111.97813714</v>
      </c>
      <c r="Y89" s="336">
        <f t="shared" si="64"/>
        <v>-11.7</v>
      </c>
      <c r="Z89" s="194">
        <v>42.14</v>
      </c>
      <c r="AA89" s="444">
        <v>39.35</v>
      </c>
      <c r="AB89" s="336">
        <f t="shared" si="43"/>
        <v>-6.6</v>
      </c>
      <c r="AC89" s="194"/>
      <c r="AD89" s="444"/>
      <c r="AE89" s="336"/>
      <c r="AF89" s="194"/>
      <c r="AG89" s="444">
        <v>0.39406423000000002</v>
      </c>
      <c r="AH89" s="336" t="str">
        <f>IF(AF89=0, "    ---- ", IF(ABS(ROUND(100/AF89*AG89-100,1))&lt;999,ROUND(100/AF89*AG89-100,1),IF(ROUND(100/AF89*AG89-100,1)&gt;999,999,-999)))</f>
        <v xml:space="preserve">    ---- </v>
      </c>
      <c r="AI89" s="194">
        <v>37.523000000000003</v>
      </c>
      <c r="AJ89" s="444">
        <v>33.29</v>
      </c>
      <c r="AK89" s="336">
        <f t="shared" si="48"/>
        <v>-11.3</v>
      </c>
      <c r="AL89" s="194">
        <v>141</v>
      </c>
      <c r="AM89" s="444">
        <v>171</v>
      </c>
      <c r="AN89" s="336">
        <f t="shared" si="49"/>
        <v>21.3</v>
      </c>
      <c r="AO89" s="442">
        <f t="shared" si="65"/>
        <v>526.15794613999992</v>
      </c>
      <c r="AP89" s="442">
        <f t="shared" si="66"/>
        <v>699.75606426000002</v>
      </c>
      <c r="AQ89" s="445">
        <f t="shared" si="46"/>
        <v>33</v>
      </c>
      <c r="AR89" s="491"/>
      <c r="AS89" s="491"/>
      <c r="AT89" s="495"/>
    </row>
    <row r="90" spans="1:46" s="464" customFormat="1" ht="20.100000000000001" customHeight="1" x14ac:dyDescent="0.3">
      <c r="A90" s="458"/>
      <c r="B90" s="194"/>
      <c r="C90" s="444"/>
      <c r="D90" s="336"/>
      <c r="E90" s="194"/>
      <c r="F90" s="444"/>
      <c r="G90" s="336"/>
      <c r="H90" s="194"/>
      <c r="I90" s="444"/>
      <c r="J90" s="336"/>
      <c r="K90" s="194"/>
      <c r="L90" s="444"/>
      <c r="M90" s="336"/>
      <c r="N90" s="194"/>
      <c r="O90" s="444"/>
      <c r="P90" s="336"/>
      <c r="Q90" s="194"/>
      <c r="R90" s="444"/>
      <c r="S90" s="336"/>
      <c r="T90" s="194"/>
      <c r="U90" s="444"/>
      <c r="V90" s="336"/>
      <c r="W90" s="194"/>
      <c r="X90" s="444"/>
      <c r="Y90" s="336"/>
      <c r="Z90" s="194"/>
      <c r="AA90" s="444"/>
      <c r="AB90" s="336"/>
      <c r="AC90" s="194"/>
      <c r="AD90" s="444"/>
      <c r="AE90" s="336"/>
      <c r="AF90" s="194"/>
      <c r="AG90" s="444"/>
      <c r="AH90" s="336"/>
      <c r="AI90" s="194"/>
      <c r="AJ90" s="444"/>
      <c r="AK90" s="336"/>
      <c r="AL90" s="194"/>
      <c r="AM90" s="444"/>
      <c r="AN90" s="336"/>
      <c r="AO90" s="436"/>
      <c r="AP90" s="436"/>
      <c r="AQ90" s="445"/>
      <c r="AR90" s="491"/>
      <c r="AS90" s="491"/>
      <c r="AT90" s="495"/>
    </row>
    <row r="91" spans="1:46" s="499" customFormat="1" ht="20.100000000000001" customHeight="1" x14ac:dyDescent="0.3">
      <c r="A91" s="461" t="s">
        <v>250</v>
      </c>
      <c r="B91" s="197">
        <f>SUM(B68+B69+B71+B79+B85+B86+B87+B88+B89)</f>
        <v>23318.728999999996</v>
      </c>
      <c r="C91" s="450">
        <f>SUM(C68+C69+C71+C79+C85+C86+C87+C88+C89)</f>
        <v>29356.39</v>
      </c>
      <c r="D91" s="451">
        <f>IF(B91=0, "    ---- ", IF(ABS(ROUND(100/B91*C91-100,1))&lt;999,ROUND(100/B91*C91-100,1),IF(ROUND(100/B91*C91-100,1)&gt;999,999,-999)))</f>
        <v>25.9</v>
      </c>
      <c r="E91" s="197">
        <f>SUM(E68+E69+E71+E79+E85+E86+E87+E88+E89)</f>
        <v>7562.42</v>
      </c>
      <c r="F91" s="450"/>
      <c r="G91" s="451">
        <f>IF(E91=0, "    ---- ", IF(ABS(ROUND(100/E91*F91-100,1))&lt;999,ROUND(100/E91*F91-100,1),IF(ROUND(100/E91*F91-100,1)&gt;999,999,-999)))</f>
        <v>-100</v>
      </c>
      <c r="H91" s="197">
        <f>SUM(H68+H69+H71+H79+H85+H86+H87+H88+H89)</f>
        <v>329264.33900000004</v>
      </c>
      <c r="I91" s="450">
        <f>SUM(I68+I69+I71+I79+I85+I86+I87+I88+I89)</f>
        <v>366026.43079642998</v>
      </c>
      <c r="J91" s="451">
        <f t="shared" si="42"/>
        <v>11.2</v>
      </c>
      <c r="K91" s="197">
        <f>K79+K86+K87+K88+K89+K68+K69+K71</f>
        <v>9747.9841348399987</v>
      </c>
      <c r="L91" s="450">
        <f>SUM(L68+L69+L71+L79+L85+L86+L87+L88+L89)</f>
        <v>11427.810554970001</v>
      </c>
      <c r="M91" s="451">
        <f>IF(K91=0, "    ---- ", IF(ABS(ROUND(100/K91*L91-100,1))&lt;999,ROUND(100/K91*L91-100,1),IF(ROUND(100/K91*L91-100,1)&gt;999,999,-999)))</f>
        <v>17.2</v>
      </c>
      <c r="N91" s="197">
        <f>SUM(N68+N69+N71+N79+N85+N86+N87+N88+N89)</f>
        <v>6379.8240000000005</v>
      </c>
      <c r="O91" s="450">
        <f>SUM(O68+O69+O71+O79+O85+O86+O87+O88+O89)</f>
        <v>2050.2359999999999</v>
      </c>
      <c r="P91" s="451">
        <f>IF(N91=0, "    ---- ", IF(ABS(ROUND(100/N91*O91-100,1))&lt;999,ROUND(100/N91*O91-100,1),IF(ROUND(100/N91*O91-100,1)&gt;999,999,-999)))</f>
        <v>-67.900000000000006</v>
      </c>
      <c r="Q91" s="197">
        <f>SUM(Q68+Q69+Q71+Q79+Q85+Q86+Q87+Q88+Q89)</f>
        <v>38674.400000000001</v>
      </c>
      <c r="R91" s="450">
        <f>SUM(R68+R69+R71+R79+R85+R86+R87+R88+R89)</f>
        <v>48295</v>
      </c>
      <c r="S91" s="451">
        <f>IF(Q91=0, "    ---- ", IF(ABS(ROUND(100/Q91*R91-100,1))&lt;999,ROUND(100/Q91*R91-100,1),IF(ROUND(100/Q91*R91-100,1)&gt;999,999,-999)))</f>
        <v>24.9</v>
      </c>
      <c r="T91" s="197">
        <f>SUM(T68+T69+T71+T79+T85+T86+T87+T88+T89)</f>
        <v>150.77480334999998</v>
      </c>
      <c r="U91" s="450">
        <f>SUM(U68+U69+U71+U79+U85+U86+U87+U88+U89)</f>
        <v>161.024126</v>
      </c>
      <c r="V91" s="451">
        <f>IF(T91=0, "    ---- ", IF(ABS(ROUND(100/T91*U91-100,1))&lt;999,ROUND(100/T91*U91-100,1),IF(ROUND(100/T91*U91-100,1)&gt;999,999,-999)))</f>
        <v>6.8</v>
      </c>
      <c r="W91" s="197">
        <f>SUM(W68+W69+W71+W79+W85+W86+W87+W88+W89)</f>
        <v>627257.88583405002</v>
      </c>
      <c r="X91" s="450">
        <v>692854.36526852997</v>
      </c>
      <c r="Y91" s="451">
        <f t="shared" si="64"/>
        <v>10.5</v>
      </c>
      <c r="Z91" s="197">
        <f>SUM(Z68+Z69+Z71+Z79+Z85+Z86+Z87+Z88+Z89)</f>
        <v>143478.80877127001</v>
      </c>
      <c r="AA91" s="450">
        <f>SUM(AA68+AA69+AA71+AA79+AA85+AA86+AA87+AA88+AA89)</f>
        <v>181652.12</v>
      </c>
      <c r="AB91" s="451">
        <f t="shared" si="43"/>
        <v>26.6</v>
      </c>
      <c r="AC91" s="197">
        <f>SUM(AC68+AC69+AC71+AC79+AC85+AC86+AC87+AC88+AC89)</f>
        <v>105635</v>
      </c>
      <c r="AD91" s="450">
        <f>SUM(AD68+AD69+AD71+AD79+AD85+AD86+AD87+AD88+AD89)</f>
        <v>119508</v>
      </c>
      <c r="AE91" s="451">
        <f>IF(AC91=0, "    ---- ", IF(ABS(ROUND(100/AC91*AD91-100,1))&lt;999,ROUND(100/AC91*AD91-100,1),IF(ROUND(100/AC91*AD91-100,1)&gt;999,999,-999)))</f>
        <v>13.1</v>
      </c>
      <c r="AF91" s="197">
        <f>SUM(AF68+AF69+AF71+AF79+AF85+AF86+AF87+AF88+AF89)</f>
        <v>2599.4112976800002</v>
      </c>
      <c r="AG91" s="450">
        <f>SUM(AG68+AG69+AG71+AG79+AG85+AG86+AG87+AG88+AG89)</f>
        <v>3334.1590813500002</v>
      </c>
      <c r="AH91" s="451">
        <f>IF(AF91=0, "    ---- ", IF(ABS(ROUND(100/AF91*AG91-100,1))&lt;999,ROUND(100/AF91*AG91-100,1),IF(ROUND(100/AF91*AG91-100,1)&gt;999,999,-999)))</f>
        <v>28.3</v>
      </c>
      <c r="AI91" s="197">
        <f>SUM(AI68+AI69+AI71+AI79+AI85+AI86+AI87+AI88+AI89)</f>
        <v>65483.330577810004</v>
      </c>
      <c r="AJ91" s="450">
        <f>SUM(AJ68+AJ69+AJ71+AJ79+AJ85+AJ86+AJ87+AJ88+AJ89)</f>
        <v>81282.601556549984</v>
      </c>
      <c r="AK91" s="451">
        <f t="shared" si="48"/>
        <v>24.1</v>
      </c>
      <c r="AL91" s="197">
        <f>SUM(AL68+AL69+AL71+AL79+AL85+AL86+AL87+AL88+AL89)</f>
        <v>361046</v>
      </c>
      <c r="AM91" s="450">
        <f>SUM(AM68+AM69+AM71+AM79+AM85+AM86+AM87+AM88+AM89)</f>
        <v>401431.6</v>
      </c>
      <c r="AN91" s="451">
        <f t="shared" si="49"/>
        <v>11.2</v>
      </c>
      <c r="AO91" s="599">
        <f>B91+H91+K91+N91+Q91+T91+W91+E91+Z91+AC91+AF91+AI91+AL91</f>
        <v>1720598.9074190003</v>
      </c>
      <c r="AP91" s="599">
        <f>C91+I91+L91+O91+R91+U91+X91+F91+AA91+AD91+AG91+AJ91+AM91</f>
        <v>1937379.7373838299</v>
      </c>
      <c r="AQ91" s="452">
        <f t="shared" si="46"/>
        <v>12.6</v>
      </c>
      <c r="AR91" s="497"/>
      <c r="AS91" s="491"/>
      <c r="AT91" s="495"/>
    </row>
    <row r="92" spans="1:46" ht="18.75" customHeight="1" x14ac:dyDescent="0.3">
      <c r="A92" s="462" t="s">
        <v>251</v>
      </c>
      <c r="B92" s="462"/>
      <c r="W92" s="462"/>
      <c r="X92" s="464"/>
      <c r="AA92" s="465"/>
      <c r="AB92" s="465"/>
      <c r="AC92" s="465"/>
      <c r="AD92" s="465"/>
      <c r="AE92" s="465"/>
      <c r="AF92" s="465"/>
      <c r="AG92" s="465"/>
      <c r="AH92" s="465"/>
      <c r="AI92" s="462"/>
      <c r="AL92" s="462"/>
    </row>
    <row r="93" spans="1:46" ht="18.75" customHeight="1" x14ac:dyDescent="0.3">
      <c r="A93" s="462" t="s">
        <v>252</v>
      </c>
      <c r="W93" s="462"/>
      <c r="X93" s="464"/>
      <c r="AA93" s="465"/>
      <c r="AB93" s="465"/>
      <c r="AC93" s="465"/>
      <c r="AD93" s="465"/>
      <c r="AE93" s="465"/>
      <c r="AF93" s="465"/>
      <c r="AG93" s="465"/>
      <c r="AH93" s="465"/>
      <c r="AI93" s="462"/>
      <c r="AL93" s="462"/>
    </row>
    <row r="94" spans="1:46" s="466" customFormat="1" ht="18.75" customHeight="1" x14ac:dyDescent="0.3">
      <c r="A94" s="462" t="s">
        <v>253</v>
      </c>
      <c r="W94" s="462"/>
      <c r="X94" s="462"/>
      <c r="AB94" s="467"/>
      <c r="AC94" s="467"/>
      <c r="AD94" s="467"/>
      <c r="AE94" s="467"/>
      <c r="AF94" s="467"/>
      <c r="AG94" s="467"/>
      <c r="AH94" s="467"/>
      <c r="AR94" s="500"/>
      <c r="AS94" s="500"/>
    </row>
    <row r="95" spans="1:46" s="466" customFormat="1" ht="18.75" x14ac:dyDescent="0.3">
      <c r="W95" s="462"/>
      <c r="X95" s="462"/>
    </row>
    <row r="96" spans="1:46" s="466" customFormat="1" ht="18.75" x14ac:dyDescent="0.3">
      <c r="W96" s="462"/>
      <c r="X96" s="462"/>
    </row>
    <row r="97" spans="23:24" s="466" customFormat="1" ht="18.75" x14ac:dyDescent="0.3">
      <c r="W97" s="462"/>
      <c r="X97" s="462"/>
    </row>
    <row r="98" spans="23:24" s="466" customFormat="1" ht="18.75" x14ac:dyDescent="0.3">
      <c r="W98" s="462"/>
      <c r="X98" s="462"/>
    </row>
    <row r="99" spans="23:24" s="466" customFormat="1" ht="18.75" x14ac:dyDescent="0.3">
      <c r="W99" s="462"/>
      <c r="X99" s="462"/>
    </row>
    <row r="100" spans="23:24" s="466" customFormat="1" ht="18.75" x14ac:dyDescent="0.3">
      <c r="W100" s="462"/>
      <c r="X100" s="462"/>
    </row>
    <row r="101" spans="23:24" s="466" customFormat="1" ht="18.75" x14ac:dyDescent="0.3">
      <c r="W101" s="462"/>
      <c r="X101" s="462"/>
    </row>
    <row r="102" spans="23:24" s="466" customFormat="1" ht="18.75" x14ac:dyDescent="0.3">
      <c r="W102" s="462"/>
      <c r="X102" s="462"/>
    </row>
    <row r="103" spans="23:24" s="466" customFormat="1" ht="18.75" x14ac:dyDescent="0.3">
      <c r="W103" s="462"/>
      <c r="X103" s="462"/>
    </row>
    <row r="104" spans="23:24" s="466" customFormat="1" ht="18.75" x14ac:dyDescent="0.3">
      <c r="W104" s="462"/>
      <c r="X104" s="462"/>
    </row>
    <row r="105" spans="23:24" s="466" customFormat="1" ht="18.75" x14ac:dyDescent="0.3">
      <c r="W105" s="462"/>
      <c r="X105" s="462"/>
    </row>
    <row r="106" spans="23:24" s="466" customFormat="1" ht="18.75" x14ac:dyDescent="0.3">
      <c r="W106" s="462"/>
      <c r="X106" s="462"/>
    </row>
    <row r="107" spans="23:24" s="466" customFormat="1" ht="18.75" x14ac:dyDescent="0.3">
      <c r="W107" s="462"/>
      <c r="X107" s="462"/>
    </row>
    <row r="108" spans="23:24" s="466" customFormat="1" ht="18.75" x14ac:dyDescent="0.3">
      <c r="W108" s="462"/>
      <c r="X108" s="462"/>
    </row>
    <row r="109" spans="23:24" s="466" customFormat="1" ht="18.75" x14ac:dyDescent="0.3">
      <c r="W109" s="462"/>
      <c r="X109" s="462"/>
    </row>
    <row r="110" spans="23:24" s="466" customFormat="1" ht="18.75" x14ac:dyDescent="0.3">
      <c r="W110" s="462"/>
      <c r="X110" s="462"/>
    </row>
    <row r="111" spans="23:24" s="502" customFormat="1" ht="15.75" x14ac:dyDescent="0.25">
      <c r="W111" s="501"/>
      <c r="X111" s="501"/>
    </row>
    <row r="112" spans="23:24" s="502" customFormat="1" ht="15.75" x14ac:dyDescent="0.25">
      <c r="W112" s="501"/>
      <c r="X112" s="501"/>
    </row>
    <row r="113" spans="23:24" x14ac:dyDescent="0.2">
      <c r="W113" s="464"/>
      <c r="X113" s="464"/>
    </row>
    <row r="114" spans="23:24" x14ac:dyDescent="0.2">
      <c r="W114" s="464"/>
      <c r="X114" s="464"/>
    </row>
    <row r="115" spans="23:24" x14ac:dyDescent="0.2">
      <c r="W115" s="464"/>
      <c r="X115" s="464"/>
    </row>
    <row r="116" spans="23:24" x14ac:dyDescent="0.2">
      <c r="W116" s="464"/>
      <c r="X116" s="464"/>
    </row>
    <row r="117" spans="23:24" x14ac:dyDescent="0.2">
      <c r="W117" s="464"/>
      <c r="X117" s="464"/>
    </row>
    <row r="118" spans="23:24" x14ac:dyDescent="0.2">
      <c r="W118" s="464"/>
      <c r="X118" s="464"/>
    </row>
    <row r="119" spans="23:24" x14ac:dyDescent="0.2">
      <c r="W119" s="464"/>
      <c r="X119" s="464"/>
    </row>
    <row r="120" spans="23:24" x14ac:dyDescent="0.2">
      <c r="W120" s="464"/>
      <c r="X120" s="464"/>
    </row>
    <row r="121" spans="23:24" x14ac:dyDescent="0.2">
      <c r="W121" s="464"/>
      <c r="X121" s="464"/>
    </row>
    <row r="122" spans="23:24" x14ac:dyDescent="0.2">
      <c r="W122" s="464"/>
      <c r="X122" s="464"/>
    </row>
    <row r="123" spans="23:24" x14ac:dyDescent="0.2">
      <c r="W123" s="464"/>
      <c r="X123" s="464"/>
    </row>
    <row r="124" spans="23:24" x14ac:dyDescent="0.2">
      <c r="W124" s="464"/>
      <c r="X124" s="464"/>
    </row>
    <row r="125" spans="23:24" x14ac:dyDescent="0.2">
      <c r="W125" s="464"/>
      <c r="X125" s="464"/>
    </row>
    <row r="126" spans="23:24" x14ac:dyDescent="0.2">
      <c r="W126" s="464"/>
      <c r="X126" s="464"/>
    </row>
    <row r="127" spans="23:24" x14ac:dyDescent="0.2">
      <c r="W127" s="464"/>
      <c r="X127" s="464"/>
    </row>
    <row r="128" spans="23:24" x14ac:dyDescent="0.2">
      <c r="W128" s="464"/>
      <c r="X128" s="464"/>
    </row>
    <row r="129" spans="23:24" x14ac:dyDescent="0.2">
      <c r="W129" s="464"/>
      <c r="X129" s="464"/>
    </row>
    <row r="130" spans="23:24" x14ac:dyDescent="0.2">
      <c r="W130" s="464"/>
      <c r="X130" s="464"/>
    </row>
  </sheetData>
  <mergeCells count="33">
    <mergeCell ref="E6:G6"/>
    <mergeCell ref="AL6:AN6"/>
    <mergeCell ref="AO6:AQ6"/>
    <mergeCell ref="AT6:AV6"/>
    <mergeCell ref="AI6:AK6"/>
    <mergeCell ref="B5:D5"/>
    <mergeCell ref="H5:J5"/>
    <mergeCell ref="AZ5:BB5"/>
    <mergeCell ref="BC5:BE5"/>
    <mergeCell ref="T6:V6"/>
    <mergeCell ref="W6:Y6"/>
    <mergeCell ref="Z6:AB6"/>
    <mergeCell ref="AC6:AE6"/>
    <mergeCell ref="AF6:AH6"/>
    <mergeCell ref="AZ6:BB6"/>
    <mergeCell ref="BC6:BE6"/>
    <mergeCell ref="AT5:AV5"/>
    <mergeCell ref="AW5:AY5"/>
    <mergeCell ref="B6:D6"/>
    <mergeCell ref="H6:J6"/>
    <mergeCell ref="E5:G5"/>
    <mergeCell ref="BF5:BH5"/>
    <mergeCell ref="AC5:AE5"/>
    <mergeCell ref="AL5:AN5"/>
    <mergeCell ref="AO5:AQ5"/>
    <mergeCell ref="K6:M6"/>
    <mergeCell ref="N6:P6"/>
    <mergeCell ref="Q6:S6"/>
    <mergeCell ref="K5:M5"/>
    <mergeCell ref="N5:P5"/>
    <mergeCell ref="Q5:S5"/>
    <mergeCell ref="BF6:BH6"/>
    <mergeCell ref="AW6:AY6"/>
  </mergeCells>
  <conditionalFormatting sqref="K45">
    <cfRule type="expression" dxfId="312" priority="339">
      <formula>#REF! ="45≠33+34+35+39"</formula>
    </cfRule>
  </conditionalFormatting>
  <conditionalFormatting sqref="K62">
    <cfRule type="expression" dxfId="311" priority="338">
      <formula>#REF! ="62≠45+46+60+61"</formula>
    </cfRule>
  </conditionalFormatting>
  <conditionalFormatting sqref="K64">
    <cfRule type="expression" dxfId="310" priority="337">
      <formula>#REF! ="64≠29+62"</formula>
    </cfRule>
  </conditionalFormatting>
  <conditionalFormatting sqref="K35">
    <cfRule type="expression" dxfId="309" priority="340">
      <formula>#REF! ="35≠36+38"</formula>
    </cfRule>
  </conditionalFormatting>
  <conditionalFormatting sqref="K39">
    <cfRule type="expression" dxfId="308" priority="341">
      <formula>#REF! ="39≠40+41+42+43+44"</formula>
    </cfRule>
  </conditionalFormatting>
  <conditionalFormatting sqref="K50">
    <cfRule type="expression" dxfId="307" priority="342">
      <formula>#REF! ="50≠51+53"</formula>
    </cfRule>
  </conditionalFormatting>
  <conditionalFormatting sqref="K54">
    <cfRule type="expression" dxfId="306" priority="343">
      <formula>#REF! ="54≠55+56+57+58+59"</formula>
    </cfRule>
  </conditionalFormatting>
  <conditionalFormatting sqref="K60">
    <cfRule type="expression" dxfId="305" priority="344">
      <formula>#REF! ="60≠48+49+50+54"</formula>
    </cfRule>
  </conditionalFormatting>
  <conditionalFormatting sqref="K79">
    <cfRule type="expression" dxfId="304" priority="345">
      <formula>#REF! ="80≠73+74+75+76+77+78+79"</formula>
    </cfRule>
  </conditionalFormatting>
  <conditionalFormatting sqref="K85">
    <cfRule type="expression" dxfId="303" priority="346">
      <formula>#REF! ="88≠82+83+84+85+86+87"</formula>
    </cfRule>
  </conditionalFormatting>
  <conditionalFormatting sqref="K91">
    <cfRule type="expression" dxfId="302" priority="347">
      <formula>#REF! = "64≠94"</formula>
    </cfRule>
  </conditionalFormatting>
  <conditionalFormatting sqref="K91">
    <cfRule type="expression" dxfId="301" priority="348">
      <formula>#REF! = "94≠68+69+71+80+88+89+90+91+92"</formula>
    </cfRule>
  </conditionalFormatting>
  <conditionalFormatting sqref="L35">
    <cfRule type="expression" dxfId="300" priority="349">
      <formula>#REF! ="35≠36+38"</formula>
    </cfRule>
  </conditionalFormatting>
  <conditionalFormatting sqref="L39">
    <cfRule type="expression" dxfId="299" priority="350">
      <formula>#REF! ="39≠40+41+42+43+44"</formula>
    </cfRule>
  </conditionalFormatting>
  <conditionalFormatting sqref="L45">
    <cfRule type="expression" dxfId="298" priority="351">
      <formula>#REF! ="45≠33+34+35+39"</formula>
    </cfRule>
  </conditionalFormatting>
  <conditionalFormatting sqref="L50">
    <cfRule type="expression" dxfId="297" priority="352">
      <formula>#REF! ="50≠51+53"</formula>
    </cfRule>
  </conditionalFormatting>
  <conditionalFormatting sqref="L54">
    <cfRule type="expression" dxfId="296" priority="353">
      <formula>#REF! ="54≠55+56+57+58+59"</formula>
    </cfRule>
  </conditionalFormatting>
  <conditionalFormatting sqref="L60">
    <cfRule type="expression" dxfId="295" priority="354">
      <formula>#REF! ="60≠48+49+50+54"</formula>
    </cfRule>
  </conditionalFormatting>
  <conditionalFormatting sqref="L62">
    <cfRule type="expression" dxfId="294" priority="355">
      <formula>#REF! ="62≠45+46+60+61"</formula>
    </cfRule>
  </conditionalFormatting>
  <conditionalFormatting sqref="L64">
    <cfRule type="expression" dxfId="293" priority="356">
      <formula>#REF! ="64≠29+62"</formula>
    </cfRule>
  </conditionalFormatting>
  <conditionalFormatting sqref="L79">
    <cfRule type="expression" dxfId="292" priority="357">
      <formula>#REF! ="80≠73+74+75+76+77+78+79"</formula>
    </cfRule>
  </conditionalFormatting>
  <conditionalFormatting sqref="L85">
    <cfRule type="expression" dxfId="291" priority="358">
      <formula>#REF! ="88≠82+83+84+85+86+87"</formula>
    </cfRule>
  </conditionalFormatting>
  <conditionalFormatting sqref="L91">
    <cfRule type="expression" dxfId="290" priority="359">
      <formula>#REF! = "64≠94"</formula>
    </cfRule>
  </conditionalFormatting>
  <conditionalFormatting sqref="L91">
    <cfRule type="expression" dxfId="289" priority="360">
      <formula>#REF! = "94≠68+69+71+80+88+89+90+91+92"</formula>
    </cfRule>
  </conditionalFormatting>
  <conditionalFormatting sqref="N35">
    <cfRule type="expression" dxfId="288" priority="313">
      <formula>#REF! ="35≠36+38"</formula>
    </cfRule>
  </conditionalFormatting>
  <conditionalFormatting sqref="N39">
    <cfRule type="expression" dxfId="287" priority="314">
      <formula>#REF! ="39≠40+41+42+43+44"</formula>
    </cfRule>
  </conditionalFormatting>
  <conditionalFormatting sqref="N45">
    <cfRule type="expression" dxfId="286" priority="315">
      <formula>#REF! ="45≠33+34+35+39"</formula>
    </cfRule>
  </conditionalFormatting>
  <conditionalFormatting sqref="N50">
    <cfRule type="expression" dxfId="285" priority="316">
      <formula>#REF! ="50≠51+53"</formula>
    </cfRule>
  </conditionalFormatting>
  <conditionalFormatting sqref="N54">
    <cfRule type="expression" dxfId="284" priority="317">
      <formula>#REF! ="54≠55+56+57+58+59"</formula>
    </cfRule>
  </conditionalFormatting>
  <conditionalFormatting sqref="N60">
    <cfRule type="expression" dxfId="283" priority="318">
      <formula>#REF! ="60≠48+49+50+54"</formula>
    </cfRule>
  </conditionalFormatting>
  <conditionalFormatting sqref="N62">
    <cfRule type="expression" dxfId="282" priority="319">
      <formula>#REF! ="62≠45+46+60+61"</formula>
    </cfRule>
  </conditionalFormatting>
  <conditionalFormatting sqref="N64">
    <cfRule type="expression" dxfId="281" priority="320">
      <formula>#REF! ="64≠29+62"</formula>
    </cfRule>
  </conditionalFormatting>
  <conditionalFormatting sqref="N79">
    <cfRule type="expression" dxfId="280" priority="321">
      <formula>#REF! ="80≠73+74+75+76+77+78+79"</formula>
    </cfRule>
  </conditionalFormatting>
  <conditionalFormatting sqref="N85">
    <cfRule type="expression" dxfId="279" priority="322">
      <formula>#REF! ="88≠82+83+84+85+86+87"</formula>
    </cfRule>
  </conditionalFormatting>
  <conditionalFormatting sqref="N91">
    <cfRule type="expression" dxfId="278" priority="323">
      <formula>#REF! = "64≠94"</formula>
    </cfRule>
  </conditionalFormatting>
  <conditionalFormatting sqref="N91">
    <cfRule type="expression" dxfId="277" priority="324">
      <formula>#REF! = "94≠68+69+71+80+88+89+90+91+92"</formula>
    </cfRule>
  </conditionalFormatting>
  <conditionalFormatting sqref="O35">
    <cfRule type="expression" dxfId="276" priority="325">
      <formula>#REF! ="35≠36+38"</formula>
    </cfRule>
  </conditionalFormatting>
  <conditionalFormatting sqref="O39">
    <cfRule type="expression" dxfId="275" priority="326">
      <formula>#REF! ="39≠40+41+42+43+44"</formula>
    </cfRule>
  </conditionalFormatting>
  <conditionalFormatting sqref="O45">
    <cfRule type="expression" dxfId="274" priority="327">
      <formula>#REF! ="45≠33+34+35+39"</formula>
    </cfRule>
  </conditionalFormatting>
  <conditionalFormatting sqref="O50">
    <cfRule type="expression" dxfId="273" priority="328">
      <formula>#REF! ="50≠51+53"</formula>
    </cfRule>
  </conditionalFormatting>
  <conditionalFormatting sqref="O54">
    <cfRule type="expression" dxfId="272" priority="329">
      <formula>#REF! ="54≠55+56+57+58+59"</formula>
    </cfRule>
  </conditionalFormatting>
  <conditionalFormatting sqref="O60">
    <cfRule type="expression" dxfId="271" priority="330">
      <formula>#REF! ="60≠48+49+50+54"</formula>
    </cfRule>
  </conditionalFormatting>
  <conditionalFormatting sqref="O62">
    <cfRule type="expression" dxfId="270" priority="331">
      <formula>#REF! ="62≠45+46+60+61"</formula>
    </cfRule>
  </conditionalFormatting>
  <conditionalFormatting sqref="O64">
    <cfRule type="expression" dxfId="269" priority="332">
      <formula>#REF! ="64≠29+62"</formula>
    </cfRule>
  </conditionalFormatting>
  <conditionalFormatting sqref="O79">
    <cfRule type="expression" dxfId="268" priority="333">
      <formula>#REF! ="80≠73+74+75+76+77+78+79"</formula>
    </cfRule>
  </conditionalFormatting>
  <conditionalFormatting sqref="O85">
    <cfRule type="expression" dxfId="267" priority="334">
      <formula>#REF! ="88≠82+83+84+85+86+87"</formula>
    </cfRule>
  </conditionalFormatting>
  <conditionalFormatting sqref="O91">
    <cfRule type="expression" dxfId="266" priority="335">
      <formula>#REF! = "64≠94"</formula>
    </cfRule>
  </conditionalFormatting>
  <conditionalFormatting sqref="O91">
    <cfRule type="expression" dxfId="265" priority="336">
      <formula>#REF! = "94≠68+69+71+80+88+89+90+91+92"</formula>
    </cfRule>
  </conditionalFormatting>
  <conditionalFormatting sqref="Q35">
    <cfRule type="expression" dxfId="264" priority="265">
      <formula>#REF! ="35≠36+38"</formula>
    </cfRule>
  </conditionalFormatting>
  <conditionalFormatting sqref="Q39">
    <cfRule type="expression" dxfId="263" priority="266">
      <formula>#REF! ="39≠40+41+42+43+44"</formula>
    </cfRule>
  </conditionalFormatting>
  <conditionalFormatting sqref="Q45">
    <cfRule type="expression" dxfId="262" priority="267">
      <formula>#REF! ="45≠33+34+35+39"</formula>
    </cfRule>
  </conditionalFormatting>
  <conditionalFormatting sqref="Q50">
    <cfRule type="expression" dxfId="261" priority="268">
      <formula>#REF! ="50≠51+53"</formula>
    </cfRule>
  </conditionalFormatting>
  <conditionalFormatting sqref="Q54">
    <cfRule type="expression" dxfId="260" priority="269">
      <formula>#REF! ="54≠55+56+57+58+59"</formula>
    </cfRule>
  </conditionalFormatting>
  <conditionalFormatting sqref="Q60">
    <cfRule type="expression" dxfId="259" priority="270">
      <formula>#REF! ="60≠48+49+50+54"</formula>
    </cfRule>
  </conditionalFormatting>
  <conditionalFormatting sqref="Q62">
    <cfRule type="expression" dxfId="258" priority="271">
      <formula>#REF! ="62≠45+46+60+61"</formula>
    </cfRule>
  </conditionalFormatting>
  <conditionalFormatting sqref="Q64">
    <cfRule type="expression" dxfId="257" priority="272">
      <formula>#REF! ="64≠29+62"</formula>
    </cfRule>
  </conditionalFormatting>
  <conditionalFormatting sqref="Q79">
    <cfRule type="expression" dxfId="256" priority="273">
      <formula>#REF! ="80≠73+74+75+76+77+78+79"</formula>
    </cfRule>
  </conditionalFormatting>
  <conditionalFormatting sqref="Q85">
    <cfRule type="expression" dxfId="255" priority="274">
      <formula>#REF! ="88≠82+83+84+85+86+87"</formula>
    </cfRule>
  </conditionalFormatting>
  <conditionalFormatting sqref="Q91">
    <cfRule type="expression" dxfId="254" priority="275">
      <formula>#REF! = "64≠94"</formula>
    </cfRule>
  </conditionalFormatting>
  <conditionalFormatting sqref="Q91">
    <cfRule type="expression" dxfId="253" priority="276">
      <formula>#REF! = "94≠68+69+71+80+88+89+90+91+92"</formula>
    </cfRule>
  </conditionalFormatting>
  <conditionalFormatting sqref="R35">
    <cfRule type="expression" dxfId="252" priority="277">
      <formula>#REF! ="35≠36+38"</formula>
    </cfRule>
  </conditionalFormatting>
  <conditionalFormatting sqref="R39">
    <cfRule type="expression" dxfId="251" priority="278">
      <formula>#REF! ="39≠40+41+42+43+44"</formula>
    </cfRule>
  </conditionalFormatting>
  <conditionalFormatting sqref="R45">
    <cfRule type="expression" dxfId="250" priority="279">
      <formula>#REF! ="45≠33+34+35+39"</formula>
    </cfRule>
  </conditionalFormatting>
  <conditionalFormatting sqref="R50">
    <cfRule type="expression" dxfId="249" priority="280">
      <formula>#REF! ="50≠51+53"</formula>
    </cfRule>
  </conditionalFormatting>
  <conditionalFormatting sqref="R54">
    <cfRule type="expression" dxfId="248" priority="281">
      <formula>#REF! ="54≠55+56+57+58+59"</formula>
    </cfRule>
  </conditionalFormatting>
  <conditionalFormatting sqref="R60">
    <cfRule type="expression" dxfId="247" priority="282">
      <formula>#REF! ="60≠48+49+50+54"</formula>
    </cfRule>
  </conditionalFormatting>
  <conditionalFormatting sqref="R62">
    <cfRule type="expression" dxfId="246" priority="283">
      <formula>#REF! ="62≠45+46+60+61"</formula>
    </cfRule>
  </conditionalFormatting>
  <conditionalFormatting sqref="R64">
    <cfRule type="expression" dxfId="245" priority="284">
      <formula>#REF! ="64≠29+62"</formula>
    </cfRule>
  </conditionalFormatting>
  <conditionalFormatting sqref="R79">
    <cfRule type="expression" dxfId="244" priority="285">
      <formula>#REF! ="80≠73+74+75+76+77+78+79"</formula>
    </cfRule>
  </conditionalFormatting>
  <conditionalFormatting sqref="R85">
    <cfRule type="expression" dxfId="243" priority="286">
      <formula>#REF! ="88≠82+83+84+85+86+87"</formula>
    </cfRule>
  </conditionalFormatting>
  <conditionalFormatting sqref="R91">
    <cfRule type="expression" dxfId="242" priority="287">
      <formula>#REF! = "64≠94"</formula>
    </cfRule>
  </conditionalFormatting>
  <conditionalFormatting sqref="R91">
    <cfRule type="expression" dxfId="241" priority="288">
      <formula>#REF! = "94≠68+69+71+80+88+89+90+91+92"</formula>
    </cfRule>
  </conditionalFormatting>
  <conditionalFormatting sqref="T35">
    <cfRule type="expression" dxfId="240" priority="241">
      <formula>#REF! ="35≠36+38"</formula>
    </cfRule>
  </conditionalFormatting>
  <conditionalFormatting sqref="T39">
    <cfRule type="expression" dxfId="239" priority="242">
      <formula>#REF! ="39≠40+41+42+43+44"</formula>
    </cfRule>
  </conditionalFormatting>
  <conditionalFormatting sqref="T45">
    <cfRule type="expression" dxfId="238" priority="243">
      <formula>#REF! ="45≠33+34+35+39"</formula>
    </cfRule>
  </conditionalFormatting>
  <conditionalFormatting sqref="T50">
    <cfRule type="expression" dxfId="237" priority="244">
      <formula>#REF! ="50≠51+53"</formula>
    </cfRule>
  </conditionalFormatting>
  <conditionalFormatting sqref="T54">
    <cfRule type="expression" dxfId="236" priority="245">
      <formula>#REF! ="54≠55+56+57+58+59"</formula>
    </cfRule>
  </conditionalFormatting>
  <conditionalFormatting sqref="T60">
    <cfRule type="expression" dxfId="235" priority="246">
      <formula>#REF! ="60≠48+49+50+54"</formula>
    </cfRule>
  </conditionalFormatting>
  <conditionalFormatting sqref="T62">
    <cfRule type="expression" dxfId="234" priority="247">
      <formula>#REF! ="62≠45+46+60+61"</formula>
    </cfRule>
  </conditionalFormatting>
  <conditionalFormatting sqref="T64">
    <cfRule type="expression" dxfId="233" priority="248">
      <formula>#REF! ="64≠29+62"</formula>
    </cfRule>
  </conditionalFormatting>
  <conditionalFormatting sqref="T79">
    <cfRule type="expression" dxfId="232" priority="249">
      <formula>#REF! ="80≠73+74+75+76+77+78+79"</formula>
    </cfRule>
  </conditionalFormatting>
  <conditionalFormatting sqref="T85">
    <cfRule type="expression" dxfId="231" priority="250">
      <formula>#REF! ="88≠82+83+84+85+86+87"</formula>
    </cfRule>
  </conditionalFormatting>
  <conditionalFormatting sqref="T91">
    <cfRule type="expression" dxfId="230" priority="251">
      <formula>#REF! = "64≠94"</formula>
    </cfRule>
  </conditionalFormatting>
  <conditionalFormatting sqref="T91">
    <cfRule type="expression" dxfId="229" priority="252">
      <formula>#REF! = "94≠68+69+71+80+88+89+90+91+92"</formula>
    </cfRule>
  </conditionalFormatting>
  <conditionalFormatting sqref="U35">
    <cfRule type="expression" dxfId="228" priority="253">
      <formula>#REF! ="35≠36+38"</formula>
    </cfRule>
  </conditionalFormatting>
  <conditionalFormatting sqref="U39">
    <cfRule type="expression" dxfId="227" priority="254">
      <formula>#REF! ="39≠40+41+42+43+44"</formula>
    </cfRule>
  </conditionalFormatting>
  <conditionalFormatting sqref="U45">
    <cfRule type="expression" dxfId="226" priority="255">
      <formula>#REF! ="45≠33+34+35+39"</formula>
    </cfRule>
  </conditionalFormatting>
  <conditionalFormatting sqref="U50">
    <cfRule type="expression" dxfId="225" priority="256">
      <formula>#REF! ="50≠51+53"</formula>
    </cfRule>
  </conditionalFormatting>
  <conditionalFormatting sqref="U54">
    <cfRule type="expression" dxfId="224" priority="257">
      <formula>#REF! ="54≠55+56+57+58+59"</formula>
    </cfRule>
  </conditionalFormatting>
  <conditionalFormatting sqref="U60">
    <cfRule type="expression" dxfId="223" priority="258">
      <formula>#REF! ="60≠48+49+50+54"</formula>
    </cfRule>
  </conditionalFormatting>
  <conditionalFormatting sqref="U62">
    <cfRule type="expression" dxfId="222" priority="259">
      <formula>#REF! ="62≠45+46+60+61"</formula>
    </cfRule>
  </conditionalFormatting>
  <conditionalFormatting sqref="U64">
    <cfRule type="expression" dxfId="221" priority="260">
      <formula>#REF! ="64≠29+62"</formula>
    </cfRule>
  </conditionalFormatting>
  <conditionalFormatting sqref="U79">
    <cfRule type="expression" dxfId="220" priority="261">
      <formula>#REF! ="80≠73+74+75+76+77+78+79"</formula>
    </cfRule>
  </conditionalFormatting>
  <conditionalFormatting sqref="U85">
    <cfRule type="expression" dxfId="219" priority="262">
      <formula>#REF! ="88≠82+83+84+85+86+87"</formula>
    </cfRule>
  </conditionalFormatting>
  <conditionalFormatting sqref="U91">
    <cfRule type="expression" dxfId="218" priority="263">
      <formula>#REF! = "64≠94"</formula>
    </cfRule>
  </conditionalFormatting>
  <conditionalFormatting sqref="U91">
    <cfRule type="expression" dxfId="217" priority="264">
      <formula>#REF! = "94≠68+69+71+80+88+89+90+91+92"</formula>
    </cfRule>
  </conditionalFormatting>
  <conditionalFormatting sqref="AF35">
    <cfRule type="expression" dxfId="216" priority="217">
      <formula>#REF! ="35≠36+38"</formula>
    </cfRule>
  </conditionalFormatting>
  <conditionalFormatting sqref="AF39">
    <cfRule type="expression" dxfId="215" priority="218">
      <formula>#REF! ="39≠40+41+42+43+44"</formula>
    </cfRule>
  </conditionalFormatting>
  <conditionalFormatting sqref="AF45">
    <cfRule type="expression" dxfId="214" priority="219">
      <formula>#REF! ="45≠33+34+35+39"</formula>
    </cfRule>
  </conditionalFormatting>
  <conditionalFormatting sqref="AF50">
    <cfRule type="expression" dxfId="213" priority="220">
      <formula>#REF! ="50≠51+53"</formula>
    </cfRule>
  </conditionalFormatting>
  <conditionalFormatting sqref="AF54">
    <cfRule type="expression" dxfId="212" priority="221">
      <formula>#REF! ="54≠55+56+57+58+59"</formula>
    </cfRule>
  </conditionalFormatting>
  <conditionalFormatting sqref="AF60">
    <cfRule type="expression" dxfId="211" priority="222">
      <formula>#REF! ="60≠48+49+50+54"</formula>
    </cfRule>
  </conditionalFormatting>
  <conditionalFormatting sqref="AF62">
    <cfRule type="expression" dxfId="210" priority="223">
      <formula>#REF! ="62≠45+46+60+61"</formula>
    </cfRule>
  </conditionalFormatting>
  <conditionalFormatting sqref="AF64">
    <cfRule type="expression" dxfId="209" priority="224">
      <formula>#REF! ="64≠29+62"</formula>
    </cfRule>
  </conditionalFormatting>
  <conditionalFormatting sqref="AF79">
    <cfRule type="expression" dxfId="208" priority="225">
      <formula>#REF! ="80≠73+74+75+76+77+78+79"</formula>
    </cfRule>
  </conditionalFormatting>
  <conditionalFormatting sqref="AF85">
    <cfRule type="expression" dxfId="207" priority="226">
      <formula>#REF! ="88≠82+83+84+85+86+87"</formula>
    </cfRule>
  </conditionalFormatting>
  <conditionalFormatting sqref="AF91">
    <cfRule type="expression" dxfId="206" priority="227">
      <formula>#REF! = "64≠94"</formula>
    </cfRule>
  </conditionalFormatting>
  <conditionalFormatting sqref="AF91">
    <cfRule type="expression" dxfId="205" priority="228">
      <formula>#REF! = "94≠68+69+71+80+88+89+90+91+92"</formula>
    </cfRule>
  </conditionalFormatting>
  <conditionalFormatting sqref="AG35">
    <cfRule type="expression" dxfId="204" priority="229">
      <formula>#REF! ="35≠36+38"</formula>
    </cfRule>
  </conditionalFormatting>
  <conditionalFormatting sqref="AG39">
    <cfRule type="expression" dxfId="203" priority="230">
      <formula>#REF! ="39≠40+41+42+43+44"</formula>
    </cfRule>
  </conditionalFormatting>
  <conditionalFormatting sqref="AG45">
    <cfRule type="expression" dxfId="202" priority="231">
      <formula>#REF! ="45≠33+34+35+39"</formula>
    </cfRule>
  </conditionalFormatting>
  <conditionalFormatting sqref="AG50">
    <cfRule type="expression" dxfId="201" priority="232">
      <formula>#REF! ="50≠51+53"</formula>
    </cfRule>
  </conditionalFormatting>
  <conditionalFormatting sqref="AG54">
    <cfRule type="expression" dxfId="200" priority="233">
      <formula>#REF! ="54≠55+56+57+58+59"</formula>
    </cfRule>
  </conditionalFormatting>
  <conditionalFormatting sqref="AG60">
    <cfRule type="expression" dxfId="199" priority="234">
      <formula>#REF! ="60≠48+49+50+54"</formula>
    </cfRule>
  </conditionalFormatting>
  <conditionalFormatting sqref="AG62">
    <cfRule type="expression" dxfId="198" priority="235">
      <formula>#REF! ="62≠45+46+60+61"</formula>
    </cfRule>
  </conditionalFormatting>
  <conditionalFormatting sqref="AG64">
    <cfRule type="expression" dxfId="197" priority="236">
      <formula>#REF! ="64≠29+62"</formula>
    </cfRule>
  </conditionalFormatting>
  <conditionalFormatting sqref="AG79">
    <cfRule type="expression" dxfId="196" priority="237">
      <formula>#REF! ="80≠73+74+75+76+77+78+79"</formula>
    </cfRule>
  </conditionalFormatting>
  <conditionalFormatting sqref="AG85">
    <cfRule type="expression" dxfId="195" priority="238">
      <formula>#REF! ="88≠82+83+84+85+86+87"</formula>
    </cfRule>
  </conditionalFormatting>
  <conditionalFormatting sqref="AG91">
    <cfRule type="expression" dxfId="194" priority="239">
      <formula>#REF! = "64≠94"</formula>
    </cfRule>
  </conditionalFormatting>
  <conditionalFormatting sqref="AG91">
    <cfRule type="expression" dxfId="193" priority="240">
      <formula>#REF! = "94≠68+69+71+80+88+89+90+91+92"</formula>
    </cfRule>
  </conditionalFormatting>
  <conditionalFormatting sqref="Z35">
    <cfRule type="expression" dxfId="192" priority="193">
      <formula>#REF! ="35≠36+38"</formula>
    </cfRule>
  </conditionalFormatting>
  <conditionalFormatting sqref="Z39">
    <cfRule type="expression" dxfId="191" priority="194">
      <formula>#REF! ="39≠40+41+42+43+44"</formula>
    </cfRule>
  </conditionalFormatting>
  <conditionalFormatting sqref="Z45">
    <cfRule type="expression" dxfId="190" priority="195">
      <formula>#REF! ="45≠33+34+35+39"</formula>
    </cfRule>
  </conditionalFormatting>
  <conditionalFormatting sqref="Z50">
    <cfRule type="expression" dxfId="189" priority="196">
      <formula>#REF! ="50≠51+53"</formula>
    </cfRule>
  </conditionalFormatting>
  <conditionalFormatting sqref="Z54">
    <cfRule type="expression" dxfId="188" priority="197">
      <formula>#REF! ="54≠55+56+57+58+59"</formula>
    </cfRule>
  </conditionalFormatting>
  <conditionalFormatting sqref="Z60">
    <cfRule type="expression" dxfId="187" priority="198">
      <formula>#REF! ="60≠48+49+50+54"</formula>
    </cfRule>
  </conditionalFormatting>
  <conditionalFormatting sqref="Z62">
    <cfRule type="expression" dxfId="186" priority="199">
      <formula>#REF! ="62≠45+46+60+61"</formula>
    </cfRule>
  </conditionalFormatting>
  <conditionalFormatting sqref="Z64">
    <cfRule type="expression" dxfId="185" priority="200">
      <formula>#REF! ="64≠29+62"</formula>
    </cfRule>
  </conditionalFormatting>
  <conditionalFormatting sqref="Z79">
    <cfRule type="expression" dxfId="184" priority="201">
      <formula>#REF! ="80≠73+74+75+76+77+78+79"</formula>
    </cfRule>
  </conditionalFormatting>
  <conditionalFormatting sqref="Z85">
    <cfRule type="expression" dxfId="183" priority="202">
      <formula>#REF! ="88≠82+83+84+85+86+87"</formula>
    </cfRule>
  </conditionalFormatting>
  <conditionalFormatting sqref="Z91">
    <cfRule type="expression" dxfId="182" priority="203">
      <formula>#REF! = "64≠94"</formula>
    </cfRule>
  </conditionalFormatting>
  <conditionalFormatting sqref="Z91">
    <cfRule type="expression" dxfId="181" priority="204">
      <formula>#REF! = "94≠68+69+71+80+88+89+90+91+92"</formula>
    </cfRule>
  </conditionalFormatting>
  <conditionalFormatting sqref="AA35">
    <cfRule type="expression" dxfId="180" priority="205">
      <formula>#REF! ="35≠36+38"</formula>
    </cfRule>
  </conditionalFormatting>
  <conditionalFormatting sqref="AA39">
    <cfRule type="expression" dxfId="179" priority="206">
      <formula>#REF! ="39≠40+41+42+43+44"</formula>
    </cfRule>
  </conditionalFormatting>
  <conditionalFormatting sqref="AA45">
    <cfRule type="expression" dxfId="178" priority="207">
      <formula>#REF! ="45≠33+34+35+39"</formula>
    </cfRule>
  </conditionalFormatting>
  <conditionalFormatting sqref="AA50">
    <cfRule type="expression" dxfId="177" priority="208">
      <formula>#REF! ="50≠51+53"</formula>
    </cfRule>
  </conditionalFormatting>
  <conditionalFormatting sqref="AA54">
    <cfRule type="expression" dxfId="176" priority="209">
      <formula>#REF! ="54≠55+56+57+58+59"</formula>
    </cfRule>
  </conditionalFormatting>
  <conditionalFormatting sqref="AA60">
    <cfRule type="expression" dxfId="175" priority="210">
      <formula>#REF! ="60≠48+49+50+54"</formula>
    </cfRule>
  </conditionalFormatting>
  <conditionalFormatting sqref="AA62">
    <cfRule type="expression" dxfId="174" priority="211">
      <formula>#REF! ="62≠45+46+60+61"</formula>
    </cfRule>
  </conditionalFormatting>
  <conditionalFormatting sqref="AA64">
    <cfRule type="expression" dxfId="173" priority="212">
      <formula>#REF! ="64≠29+62"</formula>
    </cfRule>
  </conditionalFormatting>
  <conditionalFormatting sqref="AA79">
    <cfRule type="expression" dxfId="172" priority="213">
      <formula>#REF! ="80≠73+74+75+76+77+78+79"</formula>
    </cfRule>
  </conditionalFormatting>
  <conditionalFormatting sqref="AA85">
    <cfRule type="expression" dxfId="171" priority="214">
      <formula>#REF! ="88≠82+83+84+85+86+87"</formula>
    </cfRule>
  </conditionalFormatting>
  <conditionalFormatting sqref="AA91">
    <cfRule type="expression" dxfId="170" priority="215">
      <formula>#REF! = "64≠94"</formula>
    </cfRule>
  </conditionalFormatting>
  <conditionalFormatting sqref="AA91">
    <cfRule type="expression" dxfId="169" priority="216">
      <formula>#REF! = "94≠68+69+71+80+88+89+90+91+92"</formula>
    </cfRule>
  </conditionalFormatting>
  <conditionalFormatting sqref="AC35">
    <cfRule type="expression" dxfId="168" priority="169">
      <formula>#REF! ="35≠36+38"</formula>
    </cfRule>
  </conditionalFormatting>
  <conditionalFormatting sqref="AC39">
    <cfRule type="expression" dxfId="167" priority="170">
      <formula>#REF! ="39≠40+41+42+43+44"</formula>
    </cfRule>
  </conditionalFormatting>
  <conditionalFormatting sqref="AC45">
    <cfRule type="expression" dxfId="166" priority="171">
      <formula>#REF! ="45≠33+34+35+39"</formula>
    </cfRule>
  </conditionalFormatting>
  <conditionalFormatting sqref="AC50">
    <cfRule type="expression" dxfId="165" priority="172">
      <formula>#REF! ="50≠51+53"</formula>
    </cfRule>
  </conditionalFormatting>
  <conditionalFormatting sqref="AC54">
    <cfRule type="expression" dxfId="164" priority="173">
      <formula>#REF! ="54≠55+56+57+58+59"</formula>
    </cfRule>
  </conditionalFormatting>
  <conditionalFormatting sqref="AC60">
    <cfRule type="expression" dxfId="163" priority="174">
      <formula>#REF! ="60≠48+49+50+54"</formula>
    </cfRule>
  </conditionalFormatting>
  <conditionalFormatting sqref="AC62">
    <cfRule type="expression" dxfId="162" priority="175">
      <formula>#REF! ="62≠45+46+60+61"</formula>
    </cfRule>
  </conditionalFormatting>
  <conditionalFormatting sqref="AC64">
    <cfRule type="expression" dxfId="161" priority="176">
      <formula>#REF! ="64≠29+62"</formula>
    </cfRule>
  </conditionalFormatting>
  <conditionalFormatting sqref="AC79">
    <cfRule type="expression" dxfId="160" priority="177">
      <formula>#REF! ="80≠73+74+75+76+77+78+79"</formula>
    </cfRule>
  </conditionalFormatting>
  <conditionalFormatting sqref="AC85">
    <cfRule type="expression" dxfId="159" priority="178">
      <formula>#REF! ="88≠82+83+84+85+86+87"</formula>
    </cfRule>
  </conditionalFormatting>
  <conditionalFormatting sqref="AC91">
    <cfRule type="expression" dxfId="158" priority="179">
      <formula>#REF! = "64≠94"</formula>
    </cfRule>
  </conditionalFormatting>
  <conditionalFormatting sqref="AC91">
    <cfRule type="expression" dxfId="157" priority="180">
      <formula>#REF! = "94≠68+69+71+80+88+89+90+91+92"</formula>
    </cfRule>
  </conditionalFormatting>
  <conditionalFormatting sqref="AD35">
    <cfRule type="expression" dxfId="156" priority="181">
      <formula>#REF! ="35≠36+38"</formula>
    </cfRule>
  </conditionalFormatting>
  <conditionalFormatting sqref="AD39">
    <cfRule type="expression" dxfId="155" priority="182">
      <formula>#REF! ="39≠40+41+42+43+44"</formula>
    </cfRule>
  </conditionalFormatting>
  <conditionalFormatting sqref="AD45">
    <cfRule type="expression" dxfId="154" priority="183">
      <formula>#REF! ="45≠33+34+35+39"</formula>
    </cfRule>
  </conditionalFormatting>
  <conditionalFormatting sqref="AD50">
    <cfRule type="expression" dxfId="153" priority="184">
      <formula>#REF! ="50≠51+53"</formula>
    </cfRule>
  </conditionalFormatting>
  <conditionalFormatting sqref="AD54">
    <cfRule type="expression" dxfId="152" priority="185">
      <formula>#REF! ="54≠55+56+57+58+59"</formula>
    </cfRule>
  </conditionalFormatting>
  <conditionalFormatting sqref="AD60">
    <cfRule type="expression" dxfId="151" priority="186">
      <formula>#REF! ="60≠48+49+50+54"</formula>
    </cfRule>
  </conditionalFormatting>
  <conditionalFormatting sqref="AD62">
    <cfRule type="expression" dxfId="150" priority="187">
      <formula>#REF! ="62≠45+46+60+61"</formula>
    </cfRule>
  </conditionalFormatting>
  <conditionalFormatting sqref="AD64">
    <cfRule type="expression" dxfId="149" priority="188">
      <formula>#REF! ="64≠29+62"</formula>
    </cfRule>
  </conditionalFormatting>
  <conditionalFormatting sqref="AD79">
    <cfRule type="expression" dxfId="148" priority="189">
      <formula>#REF! ="80≠73+74+75+76+77+78+79"</formula>
    </cfRule>
  </conditionalFormatting>
  <conditionalFormatting sqref="AD85">
    <cfRule type="expression" dxfId="147" priority="190">
      <formula>#REF! ="88≠82+83+84+85+86+87"</formula>
    </cfRule>
  </conditionalFormatting>
  <conditionalFormatting sqref="AD91">
    <cfRule type="expression" dxfId="146" priority="191">
      <formula>#REF! = "64≠94"</formula>
    </cfRule>
  </conditionalFormatting>
  <conditionalFormatting sqref="AD91">
    <cfRule type="expression" dxfId="145" priority="192">
      <formula>#REF! = "94≠68+69+71+80+88+89+90+91+92"</formula>
    </cfRule>
  </conditionalFormatting>
  <conditionalFormatting sqref="AI35">
    <cfRule type="expression" dxfId="144" priority="145">
      <formula>#REF! ="35≠36+38"</formula>
    </cfRule>
  </conditionalFormatting>
  <conditionalFormatting sqref="AI39">
    <cfRule type="expression" dxfId="143" priority="146">
      <formula>#REF! ="39≠40+41+42+43+44"</formula>
    </cfRule>
  </conditionalFormatting>
  <conditionalFormatting sqref="AI45">
    <cfRule type="expression" dxfId="142" priority="147">
      <formula>#REF! ="45≠33+34+35+39"</formula>
    </cfRule>
  </conditionalFormatting>
  <conditionalFormatting sqref="AI50">
    <cfRule type="expression" dxfId="141" priority="148">
      <formula>#REF! ="50≠51+53"</formula>
    </cfRule>
  </conditionalFormatting>
  <conditionalFormatting sqref="AI54">
    <cfRule type="expression" dxfId="140" priority="149">
      <formula>#REF! ="54≠55+56+57+58+59"</formula>
    </cfRule>
  </conditionalFormatting>
  <conditionalFormatting sqref="AI60">
    <cfRule type="expression" dxfId="139" priority="150">
      <formula>#REF! ="60≠48+49+50+54"</formula>
    </cfRule>
  </conditionalFormatting>
  <conditionalFormatting sqref="AI62">
    <cfRule type="expression" dxfId="138" priority="151">
      <formula>#REF! ="62≠45+46+60+61"</formula>
    </cfRule>
  </conditionalFormatting>
  <conditionalFormatting sqref="AI64">
    <cfRule type="expression" dxfId="137" priority="152">
      <formula>#REF! ="64≠29+62"</formula>
    </cfRule>
  </conditionalFormatting>
  <conditionalFormatting sqref="AI79">
    <cfRule type="expression" dxfId="136" priority="153">
      <formula>#REF! ="80≠73+74+75+76+77+78+79"</formula>
    </cfRule>
  </conditionalFormatting>
  <conditionalFormatting sqref="AI85">
    <cfRule type="expression" dxfId="135" priority="154">
      <formula>#REF! ="88≠82+83+84+85+86+87"</formula>
    </cfRule>
  </conditionalFormatting>
  <conditionalFormatting sqref="AI91">
    <cfRule type="expression" dxfId="134" priority="155">
      <formula>#REF! = "64≠94"</formula>
    </cfRule>
  </conditionalFormatting>
  <conditionalFormatting sqref="AI91">
    <cfRule type="expression" dxfId="133" priority="156">
      <formula>#REF! = "94≠68+69+71+80+88+89+90+91+92"</formula>
    </cfRule>
  </conditionalFormatting>
  <conditionalFormatting sqref="AJ35">
    <cfRule type="expression" dxfId="132" priority="157">
      <formula>#REF! ="35≠36+38"</formula>
    </cfRule>
  </conditionalFormatting>
  <conditionalFormatting sqref="AJ39">
    <cfRule type="expression" dxfId="131" priority="158">
      <formula>#REF! ="39≠40+41+42+43+44"</formula>
    </cfRule>
  </conditionalFormatting>
  <conditionalFormatting sqref="AJ45">
    <cfRule type="expression" dxfId="130" priority="159">
      <formula>#REF! ="45≠33+34+35+39"</formula>
    </cfRule>
  </conditionalFormatting>
  <conditionalFormatting sqref="AJ50">
    <cfRule type="expression" dxfId="129" priority="160">
      <formula>#REF! ="50≠51+53"</formula>
    </cfRule>
  </conditionalFormatting>
  <conditionalFormatting sqref="AJ54">
    <cfRule type="expression" dxfId="128" priority="161">
      <formula>#REF! ="54≠55+56+57+58+59"</formula>
    </cfRule>
  </conditionalFormatting>
  <conditionalFormatting sqref="AJ60">
    <cfRule type="expression" dxfId="127" priority="162">
      <formula>#REF! ="60≠48+49+50+54"</formula>
    </cfRule>
  </conditionalFormatting>
  <conditionalFormatting sqref="AJ62">
    <cfRule type="expression" dxfId="126" priority="163">
      <formula>#REF! ="62≠45+46+60+61"</formula>
    </cfRule>
  </conditionalFormatting>
  <conditionalFormatting sqref="AJ64">
    <cfRule type="expression" dxfId="125" priority="164">
      <formula>#REF! ="64≠29+62"</formula>
    </cfRule>
  </conditionalFormatting>
  <conditionalFormatting sqref="AJ79">
    <cfRule type="expression" dxfId="124" priority="165">
      <formula>#REF! ="80≠73+74+75+76+77+78+79"</formula>
    </cfRule>
  </conditionalFormatting>
  <conditionalFormatting sqref="AJ85">
    <cfRule type="expression" dxfId="123" priority="166">
      <formula>#REF! ="88≠82+83+84+85+86+87"</formula>
    </cfRule>
  </conditionalFormatting>
  <conditionalFormatting sqref="AJ91">
    <cfRule type="expression" dxfId="122" priority="167">
      <formula>#REF! = "64≠94"</formula>
    </cfRule>
  </conditionalFormatting>
  <conditionalFormatting sqref="AJ91">
    <cfRule type="expression" dxfId="121" priority="168">
      <formula>#REF! = "94≠68+69+71+80+88+89+90+91+92"</formula>
    </cfRule>
  </conditionalFormatting>
  <conditionalFormatting sqref="AL35">
    <cfRule type="expression" dxfId="120" priority="133">
      <formula>#REF! ="35≠36+38"</formula>
    </cfRule>
  </conditionalFormatting>
  <conditionalFormatting sqref="AL39">
    <cfRule type="expression" dxfId="119" priority="134">
      <formula>#REF! ="39≠40+41+42+43+44"</formula>
    </cfRule>
  </conditionalFormatting>
  <conditionalFormatting sqref="AL45">
    <cfRule type="expression" dxfId="118" priority="135">
      <formula>#REF! ="45≠33+34+35+39"</formula>
    </cfRule>
  </conditionalFormatting>
  <conditionalFormatting sqref="AL50">
    <cfRule type="expression" dxfId="117" priority="136">
      <formula>#REF! ="50≠51+53"</formula>
    </cfRule>
  </conditionalFormatting>
  <conditionalFormatting sqref="AL54">
    <cfRule type="expression" dxfId="116" priority="137">
      <formula>#REF! ="54≠55+56+57+58+59"</formula>
    </cfRule>
  </conditionalFormatting>
  <conditionalFormatting sqref="AL60">
    <cfRule type="expression" dxfId="115" priority="138">
      <formula>#REF! ="60≠48+49+50+54"</formula>
    </cfRule>
  </conditionalFormatting>
  <conditionalFormatting sqref="AL62">
    <cfRule type="expression" dxfId="114" priority="139">
      <formula>#REF! ="62≠45+46+60+61"</formula>
    </cfRule>
  </conditionalFormatting>
  <conditionalFormatting sqref="AL64">
    <cfRule type="expression" dxfId="113" priority="140">
      <formula>#REF! ="64≠29+62"</formula>
    </cfRule>
  </conditionalFormatting>
  <conditionalFormatting sqref="AL79">
    <cfRule type="expression" dxfId="112" priority="141">
      <formula>#REF! ="80≠73+74+75+76+77+78+79"</formula>
    </cfRule>
  </conditionalFormatting>
  <conditionalFormatting sqref="AL85">
    <cfRule type="expression" dxfId="111" priority="142">
      <formula>#REF! ="88≠82+83+84+85+86+87"</formula>
    </cfRule>
  </conditionalFormatting>
  <conditionalFormatting sqref="AL91">
    <cfRule type="expression" dxfId="110" priority="143">
      <formula>#REF! = "64≠94"</formula>
    </cfRule>
  </conditionalFormatting>
  <conditionalFormatting sqref="AL91">
    <cfRule type="expression" dxfId="109" priority="144">
      <formula>#REF! = "94≠68+69+71+80+88+89+90+91+92"</formula>
    </cfRule>
  </conditionalFormatting>
  <conditionalFormatting sqref="AM35">
    <cfRule type="expression" dxfId="108" priority="121">
      <formula>#REF! ="35≠36+38"</formula>
    </cfRule>
  </conditionalFormatting>
  <conditionalFormatting sqref="AM39">
    <cfRule type="expression" dxfId="107" priority="122">
      <formula>#REF! ="39≠40+41+42+43+44"</formula>
    </cfRule>
  </conditionalFormatting>
  <conditionalFormatting sqref="AM45">
    <cfRule type="expression" dxfId="106" priority="123">
      <formula>#REF! ="45≠33+34+35+39"</formula>
    </cfRule>
  </conditionalFormatting>
  <conditionalFormatting sqref="AM50">
    <cfRule type="expression" dxfId="105" priority="124">
      <formula>#REF! ="50≠51+53"</formula>
    </cfRule>
  </conditionalFormatting>
  <conditionalFormatting sqref="AM54">
    <cfRule type="expression" dxfId="104" priority="125">
      <formula>#REF! ="54≠55+56+57+58+59"</formula>
    </cfRule>
  </conditionalFormatting>
  <conditionalFormatting sqref="AM60">
    <cfRule type="expression" dxfId="103" priority="126">
      <formula>#REF! ="60≠48+49+50+54"</formula>
    </cfRule>
  </conditionalFormatting>
  <conditionalFormatting sqref="AM62">
    <cfRule type="expression" dxfId="102" priority="127">
      <formula>#REF! ="62≠45+46+60+61"</formula>
    </cfRule>
  </conditionalFormatting>
  <conditionalFormatting sqref="AM64">
    <cfRule type="expression" dxfId="101" priority="128">
      <formula>#REF! ="64≠29+62"</formula>
    </cfRule>
  </conditionalFormatting>
  <conditionalFormatting sqref="AM79">
    <cfRule type="expression" dxfId="100" priority="129">
      <formula>#REF! ="80≠73+74+75+76+77+78+79"</formula>
    </cfRule>
  </conditionalFormatting>
  <conditionalFormatting sqref="AM85">
    <cfRule type="expression" dxfId="99" priority="130">
      <formula>#REF! ="88≠82+83+84+85+86+87"</formula>
    </cfRule>
  </conditionalFormatting>
  <conditionalFormatting sqref="AM91">
    <cfRule type="expression" dxfId="98" priority="131">
      <formula>#REF! = "64≠94"</formula>
    </cfRule>
  </conditionalFormatting>
  <conditionalFormatting sqref="AM91">
    <cfRule type="expression" dxfId="97" priority="132">
      <formula>#REF! = "94≠68+69+71+80+88+89+90+91+92"</formula>
    </cfRule>
  </conditionalFormatting>
  <conditionalFormatting sqref="H35">
    <cfRule type="expression" dxfId="96" priority="97">
      <formula>#REF! ="35≠36+38"</formula>
    </cfRule>
  </conditionalFormatting>
  <conditionalFormatting sqref="H39">
    <cfRule type="expression" dxfId="95" priority="98">
      <formula>#REF! ="39≠40+41+42+43+44"</formula>
    </cfRule>
  </conditionalFormatting>
  <conditionalFormatting sqref="H45">
    <cfRule type="expression" dxfId="94" priority="99">
      <formula>#REF! ="45≠33+34+35+39"</formula>
    </cfRule>
  </conditionalFormatting>
  <conditionalFormatting sqref="H50">
    <cfRule type="expression" dxfId="93" priority="100">
      <formula>#REF! ="50≠51+53"</formula>
    </cfRule>
  </conditionalFormatting>
  <conditionalFormatting sqref="H54">
    <cfRule type="expression" dxfId="92" priority="101">
      <formula>#REF! ="54≠55+56+57+58+59"</formula>
    </cfRule>
  </conditionalFormatting>
  <conditionalFormatting sqref="H60">
    <cfRule type="expression" dxfId="91" priority="102">
      <formula>#REF! ="60≠48+49+50+54"</formula>
    </cfRule>
  </conditionalFormatting>
  <conditionalFormatting sqref="H62">
    <cfRule type="expression" dxfId="90" priority="103">
      <formula>#REF! ="62≠45+46+60+61"</formula>
    </cfRule>
  </conditionalFormatting>
  <conditionalFormatting sqref="H64">
    <cfRule type="expression" dxfId="89" priority="104">
      <formula>#REF! ="64≠29+62"</formula>
    </cfRule>
  </conditionalFormatting>
  <conditionalFormatting sqref="H79">
    <cfRule type="expression" dxfId="88" priority="105">
      <formula>#REF! ="80≠73+74+75+76+77+78+79"</formula>
    </cfRule>
  </conditionalFormatting>
  <conditionalFormatting sqref="H85">
    <cfRule type="expression" dxfId="87" priority="106">
      <formula>#REF! ="88≠82+83+84+85+86+87"</formula>
    </cfRule>
  </conditionalFormatting>
  <conditionalFormatting sqref="H91">
    <cfRule type="expression" dxfId="86" priority="107">
      <formula>#REF! = "64≠94"</formula>
    </cfRule>
  </conditionalFormatting>
  <conditionalFormatting sqref="H91">
    <cfRule type="expression" dxfId="85" priority="108">
      <formula>#REF! = "94≠68+69+71+80+88+89+90+91+92"</formula>
    </cfRule>
  </conditionalFormatting>
  <conditionalFormatting sqref="I35">
    <cfRule type="expression" dxfId="84" priority="109">
      <formula>#REF! ="35≠36+38"</formula>
    </cfRule>
  </conditionalFormatting>
  <conditionalFormatting sqref="I39">
    <cfRule type="expression" dxfId="83" priority="110">
      <formula>#REF! ="39≠40+41+42+43+44"</formula>
    </cfRule>
  </conditionalFormatting>
  <conditionalFormatting sqref="I45">
    <cfRule type="expression" dxfId="82" priority="111">
      <formula>#REF! ="45≠33+34+35+39"</formula>
    </cfRule>
  </conditionalFormatting>
  <conditionalFormatting sqref="I50">
    <cfRule type="expression" dxfId="81" priority="112">
      <formula>#REF! ="50≠51+53"</formula>
    </cfRule>
  </conditionalFormatting>
  <conditionalFormatting sqref="I54">
    <cfRule type="expression" dxfId="80" priority="113">
      <formula>#REF! ="54≠55+56+57+58+59"</formula>
    </cfRule>
  </conditionalFormatting>
  <conditionalFormatting sqref="I60">
    <cfRule type="expression" dxfId="79" priority="114">
      <formula>#REF! ="60≠48+49+50+54"</formula>
    </cfRule>
  </conditionalFormatting>
  <conditionalFormatting sqref="I62">
    <cfRule type="expression" dxfId="78" priority="115">
      <formula>#REF! ="62≠45+46+60+61"</formula>
    </cfRule>
  </conditionalFormatting>
  <conditionalFormatting sqref="I64">
    <cfRule type="expression" dxfId="77" priority="116">
      <formula>#REF! ="64≠29+62"</formula>
    </cfRule>
  </conditionalFormatting>
  <conditionalFormatting sqref="I79">
    <cfRule type="expression" dxfId="76" priority="117">
      <formula>#REF! ="80≠73+74+75+76+77+78+79"</formula>
    </cfRule>
  </conditionalFormatting>
  <conditionalFormatting sqref="I85">
    <cfRule type="expression" dxfId="75" priority="118">
      <formula>#REF! ="88≠82+83+84+85+86+87"</formula>
    </cfRule>
  </conditionalFormatting>
  <conditionalFormatting sqref="I91">
    <cfRule type="expression" dxfId="74" priority="119">
      <formula>#REF! = "64≠94"</formula>
    </cfRule>
  </conditionalFormatting>
  <conditionalFormatting sqref="I91">
    <cfRule type="expression" dxfId="73" priority="120">
      <formula>#REF! = "94≠68+69+71+80+88+89+90+91+92"</formula>
    </cfRule>
  </conditionalFormatting>
  <conditionalFormatting sqref="E35">
    <cfRule type="expression" dxfId="72" priority="73">
      <formula>#REF! ="35≠36+38"</formula>
    </cfRule>
  </conditionalFormatting>
  <conditionalFormatting sqref="E39">
    <cfRule type="expression" dxfId="71" priority="74">
      <formula>#REF! ="39≠40+41+42+43+44"</formula>
    </cfRule>
  </conditionalFormatting>
  <conditionalFormatting sqref="E45">
    <cfRule type="expression" dxfId="70" priority="75">
      <formula>#REF! ="45≠33+34+35+39"</formula>
    </cfRule>
  </conditionalFormatting>
  <conditionalFormatting sqref="E50">
    <cfRule type="expression" dxfId="69" priority="76">
      <formula>#REF! ="50≠51+53"</formula>
    </cfRule>
  </conditionalFormatting>
  <conditionalFormatting sqref="E54">
    <cfRule type="expression" dxfId="68" priority="77">
      <formula>#REF! ="54≠55+56+57+58+59"</formula>
    </cfRule>
  </conditionalFormatting>
  <conditionalFormatting sqref="E60">
    <cfRule type="expression" dxfId="67" priority="78">
      <formula>#REF! ="60≠48+49+50+54"</formula>
    </cfRule>
  </conditionalFormatting>
  <conditionalFormatting sqref="E62">
    <cfRule type="expression" dxfId="66" priority="79">
      <formula>#REF! ="62≠45+46+60+61"</formula>
    </cfRule>
  </conditionalFormatting>
  <conditionalFormatting sqref="E64">
    <cfRule type="expression" dxfId="65" priority="80">
      <formula>#REF! ="64≠29+62"</formula>
    </cfRule>
  </conditionalFormatting>
  <conditionalFormatting sqref="E79">
    <cfRule type="expression" dxfId="64" priority="81">
      <formula>#REF! ="80≠73+74+75+76+77+78+79"</formula>
    </cfRule>
  </conditionalFormatting>
  <conditionalFormatting sqref="E85">
    <cfRule type="expression" dxfId="63" priority="82">
      <formula>#REF! ="88≠82+83+84+85+86+87"</formula>
    </cfRule>
  </conditionalFormatting>
  <conditionalFormatting sqref="E91">
    <cfRule type="expression" dxfId="62" priority="83">
      <formula>#REF! = "64≠94"</formula>
    </cfRule>
  </conditionalFormatting>
  <conditionalFormatting sqref="E91">
    <cfRule type="expression" dxfId="61" priority="84">
      <formula>#REF! = "94≠68+69+71+80+88+89+90+91+92"</formula>
    </cfRule>
  </conditionalFormatting>
  <conditionalFormatting sqref="F35">
    <cfRule type="expression" dxfId="60" priority="85">
      <formula>#REF! ="35≠36+38"</formula>
    </cfRule>
  </conditionalFormatting>
  <conditionalFormatting sqref="F39">
    <cfRule type="expression" dxfId="59" priority="86">
      <formula>#REF! ="39≠40+41+42+43+44"</formula>
    </cfRule>
  </conditionalFormatting>
  <conditionalFormatting sqref="F45">
    <cfRule type="expression" dxfId="58" priority="87">
      <formula>#REF! ="45≠33+34+35+39"</formula>
    </cfRule>
  </conditionalFormatting>
  <conditionalFormatting sqref="F50">
    <cfRule type="expression" dxfId="57" priority="88">
      <formula>#REF! ="50≠51+53"</formula>
    </cfRule>
  </conditionalFormatting>
  <conditionalFormatting sqref="F54">
    <cfRule type="expression" dxfId="56" priority="89">
      <formula>#REF! ="54≠55+56+57+58+59"</formula>
    </cfRule>
  </conditionalFormatting>
  <conditionalFormatting sqref="F60">
    <cfRule type="expression" dxfId="55" priority="90">
      <formula>#REF! ="60≠48+49+50+54"</formula>
    </cfRule>
  </conditionalFormatting>
  <conditionalFormatting sqref="F62">
    <cfRule type="expression" dxfId="54" priority="91">
      <formula>#REF! ="62≠45+46+60+61"</formula>
    </cfRule>
  </conditionalFormatting>
  <conditionalFormatting sqref="F64">
    <cfRule type="expression" dxfId="53" priority="92">
      <formula>#REF! ="64≠29+62"</formula>
    </cfRule>
  </conditionalFormatting>
  <conditionalFormatting sqref="F79">
    <cfRule type="expression" dxfId="52" priority="93">
      <formula>#REF! ="80≠73+74+75+76+77+78+79"</formula>
    </cfRule>
  </conditionalFormatting>
  <conditionalFormatting sqref="F85">
    <cfRule type="expression" dxfId="51" priority="94">
      <formula>#REF! ="88≠82+83+84+85+86+87"</formula>
    </cfRule>
  </conditionalFormatting>
  <conditionalFormatting sqref="F91">
    <cfRule type="expression" dxfId="50" priority="95">
      <formula>#REF! = "64≠94"</formula>
    </cfRule>
  </conditionalFormatting>
  <conditionalFormatting sqref="F91">
    <cfRule type="expression" dxfId="49" priority="96">
      <formula>#REF! = "94≠68+69+71+80+88+89+90+91+92"</formula>
    </cfRule>
  </conditionalFormatting>
  <conditionalFormatting sqref="B35">
    <cfRule type="expression" dxfId="48" priority="25">
      <formula>#REF! ="35≠36+38"</formula>
    </cfRule>
  </conditionalFormatting>
  <conditionalFormatting sqref="B39">
    <cfRule type="expression" dxfId="47" priority="26">
      <formula>#REF! ="39≠40+41+42+43+44"</formula>
    </cfRule>
  </conditionalFormatting>
  <conditionalFormatting sqref="B45">
    <cfRule type="expression" dxfId="46" priority="27">
      <formula>#REF! ="45≠33+34+35+39"</formula>
    </cfRule>
  </conditionalFormatting>
  <conditionalFormatting sqref="B50">
    <cfRule type="expression" dxfId="45" priority="28">
      <formula>#REF! ="50≠51+53"</formula>
    </cfRule>
  </conditionalFormatting>
  <conditionalFormatting sqref="B54">
    <cfRule type="expression" dxfId="44" priority="29">
      <formula>#REF! ="54≠55+56+57+58+59"</formula>
    </cfRule>
  </conditionalFormatting>
  <conditionalFormatting sqref="B60">
    <cfRule type="expression" dxfId="43" priority="30">
      <formula>#REF! ="60≠48+49+50+54"</formula>
    </cfRule>
  </conditionalFormatting>
  <conditionalFormatting sqref="B62">
    <cfRule type="expression" dxfId="42" priority="31">
      <formula>#REF! ="62≠45+46+60+61"</formula>
    </cfRule>
  </conditionalFormatting>
  <conditionalFormatting sqref="B64">
    <cfRule type="expression" dxfId="41" priority="32">
      <formula>#REF! ="64≠29+62"</formula>
    </cfRule>
  </conditionalFormatting>
  <conditionalFormatting sqref="B79">
    <cfRule type="expression" dxfId="40" priority="33">
      <formula>#REF! ="80≠73+74+75+76+77+78+79"</formula>
    </cfRule>
  </conditionalFormatting>
  <conditionalFormatting sqref="B85">
    <cfRule type="expression" dxfId="39" priority="34">
      <formula>#REF! ="88≠82+83+84+85+86+87"</formula>
    </cfRule>
  </conditionalFormatting>
  <conditionalFormatting sqref="B91">
    <cfRule type="expression" dxfId="38" priority="35">
      <formula>#REF! = "64≠94"</formula>
    </cfRule>
  </conditionalFormatting>
  <conditionalFormatting sqref="B91">
    <cfRule type="expression" dxfId="37" priority="36">
      <formula>#REF! = "94≠68+69+71+80+88+89+90+91+92"</formula>
    </cfRule>
  </conditionalFormatting>
  <conditionalFormatting sqref="C35">
    <cfRule type="expression" dxfId="36" priority="37">
      <formula>#REF! ="35≠36+38"</formula>
    </cfRule>
  </conditionalFormatting>
  <conditionalFormatting sqref="C39">
    <cfRule type="expression" dxfId="35" priority="38">
      <formula>#REF! ="39≠40+41+42+43+44"</formula>
    </cfRule>
  </conditionalFormatting>
  <conditionalFormatting sqref="C45">
    <cfRule type="expression" dxfId="34" priority="39">
      <formula>#REF! ="45≠33+34+35+39"</formula>
    </cfRule>
  </conditionalFormatting>
  <conditionalFormatting sqref="C50">
    <cfRule type="expression" dxfId="33" priority="40">
      <formula>#REF! ="50≠51+53"</formula>
    </cfRule>
  </conditionalFormatting>
  <conditionalFormatting sqref="C54">
    <cfRule type="expression" dxfId="32" priority="41">
      <formula>#REF! ="54≠55+56+57+58+59"</formula>
    </cfRule>
  </conditionalFormatting>
  <conditionalFormatting sqref="C60">
    <cfRule type="expression" dxfId="31" priority="42">
      <formula>#REF! ="60≠48+49+50+54"</formula>
    </cfRule>
  </conditionalFormatting>
  <conditionalFormatting sqref="C62">
    <cfRule type="expression" dxfId="30" priority="43">
      <formula>#REF! ="62≠45+46+60+61"</formula>
    </cfRule>
  </conditionalFormatting>
  <conditionalFormatting sqref="C64">
    <cfRule type="expression" dxfId="29" priority="44">
      <formula>#REF! ="64≠29+62"</formula>
    </cfRule>
  </conditionalFormatting>
  <conditionalFormatting sqref="C79">
    <cfRule type="expression" dxfId="28" priority="45">
      <formula>#REF! ="80≠73+74+75+76+77+78+79"</formula>
    </cfRule>
  </conditionalFormatting>
  <conditionalFormatting sqref="C85">
    <cfRule type="expression" dxfId="27" priority="46">
      <formula>#REF! ="88≠82+83+84+85+86+87"</formula>
    </cfRule>
  </conditionalFormatting>
  <conditionalFormatting sqref="C91">
    <cfRule type="expression" dxfId="26" priority="47">
      <formula>#REF! = "64≠94"</formula>
    </cfRule>
  </conditionalFormatting>
  <conditionalFormatting sqref="C91">
    <cfRule type="expression" dxfId="25" priority="48">
      <formula>#REF! = "94≠68+69+71+80+88+89+90+91+92"</formula>
    </cfRule>
  </conditionalFormatting>
  <conditionalFormatting sqref="W35">
    <cfRule type="expression" dxfId="24" priority="1">
      <formula>#REF! ="35≠36+38"</formula>
    </cfRule>
  </conditionalFormatting>
  <conditionalFormatting sqref="W39">
    <cfRule type="expression" dxfId="23" priority="2">
      <formula>#REF! ="39≠40+41+42+43+44"</formula>
    </cfRule>
  </conditionalFormatting>
  <conditionalFormatting sqref="W45">
    <cfRule type="expression" dxfId="22" priority="3">
      <formula>#REF! ="45≠33+34+35+39"</formula>
    </cfRule>
  </conditionalFormatting>
  <conditionalFormatting sqref="W50">
    <cfRule type="expression" dxfId="21" priority="4">
      <formula>#REF! ="50≠51+53"</formula>
    </cfRule>
  </conditionalFormatting>
  <conditionalFormatting sqref="W54">
    <cfRule type="expression" dxfId="20" priority="5">
      <formula>#REF! ="54≠55+56+57+58+59"</formula>
    </cfRule>
  </conditionalFormatting>
  <conditionalFormatting sqref="W60">
    <cfRule type="expression" dxfId="19" priority="6">
      <formula>#REF! ="60≠48+49+50+54"</formula>
    </cfRule>
  </conditionalFormatting>
  <conditionalFormatting sqref="W62">
    <cfRule type="expression" dxfId="18" priority="7">
      <formula>#REF! ="62≠45+46+60+61"</formula>
    </cfRule>
  </conditionalFormatting>
  <conditionalFormatting sqref="W64">
    <cfRule type="expression" dxfId="17" priority="8">
      <formula>#REF! ="64≠29+62"</formula>
    </cfRule>
  </conditionalFormatting>
  <conditionalFormatting sqref="W79">
    <cfRule type="expression" dxfId="16" priority="9">
      <formula>#REF! ="80≠73+74+75+76+77+78+79"</formula>
    </cfRule>
  </conditionalFormatting>
  <conditionalFormatting sqref="W85">
    <cfRule type="expression" dxfId="15" priority="10">
      <formula>#REF! ="88≠82+83+84+85+86+87"</formula>
    </cfRule>
  </conditionalFormatting>
  <conditionalFormatting sqref="W91">
    <cfRule type="expression" dxfId="14" priority="11">
      <formula>#REF! = "64≠94"</formula>
    </cfRule>
  </conditionalFormatting>
  <conditionalFormatting sqref="W91">
    <cfRule type="expression" dxfId="13" priority="12">
      <formula>#REF! = "94≠68+69+71+80+88+89+90+91+92"</formula>
    </cfRule>
  </conditionalFormatting>
  <conditionalFormatting sqref="X35">
    <cfRule type="expression" dxfId="12" priority="13">
      <formula>#REF! ="35≠36+38"</formula>
    </cfRule>
  </conditionalFormatting>
  <conditionalFormatting sqref="X39">
    <cfRule type="expression" dxfId="11" priority="14">
      <formula>#REF! ="39≠40+41+42+43+44"</formula>
    </cfRule>
  </conditionalFormatting>
  <conditionalFormatting sqref="X45">
    <cfRule type="expression" dxfId="10" priority="15">
      <formula>#REF! ="45≠33+34+35+39"</formula>
    </cfRule>
  </conditionalFormatting>
  <conditionalFormatting sqref="X50">
    <cfRule type="expression" dxfId="9" priority="16">
      <formula>#REF! ="50≠51+53"</formula>
    </cfRule>
  </conditionalFormatting>
  <conditionalFormatting sqref="X54">
    <cfRule type="expression" dxfId="8" priority="17">
      <formula>#REF! ="54≠55+56+57+58+59"</formula>
    </cfRule>
  </conditionalFormatting>
  <conditionalFormatting sqref="X60">
    <cfRule type="expression" dxfId="7" priority="18">
      <formula>#REF! ="60≠48+49+50+54"</formula>
    </cfRule>
  </conditionalFormatting>
  <conditionalFormatting sqref="X62">
    <cfRule type="expression" dxfId="6" priority="19">
      <formula>#REF! ="62≠45+46+60+61"</formula>
    </cfRule>
  </conditionalFormatting>
  <conditionalFormatting sqref="X64">
    <cfRule type="expression" dxfId="5" priority="20">
      <formula>#REF! ="64≠29+62"</formula>
    </cfRule>
  </conditionalFormatting>
  <conditionalFormatting sqref="X79">
    <cfRule type="expression" dxfId="4" priority="21">
      <formula>#REF! ="80≠73+74+75+76+77+78+79"</formula>
    </cfRule>
  </conditionalFormatting>
  <conditionalFormatting sqref="X85">
    <cfRule type="expression" dxfId="3" priority="22">
      <formula>#REF! ="88≠82+83+84+85+86+87"</formula>
    </cfRule>
  </conditionalFormatting>
  <conditionalFormatting sqref="X91">
    <cfRule type="expression" dxfId="2" priority="23">
      <formula>#REF! = "64≠94"</formula>
    </cfRule>
  </conditionalFormatting>
  <conditionalFormatting sqref="X91">
    <cfRule type="expression" dxfId="1" priority="24">
      <formula>#REF! = "94≠68+69+71+80+88+89+90+91+92"</formula>
    </cfRule>
  </conditionalFormatting>
  <hyperlinks>
    <hyperlink ref="B1" location="Innhold!A1" display="Tilbake"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9ECC-34D8-449C-A45F-BABDDACF2022}">
  <dimension ref="A1:AY18"/>
  <sheetViews>
    <sheetView showGridLines="0" zoomScale="70" zoomScaleNormal="7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62" style="617" customWidth="1"/>
    <col min="2" max="4" width="11.7109375" style="617" customWidth="1"/>
    <col min="5" max="7" width="11.7109375" style="717" customWidth="1"/>
    <col min="8" max="37" width="11.7109375" style="617" customWidth="1"/>
    <col min="38" max="253" width="11.42578125" style="617"/>
    <col min="254" max="254" width="62" style="617" customWidth="1"/>
    <col min="255" max="290" width="11.7109375" style="617" customWidth="1"/>
    <col min="291" max="509" width="11.42578125" style="617"/>
    <col min="510" max="510" width="62" style="617" customWidth="1"/>
    <col min="511" max="546" width="11.7109375" style="617" customWidth="1"/>
    <col min="547" max="765" width="11.42578125" style="617"/>
    <col min="766" max="766" width="62" style="617" customWidth="1"/>
    <col min="767" max="802" width="11.7109375" style="617" customWidth="1"/>
    <col min="803" max="1021" width="11.42578125" style="617"/>
    <col min="1022" max="1022" width="62" style="617" customWidth="1"/>
    <col min="1023" max="1058" width="11.7109375" style="617" customWidth="1"/>
    <col min="1059" max="1277" width="11.42578125" style="617"/>
    <col min="1278" max="1278" width="62" style="617" customWidth="1"/>
    <col min="1279" max="1314" width="11.7109375" style="617" customWidth="1"/>
    <col min="1315" max="1533" width="11.42578125" style="617"/>
    <col min="1534" max="1534" width="62" style="617" customWidth="1"/>
    <col min="1535" max="1570" width="11.7109375" style="617" customWidth="1"/>
    <col min="1571" max="1789" width="11.42578125" style="617"/>
    <col min="1790" max="1790" width="62" style="617" customWidth="1"/>
    <col min="1791" max="1826" width="11.7109375" style="617" customWidth="1"/>
    <col min="1827" max="2045" width="11.42578125" style="617"/>
    <col min="2046" max="2046" width="62" style="617" customWidth="1"/>
    <col min="2047" max="2082" width="11.7109375" style="617" customWidth="1"/>
    <col min="2083" max="2301" width="11.42578125" style="617"/>
    <col min="2302" max="2302" width="62" style="617" customWidth="1"/>
    <col min="2303" max="2338" width="11.7109375" style="617" customWidth="1"/>
    <col min="2339" max="2557" width="11.42578125" style="617"/>
    <col min="2558" max="2558" width="62" style="617" customWidth="1"/>
    <col min="2559" max="2594" width="11.7109375" style="617" customWidth="1"/>
    <col min="2595" max="2813" width="11.42578125" style="617"/>
    <col min="2814" max="2814" width="62" style="617" customWidth="1"/>
    <col min="2815" max="2850" width="11.7109375" style="617" customWidth="1"/>
    <col min="2851" max="3069" width="11.42578125" style="617"/>
    <col min="3070" max="3070" width="62" style="617" customWidth="1"/>
    <col min="3071" max="3106" width="11.7109375" style="617" customWidth="1"/>
    <col min="3107" max="3325" width="11.42578125" style="617"/>
    <col min="3326" max="3326" width="62" style="617" customWidth="1"/>
    <col min="3327" max="3362" width="11.7109375" style="617" customWidth="1"/>
    <col min="3363" max="3581" width="11.42578125" style="617"/>
    <col min="3582" max="3582" width="62" style="617" customWidth="1"/>
    <col min="3583" max="3618" width="11.7109375" style="617" customWidth="1"/>
    <col min="3619" max="3837" width="11.42578125" style="617"/>
    <col min="3838" max="3838" width="62" style="617" customWidth="1"/>
    <col min="3839" max="3874" width="11.7109375" style="617" customWidth="1"/>
    <col min="3875" max="4093" width="11.42578125" style="617"/>
    <col min="4094" max="4094" width="62" style="617" customWidth="1"/>
    <col min="4095" max="4130" width="11.7109375" style="617" customWidth="1"/>
    <col min="4131" max="4349" width="11.42578125" style="617"/>
    <col min="4350" max="4350" width="62" style="617" customWidth="1"/>
    <col min="4351" max="4386" width="11.7109375" style="617" customWidth="1"/>
    <col min="4387" max="4605" width="11.42578125" style="617"/>
    <col min="4606" max="4606" width="62" style="617" customWidth="1"/>
    <col min="4607" max="4642" width="11.7109375" style="617" customWidth="1"/>
    <col min="4643" max="4861" width="11.42578125" style="617"/>
    <col min="4862" max="4862" width="62" style="617" customWidth="1"/>
    <col min="4863" max="4898" width="11.7109375" style="617" customWidth="1"/>
    <col min="4899" max="5117" width="11.42578125" style="617"/>
    <col min="5118" max="5118" width="62" style="617" customWidth="1"/>
    <col min="5119" max="5154" width="11.7109375" style="617" customWidth="1"/>
    <col min="5155" max="5373" width="11.42578125" style="617"/>
    <col min="5374" max="5374" width="62" style="617" customWidth="1"/>
    <col min="5375" max="5410" width="11.7109375" style="617" customWidth="1"/>
    <col min="5411" max="5629" width="11.42578125" style="617"/>
    <col min="5630" max="5630" width="62" style="617" customWidth="1"/>
    <col min="5631" max="5666" width="11.7109375" style="617" customWidth="1"/>
    <col min="5667" max="5885" width="11.42578125" style="617"/>
    <col min="5886" max="5886" width="62" style="617" customWidth="1"/>
    <col min="5887" max="5922" width="11.7109375" style="617" customWidth="1"/>
    <col min="5923" max="6141" width="11.42578125" style="617"/>
    <col min="6142" max="6142" width="62" style="617" customWidth="1"/>
    <col min="6143" max="6178" width="11.7109375" style="617" customWidth="1"/>
    <col min="6179" max="6397" width="11.42578125" style="617"/>
    <col min="6398" max="6398" width="62" style="617" customWidth="1"/>
    <col min="6399" max="6434" width="11.7109375" style="617" customWidth="1"/>
    <col min="6435" max="6653" width="11.42578125" style="617"/>
    <col min="6654" max="6654" width="62" style="617" customWidth="1"/>
    <col min="6655" max="6690" width="11.7109375" style="617" customWidth="1"/>
    <col min="6691" max="6909" width="11.42578125" style="617"/>
    <col min="6910" max="6910" width="62" style="617" customWidth="1"/>
    <col min="6911" max="6946" width="11.7109375" style="617" customWidth="1"/>
    <col min="6947" max="7165" width="11.42578125" style="617"/>
    <col min="7166" max="7166" width="62" style="617" customWidth="1"/>
    <col min="7167" max="7202" width="11.7109375" style="617" customWidth="1"/>
    <col min="7203" max="7421" width="11.42578125" style="617"/>
    <col min="7422" max="7422" width="62" style="617" customWidth="1"/>
    <col min="7423" max="7458" width="11.7109375" style="617" customWidth="1"/>
    <col min="7459" max="7677" width="11.42578125" style="617"/>
    <col min="7678" max="7678" width="62" style="617" customWidth="1"/>
    <col min="7679" max="7714" width="11.7109375" style="617" customWidth="1"/>
    <col min="7715" max="7933" width="11.42578125" style="617"/>
    <col min="7934" max="7934" width="62" style="617" customWidth="1"/>
    <col min="7935" max="7970" width="11.7109375" style="617" customWidth="1"/>
    <col min="7971" max="8189" width="11.42578125" style="617"/>
    <col min="8190" max="8190" width="62" style="617" customWidth="1"/>
    <col min="8191" max="8226" width="11.7109375" style="617" customWidth="1"/>
    <col min="8227" max="8445" width="11.42578125" style="617"/>
    <col min="8446" max="8446" width="62" style="617" customWidth="1"/>
    <col min="8447" max="8482" width="11.7109375" style="617" customWidth="1"/>
    <col min="8483" max="8701" width="11.42578125" style="617"/>
    <col min="8702" max="8702" width="62" style="617" customWidth="1"/>
    <col min="8703" max="8738" width="11.7109375" style="617" customWidth="1"/>
    <col min="8739" max="8957" width="11.42578125" style="617"/>
    <col min="8958" max="8958" width="62" style="617" customWidth="1"/>
    <col min="8959" max="8994" width="11.7109375" style="617" customWidth="1"/>
    <col min="8995" max="9213" width="11.42578125" style="617"/>
    <col min="9214" max="9214" width="62" style="617" customWidth="1"/>
    <col min="9215" max="9250" width="11.7109375" style="617" customWidth="1"/>
    <col min="9251" max="9469" width="11.42578125" style="617"/>
    <col min="9470" max="9470" width="62" style="617" customWidth="1"/>
    <col min="9471" max="9506" width="11.7109375" style="617" customWidth="1"/>
    <col min="9507" max="9725" width="11.42578125" style="617"/>
    <col min="9726" max="9726" width="62" style="617" customWidth="1"/>
    <col min="9727" max="9762" width="11.7109375" style="617" customWidth="1"/>
    <col min="9763" max="9981" width="11.42578125" style="617"/>
    <col min="9982" max="9982" width="62" style="617" customWidth="1"/>
    <col min="9983" max="10018" width="11.7109375" style="617" customWidth="1"/>
    <col min="10019" max="10237" width="11.42578125" style="617"/>
    <col min="10238" max="10238" width="62" style="617" customWidth="1"/>
    <col min="10239" max="10274" width="11.7109375" style="617" customWidth="1"/>
    <col min="10275" max="10493" width="11.42578125" style="617"/>
    <col min="10494" max="10494" width="62" style="617" customWidth="1"/>
    <col min="10495" max="10530" width="11.7109375" style="617" customWidth="1"/>
    <col min="10531" max="10749" width="11.42578125" style="617"/>
    <col min="10750" max="10750" width="62" style="617" customWidth="1"/>
    <col min="10751" max="10786" width="11.7109375" style="617" customWidth="1"/>
    <col min="10787" max="11005" width="11.42578125" style="617"/>
    <col min="11006" max="11006" width="62" style="617" customWidth="1"/>
    <col min="11007" max="11042" width="11.7109375" style="617" customWidth="1"/>
    <col min="11043" max="11261" width="11.42578125" style="617"/>
    <col min="11262" max="11262" width="62" style="617" customWidth="1"/>
    <col min="11263" max="11298" width="11.7109375" style="617" customWidth="1"/>
    <col min="11299" max="11517" width="11.42578125" style="617"/>
    <col min="11518" max="11518" width="62" style="617" customWidth="1"/>
    <col min="11519" max="11554" width="11.7109375" style="617" customWidth="1"/>
    <col min="11555" max="11773" width="11.42578125" style="617"/>
    <col min="11774" max="11774" width="62" style="617" customWidth="1"/>
    <col min="11775" max="11810" width="11.7109375" style="617" customWidth="1"/>
    <col min="11811" max="12029" width="11.42578125" style="617"/>
    <col min="12030" max="12030" width="62" style="617" customWidth="1"/>
    <col min="12031" max="12066" width="11.7109375" style="617" customWidth="1"/>
    <col min="12067" max="12285" width="11.42578125" style="617"/>
    <col min="12286" max="12286" width="62" style="617" customWidth="1"/>
    <col min="12287" max="12322" width="11.7109375" style="617" customWidth="1"/>
    <col min="12323" max="12541" width="11.42578125" style="617"/>
    <col min="12542" max="12542" width="62" style="617" customWidth="1"/>
    <col min="12543" max="12578" width="11.7109375" style="617" customWidth="1"/>
    <col min="12579" max="12797" width="11.42578125" style="617"/>
    <col min="12798" max="12798" width="62" style="617" customWidth="1"/>
    <col min="12799" max="12834" width="11.7109375" style="617" customWidth="1"/>
    <col min="12835" max="13053" width="11.42578125" style="617"/>
    <col min="13054" max="13054" width="62" style="617" customWidth="1"/>
    <col min="13055" max="13090" width="11.7109375" style="617" customWidth="1"/>
    <col min="13091" max="13309" width="11.42578125" style="617"/>
    <col min="13310" max="13310" width="62" style="617" customWidth="1"/>
    <col min="13311" max="13346" width="11.7109375" style="617" customWidth="1"/>
    <col min="13347" max="13565" width="11.42578125" style="617"/>
    <col min="13566" max="13566" width="62" style="617" customWidth="1"/>
    <col min="13567" max="13602" width="11.7109375" style="617" customWidth="1"/>
    <col min="13603" max="13821" width="11.42578125" style="617"/>
    <col min="13822" max="13822" width="62" style="617" customWidth="1"/>
    <col min="13823" max="13858" width="11.7109375" style="617" customWidth="1"/>
    <col min="13859" max="14077" width="11.42578125" style="617"/>
    <col min="14078" max="14078" width="62" style="617" customWidth="1"/>
    <col min="14079" max="14114" width="11.7109375" style="617" customWidth="1"/>
    <col min="14115" max="14333" width="11.42578125" style="617"/>
    <col min="14334" max="14334" width="62" style="617" customWidth="1"/>
    <col min="14335" max="14370" width="11.7109375" style="617" customWidth="1"/>
    <col min="14371" max="14589" width="11.42578125" style="617"/>
    <col min="14590" max="14590" width="62" style="617" customWidth="1"/>
    <col min="14591" max="14626" width="11.7109375" style="617" customWidth="1"/>
    <col min="14627" max="14845" width="11.42578125" style="617"/>
    <col min="14846" max="14846" width="62" style="617" customWidth="1"/>
    <col min="14847" max="14882" width="11.7109375" style="617" customWidth="1"/>
    <col min="14883" max="15101" width="11.42578125" style="617"/>
    <col min="15102" max="15102" width="62" style="617" customWidth="1"/>
    <col min="15103" max="15138" width="11.7109375" style="617" customWidth="1"/>
    <col min="15139" max="15357" width="11.42578125" style="617"/>
    <col min="15358" max="15358" width="62" style="617" customWidth="1"/>
    <col min="15359" max="15394" width="11.7109375" style="617" customWidth="1"/>
    <col min="15395" max="15613" width="11.42578125" style="617"/>
    <col min="15614" max="15614" width="62" style="617" customWidth="1"/>
    <col min="15615" max="15650" width="11.7109375" style="617" customWidth="1"/>
    <col min="15651" max="15869" width="11.42578125" style="617"/>
    <col min="15870" max="15870" width="62" style="617" customWidth="1"/>
    <col min="15871" max="15906" width="11.7109375" style="617" customWidth="1"/>
    <col min="15907" max="16125" width="11.42578125" style="617"/>
    <col min="16126" max="16126" width="62" style="617" customWidth="1"/>
    <col min="16127" max="16162" width="11.7109375" style="617" customWidth="1"/>
    <col min="16163" max="16384" width="11.42578125" style="617"/>
  </cols>
  <sheetData>
    <row r="1" spans="1:51" ht="20.25" x14ac:dyDescent="0.3">
      <c r="A1" s="615" t="s">
        <v>172</v>
      </c>
      <c r="B1" s="616" t="s">
        <v>52</v>
      </c>
    </row>
    <row r="2" spans="1:51" ht="20.25" x14ac:dyDescent="0.3">
      <c r="A2" s="615" t="s">
        <v>268</v>
      </c>
      <c r="H2" s="708"/>
    </row>
    <row r="3" spans="1:51" ht="18.75" x14ac:dyDescent="0.3">
      <c r="A3" s="618" t="s">
        <v>336</v>
      </c>
    </row>
    <row r="4" spans="1:51" ht="18.75" x14ac:dyDescent="0.3">
      <c r="A4" s="619" t="s">
        <v>416</v>
      </c>
      <c r="B4" s="620"/>
      <c r="C4" s="621"/>
      <c r="D4" s="622"/>
      <c r="E4" s="718"/>
      <c r="F4" s="718"/>
      <c r="G4" s="718"/>
      <c r="H4" s="620"/>
      <c r="I4" s="621"/>
      <c r="J4" s="622"/>
      <c r="K4" s="621"/>
      <c r="L4" s="621"/>
      <c r="M4" s="622"/>
      <c r="N4" s="621"/>
      <c r="O4" s="621"/>
      <c r="P4" s="622"/>
      <c r="Q4" s="620"/>
      <c r="R4" s="621"/>
      <c r="S4" s="622"/>
      <c r="T4" s="620"/>
      <c r="U4" s="621"/>
      <c r="V4" s="622"/>
      <c r="W4" s="620"/>
      <c r="X4" s="621"/>
      <c r="Y4" s="622"/>
      <c r="Z4" s="620"/>
      <c r="AA4" s="621"/>
      <c r="AB4" s="622"/>
      <c r="AC4" s="620"/>
      <c r="AD4" s="621"/>
      <c r="AE4" s="622"/>
      <c r="AF4" s="620"/>
      <c r="AG4" s="621"/>
      <c r="AH4" s="622"/>
      <c r="AI4" s="620"/>
      <c r="AJ4" s="623"/>
      <c r="AK4" s="622"/>
      <c r="AL4" s="624"/>
      <c r="AM4" s="624"/>
      <c r="AN4" s="624"/>
      <c r="AO4" s="624"/>
      <c r="AP4" s="624"/>
      <c r="AQ4" s="624"/>
      <c r="AR4" s="624"/>
      <c r="AS4" s="624"/>
      <c r="AT4" s="624"/>
      <c r="AU4" s="624"/>
      <c r="AV4" s="624"/>
      <c r="AW4" s="624"/>
      <c r="AX4" s="624"/>
      <c r="AY4" s="624"/>
    </row>
    <row r="5" spans="1:51" ht="18.75" x14ac:dyDescent="0.3">
      <c r="A5" s="625"/>
      <c r="B5" s="805" t="s">
        <v>175</v>
      </c>
      <c r="C5" s="806"/>
      <c r="D5" s="807"/>
      <c r="E5" s="723"/>
      <c r="F5" s="723" t="s">
        <v>176</v>
      </c>
      <c r="G5" s="723"/>
      <c r="H5" s="805" t="s">
        <v>176</v>
      </c>
      <c r="I5" s="806"/>
      <c r="J5" s="807"/>
      <c r="K5" s="679"/>
      <c r="L5" s="679"/>
      <c r="M5" s="680"/>
      <c r="N5" s="805" t="s">
        <v>177</v>
      </c>
      <c r="O5" s="806"/>
      <c r="P5" s="807"/>
      <c r="Q5" s="805" t="s">
        <v>178</v>
      </c>
      <c r="R5" s="806"/>
      <c r="S5" s="807"/>
      <c r="T5" s="698" t="s">
        <v>179</v>
      </c>
      <c r="U5" s="699"/>
      <c r="V5" s="700"/>
      <c r="W5" s="678"/>
      <c r="X5" s="679"/>
      <c r="Y5" s="680"/>
      <c r="Z5" s="805" t="s">
        <v>180</v>
      </c>
      <c r="AA5" s="806"/>
      <c r="AB5" s="807"/>
      <c r="AC5" s="687"/>
      <c r="AD5" s="688"/>
      <c r="AE5" s="689"/>
      <c r="AF5" s="805" t="s">
        <v>72</v>
      </c>
      <c r="AG5" s="806"/>
      <c r="AH5" s="807"/>
      <c r="AI5" s="815" t="s">
        <v>286</v>
      </c>
      <c r="AJ5" s="816"/>
      <c r="AK5" s="817"/>
      <c r="AL5" s="670"/>
      <c r="AM5" s="670"/>
      <c r="AN5" s="811"/>
      <c r="AO5" s="811"/>
      <c r="AP5" s="811"/>
      <c r="AQ5" s="811"/>
      <c r="AR5" s="811"/>
      <c r="AS5" s="811"/>
      <c r="AT5" s="811"/>
      <c r="AU5" s="811"/>
      <c r="AV5" s="811"/>
      <c r="AW5" s="811"/>
      <c r="AX5" s="811"/>
      <c r="AY5" s="811"/>
    </row>
    <row r="6" spans="1:51" ht="18.75" x14ac:dyDescent="0.3">
      <c r="A6" s="627"/>
      <c r="B6" s="808" t="s">
        <v>181</v>
      </c>
      <c r="C6" s="809"/>
      <c r="D6" s="810"/>
      <c r="E6" s="724"/>
      <c r="F6" s="724" t="s">
        <v>427</v>
      </c>
      <c r="G6" s="724"/>
      <c r="H6" s="808" t="s">
        <v>182</v>
      </c>
      <c r="I6" s="809"/>
      <c r="J6" s="810"/>
      <c r="K6" s="808" t="s">
        <v>407</v>
      </c>
      <c r="L6" s="809"/>
      <c r="M6" s="810"/>
      <c r="N6" s="808" t="s">
        <v>182</v>
      </c>
      <c r="O6" s="809"/>
      <c r="P6" s="810"/>
      <c r="Q6" s="808" t="s">
        <v>183</v>
      </c>
      <c r="R6" s="809"/>
      <c r="S6" s="810"/>
      <c r="T6" s="808" t="s">
        <v>63</v>
      </c>
      <c r="U6" s="809"/>
      <c r="V6" s="810"/>
      <c r="W6" s="808" t="s">
        <v>65</v>
      </c>
      <c r="X6" s="809"/>
      <c r="Y6" s="810"/>
      <c r="Z6" s="808" t="s">
        <v>181</v>
      </c>
      <c r="AA6" s="809"/>
      <c r="AB6" s="810"/>
      <c r="AC6" s="808" t="s">
        <v>67</v>
      </c>
      <c r="AD6" s="809"/>
      <c r="AE6" s="810"/>
      <c r="AF6" s="808" t="s">
        <v>182</v>
      </c>
      <c r="AG6" s="809"/>
      <c r="AH6" s="810"/>
      <c r="AI6" s="812" t="s">
        <v>287</v>
      </c>
      <c r="AJ6" s="813"/>
      <c r="AK6" s="814"/>
      <c r="AL6" s="670"/>
      <c r="AM6" s="670"/>
      <c r="AN6" s="811"/>
      <c r="AO6" s="811"/>
      <c r="AP6" s="811"/>
      <c r="AQ6" s="811"/>
      <c r="AR6" s="811"/>
      <c r="AS6" s="811"/>
      <c r="AT6" s="811"/>
      <c r="AU6" s="811"/>
      <c r="AV6" s="811"/>
      <c r="AW6" s="811"/>
      <c r="AX6" s="811"/>
      <c r="AY6" s="811"/>
    </row>
    <row r="7" spans="1:51" ht="18.75" x14ac:dyDescent="0.3">
      <c r="A7" s="627"/>
      <c r="B7" s="628"/>
      <c r="C7" s="628"/>
      <c r="D7" s="629" t="s">
        <v>80</v>
      </c>
      <c r="E7" s="719"/>
      <c r="F7" s="719"/>
      <c r="G7" s="720" t="s">
        <v>80</v>
      </c>
      <c r="H7" s="628"/>
      <c r="I7" s="628"/>
      <c r="J7" s="629" t="s">
        <v>80</v>
      </c>
      <c r="K7" s="628"/>
      <c r="L7" s="628"/>
      <c r="M7" s="629" t="s">
        <v>80</v>
      </c>
      <c r="N7" s="628"/>
      <c r="O7" s="628"/>
      <c r="P7" s="629" t="s">
        <v>80</v>
      </c>
      <c r="Q7" s="628"/>
      <c r="R7" s="628"/>
      <c r="S7" s="629" t="s">
        <v>80</v>
      </c>
      <c r="T7" s="628"/>
      <c r="U7" s="628"/>
      <c r="V7" s="629" t="s">
        <v>80</v>
      </c>
      <c r="W7" s="628"/>
      <c r="X7" s="628"/>
      <c r="Y7" s="629" t="s">
        <v>80</v>
      </c>
      <c r="Z7" s="628"/>
      <c r="AA7" s="628"/>
      <c r="AB7" s="629" t="s">
        <v>80</v>
      </c>
      <c r="AC7" s="628"/>
      <c r="AD7" s="628"/>
      <c r="AE7" s="629" t="s">
        <v>80</v>
      </c>
      <c r="AF7" s="628"/>
      <c r="AG7" s="628"/>
      <c r="AH7" s="629" t="s">
        <v>80</v>
      </c>
      <c r="AI7" s="628"/>
      <c r="AJ7" s="628"/>
      <c r="AK7" s="629" t="s">
        <v>80</v>
      </c>
      <c r="AL7" s="670"/>
      <c r="AM7" s="670"/>
      <c r="AN7" s="626"/>
      <c r="AO7" s="626"/>
      <c r="AP7" s="626"/>
      <c r="AQ7" s="626"/>
      <c r="AR7" s="626"/>
      <c r="AS7" s="626"/>
      <c r="AT7" s="626"/>
      <c r="AU7" s="626"/>
      <c r="AV7" s="626"/>
      <c r="AW7" s="626"/>
      <c r="AX7" s="626"/>
      <c r="AY7" s="626"/>
    </row>
    <row r="8" spans="1:51" ht="15.75" x14ac:dyDescent="0.25">
      <c r="A8" s="630" t="s">
        <v>289</v>
      </c>
      <c r="B8" s="631">
        <v>2020</v>
      </c>
      <c r="C8" s="631">
        <v>2021</v>
      </c>
      <c r="D8" s="632" t="s">
        <v>82</v>
      </c>
      <c r="E8" s="721">
        <v>2020</v>
      </c>
      <c r="F8" s="721">
        <v>2021</v>
      </c>
      <c r="G8" s="722" t="s">
        <v>82</v>
      </c>
      <c r="H8" s="631">
        <f t="shared" ref="H8" si="0">$B$8</f>
        <v>2020</v>
      </c>
      <c r="I8" s="631">
        <f t="shared" ref="I8" si="1">$C$8</f>
        <v>2021</v>
      </c>
      <c r="J8" s="632" t="s">
        <v>82</v>
      </c>
      <c r="K8" s="631">
        <f t="shared" ref="K8" si="2">$B$8</f>
        <v>2020</v>
      </c>
      <c r="L8" s="631">
        <f t="shared" ref="L8" si="3">$C$8</f>
        <v>2021</v>
      </c>
      <c r="M8" s="632" t="s">
        <v>82</v>
      </c>
      <c r="N8" s="631">
        <f t="shared" ref="N8" si="4">$B$8</f>
        <v>2020</v>
      </c>
      <c r="O8" s="631">
        <f t="shared" ref="O8" si="5">$C$8</f>
        <v>2021</v>
      </c>
      <c r="P8" s="632" t="s">
        <v>82</v>
      </c>
      <c r="Q8" s="631">
        <f t="shared" ref="Q8" si="6">$B$8</f>
        <v>2020</v>
      </c>
      <c r="R8" s="631">
        <f t="shared" ref="R8" si="7">$C$8</f>
        <v>2021</v>
      </c>
      <c r="S8" s="632" t="s">
        <v>82</v>
      </c>
      <c r="T8" s="631">
        <f t="shared" ref="T8" si="8">$B$8</f>
        <v>2020</v>
      </c>
      <c r="U8" s="631">
        <f t="shared" ref="U8" si="9">$C$8</f>
        <v>2021</v>
      </c>
      <c r="V8" s="632" t="s">
        <v>82</v>
      </c>
      <c r="W8" s="631">
        <f t="shared" ref="W8" si="10">$B$8</f>
        <v>2020</v>
      </c>
      <c r="X8" s="631">
        <f t="shared" ref="X8" si="11">$C$8</f>
        <v>2021</v>
      </c>
      <c r="Y8" s="632" t="s">
        <v>82</v>
      </c>
      <c r="Z8" s="631">
        <f t="shared" ref="Z8" si="12">$B$8</f>
        <v>2020</v>
      </c>
      <c r="AA8" s="631">
        <f t="shared" ref="AA8" si="13">$C$8</f>
        <v>2021</v>
      </c>
      <c r="AB8" s="632" t="s">
        <v>82</v>
      </c>
      <c r="AC8" s="631">
        <f t="shared" ref="AC8" si="14">$B$8</f>
        <v>2020</v>
      </c>
      <c r="AD8" s="631">
        <f t="shared" ref="AD8" si="15">$C$8</f>
        <v>2021</v>
      </c>
      <c r="AE8" s="632" t="s">
        <v>82</v>
      </c>
      <c r="AF8" s="631">
        <f t="shared" ref="AF8" si="16">$B$8</f>
        <v>2020</v>
      </c>
      <c r="AG8" s="631">
        <f t="shared" ref="AG8" si="17">$C$8</f>
        <v>2021</v>
      </c>
      <c r="AH8" s="632" t="s">
        <v>82</v>
      </c>
      <c r="AI8" s="631">
        <f t="shared" ref="AI8" si="18">$B$8</f>
        <v>2020</v>
      </c>
      <c r="AJ8" s="631">
        <f t="shared" ref="AJ8" si="19">$C$8</f>
        <v>2021</v>
      </c>
      <c r="AK8" s="632" t="s">
        <v>82</v>
      </c>
      <c r="AL8" s="634"/>
      <c r="AM8" s="633"/>
      <c r="AN8" s="634"/>
      <c r="AO8" s="634"/>
      <c r="AP8" s="633"/>
      <c r="AQ8" s="634"/>
      <c r="AR8" s="634"/>
      <c r="AS8" s="633"/>
      <c r="AT8" s="634"/>
      <c r="AU8" s="634"/>
      <c r="AV8" s="633"/>
      <c r="AW8" s="634"/>
      <c r="AX8" s="634"/>
      <c r="AY8" s="633"/>
    </row>
    <row r="9" spans="1:51" s="591" customFormat="1" ht="18.75" x14ac:dyDescent="0.3">
      <c r="A9" s="635"/>
      <c r="B9" s="636"/>
      <c r="C9" s="636"/>
      <c r="D9" s="636"/>
      <c r="E9" s="749"/>
      <c r="F9" s="714"/>
      <c r="G9" s="714"/>
      <c r="H9" s="655"/>
      <c r="I9" s="655"/>
      <c r="J9" s="595"/>
      <c r="K9" s="655"/>
      <c r="L9" s="655"/>
      <c r="M9" s="655"/>
      <c r="N9" s="655"/>
      <c r="O9" s="655"/>
      <c r="P9" s="655"/>
      <c r="Q9" s="655"/>
      <c r="R9" s="655"/>
      <c r="S9" s="655"/>
      <c r="T9" s="655"/>
      <c r="U9" s="655"/>
      <c r="V9" s="655"/>
      <c r="W9" s="655"/>
      <c r="X9" s="592"/>
      <c r="Y9" s="655"/>
      <c r="Z9" s="655"/>
      <c r="AA9" s="655"/>
      <c r="AB9" s="655"/>
      <c r="AC9" s="655"/>
      <c r="AD9" s="655"/>
      <c r="AE9" s="655"/>
      <c r="AF9" s="655"/>
      <c r="AG9" s="655"/>
      <c r="AH9" s="655"/>
      <c r="AI9" s="636"/>
      <c r="AJ9" s="636"/>
      <c r="AK9" s="636"/>
    </row>
    <row r="10" spans="1:51" s="591" customFormat="1" ht="18.75" x14ac:dyDescent="0.3">
      <c r="A10" s="637" t="s">
        <v>408</v>
      </c>
      <c r="B10" s="655"/>
      <c r="C10" s="655"/>
      <c r="D10" s="595"/>
      <c r="E10" s="749"/>
      <c r="F10" s="714"/>
      <c r="G10" s="714"/>
      <c r="H10" s="655"/>
      <c r="I10" s="655"/>
      <c r="J10" s="595"/>
      <c r="K10" s="655"/>
      <c r="L10" s="655"/>
      <c r="M10" s="655"/>
      <c r="N10" s="655"/>
      <c r="O10" s="655"/>
      <c r="P10" s="655"/>
      <c r="Q10" s="655"/>
      <c r="R10" s="655"/>
      <c r="S10" s="655"/>
      <c r="T10" s="655"/>
      <c r="U10" s="655"/>
      <c r="V10" s="655"/>
      <c r="W10" s="655"/>
      <c r="X10" s="592"/>
      <c r="Y10" s="655"/>
      <c r="Z10" s="655"/>
      <c r="AA10" s="592"/>
      <c r="AB10" s="655"/>
      <c r="AC10" s="655"/>
      <c r="AD10" s="592"/>
      <c r="AE10" s="655"/>
      <c r="AF10" s="655"/>
      <c r="AG10" s="592"/>
      <c r="AH10" s="655"/>
      <c r="AI10" s="655"/>
      <c r="AJ10" s="655"/>
      <c r="AK10" s="656"/>
    </row>
    <row r="11" spans="1:51" ht="22.5" x14ac:dyDescent="0.3">
      <c r="A11" s="637" t="s">
        <v>409</v>
      </c>
      <c r="B11" s="655">
        <v>1</v>
      </c>
      <c r="C11" s="655">
        <v>1.05</v>
      </c>
      <c r="D11" s="596">
        <f>IF(B11=0, "    ---- ", IF(ABS(ROUND(100/B11*C11-100,1))&lt;999,ROUND(100/B11*C11-100,1),IF(ROUND(100/B11*C11-100,1)&gt;999,999,-999)))</f>
        <v>5</v>
      </c>
      <c r="E11" s="749">
        <v>0.53</v>
      </c>
      <c r="F11" s="715"/>
      <c r="G11" s="715"/>
      <c r="H11" s="655">
        <v>-0.08</v>
      </c>
      <c r="I11" s="592">
        <v>2.78</v>
      </c>
      <c r="J11" s="596">
        <f>IF(H11=0, "    ---- ", IF(ABS(ROUND(100/H11*I11-100,1))&lt;999,ROUND(100/H11*I11-100,1),IF(ROUND(100/H11*I11-100,1)&gt;999,999,-999)))</f>
        <v>-999</v>
      </c>
      <c r="K11" s="655">
        <v>-0.82</v>
      </c>
      <c r="L11" s="655">
        <v>1.92</v>
      </c>
      <c r="M11" s="655"/>
      <c r="N11" s="655"/>
      <c r="O11" s="655"/>
      <c r="P11" s="655"/>
      <c r="Q11" s="655">
        <v>0.84799999999999998</v>
      </c>
      <c r="R11" s="655">
        <v>1.486</v>
      </c>
      <c r="S11" s="655"/>
      <c r="T11" s="655">
        <v>1.9319978069209931</v>
      </c>
      <c r="U11" s="655">
        <v>2.5569194039700704</v>
      </c>
      <c r="V11" s="655"/>
      <c r="W11" s="655">
        <v>0.9</v>
      </c>
      <c r="X11" s="592">
        <v>4</v>
      </c>
      <c r="Y11" s="655"/>
      <c r="Z11" s="655">
        <v>1.8</v>
      </c>
      <c r="AA11" s="592">
        <v>6.67</v>
      </c>
      <c r="AB11" s="655"/>
      <c r="AC11" s="655">
        <v>-0.68339795512937196</v>
      </c>
      <c r="AD11" s="592">
        <v>3.46420779854131</v>
      </c>
      <c r="AE11" s="655"/>
      <c r="AF11" s="655">
        <v>1.74</v>
      </c>
      <c r="AG11" s="592">
        <v>2.11</v>
      </c>
      <c r="AH11" s="655"/>
      <c r="AI11" s="656"/>
      <c r="AJ11" s="656"/>
      <c r="AK11" s="656"/>
    </row>
    <row r="12" spans="1:51" ht="18.75" x14ac:dyDescent="0.3">
      <c r="A12" s="637" t="s">
        <v>410</v>
      </c>
      <c r="B12" s="655">
        <v>2.66</v>
      </c>
      <c r="C12" s="655">
        <v>0.8</v>
      </c>
      <c r="D12" s="596">
        <f>IF(B12=0, "    ---- ", IF(ABS(ROUND(100/B12*C12-100,1))&lt;999,ROUND(100/B12*C12-100,1),IF(ROUND(100/B12*C12-100,1)&gt;999,999,-999)))</f>
        <v>-69.900000000000006</v>
      </c>
      <c r="E12" s="749">
        <v>0.35</v>
      </c>
      <c r="F12" s="715"/>
      <c r="G12" s="715"/>
      <c r="H12" s="655">
        <v>-1.04</v>
      </c>
      <c r="I12" s="592">
        <v>2.16</v>
      </c>
      <c r="J12" s="596">
        <f>IF(H12=0, "    ---- ", IF(ABS(ROUND(100/H12*I12-100,1))&lt;999,ROUND(100/H12*I12-100,1),IF(ROUND(100/H12*I12-100,1)&gt;999,999,-999)))</f>
        <v>-307.7</v>
      </c>
      <c r="K12" s="655">
        <v>0.96</v>
      </c>
      <c r="L12" s="655">
        <v>0.7</v>
      </c>
      <c r="M12" s="655"/>
      <c r="N12" s="655"/>
      <c r="O12" s="655"/>
      <c r="P12" s="655"/>
      <c r="Q12" s="655">
        <v>0.55000000000000004</v>
      </c>
      <c r="R12" s="655">
        <v>1.4910000000000001</v>
      </c>
      <c r="S12" s="655"/>
      <c r="T12" s="655">
        <v>-0.47684714841355058</v>
      </c>
      <c r="U12" s="655">
        <v>4.4482260012825181</v>
      </c>
      <c r="V12" s="655"/>
      <c r="W12" s="655">
        <v>0.7</v>
      </c>
      <c r="X12" s="592">
        <v>4.3</v>
      </c>
      <c r="Y12" s="655"/>
      <c r="Z12" s="655">
        <v>0.84</v>
      </c>
      <c r="AA12" s="592">
        <v>6.24</v>
      </c>
      <c r="AB12" s="655"/>
      <c r="AC12" s="655">
        <v>-4.93844914931507</v>
      </c>
      <c r="AD12" s="592">
        <v>4.0434299924899904</v>
      </c>
      <c r="AE12" s="655"/>
      <c r="AF12" s="655">
        <v>2.7</v>
      </c>
      <c r="AG12" s="592">
        <v>1.87</v>
      </c>
      <c r="AH12" s="655"/>
      <c r="AI12" s="656"/>
      <c r="AJ12" s="656"/>
      <c r="AK12" s="656"/>
    </row>
    <row r="13" spans="1:51" ht="18.75" x14ac:dyDescent="0.3">
      <c r="A13" s="637"/>
      <c r="B13" s="655"/>
      <c r="C13" s="655"/>
      <c r="D13" s="595"/>
      <c r="E13" s="749"/>
      <c r="F13" s="714"/>
      <c r="G13" s="714"/>
      <c r="H13" s="655"/>
      <c r="I13" s="655"/>
      <c r="J13" s="595"/>
      <c r="K13" s="655"/>
      <c r="L13" s="655"/>
      <c r="M13" s="655"/>
      <c r="N13" s="655"/>
      <c r="O13" s="655"/>
      <c r="P13" s="655"/>
      <c r="Q13" s="655"/>
      <c r="R13" s="655"/>
      <c r="S13" s="655"/>
      <c r="T13" s="655"/>
      <c r="U13" s="655"/>
      <c r="V13" s="655"/>
      <c r="W13" s="655"/>
      <c r="X13" s="592"/>
      <c r="Y13" s="655"/>
      <c r="Z13" s="655"/>
      <c r="AA13" s="592"/>
      <c r="AB13" s="655"/>
      <c r="AC13" s="655"/>
      <c r="AD13" s="592"/>
      <c r="AE13" s="655"/>
      <c r="AF13" s="655"/>
      <c r="AG13" s="592"/>
      <c r="AH13" s="655"/>
      <c r="AI13" s="655"/>
      <c r="AJ13" s="655"/>
      <c r="AK13" s="655"/>
    </row>
    <row r="14" spans="1:51" ht="18.75" x14ac:dyDescent="0.3">
      <c r="A14" s="637" t="s">
        <v>411</v>
      </c>
      <c r="B14" s="655"/>
      <c r="C14" s="655"/>
      <c r="D14" s="596"/>
      <c r="E14" s="749">
        <v>49.5</v>
      </c>
      <c r="F14" s="715"/>
      <c r="G14" s="715"/>
      <c r="H14" s="655">
        <v>24.78</v>
      </c>
      <c r="I14" s="655">
        <f>0.254575480824042*100</f>
        <v>25.457548082404202</v>
      </c>
      <c r="J14" s="596">
        <f>IF(H14=0, "    ---- ", IF(ABS(ROUND(100/H14*I14-100,1))&lt;999,ROUND(100/H14*I14-100,1),IF(ROUND(100/H14*I14-100,1)&gt;999,999,-999)))</f>
        <v>2.7</v>
      </c>
      <c r="K14" s="655">
        <v>37.39</v>
      </c>
      <c r="L14" s="655">
        <v>45.97</v>
      </c>
      <c r="M14" s="656">
        <f>IF(K14=0, "    ---- ", IF(ABS(ROUND(100/K14*L14-100,1))&lt;999,ROUND(100/K14*L14-100,1),IF(ROUND(100/K14*L14-100,1)&gt;999,999,-999)))</f>
        <v>22.9</v>
      </c>
      <c r="N14" s="655">
        <v>42.5</v>
      </c>
      <c r="O14" s="655">
        <v>39.799999999999997</v>
      </c>
      <c r="P14" s="656">
        <f>IF(N14=0, "    ---- ", IF(ABS(ROUND(100/N14*O14-100,1))&lt;999,ROUND(100/N14*O14-100,1),IF(ROUND(100/N14*O14-100,1)&gt;999,999,-999)))</f>
        <v>-6.4</v>
      </c>
      <c r="Q14" s="655">
        <v>22.53</v>
      </c>
      <c r="R14" s="655">
        <v>20.8</v>
      </c>
      <c r="S14" s="656">
        <f>IF(Q14=0, "    ---- ", IF(ABS(ROUND(100/Q14*R14-100,1))&lt;999,ROUND(100/Q14*R14-100,1),IF(ROUND(100/Q14*R14-100,1)&gt;999,999,-999)))</f>
        <v>-7.7</v>
      </c>
      <c r="T14" s="655">
        <v>25.47</v>
      </c>
      <c r="U14" s="655">
        <v>27.591844733227262</v>
      </c>
      <c r="V14" s="656">
        <f>IF(T14=0, "    ---- ", IF(ABS(ROUND(100/T14*U14-100,1))&lt;999,ROUND(100/T14*U14-100,1),IF(ROUND(100/T14*U14-100,1)&gt;999,999,-999)))</f>
        <v>8.3000000000000007</v>
      </c>
      <c r="W14" s="691">
        <v>37.799999999999997</v>
      </c>
      <c r="X14" s="592">
        <v>38</v>
      </c>
      <c r="Y14" s="656">
        <f>IF(W14=0, "    ---- ", IF(ABS(ROUND(100/W14*X14-100,1))&lt;999,ROUND(100/W14*X14-100,1),IF(ROUND(100/W14*X14-100,1)&gt;999,999,-999)))</f>
        <v>0.5</v>
      </c>
      <c r="Z14" s="655">
        <f>(1430+8340+1240+7228+16013+1454)/(67484+1460)*100</f>
        <v>51.788407983290782</v>
      </c>
      <c r="AA14" s="655">
        <f>(1430+9595+1240+7899+18370+952)/(67900+7081)*100</f>
        <v>52.661340873021167</v>
      </c>
      <c r="AB14" s="656">
        <f>IF(Z14=0, "    ---- ", IF(ABS(ROUND(100/Z14*AA14-100,1))&lt;999,ROUND(100/Z14*AA14-100,1),IF(ROUND(100/Z14*AA14-100,1)&gt;999,999,-999)))</f>
        <v>1.7</v>
      </c>
      <c r="AC14" s="655">
        <v>47.804045071193961</v>
      </c>
      <c r="AD14" s="592">
        <f>('[2]Tabell 6'!AJ68+'[2]Tabell 6'!AJ71+'[2]Tabell 6'!AJ74+'[2]Tabell 6'!AJ75+'[2]Tabell 6'!AJ78+477.325)/('[2]Tabell 6'!AJ79)*100</f>
        <v>44.956813697016834</v>
      </c>
      <c r="AE14" s="656">
        <f>IF(AC14=0, "    ---- ", IF(ABS(ROUND(100/AC14*AD14-100,1))&lt;999,ROUND(100/AC14*AD14-100,1),IF(ROUND(100/AC14*AD14-100,1)&gt;999,999,-999)))</f>
        <v>-6</v>
      </c>
      <c r="AF14" s="655">
        <v>26.1</v>
      </c>
      <c r="AG14" s="592">
        <v>27.4</v>
      </c>
      <c r="AH14" s="656">
        <f>IF(AF14=0, "    ---- ", IF(ABS(ROUND(100/AF14*AG14-100,1))&lt;999,ROUND(100/AF14*AG14-100,1),IF(ROUND(100/AF14*AG14-100,1)&gt;999,999,-999)))</f>
        <v>5</v>
      </c>
      <c r="AI14" s="656"/>
      <c r="AJ14" s="656"/>
      <c r="AK14" s="656"/>
    </row>
    <row r="15" spans="1:51" ht="18.75" x14ac:dyDescent="0.3">
      <c r="A15" s="637"/>
      <c r="B15" s="655"/>
      <c r="C15" s="655"/>
      <c r="D15" s="595"/>
      <c r="E15" s="749"/>
      <c r="F15" s="714"/>
      <c r="G15" s="714"/>
      <c r="H15" s="655"/>
      <c r="I15" s="655"/>
      <c r="J15" s="595"/>
      <c r="K15" s="655"/>
      <c r="L15" s="655"/>
      <c r="M15" s="655"/>
      <c r="N15" s="655"/>
      <c r="O15" s="655"/>
      <c r="P15" s="655"/>
      <c r="Q15" s="655"/>
      <c r="R15" s="655"/>
      <c r="S15" s="655"/>
      <c r="T15" s="655"/>
      <c r="U15" s="655"/>
      <c r="V15" s="655"/>
      <c r="W15" s="655"/>
      <c r="X15" s="592"/>
      <c r="Y15" s="655"/>
      <c r="Z15" s="655"/>
      <c r="AA15" s="592"/>
      <c r="AB15" s="655"/>
      <c r="AC15" s="655"/>
      <c r="AD15" s="592"/>
      <c r="AE15" s="655"/>
      <c r="AF15" s="655"/>
      <c r="AG15" s="592"/>
      <c r="AH15" s="655"/>
      <c r="AI15" s="655"/>
      <c r="AJ15" s="655"/>
      <c r="AK15" s="655"/>
    </row>
    <row r="16" spans="1:51" ht="18.75" x14ac:dyDescent="0.3">
      <c r="A16" s="637" t="s">
        <v>345</v>
      </c>
      <c r="B16" s="656">
        <v>58.487000000000002</v>
      </c>
      <c r="C16" s="656">
        <v>64.567999999999998</v>
      </c>
      <c r="D16" s="596">
        <f>IF(B16=0, "    ---- ", IF(ABS(ROUND(100/B16*C16-100,1))&lt;999,ROUND(100/B16*C16-100,1),IF(ROUND(100/B16*C16-100,1)&gt;999,999,-999)))</f>
        <v>10.4</v>
      </c>
      <c r="E16" s="750">
        <v>16</v>
      </c>
      <c r="F16" s="715"/>
      <c r="G16" s="715"/>
      <c r="H16" s="656">
        <v>3682.6489999999999</v>
      </c>
      <c r="I16" s="656">
        <v>1981.1110000000001</v>
      </c>
      <c r="J16" s="596">
        <f>IF(H16=0, "    ---- ", IF(ABS(ROUND(100/H16*I16-100,1))&lt;999,ROUND(100/H16*I16-100,1),IF(ROUND(100/H16*I16-100,1)&gt;999,999,-999)))</f>
        <v>-46.2</v>
      </c>
      <c r="K16" s="656">
        <v>126</v>
      </c>
      <c r="L16" s="656">
        <v>0</v>
      </c>
      <c r="M16" s="656"/>
      <c r="N16" s="656"/>
      <c r="O16" s="656"/>
      <c r="P16" s="656"/>
      <c r="Q16" s="656">
        <v>1.0629999999999999</v>
      </c>
      <c r="R16" s="656">
        <v>10.3</v>
      </c>
      <c r="S16" s="656"/>
      <c r="T16" s="656">
        <v>43109.966547000004</v>
      </c>
      <c r="U16" s="656">
        <v>67708.994693510002</v>
      </c>
      <c r="V16" s="656"/>
      <c r="W16" s="656">
        <v>1518</v>
      </c>
      <c r="X16" s="593">
        <v>2603</v>
      </c>
      <c r="Y16" s="656"/>
      <c r="Z16" s="656">
        <v>16013</v>
      </c>
      <c r="AA16" s="593">
        <v>18370</v>
      </c>
      <c r="AB16" s="656"/>
      <c r="AC16" s="656">
        <v>2366.6179999999999</v>
      </c>
      <c r="AD16" s="444">
        <v>2933.1210000000001</v>
      </c>
      <c r="AE16" s="656"/>
      <c r="AF16" s="656">
        <v>7403</v>
      </c>
      <c r="AG16" s="593">
        <v>6820</v>
      </c>
      <c r="AH16" s="656"/>
      <c r="AI16" s="656">
        <f>B16+H16+K16+N16+Q16+T16+E16+W16+Z16+AC16+AF16</f>
        <v>74294.783546999999</v>
      </c>
      <c r="AJ16" s="750">
        <f>C16+I16+L16+O16+R16+U16+F16+X16+AA16+AD16+AG16</f>
        <v>100491.09469351001</v>
      </c>
      <c r="AK16" s="656">
        <f>IF(AI16=0, "    ---- ", IF(ABS(ROUND(100/AI16*AJ16-100,1))&lt;999,ROUND(100/AI16*AJ16-100,1),IF(ROUND(100/AI16*AJ16-100,1)&gt;999,999,-999)))</f>
        <v>35.299999999999997</v>
      </c>
    </row>
    <row r="17" spans="1:37" ht="18.75" x14ac:dyDescent="0.3">
      <c r="A17" s="637"/>
      <c r="B17" s="656"/>
      <c r="C17" s="656"/>
      <c r="D17" s="596"/>
      <c r="E17" s="750"/>
      <c r="F17" s="715"/>
      <c r="G17" s="715"/>
      <c r="H17" s="656"/>
      <c r="I17" s="656"/>
      <c r="J17" s="596"/>
      <c r="K17" s="656"/>
      <c r="L17" s="656"/>
      <c r="M17" s="656"/>
      <c r="N17" s="656"/>
      <c r="O17" s="656"/>
      <c r="P17" s="656"/>
      <c r="Q17" s="656"/>
      <c r="R17" s="656"/>
      <c r="S17" s="656"/>
      <c r="T17" s="656"/>
      <c r="U17" s="656"/>
      <c r="V17" s="656"/>
      <c r="W17" s="656"/>
      <c r="X17" s="593"/>
      <c r="Y17" s="656"/>
      <c r="Z17" s="656"/>
      <c r="AA17" s="593"/>
      <c r="AB17" s="656"/>
      <c r="AC17" s="656"/>
      <c r="AD17" s="593"/>
      <c r="AE17" s="656"/>
      <c r="AF17" s="656"/>
      <c r="AG17" s="593"/>
      <c r="AH17" s="656"/>
      <c r="AI17" s="656"/>
      <c r="AJ17" s="656"/>
      <c r="AK17" s="656"/>
    </row>
    <row r="18" spans="1:37" ht="18.75" x14ac:dyDescent="0.3">
      <c r="A18" s="638" t="s">
        <v>412</v>
      </c>
      <c r="B18" s="657"/>
      <c r="C18" s="657"/>
      <c r="D18" s="597"/>
      <c r="E18" s="751">
        <v>144</v>
      </c>
      <c r="F18" s="716"/>
      <c r="G18" s="716"/>
      <c r="H18" s="657">
        <v>8844.4609999999993</v>
      </c>
      <c r="I18" s="657">
        <v>5668.5888447899997</v>
      </c>
      <c r="J18" s="597">
        <f>IF(H18=0, "    ---- ", IF(ABS(ROUND(100/H18*I18-100,1))&lt;999,ROUND(100/H18*I18-100,1),IF(ROUND(100/H18*I18-100,1)&gt;999,999,-999)))</f>
        <v>-35.9</v>
      </c>
      <c r="K18" s="657">
        <v>-1.9</v>
      </c>
      <c r="L18" s="661">
        <v>-1.4E-2</v>
      </c>
      <c r="M18" s="657"/>
      <c r="N18" s="657"/>
      <c r="O18" s="657"/>
      <c r="P18" s="657"/>
      <c r="Q18" s="657">
        <v>12.393000000000001</v>
      </c>
      <c r="R18" s="657">
        <v>4.7</v>
      </c>
      <c r="S18" s="657"/>
      <c r="T18" s="663">
        <v>1340</v>
      </c>
      <c r="U18" s="657">
        <v>925</v>
      </c>
      <c r="V18" s="657"/>
      <c r="W18" s="657">
        <v>3239</v>
      </c>
      <c r="X18" s="594">
        <v>1895</v>
      </c>
      <c r="Y18" s="657"/>
      <c r="Z18" s="657">
        <v>1454</v>
      </c>
      <c r="AA18" s="594">
        <v>952</v>
      </c>
      <c r="AB18" s="657"/>
      <c r="AC18" s="657">
        <v>108.247</v>
      </c>
      <c r="AD18" s="594">
        <v>59.939</v>
      </c>
      <c r="AE18" s="657"/>
      <c r="AF18" s="657">
        <v>9414</v>
      </c>
      <c r="AG18" s="594">
        <v>6418</v>
      </c>
      <c r="AH18" s="657"/>
      <c r="AI18" s="751">
        <f t="shared" ref="AI18:AJ18" si="20">B18+H18+K18+N18+Q18+T18+E18+W18+Z18+AC18+AF18</f>
        <v>24554.201000000001</v>
      </c>
      <c r="AJ18" s="751">
        <f t="shared" si="20"/>
        <v>15923.21384479</v>
      </c>
      <c r="AK18" s="657">
        <f>IF(AI18=0, "    ---- ", IF(ABS(ROUND(100/AI18*AJ18-100,1))&lt;999,ROUND(100/AI18*AJ18-100,1),IF(ROUND(100/AI18*AJ18-100,1)&gt;999,999,-999)))</f>
        <v>-35.200000000000003</v>
      </c>
    </row>
  </sheetData>
  <protectedRanges>
    <protectedRange sqref="L9:L10" name="Område1_13_5_2"/>
    <protectedRange sqref="L11:L18" name="Område1_2_1_2_2"/>
    <protectedRange sqref="K9:K13 K15:K18" name="Område1_9_3_1"/>
    <protectedRange sqref="K14" name="Område1_4_2_3_1"/>
    <protectedRange sqref="O9:O13 O15:O18" name="Område1_13_1_1_1"/>
    <protectedRange sqref="O14" name="Område1_4_1_2_1"/>
    <protectedRange sqref="N9:N13 N15:N18" name="Område1_9_10"/>
    <protectedRange sqref="N14" name="Område1_4_2_10"/>
    <protectedRange sqref="R9:R13 R15:R18" name="Område1_9_6_1_1"/>
    <protectedRange sqref="R14" name="Område1_4_2_6_1_1"/>
    <protectedRange sqref="Q9:Q13 Q15:Q18" name="Område1_9_6"/>
    <protectedRange sqref="Q14" name="Område1_4_2_6"/>
    <protectedRange sqref="X9:X10" name="Område1_13_3_1_1"/>
    <protectedRange sqref="X11:X18" name="Område1_5_1_2_1"/>
    <protectedRange sqref="W9:W13 W15:W18" name="Område1_9_2"/>
    <protectedRange sqref="W14" name="Område1_4_2_1_1"/>
    <protectedRange sqref="AA9:AA10" name="Område1_13_4_1_1"/>
    <protectedRange sqref="AA11:AA13 AA15:AA18" name="Område1_6_1_2_1"/>
    <protectedRange sqref="Z9:Z13 Z15:Z18" name="Område1_9_1"/>
    <protectedRange sqref="Z14:AA14" name="Område1_4_2_2"/>
    <protectedRange sqref="AD9:AD18" name="Område1_11_1_1_1"/>
    <protectedRange sqref="AC15:AC18 AC9:AC13" name="Område1_9_1_3"/>
    <protectedRange sqref="AC14" name="Område1_4_2_2_3"/>
    <protectedRange sqref="AF9:AF13 AF15:AF18" name="Område1_9_9"/>
    <protectedRange sqref="AF14" name="Område1_4_2_9"/>
    <protectedRange sqref="AG9:AG10" name="Område1_10_1_1_1_1"/>
    <protectedRange sqref="AG11:AG18" name="Område1_8_1_1_1_1_1"/>
    <protectedRange sqref="I9:I10" name="Område1_13_5_1_1"/>
    <protectedRange sqref="I13:I18" name="Område1_2_1_2_1_1"/>
    <protectedRange sqref="H9:H10" name="Område1_8_1_2"/>
    <protectedRange sqref="H11:H18" name="Område1_2_2_1_2"/>
    <protectedRange sqref="C9:C10 C17:C18" name="Område1_12_1_1_1"/>
    <protectedRange sqref="C11:C16" name="Område1_1_1_1_1_1"/>
    <protectedRange sqref="B9:B10 B17:B18" name="Område1"/>
    <protectedRange sqref="B11:B16" name="Område1_1"/>
    <protectedRange sqref="U9:U10" name="Område1_13_2_1_1_1"/>
    <protectedRange sqref="U11:U18" name="Område1_3_1_2_1_1"/>
    <protectedRange sqref="T9:T13 T15:T18" name="Område1_9_7_1_1"/>
    <protectedRange sqref="T14" name="Område1_4_2_7_1_1"/>
  </protectedRanges>
  <mergeCells count="26">
    <mergeCell ref="Q5:S5"/>
    <mergeCell ref="W6:Y6"/>
    <mergeCell ref="Z6:AB6"/>
    <mergeCell ref="AC6:AE6"/>
    <mergeCell ref="T6:V6"/>
    <mergeCell ref="Z5:AB5"/>
    <mergeCell ref="Q6:S6"/>
    <mergeCell ref="AQ5:AS5"/>
    <mergeCell ref="AT5:AV5"/>
    <mergeCell ref="AW5:AY5"/>
    <mergeCell ref="AN5:AP5"/>
    <mergeCell ref="AF6:AH6"/>
    <mergeCell ref="AI6:AK6"/>
    <mergeCell ref="AF5:AH5"/>
    <mergeCell ref="AI5:AK5"/>
    <mergeCell ref="AN6:AP6"/>
    <mergeCell ref="AQ6:AS6"/>
    <mergeCell ref="AT6:AV6"/>
    <mergeCell ref="AW6:AY6"/>
    <mergeCell ref="B5:D5"/>
    <mergeCell ref="H5:J5"/>
    <mergeCell ref="N5:P5"/>
    <mergeCell ref="B6:D6"/>
    <mergeCell ref="H6:J6"/>
    <mergeCell ref="K6:M6"/>
    <mergeCell ref="N6:P6"/>
  </mergeCells>
  <hyperlinks>
    <hyperlink ref="B1" location="Innhold!A1" display="Tilbake" xr:uid="{10497701-2AA6-4565-8F01-4AFD14AEF8B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election activeCell="A4" sqref="A4"/>
    </sheetView>
  </sheetViews>
  <sheetFormatPr baseColWidth="10" defaultColWidth="11.42578125" defaultRowHeight="12.75" x14ac:dyDescent="0.2"/>
  <cols>
    <col min="1" max="1" width="66.28515625" style="1" customWidth="1"/>
    <col min="2" max="2" width="4.28515625" style="49" customWidth="1"/>
    <col min="3" max="3" width="105.28515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28"/>
      <c r="D2" s="328"/>
      <c r="E2" s="328"/>
    </row>
    <row r="3" spans="1:17" x14ac:dyDescent="0.2">
      <c r="A3" s="42" t="s">
        <v>51</v>
      </c>
    </row>
    <row r="4" spans="1:17" x14ac:dyDescent="0.2">
      <c r="C4" s="328"/>
      <c r="D4" s="328"/>
      <c r="E4" s="328"/>
      <c r="F4" s="328"/>
      <c r="G4" s="328"/>
      <c r="H4" s="328"/>
      <c r="I4" s="328"/>
      <c r="J4" s="328"/>
      <c r="K4" s="328"/>
    </row>
    <row r="6" spans="1:17" ht="15.75" x14ac:dyDescent="0.25">
      <c r="C6" s="743" t="s">
        <v>16</v>
      </c>
      <c r="D6" s="3"/>
      <c r="E6" s="335"/>
    </row>
    <row r="7" spans="1:17" ht="18.75" customHeight="1" x14ac:dyDescent="0.2">
      <c r="C7" s="3"/>
      <c r="D7" s="3"/>
      <c r="E7" s="49"/>
    </row>
    <row r="8" spans="1:17" ht="15.75" x14ac:dyDescent="0.25">
      <c r="B8" s="329">
        <v>1</v>
      </c>
      <c r="C8" s="330" t="s">
        <v>350</v>
      </c>
      <c r="E8" s="339"/>
    </row>
    <row r="9" spans="1:17" ht="31.5" x14ac:dyDescent="0.2">
      <c r="B9" s="329">
        <v>2</v>
      </c>
      <c r="C9" s="332" t="s">
        <v>276</v>
      </c>
      <c r="E9" s="8"/>
      <c r="Q9" s="3"/>
    </row>
    <row r="10" spans="1:17" ht="47.25" x14ac:dyDescent="0.2">
      <c r="B10" s="329">
        <v>3</v>
      </c>
      <c r="C10" s="330" t="s">
        <v>277</v>
      </c>
      <c r="E10" s="8"/>
    </row>
    <row r="11" spans="1:17" ht="47.25" x14ac:dyDescent="0.2">
      <c r="B11" s="329">
        <v>4</v>
      </c>
      <c r="C11" s="332" t="s">
        <v>278</v>
      </c>
      <c r="E11" s="8"/>
    </row>
    <row r="12" spans="1:17" ht="31.5" x14ac:dyDescent="0.2">
      <c r="B12" s="329">
        <v>5</v>
      </c>
      <c r="C12" s="330" t="s">
        <v>21</v>
      </c>
      <c r="E12" s="3"/>
    </row>
    <row r="13" spans="1:17" ht="15.75" x14ac:dyDescent="0.2">
      <c r="B13" s="329">
        <v>6</v>
      </c>
      <c r="C13" s="330" t="s">
        <v>351</v>
      </c>
      <c r="E13" s="3"/>
    </row>
    <row r="14" spans="1:17" ht="15.75" x14ac:dyDescent="0.2">
      <c r="B14" s="329">
        <v>7</v>
      </c>
      <c r="C14" s="330" t="s">
        <v>17</v>
      </c>
    </row>
    <row r="15" spans="1:17" ht="18.75" customHeight="1" x14ac:dyDescent="0.2">
      <c r="B15" s="329">
        <v>8</v>
      </c>
      <c r="C15" s="330" t="s">
        <v>18</v>
      </c>
    </row>
    <row r="16" spans="1:17" ht="18.75" customHeight="1" x14ac:dyDescent="0.2">
      <c r="B16" s="329">
        <v>9</v>
      </c>
      <c r="C16" s="330" t="s">
        <v>22</v>
      </c>
    </row>
    <row r="17" spans="2:9" ht="63" x14ac:dyDescent="0.25">
      <c r="B17" s="329">
        <v>10</v>
      </c>
      <c r="C17" s="330" t="s">
        <v>360</v>
      </c>
      <c r="E17" s="335"/>
    </row>
    <row r="18" spans="2:9" ht="15.75" x14ac:dyDescent="0.2">
      <c r="B18" s="329">
        <v>11</v>
      </c>
      <c r="C18" s="330" t="s">
        <v>19</v>
      </c>
      <c r="E18" s="8"/>
    </row>
    <row r="19" spans="2:9" ht="15.75" x14ac:dyDescent="0.2">
      <c r="B19" s="329">
        <v>12</v>
      </c>
      <c r="C19" s="330" t="s">
        <v>280</v>
      </c>
      <c r="E19" s="8"/>
    </row>
    <row r="20" spans="2:9" ht="15.75" x14ac:dyDescent="0.2">
      <c r="B20" s="329">
        <v>13</v>
      </c>
      <c r="C20" s="330" t="s">
        <v>20</v>
      </c>
      <c r="E20" s="3"/>
    </row>
    <row r="21" spans="2:9" ht="47.25" x14ac:dyDescent="0.2">
      <c r="B21" s="329">
        <v>14</v>
      </c>
      <c r="C21" s="330" t="s">
        <v>281</v>
      </c>
      <c r="E21" s="340"/>
    </row>
    <row r="22" spans="2:9" ht="31.5" x14ac:dyDescent="0.2">
      <c r="B22" s="329">
        <v>15</v>
      </c>
      <c r="C22" s="332" t="s">
        <v>339</v>
      </c>
      <c r="E22" s="3"/>
    </row>
    <row r="23" spans="2:9" ht="15.75" x14ac:dyDescent="0.25">
      <c r="B23" s="329">
        <v>16</v>
      </c>
      <c r="C23" s="334" t="s">
        <v>279</v>
      </c>
      <c r="D23" s="333"/>
      <c r="E23" s="328"/>
      <c r="F23" s="333"/>
      <c r="G23" s="2"/>
      <c r="H23" s="2"/>
      <c r="I23" s="2"/>
    </row>
    <row r="24" spans="2:9" ht="18.75" customHeight="1" x14ac:dyDescent="0.25">
      <c r="B24" s="331">
        <v>17</v>
      </c>
      <c r="C24" s="334" t="s">
        <v>282</v>
      </c>
    </row>
    <row r="25" spans="2:9" ht="18.75" customHeight="1" x14ac:dyDescent="0.25">
      <c r="B25" s="701">
        <v>18</v>
      </c>
      <c r="C25" s="337" t="s">
        <v>428</v>
      </c>
    </row>
    <row r="26" spans="2:9" ht="18.75" customHeight="1" x14ac:dyDescent="0.25">
      <c r="B26" s="701">
        <v>19</v>
      </c>
      <c r="C26" s="726" t="s">
        <v>437</v>
      </c>
    </row>
    <row r="27" spans="2:9" ht="18.75" customHeight="1" x14ac:dyDescent="0.25">
      <c r="B27" s="701">
        <v>20</v>
      </c>
      <c r="C27" s="726" t="s">
        <v>443</v>
      </c>
    </row>
    <row r="28" spans="2:9" ht="18.75" customHeight="1" x14ac:dyDescent="0.25">
      <c r="B28" s="701"/>
      <c r="C28" s="702"/>
    </row>
    <row r="29" spans="2:9" ht="18.75" customHeight="1" x14ac:dyDescent="0.25">
      <c r="B29" s="701"/>
      <c r="C29" s="702"/>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38"/>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28"/>
      <c r="E50" s="328"/>
      <c r="F50" s="328"/>
      <c r="G50" s="328"/>
      <c r="H50" s="328"/>
      <c r="I50" s="328"/>
      <c r="J50" s="328"/>
      <c r="K50" s="328"/>
      <c r="L50" s="328"/>
      <c r="M50" s="328"/>
      <c r="N50" s="328"/>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6"/>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2.75" x14ac:dyDescent="0.2"/>
  <cols>
    <col min="1" max="1" width="49" style="86" customWidth="1"/>
    <col min="2" max="3" width="15.7109375" style="86" customWidth="1"/>
    <col min="4" max="4" width="8.7109375" style="86" customWidth="1"/>
    <col min="5" max="5" width="9" style="86" bestFit="1" customWidth="1"/>
    <col min="6" max="6" width="4.7109375" style="86" customWidth="1"/>
    <col min="7" max="7" width="18.42578125" style="86" customWidth="1"/>
    <col min="8" max="8" width="17.7109375" style="86" customWidth="1"/>
    <col min="9" max="9" width="8.7109375" style="86" customWidth="1"/>
    <col min="10" max="10" width="9" style="86" bestFit="1" customWidth="1"/>
    <col min="11" max="11" width="13.42578125" style="86" hidden="1" customWidth="1"/>
    <col min="12" max="12" width="14.7109375" style="186" hidden="1" customWidth="1"/>
    <col min="13" max="13" width="13.7109375" style="186" hidden="1" customWidth="1"/>
    <col min="14" max="15" width="15.7109375" style="186" hidden="1" customWidth="1"/>
    <col min="16" max="16" width="11.42578125" style="86" hidden="1" customWidth="1"/>
    <col min="17" max="19" width="11.42578125" style="86" customWidth="1"/>
    <col min="20" max="16384" width="11.42578125" style="86"/>
  </cols>
  <sheetData>
    <row r="1" spans="1:16" ht="20.25" x14ac:dyDescent="0.3">
      <c r="A1" s="79" t="s">
        <v>76</v>
      </c>
      <c r="B1" s="72" t="s">
        <v>52</v>
      </c>
      <c r="C1" s="73"/>
      <c r="D1" s="73"/>
      <c r="E1" s="73"/>
      <c r="F1" s="73"/>
      <c r="G1" s="73"/>
      <c r="H1" s="73"/>
      <c r="I1" s="73"/>
      <c r="J1" s="73"/>
      <c r="K1" s="73"/>
    </row>
    <row r="2" spans="1:16" ht="20.25" x14ac:dyDescent="0.3">
      <c r="A2" s="79" t="s">
        <v>77</v>
      </c>
      <c r="B2" s="73"/>
      <c r="C2" s="73"/>
      <c r="D2" s="73"/>
      <c r="E2" s="73"/>
      <c r="F2" s="73"/>
      <c r="G2" s="73"/>
      <c r="H2" s="73"/>
      <c r="I2" s="73"/>
      <c r="J2" s="73"/>
      <c r="K2" s="73"/>
    </row>
    <row r="3" spans="1:16" ht="18.75" x14ac:dyDescent="0.3">
      <c r="A3" s="758" t="s">
        <v>78</v>
      </c>
      <c r="B3" s="758"/>
      <c r="C3" s="73"/>
      <c r="D3" s="73"/>
      <c r="E3" s="73"/>
      <c r="F3" s="73"/>
      <c r="G3" s="73"/>
      <c r="H3" s="73"/>
      <c r="I3" s="73"/>
      <c r="J3" s="73"/>
      <c r="K3" s="73"/>
    </row>
    <row r="4" spans="1:16" ht="18.75" x14ac:dyDescent="0.3">
      <c r="A4" s="81" t="s">
        <v>416</v>
      </c>
      <c r="B4" s="82"/>
      <c r="C4" s="83"/>
      <c r="D4" s="83"/>
      <c r="E4" s="84"/>
      <c r="F4" s="85"/>
      <c r="G4" s="82"/>
      <c r="H4" s="83"/>
      <c r="I4" s="83"/>
      <c r="J4" s="84"/>
      <c r="K4" s="111"/>
      <c r="L4" s="209"/>
      <c r="M4" s="210"/>
      <c r="N4" s="211"/>
      <c r="O4" s="210"/>
    </row>
    <row r="5" spans="1:16" ht="22.5" x14ac:dyDescent="0.3">
      <c r="A5" s="87"/>
      <c r="B5" s="759" t="s">
        <v>79</v>
      </c>
      <c r="C5" s="760"/>
      <c r="D5" s="760"/>
      <c r="E5" s="761"/>
      <c r="F5" s="89"/>
      <c r="G5" s="759" t="s">
        <v>394</v>
      </c>
      <c r="H5" s="760"/>
      <c r="I5" s="760"/>
      <c r="J5" s="761"/>
      <c r="K5" s="88"/>
      <c r="L5" s="762" t="s">
        <v>136</v>
      </c>
      <c r="M5" s="757"/>
      <c r="N5" s="756" t="s">
        <v>137</v>
      </c>
      <c r="O5" s="757"/>
    </row>
    <row r="6" spans="1:16" ht="18.75" x14ac:dyDescent="0.3">
      <c r="A6" s="90"/>
      <c r="B6" s="91"/>
      <c r="C6" s="92"/>
      <c r="D6" s="92" t="s">
        <v>80</v>
      </c>
      <c r="E6" s="93" t="s">
        <v>29</v>
      </c>
      <c r="F6" s="94"/>
      <c r="G6" s="91"/>
      <c r="H6" s="92"/>
      <c r="I6" s="92" t="s">
        <v>80</v>
      </c>
      <c r="J6" s="93" t="s">
        <v>29</v>
      </c>
      <c r="K6" s="99"/>
      <c r="L6" s="212"/>
      <c r="M6" s="213"/>
      <c r="N6" s="214"/>
      <c r="O6" s="213"/>
    </row>
    <row r="7" spans="1:16" ht="15.75" x14ac:dyDescent="0.25">
      <c r="A7" s="95" t="s">
        <v>81</v>
      </c>
      <c r="B7" s="96">
        <v>2020</v>
      </c>
      <c r="C7" s="96">
        <v>2021</v>
      </c>
      <c r="D7" s="97" t="s">
        <v>82</v>
      </c>
      <c r="E7" s="98" t="s">
        <v>30</v>
      </c>
      <c r="F7" s="94"/>
      <c r="G7" s="96">
        <v>2020</v>
      </c>
      <c r="H7" s="96">
        <v>2021</v>
      </c>
      <c r="I7" s="97" t="s">
        <v>82</v>
      </c>
      <c r="J7" s="98" t="s">
        <v>30</v>
      </c>
      <c r="K7" s="99"/>
      <c r="L7" s="215">
        <v>2015</v>
      </c>
      <c r="M7" s="216">
        <v>2016</v>
      </c>
      <c r="N7" s="217">
        <v>2015</v>
      </c>
      <c r="O7" s="216">
        <v>2016</v>
      </c>
      <c r="P7" s="86" t="s">
        <v>140</v>
      </c>
    </row>
    <row r="8" spans="1:16" ht="18.75" x14ac:dyDescent="0.3">
      <c r="A8" s="100" t="s">
        <v>0</v>
      </c>
      <c r="B8" s="128"/>
      <c r="C8" s="102"/>
      <c r="D8" s="103"/>
      <c r="E8" s="406"/>
      <c r="F8" s="175"/>
      <c r="G8" s="128"/>
      <c r="H8" s="128"/>
      <c r="I8" s="102"/>
      <c r="J8" s="406"/>
      <c r="K8" s="138"/>
      <c r="L8" s="218" t="s">
        <v>0</v>
      </c>
      <c r="M8" s="219"/>
      <c r="N8" s="220"/>
      <c r="O8" s="219"/>
      <c r="P8" s="86" t="s">
        <v>148</v>
      </c>
    </row>
    <row r="9" spans="1:16" ht="18.75" x14ac:dyDescent="0.3">
      <c r="A9" s="191" t="s">
        <v>421</v>
      </c>
      <c r="B9" s="175">
        <f>'Codan Forsikring'!B7+'Codan Forsikring'!B22+'Codan Forsikring'!B36+'Codan Forsikring'!B47+'Codan Forsikring'!B66+'Codan Forsikring'!B135</f>
        <v>0</v>
      </c>
      <c r="C9" s="175">
        <f>'Codan Forsikring'!C7+'Codan Forsikring'!C22+'Codan Forsikring'!C36+'Codan Forsikring'!C47+'Codan Forsikring'!C66+'Codan Forsikring'!C135</f>
        <v>59890</v>
      </c>
      <c r="D9" s="103" t="str">
        <f t="shared" ref="D9" si="0">IF(B9=0, "    ---- ", IF(ABS(ROUND(100/B9*C9-100,1))&lt;999,ROUND(100/B9*C9-100,1),IF(ROUND(100/B9*C9-100,1)&gt;999,999,-999)))</f>
        <v xml:space="preserve">    ---- </v>
      </c>
      <c r="E9" s="406">
        <f t="shared" ref="E9:E33" si="1">100/C$34*C9</f>
        <v>0.12357687419706147</v>
      </c>
      <c r="F9" s="102"/>
      <c r="G9" s="175">
        <f>'Codan Forsikring'!B10+'Codan Forsikring'!B29+'Codan Forsikring'!B37+'Codan Forsikring'!B87+'Codan Forsikring'!B136</f>
        <v>0</v>
      </c>
      <c r="H9" s="175">
        <f>'Codan Forsikring'!C10+'Codan Forsikring'!C29+'Codan Forsikring'!C37+'Codan Forsikring'!C87+'Codan Forsikring'!C136</f>
        <v>0</v>
      </c>
      <c r="I9" s="103"/>
      <c r="J9" s="406">
        <f>100/H$34*H9</f>
        <v>0</v>
      </c>
      <c r="K9" s="138"/>
      <c r="L9" s="218"/>
      <c r="M9" s="219"/>
      <c r="N9" s="221"/>
      <c r="O9" s="219"/>
    </row>
    <row r="10" spans="1:16" ht="18.75" x14ac:dyDescent="0.3">
      <c r="A10" s="191" t="s">
        <v>83</v>
      </c>
      <c r="B10" s="175">
        <f>'Danica Pensjonsforsikring'!B7+'Danica Pensjonsforsikring'!B22+'Danica Pensjonsforsikring'!B36+'Danica Pensjonsforsikring'!B47+'Danica Pensjonsforsikring'!B66+'Danica Pensjonsforsikring'!B135</f>
        <v>216417.99</v>
      </c>
      <c r="C10" s="175">
        <f>'Danica Pensjonsforsikring'!C7+'Danica Pensjonsforsikring'!C22+'Danica Pensjonsforsikring'!C36+'Danica Pensjonsforsikring'!C47+'Danica Pensjonsforsikring'!C66+'Danica Pensjonsforsikring'!C135</f>
        <v>216101.85700000002</v>
      </c>
      <c r="D10" s="103">
        <f t="shared" ref="D10:D33" si="2">IF(B10=0, "    ---- ", IF(ABS(ROUND(100/B10*C10-100,1))&lt;999,ROUND(100/B10*C10-100,1),IF(ROUND(100/B10*C10-100,1)&gt;999,999,-999)))</f>
        <v>-0.1</v>
      </c>
      <c r="E10" s="406">
        <f t="shared" si="1"/>
        <v>0.44590402398130519</v>
      </c>
      <c r="F10" s="102"/>
      <c r="G10" s="175">
        <f>'Danica Pensjonsforsikring'!B10+'Danica Pensjonsforsikring'!B29+'Danica Pensjonsforsikring'!B37+'Danica Pensjonsforsikring'!B87+'Danica Pensjonsforsikring'!B136</f>
        <v>1259550.713</v>
      </c>
      <c r="H10" s="175">
        <f>'Danica Pensjonsforsikring'!C10+'Danica Pensjonsforsikring'!C29+'Danica Pensjonsforsikring'!C37+'Danica Pensjonsforsikring'!C87+'Danica Pensjonsforsikring'!C136</f>
        <v>1358359.7689999999</v>
      </c>
      <c r="I10" s="103">
        <f t="shared" ref="I10:I30" si="3">IF(G10=0, "    ---- ", IF(ABS(ROUND(100/G10*H10-100,1))&lt;999,ROUND(100/G10*H10-100,1),IF(ROUND(100/G10*H10-100,1)&gt;999,999,-999)))</f>
        <v>7.8</v>
      </c>
      <c r="J10" s="406">
        <f t="shared" ref="J10:J33" si="4">100/H$34*H10</f>
        <v>0.12004806174828109</v>
      </c>
      <c r="K10" s="205" t="s">
        <v>144</v>
      </c>
      <c r="L10" s="221" t="e">
        <f ca="1">INDIRECT("'" &amp;#REF! &amp; "'!" &amp; $P$7)</f>
        <v>#REF!</v>
      </c>
      <c r="M10" s="219" t="e">
        <f ca="1">INDIRECT("'" &amp;#REF! &amp; "'!" &amp; $P$8)</f>
        <v>#REF!</v>
      </c>
      <c r="N10" s="221" t="e">
        <f ca="1">INDIRECT("'" &amp;#REF! &amp; "'!" &amp; $P$10)</f>
        <v>#REF!</v>
      </c>
      <c r="O10" s="219" t="e">
        <f ca="1">INDIRECT("'" &amp;#REF! &amp; "'!" &amp; $P$12)</f>
        <v>#REF!</v>
      </c>
      <c r="P10" s="86" t="s">
        <v>152</v>
      </c>
    </row>
    <row r="11" spans="1:16" ht="18.75" x14ac:dyDescent="0.3">
      <c r="A11" s="107" t="s">
        <v>417</v>
      </c>
      <c r="B11" s="175">
        <f>'DNB Bedriftspensjon AS'!B7+'DNB Bedriftspensjon AS'!B22+'DNB Bedriftspensjon AS'!B36+'DNB Bedriftspensjon AS'!B47+'DNB Bedriftspensjon AS'!B66+'DNB Bedriftspensjon AS'!B135</f>
        <v>50104</v>
      </c>
      <c r="C11" s="175">
        <f>'DNB Bedriftspensjon AS'!C7+'DNB Bedriftspensjon AS'!C22+'DNB Bedriftspensjon AS'!C36+'DNB Bedriftspensjon AS'!C47+'DNB Bedriftspensjon AS'!C66+'DNB Bedriftspensjon AS'!C135</f>
        <v>0</v>
      </c>
      <c r="D11" s="103">
        <f>IF(B11=0, "    ---- ", IF(ABS(ROUND(100/B11*C11-100,1))&lt;999,ROUND(100/B11*C11-100,1),IF(ROUND(100/B11*C11-100,1)&gt;999,999,-999)))</f>
        <v>-100</v>
      </c>
      <c r="E11" s="406">
        <f t="shared" si="1"/>
        <v>0</v>
      </c>
      <c r="F11" s="102"/>
      <c r="G11" s="175">
        <f>'DNB Bedriftspensjon AS'!B10+'DNB Bedriftspensjon AS'!B29+'DNB Bedriftspensjon AS'!B37+'DNB Bedriftspensjon AS'!B87+'DNB Bedriftspensjon AS'!B136</f>
        <v>1786281</v>
      </c>
      <c r="H11" s="175">
        <f>'DNB Bedriftspensjon AS'!C10+'DNB Bedriftspensjon AS'!C29+'DNB Bedriftspensjon AS'!C37+'DNB Bedriftspensjon AS'!C87+'DNB Bedriftspensjon AS'!C136</f>
        <v>0</v>
      </c>
      <c r="I11" s="103">
        <f t="shared" si="3"/>
        <v>-100</v>
      </c>
      <c r="J11" s="406">
        <f t="shared" si="4"/>
        <v>0</v>
      </c>
      <c r="K11" s="138"/>
      <c r="L11" s="221">
        <f ca="1">INDIRECT("'" &amp; $A23 &amp; "'!" &amp; $P$7)</f>
        <v>0</v>
      </c>
      <c r="M11" s="219">
        <f ca="1">INDIRECT("'" &amp; $A23 &amp; "'!" &amp; $P$8)</f>
        <v>0</v>
      </c>
      <c r="N11" s="221">
        <f ca="1">INDIRECT("'" &amp; $A23 &amp; "'!" &amp; $P$10)</f>
        <v>0</v>
      </c>
      <c r="O11" s="219">
        <f ca="1">INDIRECT("'" &amp; $A23 &amp; "'!" &amp; $P$12)</f>
        <v>0</v>
      </c>
    </row>
    <row r="12" spans="1:16" ht="18.75" x14ac:dyDescent="0.3">
      <c r="A12" s="191" t="s">
        <v>84</v>
      </c>
      <c r="B12" s="175">
        <f>'DNB Livsforsikring'!B7+'DNB Livsforsikring'!B22+'DNB Livsforsikring'!B36+'DNB Livsforsikring'!B47+'DNB Livsforsikring'!B66+'DNB Livsforsikring'!B135</f>
        <v>2034045.9950000001</v>
      </c>
      <c r="C12" s="175">
        <f>'DNB Livsforsikring'!C7+'DNB Livsforsikring'!C22+'DNB Livsforsikring'!C36+'DNB Livsforsikring'!C47+'DNB Livsforsikring'!C66+'DNB Livsforsikring'!C135</f>
        <v>1956247.7650000001</v>
      </c>
      <c r="D12" s="103">
        <f t="shared" si="2"/>
        <v>-3.8</v>
      </c>
      <c r="E12" s="406">
        <f t="shared" si="1"/>
        <v>4.0365166798077752</v>
      </c>
      <c r="F12" s="102"/>
      <c r="G12" s="175">
        <f>'DNB Livsforsikring'!B10+'DNB Livsforsikring'!B29+'DNB Livsforsikring'!B37+'DNB Livsforsikring'!B87+'DNB Livsforsikring'!B136</f>
        <v>195862400</v>
      </c>
      <c r="H12" s="175">
        <f>'DNB Livsforsikring'!C10+'DNB Livsforsikring'!C29+'DNB Livsforsikring'!C37+'DNB Livsforsikring'!C87+'DNB Livsforsikring'!C136</f>
        <v>195668621.74615002</v>
      </c>
      <c r="I12" s="103">
        <f t="shared" si="3"/>
        <v>-0.1</v>
      </c>
      <c r="J12" s="406">
        <f t="shared" si="4"/>
        <v>17.292649062240354</v>
      </c>
      <c r="K12" s="206" t="s">
        <v>145</v>
      </c>
      <c r="L12" s="221">
        <f ca="1">INDIRECT("'" &amp; $A10 &amp; "'!" &amp; $P$7)</f>
        <v>0</v>
      </c>
      <c r="M12" s="219">
        <f ca="1">INDIRECT("'" &amp; $A10 &amp; "'!" &amp; $P$8)</f>
        <v>0</v>
      </c>
      <c r="N12" s="221">
        <f ca="1">INDIRECT("'" &amp; $A10 &amp; "'!" &amp; $P$10)</f>
        <v>0</v>
      </c>
      <c r="O12" s="219">
        <f ca="1">INDIRECT("'" &amp; $A10 &amp; "'!" &amp; $P$12)</f>
        <v>0</v>
      </c>
      <c r="P12" s="86" t="s">
        <v>157</v>
      </c>
    </row>
    <row r="13" spans="1:16" ht="18.75" x14ac:dyDescent="0.3">
      <c r="A13" s="191" t="s">
        <v>85</v>
      </c>
      <c r="B13" s="175">
        <f>'Eika Forsikring AS'!B7+'Eika Forsikring AS'!B22+'Eika Forsikring AS'!B36+'Eika Forsikring AS'!B47+'Eika Forsikring AS'!B66+'Eika Forsikring AS'!B135</f>
        <v>196946</v>
      </c>
      <c r="C13" s="175">
        <f>'Eika Forsikring AS'!C7+'Eika Forsikring AS'!C22+'Eika Forsikring AS'!C36+'Eika Forsikring AS'!C47+'Eika Forsikring AS'!C66+'Eika Forsikring AS'!C135</f>
        <v>213759</v>
      </c>
      <c r="D13" s="103">
        <f t="shared" si="2"/>
        <v>8.5</v>
      </c>
      <c r="E13" s="406">
        <f t="shared" si="1"/>
        <v>0.44106977878593523</v>
      </c>
      <c r="F13" s="102"/>
      <c r="G13" s="175">
        <f>'Eika Forsikring AS'!B10+'Eika Forsikring AS'!B29+'Eika Forsikring AS'!B37+'Eika Forsikring AS'!B87+'Eika Forsikring AS'!B136</f>
        <v>0</v>
      </c>
      <c r="H13" s="175">
        <f>'Eika Forsikring AS'!C10+'Eika Forsikring AS'!C29+'Eika Forsikring AS'!C37+'Eika Forsikring AS'!C87+'Eika Forsikring AS'!C136</f>
        <v>0</v>
      </c>
      <c r="I13" s="103"/>
      <c r="J13" s="406">
        <f t="shared" si="4"/>
        <v>0</v>
      </c>
      <c r="K13" s="86" t="s">
        <v>138</v>
      </c>
      <c r="L13" s="221">
        <f ca="1">INDIRECT("'" &amp; $A12 &amp; "'!" &amp; $P$7)</f>
        <v>0</v>
      </c>
      <c r="M13" s="219">
        <f ca="1">INDIRECT("'" &amp; $A12 &amp; "'!" &amp; $P$8)</f>
        <v>0</v>
      </c>
      <c r="N13" s="221">
        <f ca="1">INDIRECT("'" &amp; $A12 &amp; "'!" &amp; $P$10)</f>
        <v>0</v>
      </c>
      <c r="O13" s="219">
        <f ca="1">INDIRECT("'" &amp; $A12 &amp; "'!" &amp; $P$12)</f>
        <v>0</v>
      </c>
    </row>
    <row r="14" spans="1:16" ht="18.75" x14ac:dyDescent="0.3">
      <c r="A14" s="191" t="s">
        <v>422</v>
      </c>
      <c r="B14" s="175">
        <f>'Euro Accident'!B7+'Euro Accident'!B22+'Euro Accident'!B36+'Euro Accident'!B47+'Euro Accident'!B66+'Euro Accident'!B135</f>
        <v>0</v>
      </c>
      <c r="C14" s="175">
        <f>'Euro Accident'!C7+'Euro Accident'!C22+'Euro Accident'!C36+'Euro Accident'!C47+'Euro Accident'!C66+'Euro Accident'!C135</f>
        <v>8868.24</v>
      </c>
      <c r="D14" s="103" t="str">
        <f t="shared" ref="D14" si="5">IF(B14=0, "    ---- ", IF(ABS(ROUND(100/B14*C14-100,1))&lt;999,ROUND(100/B14*C14-100,1),IF(ROUND(100/B14*C14-100,1)&gt;999,999,-999)))</f>
        <v xml:space="preserve">    ---- </v>
      </c>
      <c r="E14" s="406">
        <f t="shared" si="1"/>
        <v>1.8298703937708272E-2</v>
      </c>
      <c r="F14" s="102"/>
      <c r="G14" s="175">
        <f>'Euro Accident'!B10+'Euro Accident'!B29+'Euro Accident'!B37+'Euro Accident'!B87+'Euro Accident'!B136</f>
        <v>0</v>
      </c>
      <c r="H14" s="175">
        <f>'Euro Accident'!C10+'Euro Accident'!C29+'Euro Accident'!C37+'Euro Accident'!C87+'Euro Accident'!C136</f>
        <v>0</v>
      </c>
      <c r="I14" s="103"/>
      <c r="J14" s="406">
        <f t="shared" si="4"/>
        <v>0</v>
      </c>
      <c r="L14" s="221"/>
      <c r="M14" s="219"/>
      <c r="N14" s="221"/>
      <c r="O14" s="219"/>
    </row>
    <row r="15" spans="1:16" ht="18.75" x14ac:dyDescent="0.3">
      <c r="A15" s="107" t="s">
        <v>401</v>
      </c>
      <c r="B15" s="175">
        <f>'Fremtind Livsforsikring'!B7+'Fremtind Livsforsikring'!B22+'Fremtind Livsforsikring'!B36+'Fremtind Livsforsikring'!B47+'Fremtind Livsforsikring'!B66+'Fremtind Livsforsikring'!B135</f>
        <v>1494137.5873699998</v>
      </c>
      <c r="C15" s="175">
        <f>'Fremtind Livsforsikring'!C7+'Fremtind Livsforsikring'!C22+'Fremtind Livsforsikring'!C36+'Fremtind Livsforsikring'!C47+'Fremtind Livsforsikring'!C66+'Fremtind Livsforsikring'!C135</f>
        <v>1554860.00135</v>
      </c>
      <c r="D15" s="103">
        <f t="shared" si="2"/>
        <v>4.0999999999999996</v>
      </c>
      <c r="E15" s="406">
        <f t="shared" si="1"/>
        <v>3.2082941856882914</v>
      </c>
      <c r="F15" s="102"/>
      <c r="G15" s="175">
        <f>'Fremtind Livsforsikring'!B10+'Fremtind Livsforsikring'!B29+'Fremtind Livsforsikring'!B37+'Fremtind Livsforsikring'!B87+'Fremtind Livsforsikring'!B136</f>
        <v>3587824.3847499997</v>
      </c>
      <c r="H15" s="175">
        <f>'Fremtind Livsforsikring'!C10+'Fremtind Livsforsikring'!C29+'Fremtind Livsforsikring'!C37+'Fremtind Livsforsikring'!C87+'Fremtind Livsforsikring'!C136</f>
        <v>4079532.4523799997</v>
      </c>
      <c r="I15" s="103">
        <f t="shared" si="3"/>
        <v>13.7</v>
      </c>
      <c r="J15" s="406">
        <f t="shared" si="4"/>
        <v>0.36053774185904264</v>
      </c>
      <c r="K15" s="86" t="s">
        <v>146</v>
      </c>
      <c r="L15" s="221">
        <f ca="1">INDIRECT("'" &amp; $A13 &amp; "'!" &amp; $P$7)</f>
        <v>0</v>
      </c>
      <c r="M15" s="219">
        <f ca="1">INDIRECT("'" &amp; $A13 &amp; "'!" &amp; $P$8)</f>
        <v>0</v>
      </c>
      <c r="N15" s="221">
        <f ca="1">INDIRECT("'" &amp; $A13 &amp; "'!" &amp; $P$10)</f>
        <v>0</v>
      </c>
      <c r="O15" s="219">
        <f ca="1">INDIRECT("'" &amp; $A13 &amp; "'!" &amp; $P$12)</f>
        <v>0</v>
      </c>
    </row>
    <row r="16" spans="1:16" ht="18.75" x14ac:dyDescent="0.3">
      <c r="A16" s="191" t="s">
        <v>86</v>
      </c>
      <c r="B16" s="176">
        <f>'Frende Livsforsikring'!B7+'Frende Livsforsikring'!B22+'Frende Livsforsikring'!B36+'Frende Livsforsikring'!B47+'Frende Livsforsikring'!B66+'Frende Livsforsikring'!B135</f>
        <v>505403</v>
      </c>
      <c r="C16" s="176">
        <f>'Frende Livsforsikring'!C7+'Frende Livsforsikring'!C22+'Frende Livsforsikring'!C36+'Frende Livsforsikring'!C47+'Frende Livsforsikring'!C66+'Frende Livsforsikring'!C135</f>
        <v>460428</v>
      </c>
      <c r="D16" s="103">
        <f t="shared" si="2"/>
        <v>-8.9</v>
      </c>
      <c r="E16" s="406">
        <f t="shared" si="1"/>
        <v>0.95004596815502784</v>
      </c>
      <c r="F16" s="102"/>
      <c r="G16" s="175">
        <f>'Frende Livsforsikring'!B10+'Frende Livsforsikring'!B29+'Frende Livsforsikring'!B37+'Frende Livsforsikring'!B87+'Frende Livsforsikring'!B136</f>
        <v>1132352</v>
      </c>
      <c r="H16" s="175">
        <f>'Frende Livsforsikring'!C10+'Frende Livsforsikring'!C29+'Frende Livsforsikring'!C37+'Frende Livsforsikring'!C87+'Frende Livsforsikring'!C136</f>
        <v>1134700</v>
      </c>
      <c r="I16" s="103">
        <f t="shared" si="3"/>
        <v>0.2</v>
      </c>
      <c r="J16" s="406">
        <f t="shared" si="4"/>
        <v>0.10028163287407738</v>
      </c>
      <c r="L16" s="221"/>
      <c r="M16" s="219"/>
      <c r="N16" s="221"/>
      <c r="O16" s="219"/>
    </row>
    <row r="17" spans="1:18" ht="18.75" x14ac:dyDescent="0.3">
      <c r="A17" s="191" t="s">
        <v>87</v>
      </c>
      <c r="B17" s="175">
        <f>'Frende Skadeforsikring'!B7+'Frende Skadeforsikring'!B22+'Frende Skadeforsikring'!B36+'Frende Skadeforsikring'!B47+'Frende Skadeforsikring'!B66+'Frende Skadeforsikring'!B135</f>
        <v>622.01300000000003</v>
      </c>
      <c r="C17" s="175">
        <f>'Frende Skadeforsikring'!C7+'Frende Skadeforsikring'!C22+'Frende Skadeforsikring'!C36+'Frende Skadeforsikring'!C47+'Frende Skadeforsikring'!C66+'Frende Skadeforsikring'!C135</f>
        <v>5314.415</v>
      </c>
      <c r="D17" s="103">
        <f t="shared" si="2"/>
        <v>754.4</v>
      </c>
      <c r="E17" s="406">
        <f t="shared" si="1"/>
        <v>1.0965750440573992E-2</v>
      </c>
      <c r="F17" s="102"/>
      <c r="G17" s="175">
        <f>'Frende Skadeforsikring'!B10+'Frende Skadeforsikring'!B29+'Frende Skadeforsikring'!B37+'Frende Skadeforsikring'!B87+'Frende Skadeforsikring'!B136</f>
        <v>0</v>
      </c>
      <c r="H17" s="175">
        <f>'Frende Skadeforsikring'!C10+'Frende Skadeforsikring'!C29+'Frende Skadeforsikring'!C37+'Frende Skadeforsikring'!C87+'Frende Skadeforsikring'!C136</f>
        <v>0</v>
      </c>
      <c r="I17" s="103"/>
      <c r="J17" s="406">
        <f t="shared" si="4"/>
        <v>0</v>
      </c>
      <c r="K17" s="86" t="s">
        <v>139</v>
      </c>
      <c r="L17" s="221">
        <f t="shared" ref="L17:L33" ca="1" si="6">INDIRECT("'" &amp; $A16 &amp; "'!" &amp; $P$7)</f>
        <v>0</v>
      </c>
      <c r="M17" s="219">
        <f t="shared" ref="M17:M33" ca="1" si="7">INDIRECT("'" &amp; $A16 &amp; "'!" &amp; $P$8)</f>
        <v>0</v>
      </c>
      <c r="N17" s="221">
        <f t="shared" ref="N17:N33" ca="1" si="8">INDIRECT("'" &amp; $A16 &amp; "'!" &amp; $P$10)</f>
        <v>0</v>
      </c>
      <c r="O17" s="219">
        <f t="shared" ref="O17:O33" ca="1" si="9">INDIRECT("'" &amp; $A16 &amp; "'!" &amp; $P$12)</f>
        <v>0</v>
      </c>
    </row>
    <row r="18" spans="1:18" ht="18.75" x14ac:dyDescent="0.3">
      <c r="A18" s="191" t="s">
        <v>88</v>
      </c>
      <c r="B18" s="175">
        <f>'Gjensidige Forsikring'!B7+'Gjensidige Forsikring'!B22+'Gjensidige Forsikring'!B36+'Gjensidige Forsikring'!B47+'Gjensidige Forsikring'!B66+'Gjensidige Forsikring'!B135</f>
        <v>1264393</v>
      </c>
      <c r="C18" s="175">
        <f>'Gjensidige Forsikring'!C7+'Gjensidige Forsikring'!C22+'Gjensidige Forsikring'!C36+'Gjensidige Forsikring'!C47+'Gjensidige Forsikring'!C66+'Gjensidige Forsikring'!C135</f>
        <v>1474212.797</v>
      </c>
      <c r="D18" s="103">
        <f t="shared" si="2"/>
        <v>16.600000000000001</v>
      </c>
      <c r="E18" s="406">
        <f t="shared" si="1"/>
        <v>3.0418869486486413</v>
      </c>
      <c r="F18" s="102"/>
      <c r="G18" s="175">
        <f>'Gjensidige Forsikring'!B10+'Gjensidige Forsikring'!B29+'Gjensidige Forsikring'!B37+'Gjensidige Forsikring'!B87+'Gjensidige Forsikring'!B136</f>
        <v>0</v>
      </c>
      <c r="H18" s="175">
        <f>'Gjensidige Forsikring'!C10+'Gjensidige Forsikring'!C29+'Gjensidige Forsikring'!C37+'Gjensidige Forsikring'!C87+'Gjensidige Forsikring'!C136</f>
        <v>0</v>
      </c>
      <c r="I18" s="103"/>
      <c r="J18" s="406">
        <f t="shared" si="4"/>
        <v>0</v>
      </c>
      <c r="K18" s="86" t="s">
        <v>147</v>
      </c>
      <c r="L18" s="221">
        <f t="shared" ca="1" si="6"/>
        <v>0</v>
      </c>
      <c r="M18" s="219">
        <f t="shared" ca="1" si="7"/>
        <v>0</v>
      </c>
      <c r="N18" s="221">
        <f t="shared" ca="1" si="8"/>
        <v>0</v>
      </c>
      <c r="O18" s="219">
        <f t="shared" ca="1" si="9"/>
        <v>0</v>
      </c>
    </row>
    <row r="19" spans="1:18" ht="18.75" x14ac:dyDescent="0.3">
      <c r="A19" s="191" t="s">
        <v>89</v>
      </c>
      <c r="B19" s="175">
        <f>'Gjensidige Pensjon'!B7+'Gjensidige Pensjon'!B22+'Gjensidige Pensjon'!B36+'Gjensidige Pensjon'!B47+'Gjensidige Pensjon'!B66+'Gjensidige Pensjon'!B135</f>
        <v>362148.4</v>
      </c>
      <c r="C19" s="175">
        <f>'Gjensidige Pensjon'!C7+'Gjensidige Pensjon'!C22+'Gjensidige Pensjon'!C36+'Gjensidige Pensjon'!C47+'Gjensidige Pensjon'!C66+'Gjensidige Pensjon'!C135</f>
        <v>395870</v>
      </c>
      <c r="D19" s="103">
        <f t="shared" si="2"/>
        <v>9.3000000000000007</v>
      </c>
      <c r="E19" s="406">
        <f t="shared" si="1"/>
        <v>0.81683715458992689</v>
      </c>
      <c r="F19" s="102"/>
      <c r="G19" s="175">
        <f>'Gjensidige Pensjon'!B10+'Gjensidige Pensjon'!B29+'Gjensidige Pensjon'!B37+'Gjensidige Pensjon'!B87+'Gjensidige Pensjon'!B136</f>
        <v>7375058.7999999998</v>
      </c>
      <c r="H19" s="175">
        <f>'Gjensidige Pensjon'!C10+'Gjensidige Pensjon'!C29+'Gjensidige Pensjon'!C37+'Gjensidige Pensjon'!C87+'Gjensidige Pensjon'!C136</f>
        <v>7988385</v>
      </c>
      <c r="I19" s="103">
        <f t="shared" si="3"/>
        <v>8.3000000000000007</v>
      </c>
      <c r="J19" s="406">
        <f t="shared" si="4"/>
        <v>0.70599126802395928</v>
      </c>
      <c r="K19" s="86" t="s">
        <v>140</v>
      </c>
      <c r="L19" s="221">
        <f t="shared" ca="1" si="6"/>
        <v>0</v>
      </c>
      <c r="M19" s="219">
        <f t="shared" ca="1" si="7"/>
        <v>0</v>
      </c>
      <c r="N19" s="221">
        <f t="shared" ca="1" si="8"/>
        <v>0</v>
      </c>
      <c r="O19" s="219">
        <f t="shared" ca="1" si="9"/>
        <v>0</v>
      </c>
    </row>
    <row r="20" spans="1:18" ht="18.75" x14ac:dyDescent="0.3">
      <c r="A20" s="191" t="s">
        <v>90</v>
      </c>
      <c r="B20" s="175">
        <f>'Handelsbanken Liv'!B7+'Handelsbanken Liv'!B22+'Handelsbanken Liv'!B36+'Handelsbanken Liv'!B47+'Handelsbanken Liv'!B66+'Handelsbanken Liv'!B135</f>
        <v>17644.029899999998</v>
      </c>
      <c r="C20" s="175">
        <f>'Handelsbanken Liv'!C7+'Handelsbanken Liv'!C22+'Handelsbanken Liv'!C36+'Handelsbanken Liv'!C47+'Handelsbanken Liv'!C66+'Handelsbanken Liv'!C135</f>
        <v>17644.029899999998</v>
      </c>
      <c r="D20" s="103">
        <f t="shared" si="2"/>
        <v>0</v>
      </c>
      <c r="E20" s="406">
        <f t="shared" si="1"/>
        <v>3.6406646573409432E-2</v>
      </c>
      <c r="F20" s="102"/>
      <c r="G20" s="175">
        <f>'Handelsbanken Liv'!B10+'Handelsbanken Liv'!B29+'Handelsbanken Liv'!B37+'Handelsbanken Liv'!B87+'Handelsbanken Liv'!B136</f>
        <v>24707.77272555888</v>
      </c>
      <c r="H20" s="175">
        <f>'Handelsbanken Liv'!C10+'Handelsbanken Liv'!C29+'Handelsbanken Liv'!C37+'Handelsbanken Liv'!C87+'Handelsbanken Liv'!C136</f>
        <v>20421.386947750718</v>
      </c>
      <c r="I20" s="103">
        <f t="shared" si="3"/>
        <v>-17.3</v>
      </c>
      <c r="J20" s="406">
        <f t="shared" si="4"/>
        <v>1.804785431104092E-3</v>
      </c>
      <c r="K20" s="86" t="s">
        <v>148</v>
      </c>
      <c r="L20" s="221">
        <f t="shared" ca="1" si="6"/>
        <v>0</v>
      </c>
      <c r="M20" s="219">
        <f t="shared" ca="1" si="7"/>
        <v>0</v>
      </c>
      <c r="N20" s="221">
        <f t="shared" ca="1" si="8"/>
        <v>0</v>
      </c>
      <c r="O20" s="219">
        <f t="shared" ca="1" si="9"/>
        <v>0</v>
      </c>
    </row>
    <row r="21" spans="1:18" ht="18.75" x14ac:dyDescent="0.3">
      <c r="A21" s="191" t="s">
        <v>91</v>
      </c>
      <c r="B21" s="175">
        <f>'If Skadeforsikring NUF'!B7+'If Skadeforsikring NUF'!B22+'If Skadeforsikring NUF'!B36+'If Skadeforsikring NUF'!B47+'If Skadeforsikring NUF'!B66+'If Skadeforsikring NUF'!B135</f>
        <v>301902.74099999998</v>
      </c>
      <c r="C21" s="175">
        <f>'If Skadeforsikring NUF'!C7+'If Skadeforsikring NUF'!C22+'If Skadeforsikring NUF'!C36+'If Skadeforsikring NUF'!C47+'If Skadeforsikring NUF'!C66+'If Skadeforsikring NUF'!C135</f>
        <v>315101.851636982</v>
      </c>
      <c r="D21" s="103">
        <f t="shared" si="2"/>
        <v>4.4000000000000004</v>
      </c>
      <c r="E21" s="406">
        <f t="shared" si="1"/>
        <v>0.65018036198037155</v>
      </c>
      <c r="F21" s="102"/>
      <c r="G21" s="175">
        <f>'If Skadeforsikring NUF'!B10+'If Skadeforsikring NUF'!B29+'If Skadeforsikring NUF'!B37+'If Skadeforsikring NUF'!B87+'If Skadeforsikring NUF'!B136</f>
        <v>0</v>
      </c>
      <c r="H21" s="175">
        <f>'If Skadeforsikring NUF'!C10+'If Skadeforsikring NUF'!C29+'If Skadeforsikring NUF'!C37+'If Skadeforsikring NUF'!C87+'If Skadeforsikring NUF'!C136</f>
        <v>0</v>
      </c>
      <c r="I21" s="103"/>
      <c r="J21" s="406">
        <f t="shared" si="4"/>
        <v>0</v>
      </c>
      <c r="K21" s="138"/>
      <c r="L21" s="221">
        <f t="shared" ca="1" si="6"/>
        <v>0</v>
      </c>
      <c r="M21" s="219">
        <f t="shared" ca="1" si="7"/>
        <v>0</v>
      </c>
      <c r="N21" s="221">
        <f t="shared" ca="1" si="8"/>
        <v>0</v>
      </c>
      <c r="O21" s="219">
        <f t="shared" ca="1" si="9"/>
        <v>0</v>
      </c>
    </row>
    <row r="22" spans="1:18" ht="18.75" x14ac:dyDescent="0.3">
      <c r="A22" s="191" t="s">
        <v>406</v>
      </c>
      <c r="B22" s="175">
        <f>Insr!B7+Insr!B22+Insr!B36+Insr!B47+Insr!B66+Insr!B135</f>
        <v>8168</v>
      </c>
      <c r="C22" s="175">
        <f>Insr!C7+Insr!C22+Insr!C36+Insr!C47+Insr!C66+Insr!C135</f>
        <v>0</v>
      </c>
      <c r="D22" s="103">
        <f t="shared" si="2"/>
        <v>-100</v>
      </c>
      <c r="E22" s="406">
        <f t="shared" si="1"/>
        <v>0</v>
      </c>
      <c r="F22" s="102"/>
      <c r="G22" s="175">
        <f>Insr!B10+Insr!B29+Insr!B37+Insr!B87+Insr!B136</f>
        <v>0</v>
      </c>
      <c r="H22" s="175">
        <f>Insr!C10+Insr!C29+Insr!C37+Insr!C87+Insr!C136</f>
        <v>0</v>
      </c>
      <c r="I22" s="103"/>
      <c r="J22" s="406">
        <f t="shared" si="4"/>
        <v>0</v>
      </c>
      <c r="K22" s="138"/>
      <c r="L22" s="221">
        <f t="shared" ca="1" si="6"/>
        <v>0</v>
      </c>
      <c r="M22" s="219">
        <f t="shared" ca="1" si="7"/>
        <v>0</v>
      </c>
      <c r="N22" s="221">
        <f t="shared" ca="1" si="8"/>
        <v>0</v>
      </c>
      <c r="O22" s="219">
        <f t="shared" ca="1" si="9"/>
        <v>0</v>
      </c>
    </row>
    <row r="23" spans="1:18" ht="18.75" x14ac:dyDescent="0.3">
      <c r="A23" s="191" t="s">
        <v>63</v>
      </c>
      <c r="B23" s="175">
        <f>KLP!B7+KLP!B22+KLP!B36+KLP!B47+KLP!B66+KLP!B135</f>
        <v>14225527.382959999</v>
      </c>
      <c r="C23" s="175">
        <f>KLP!C7+KLP!C22+KLP!C36+KLP!C47+KLP!C66+KLP!C135</f>
        <v>33537381.21895</v>
      </c>
      <c r="D23" s="103">
        <f t="shared" si="2"/>
        <v>135.80000000000001</v>
      </c>
      <c r="E23" s="406">
        <f t="shared" si="1"/>
        <v>69.200947400118153</v>
      </c>
      <c r="F23" s="102"/>
      <c r="G23" s="175">
        <f>KLP!B10+KLP!B29+KLP!B37+KLP!B87+KLP!B136</f>
        <v>516931786.69641</v>
      </c>
      <c r="H23" s="175">
        <f>KLP!C10+KLP!C29+KLP!C37+KLP!C87+KLP!C136</f>
        <v>563636708.30683994</v>
      </c>
      <c r="I23" s="103">
        <f t="shared" si="3"/>
        <v>9</v>
      </c>
      <c r="J23" s="406">
        <f t="shared" si="4"/>
        <v>49.812646035762725</v>
      </c>
      <c r="K23" s="138"/>
      <c r="L23" s="221">
        <f t="shared" ca="1" si="6"/>
        <v>0</v>
      </c>
      <c r="M23" s="219">
        <f t="shared" ca="1" si="7"/>
        <v>0</v>
      </c>
      <c r="N23" s="221">
        <f t="shared" ca="1" si="8"/>
        <v>0</v>
      </c>
      <c r="O23" s="219">
        <f t="shared" ca="1" si="9"/>
        <v>0</v>
      </c>
    </row>
    <row r="24" spans="1:18" ht="18.75" x14ac:dyDescent="0.3">
      <c r="A24" s="107" t="s">
        <v>92</v>
      </c>
      <c r="B24" s="175">
        <f>'KLP Skadeforsikring AS'!B7+'KLP Skadeforsikring AS'!B22+'KLP Skadeforsikring AS'!B36+'KLP Skadeforsikring AS'!B47+'KLP Skadeforsikring AS'!B66+'KLP Skadeforsikring AS'!B135</f>
        <v>173861.997</v>
      </c>
      <c r="C24" s="175">
        <f>'KLP Skadeforsikring AS'!C7+'KLP Skadeforsikring AS'!C22+'KLP Skadeforsikring AS'!C36+'KLP Skadeforsikring AS'!C47+'KLP Skadeforsikring AS'!C66+'KLP Skadeforsikring AS'!C135</f>
        <v>219490.81400000001</v>
      </c>
      <c r="D24" s="103">
        <f t="shared" si="2"/>
        <v>26.2</v>
      </c>
      <c r="E24" s="406">
        <f t="shared" si="1"/>
        <v>0.45289678926512972</v>
      </c>
      <c r="F24" s="102"/>
      <c r="G24" s="175">
        <f>'KLP Skadeforsikring AS'!B10+'KLP Skadeforsikring AS'!B29+'KLP Skadeforsikring AS'!B37+'KLP Skadeforsikring AS'!B87+'KLP Skadeforsikring AS'!B136</f>
        <v>45976.864000000001</v>
      </c>
      <c r="H24" s="175">
        <f>'KLP Skadeforsikring AS'!C10+'KLP Skadeforsikring AS'!C29+'KLP Skadeforsikring AS'!C37+'KLP Skadeforsikring AS'!C87+'KLP Skadeforsikring AS'!C136</f>
        <v>67448.820000000007</v>
      </c>
      <c r="I24" s="103">
        <f t="shared" si="3"/>
        <v>46.7</v>
      </c>
      <c r="J24" s="406">
        <f t="shared" si="4"/>
        <v>5.9609392835372598E-3</v>
      </c>
      <c r="K24" s="138"/>
      <c r="L24" s="221" t="e">
        <f ca="1">INDIRECT("'" &amp; $A11 &amp; "'!" &amp; $P$7)</f>
        <v>#REF!</v>
      </c>
      <c r="M24" s="219" t="e">
        <f ca="1">INDIRECT("'" &amp; $A11 &amp; "'!" &amp; $P$8)</f>
        <v>#REF!</v>
      </c>
      <c r="N24" s="221" t="e">
        <f ca="1">INDIRECT("'" &amp; $A11 &amp; "'!" &amp; $P$10)</f>
        <v>#REF!</v>
      </c>
      <c r="O24" s="219" t="e">
        <f ca="1">INDIRECT("'" &amp; $A11 &amp; "'!" &amp; $P$12)</f>
        <v>#REF!</v>
      </c>
    </row>
    <row r="25" spans="1:18" ht="18.75" x14ac:dyDescent="0.3">
      <c r="A25" s="107" t="s">
        <v>413</v>
      </c>
      <c r="B25" s="175">
        <f>'Landkreditt Forsikring'!B7+'Landkreditt Forsikring'!B22+'Landkreditt Forsikring'!B36+'Landkreditt Forsikring'!B47+'Landkreditt Forsikring'!B66+'Landkreditt Forsikring'!B135</f>
        <v>36699</v>
      </c>
      <c r="C25" s="175">
        <f>'Landkreditt Forsikring'!C7+'Landkreditt Forsikring'!C22+'Landkreditt Forsikring'!C36+'Landkreditt Forsikring'!C47+'Landkreditt Forsikring'!C66+'Landkreditt Forsikring'!C135</f>
        <v>39431</v>
      </c>
      <c r="D25" s="103">
        <f t="shared" si="2"/>
        <v>7.4</v>
      </c>
      <c r="E25" s="406">
        <f t="shared" si="1"/>
        <v>8.1361825454405248E-2</v>
      </c>
      <c r="F25" s="102"/>
      <c r="G25" s="175">
        <f>'Landkreditt Forsikring'!B10+'Landkreditt Forsikring'!B29+'Landkreditt Forsikring'!B37+'Landkreditt Forsikring'!B87+'Landkreditt Forsikring'!B136</f>
        <v>0</v>
      </c>
      <c r="H25" s="175">
        <f>'Landkreditt Forsikring'!C10+'Landkreditt Forsikring'!C29+'Landkreditt Forsikring'!C37+'Landkreditt Forsikring'!C87+'Landkreditt Forsikring'!C136</f>
        <v>0</v>
      </c>
      <c r="I25" s="103"/>
      <c r="J25" s="406">
        <f t="shared" si="4"/>
        <v>0</v>
      </c>
      <c r="K25" s="138"/>
      <c r="L25" s="221">
        <f t="shared" ca="1" si="6"/>
        <v>0</v>
      </c>
      <c r="M25" s="219">
        <f t="shared" ca="1" si="7"/>
        <v>0</v>
      </c>
      <c r="N25" s="221">
        <f t="shared" ca="1" si="8"/>
        <v>0</v>
      </c>
      <c r="O25" s="219">
        <f t="shared" ca="1" si="9"/>
        <v>0</v>
      </c>
    </row>
    <row r="26" spans="1:18" ht="18.75" x14ac:dyDescent="0.3">
      <c r="A26" s="107" t="s">
        <v>93</v>
      </c>
      <c r="B26" s="175">
        <f>'Nordea Liv '!B7+'Nordea Liv '!B22+'Nordea Liv '!B36+'Nordea Liv '!B47+'Nordea Liv '!B66+'Nordea Liv '!B135</f>
        <v>903440.00756638078</v>
      </c>
      <c r="C26" s="175">
        <f>'Nordea Liv '!C7+'Nordea Liv '!C22+'Nordea Liv '!C36+'Nordea Liv '!C47+'Nordea Liv '!C66+'Nordea Liv '!C135</f>
        <v>935655.99040994328</v>
      </c>
      <c r="D26" s="103">
        <f t="shared" si="2"/>
        <v>3.6</v>
      </c>
      <c r="E26" s="406">
        <f t="shared" si="1"/>
        <v>1.9306301990084573</v>
      </c>
      <c r="F26" s="102"/>
      <c r="G26" s="176">
        <f>'Nordea Liv '!B10+'Nordea Liv '!B29+'Nordea Liv '!B37+'Nordea Liv '!B87+'Nordea Liv '!B136</f>
        <v>51856098.771231338</v>
      </c>
      <c r="H26" s="176">
        <f>'Nordea Liv '!C10+'Nordea Liv '!C29+'Nordea Liv '!C37+'Nordea Liv '!C87+'Nordea Liv '!C136</f>
        <v>54800659.999984071</v>
      </c>
      <c r="I26" s="103">
        <f t="shared" si="3"/>
        <v>5.7</v>
      </c>
      <c r="J26" s="406">
        <f t="shared" si="4"/>
        <v>4.8431300496832117</v>
      </c>
      <c r="K26" s="138"/>
      <c r="L26" s="221">
        <f t="shared" ca="1" si="6"/>
        <v>0</v>
      </c>
      <c r="M26" s="219">
        <f t="shared" ca="1" si="7"/>
        <v>0</v>
      </c>
      <c r="N26" s="221">
        <f t="shared" ca="1" si="8"/>
        <v>0</v>
      </c>
      <c r="O26" s="219">
        <f t="shared" ca="1" si="9"/>
        <v>0</v>
      </c>
    </row>
    <row r="27" spans="1:18" ht="18.75" x14ac:dyDescent="0.3">
      <c r="A27" s="107" t="s">
        <v>94</v>
      </c>
      <c r="B27" s="175">
        <f>'Oslo Pensjonsforsikring'!B7+'Oslo Pensjonsforsikring'!B22+'Oslo Pensjonsforsikring'!B36+'Oslo Pensjonsforsikring'!B47+'Oslo Pensjonsforsikring'!B66+'Oslo Pensjonsforsikring'!B135</f>
        <v>1571000</v>
      </c>
      <c r="C27" s="175">
        <f>'Oslo Pensjonsforsikring'!C7+'Oslo Pensjonsforsikring'!C22+'Oslo Pensjonsforsikring'!C36+'Oslo Pensjonsforsikring'!C47+'Oslo Pensjonsforsikring'!C66+'Oslo Pensjonsforsikring'!C135</f>
        <v>2128000</v>
      </c>
      <c r="D27" s="103">
        <f t="shared" si="2"/>
        <v>35.5</v>
      </c>
      <c r="E27" s="406">
        <f t="shared" si="1"/>
        <v>4.3909098061670866</v>
      </c>
      <c r="F27" s="102"/>
      <c r="G27" s="175">
        <f>'Oslo Pensjonsforsikring'!B10+'Oslo Pensjonsforsikring'!B29+'Oslo Pensjonsforsikring'!B37+'Oslo Pensjonsforsikring'!B87+'Oslo Pensjonsforsikring'!B136</f>
        <v>77112000</v>
      </c>
      <c r="H27" s="175">
        <f>'Oslo Pensjonsforsikring'!C10+'Oslo Pensjonsforsikring'!C29+'Oslo Pensjonsforsikring'!C37+'Oslo Pensjonsforsikring'!C87+'Oslo Pensjonsforsikring'!C136</f>
        <v>87821000</v>
      </c>
      <c r="I27" s="103">
        <f t="shared" si="3"/>
        <v>13.9</v>
      </c>
      <c r="J27" s="406">
        <f t="shared" si="4"/>
        <v>7.7613759413363441</v>
      </c>
      <c r="K27" s="138"/>
      <c r="L27" s="221">
        <f t="shared" ca="1" si="6"/>
        <v>0</v>
      </c>
      <c r="M27" s="219">
        <f t="shared" ca="1" si="7"/>
        <v>0</v>
      </c>
      <c r="N27" s="221">
        <f t="shared" ca="1" si="8"/>
        <v>0</v>
      </c>
      <c r="O27" s="219">
        <f t="shared" ca="1" si="9"/>
        <v>0</v>
      </c>
    </row>
    <row r="28" spans="1:18" ht="18.75" x14ac:dyDescent="0.3">
      <c r="A28" s="107" t="s">
        <v>363</v>
      </c>
      <c r="B28" s="175">
        <f>'Protector Forsikring'!B7+'Protector Forsikring'!B22+'Protector Forsikring'!B36+'Protector Forsikring'!B47+'Protector Forsikring'!B66+'Protector Forsikring'!B135</f>
        <v>263606.18193381856</v>
      </c>
      <c r="C28" s="175">
        <f>'Protector Forsikring'!C7+'Protector Forsikring'!C22+'Protector Forsikring'!C36+'Protector Forsikring'!C47+'Protector Forsikring'!C66+'Protector Forsikring'!C135</f>
        <v>285507.81500140583</v>
      </c>
      <c r="D28" s="103">
        <f t="shared" si="2"/>
        <v>8.3000000000000007</v>
      </c>
      <c r="E28" s="406">
        <f t="shared" si="1"/>
        <v>0.58911610179840757</v>
      </c>
      <c r="F28" s="102"/>
      <c r="G28" s="175">
        <f>'Protector Forsikring'!B10+'Protector Forsikring'!B29+'Protector Forsikring'!B37+'Protector Forsikring'!B87+'Protector Forsikring'!B136</f>
        <v>0</v>
      </c>
      <c r="H28" s="175">
        <f>'Protector Forsikring'!C10+'Protector Forsikring'!C29+'Protector Forsikring'!C37+'Protector Forsikring'!C87+'Protector Forsikring'!C136</f>
        <v>0</v>
      </c>
      <c r="I28" s="103"/>
      <c r="J28" s="406">
        <f t="shared" si="4"/>
        <v>0</v>
      </c>
      <c r="K28" s="138"/>
      <c r="L28" s="221">
        <f t="shared" ca="1" si="6"/>
        <v>0</v>
      </c>
      <c r="M28" s="219">
        <f t="shared" ca="1" si="7"/>
        <v>0</v>
      </c>
      <c r="N28" s="221">
        <f t="shared" ca="1" si="8"/>
        <v>0</v>
      </c>
      <c r="O28" s="219">
        <f t="shared" ca="1" si="9"/>
        <v>0</v>
      </c>
    </row>
    <row r="29" spans="1:18" ht="18.75" x14ac:dyDescent="0.3">
      <c r="A29" s="191" t="s">
        <v>67</v>
      </c>
      <c r="B29" s="175">
        <f>'Sparebank 1'!B7+'Sparebank 1'!B22+'Sparebank 1'!B36+'Sparebank 1'!B47+'Sparebank 1'!B66+'Sparebank 1'!B135</f>
        <v>405824.04193999991</v>
      </c>
      <c r="C29" s="175">
        <f>'Sparebank 1'!C7+'Sparebank 1'!C22+'Sparebank 1'!C36+'Sparebank 1'!C47+'Sparebank 1'!C66+'Sparebank 1'!C135</f>
        <v>435411.44518000004</v>
      </c>
      <c r="D29" s="103">
        <f t="shared" si="2"/>
        <v>7.3</v>
      </c>
      <c r="E29" s="406">
        <f t="shared" si="1"/>
        <v>0.89842687234879925</v>
      </c>
      <c r="F29" s="102"/>
      <c r="G29" s="175">
        <f>'Sparebank 1'!B10+'Sparebank 1'!B29+'Sparebank 1'!B37+'Sparebank 1'!B87+'Sparebank 1'!B136</f>
        <v>19251355.335700002</v>
      </c>
      <c r="H29" s="175">
        <f>'Sparebank 1'!C10+'Sparebank 1'!C29+'Sparebank 1'!C37+'Sparebank 1'!C87+'Sparebank 1'!C136</f>
        <v>19758215.866050001</v>
      </c>
      <c r="I29" s="103">
        <f t="shared" si="3"/>
        <v>2.6</v>
      </c>
      <c r="J29" s="406">
        <f t="shared" si="4"/>
        <v>1.7461762137357866</v>
      </c>
      <c r="K29" s="138"/>
      <c r="L29" s="221">
        <f t="shared" ca="1" si="6"/>
        <v>0</v>
      </c>
      <c r="M29" s="219">
        <f t="shared" ca="1" si="7"/>
        <v>0</v>
      </c>
      <c r="N29" s="221">
        <f t="shared" ca="1" si="8"/>
        <v>0</v>
      </c>
      <c r="O29" s="219">
        <f t="shared" ca="1" si="9"/>
        <v>0</v>
      </c>
    </row>
    <row r="30" spans="1:18" ht="18.75" x14ac:dyDescent="0.3">
      <c r="A30" s="107" t="s">
        <v>95</v>
      </c>
      <c r="B30" s="175">
        <f>'Storebrand Livsforsikring'!B7+'Storebrand Livsforsikring'!B22+'Storebrand Livsforsikring'!B36+'Storebrand Livsforsikring'!B47+'Storebrand Livsforsikring'!B66+'Storebrand Livsforsikring'!B135</f>
        <v>3394274.7289999998</v>
      </c>
      <c r="C30" s="175">
        <f>'Storebrand Livsforsikring'!C7+'Storebrand Livsforsikring'!C22+'Storebrand Livsforsikring'!C36+'Storebrand Livsforsikring'!C47+'Storebrand Livsforsikring'!C66+'Storebrand Livsforsikring'!C135</f>
        <v>3657110.1809999999</v>
      </c>
      <c r="D30" s="103">
        <f t="shared" si="2"/>
        <v>7.7</v>
      </c>
      <c r="E30" s="406">
        <f t="shared" si="1"/>
        <v>7.5460718778131515</v>
      </c>
      <c r="F30" s="102"/>
      <c r="G30" s="175">
        <f>'Storebrand Livsforsikring'!B10+'Storebrand Livsforsikring'!B29+'Storebrand Livsforsikring'!B37+'Storebrand Livsforsikring'!B87+'Storebrand Livsforsikring'!B136</f>
        <v>182079379.46500003</v>
      </c>
      <c r="H30" s="175">
        <f>'Storebrand Livsforsikring'!C10+'Storebrand Livsforsikring'!C29+'Storebrand Livsforsikring'!C37+'Storebrand Livsforsikring'!C87+'Storebrand Livsforsikring'!C136</f>
        <v>195179233.26300004</v>
      </c>
      <c r="I30" s="103">
        <f t="shared" si="3"/>
        <v>7.2</v>
      </c>
      <c r="J30" s="406">
        <f t="shared" si="4"/>
        <v>17.249398268021576</v>
      </c>
      <c r="K30" s="138"/>
      <c r="L30" s="221">
        <f t="shared" ca="1" si="6"/>
        <v>0</v>
      </c>
      <c r="M30" s="219">
        <f t="shared" ca="1" si="7"/>
        <v>0</v>
      </c>
      <c r="N30" s="221">
        <f t="shared" ca="1" si="8"/>
        <v>0</v>
      </c>
      <c r="O30" s="219">
        <f t="shared" ca="1" si="9"/>
        <v>0</v>
      </c>
    </row>
    <row r="31" spans="1:18" ht="18.75" x14ac:dyDescent="0.3">
      <c r="A31" s="107" t="s">
        <v>96</v>
      </c>
      <c r="B31" s="175">
        <f>'Telenor Forsikring'!B7+'Telenor Forsikring'!B22+'Telenor Forsikring'!B36+'Telenor Forsikring'!B47+'Telenor Forsikring'!B66+'Telenor Forsikring'!B135</f>
        <v>0</v>
      </c>
      <c r="C31" s="175">
        <f>'Telenor Forsikring'!C7+'Telenor Forsikring'!C22+'Telenor Forsikring'!C36+'Telenor Forsikring'!C47+'Telenor Forsikring'!C66+'Telenor Forsikring'!C135</f>
        <v>686</v>
      </c>
      <c r="D31" s="103" t="str">
        <f t="shared" si="2"/>
        <v xml:space="preserve">    ---- </v>
      </c>
      <c r="E31" s="406">
        <f t="shared" si="1"/>
        <v>1.4154906611986001E-3</v>
      </c>
      <c r="F31" s="102"/>
      <c r="G31" s="175">
        <f>'Telenor Forsikring'!B10+'Telenor Forsikring'!B29+'Telenor Forsikring'!B37+'Telenor Forsikring'!B87+'Telenor Forsikring'!B136</f>
        <v>0</v>
      </c>
      <c r="H31" s="175">
        <f>'Telenor Forsikring'!C10+'Telenor Forsikring'!C29+'Telenor Forsikring'!C37+'Telenor Forsikring'!C87+'Telenor Forsikring'!C136</f>
        <v>0</v>
      </c>
      <c r="I31" s="103"/>
      <c r="J31" s="406">
        <f t="shared" si="4"/>
        <v>0</v>
      </c>
      <c r="K31" s="138"/>
      <c r="L31" s="221">
        <f t="shared" ca="1" si="6"/>
        <v>0</v>
      </c>
      <c r="M31" s="219">
        <f t="shared" ca="1" si="7"/>
        <v>0</v>
      </c>
      <c r="N31" s="221">
        <f t="shared" ca="1" si="8"/>
        <v>0</v>
      </c>
      <c r="O31" s="219">
        <f t="shared" ca="1" si="9"/>
        <v>0</v>
      </c>
      <c r="R31" s="662"/>
    </row>
    <row r="32" spans="1:18" ht="18.75" x14ac:dyDescent="0.3">
      <c r="A32" s="107" t="s">
        <v>97</v>
      </c>
      <c r="B32" s="175">
        <f>'Tryg Forsikring'!B7+'Tryg Forsikring'!B22+'Tryg Forsikring'!B36+'Tryg Forsikring'!B47+'Tryg Forsikring'!B66+'Tryg Forsikring'!B135</f>
        <v>558832.35693999997</v>
      </c>
      <c r="C32" s="175">
        <f>'Tryg Forsikring'!C7+'Tryg Forsikring'!C22+'Tryg Forsikring'!C36+'Tryg Forsikring'!C47+'Tryg Forsikring'!C66+'Tryg Forsikring'!C135</f>
        <v>545103.80000000005</v>
      </c>
      <c r="D32" s="103">
        <f t="shared" si="2"/>
        <v>-2.5</v>
      </c>
      <c r="E32" s="406">
        <f t="shared" si="1"/>
        <v>1.1247657992476232</v>
      </c>
      <c r="F32" s="102"/>
      <c r="G32" s="175">
        <f>'Tryg Forsikring'!B10+'Tryg Forsikring'!B29+'Tryg Forsikring'!B37+'Tryg Forsikring'!B87+'Tryg Forsikring'!B136</f>
        <v>0</v>
      </c>
      <c r="H32" s="175">
        <f>'Tryg Forsikring'!C10+'Tryg Forsikring'!C29+'Tryg Forsikring'!C37+'Tryg Forsikring'!C87+'Tryg Forsikring'!C136</f>
        <v>0</v>
      </c>
      <c r="I32" s="103"/>
      <c r="J32" s="406">
        <f t="shared" si="4"/>
        <v>0</v>
      </c>
      <c r="K32" s="205"/>
      <c r="L32" s="221">
        <f t="shared" ca="1" si="6"/>
        <v>0</v>
      </c>
      <c r="M32" s="219">
        <f t="shared" ca="1" si="7"/>
        <v>0</v>
      </c>
      <c r="N32" s="221">
        <f t="shared" ca="1" si="8"/>
        <v>0</v>
      </c>
      <c r="O32" s="219">
        <f t="shared" ca="1" si="9"/>
        <v>0</v>
      </c>
    </row>
    <row r="33" spans="1:21" ht="18.75" x14ac:dyDescent="0.3">
      <c r="A33" s="191" t="s">
        <v>418</v>
      </c>
      <c r="B33" s="175">
        <f>'WaterCircle F'!B7+'WaterCircle F'!B22+'WaterCircle F'!B36+'WaterCircle F'!B47+'WaterCircle F'!B66+'WaterCircle F'!B137</f>
        <v>1120</v>
      </c>
      <c r="C33" s="175">
        <f>'WaterCircle F'!C7+'WaterCircle F'!C22+'WaterCircle F'!C36+'WaterCircle F'!C47+'WaterCircle F'!C66+'WaterCircle F'!C137</f>
        <v>1684</v>
      </c>
      <c r="D33" s="103">
        <f t="shared" si="2"/>
        <v>50.4</v>
      </c>
      <c r="E33" s="406">
        <f t="shared" si="1"/>
        <v>3.4747613315720739E-3</v>
      </c>
      <c r="F33" s="191"/>
      <c r="G33" s="102">
        <f>'WaterCircle F'!B10+'WaterCircle F'!B29+'WaterCircle F'!B37+'WaterCircle F'!B87+'WaterCircle F'!B136</f>
        <v>0</v>
      </c>
      <c r="H33" s="102">
        <f>'WaterCircle F'!C10+'WaterCircle F'!C29+'WaterCircle F'!C37+'WaterCircle F'!C87+'WaterCircle F'!C136</f>
        <v>0</v>
      </c>
      <c r="I33" s="103"/>
      <c r="J33" s="406">
        <f t="shared" si="4"/>
        <v>0</v>
      </c>
      <c r="K33" s="205"/>
      <c r="L33" s="221">
        <f t="shared" ca="1" si="6"/>
        <v>0</v>
      </c>
      <c r="M33" s="219">
        <f t="shared" ca="1" si="7"/>
        <v>0</v>
      </c>
      <c r="N33" s="221">
        <f t="shared" ca="1" si="8"/>
        <v>0</v>
      </c>
      <c r="O33" s="219">
        <f t="shared" ca="1" si="9"/>
        <v>0</v>
      </c>
    </row>
    <row r="34" spans="1:21" s="110" customFormat="1" ht="18.75" x14ac:dyDescent="0.3">
      <c r="A34" s="136" t="s">
        <v>98</v>
      </c>
      <c r="B34" s="177">
        <f>SUM(B9:B33)</f>
        <v>27986118.453610204</v>
      </c>
      <c r="C34" s="240">
        <f>SUM(C9:C33)</f>
        <v>48463760.221428327</v>
      </c>
      <c r="D34" s="109">
        <f t="shared" ref="D34" si="10">IF(B34=0, "    ---- ", IF(ABS(ROUND(100/B34*C34-100,1))&lt;999,ROUND(100/B34*C34-100,1),IF(ROUND(100/B34*C34-100,1)&gt;999,999,-999)))</f>
        <v>73.2</v>
      </c>
      <c r="E34" s="407">
        <f>SUM(E10:E33)</f>
        <v>99.876423125802958</v>
      </c>
      <c r="F34" s="108"/>
      <c r="G34" s="177">
        <f>SUM(G9:G33)</f>
        <v>1058304771.8028169</v>
      </c>
      <c r="H34" s="177">
        <f>SUM(H9:H33)</f>
        <v>1131513286.6103518</v>
      </c>
      <c r="I34" s="103">
        <f t="shared" ref="I34" si="11">IF(G34=0, "    ---- ", IF(ABS(ROUND(100/G34*H34-100,1))&lt;999,ROUND(100/G34*H34-100,1),IF(ROUND(100/G34*H34-100,1)&gt;999,999,-999)))</f>
        <v>6.9</v>
      </c>
      <c r="J34" s="407">
        <f>SUM(J10:J33)</f>
        <v>100.00000000000001</v>
      </c>
      <c r="K34" s="207"/>
      <c r="L34" s="221" t="e">
        <f ca="1">SUM(L10:L33)</f>
        <v>#REF!</v>
      </c>
      <c r="M34" s="219" t="e">
        <f ca="1">SUM(M10:M33)</f>
        <v>#REF!</v>
      </c>
      <c r="N34" s="221" t="e">
        <f ca="1">SUM(N10:N33)</f>
        <v>#REF!</v>
      </c>
      <c r="O34" s="219" t="e">
        <f ca="1">SUM(O10:O33)</f>
        <v>#REF!</v>
      </c>
      <c r="U34" s="203"/>
    </row>
    <row r="35" spans="1:21" ht="18.75" x14ac:dyDescent="0.3">
      <c r="A35" s="85"/>
      <c r="B35" s="175"/>
      <c r="C35" s="138"/>
      <c r="D35" s="103"/>
      <c r="E35" s="406"/>
      <c r="F35" s="102"/>
      <c r="G35" s="175"/>
      <c r="H35" s="102"/>
      <c r="I35" s="103"/>
      <c r="J35" s="406"/>
      <c r="K35" s="205"/>
      <c r="L35" s="218" t="s">
        <v>1</v>
      </c>
      <c r="M35" s="219"/>
      <c r="N35" s="221"/>
      <c r="O35" s="219"/>
    </row>
    <row r="36" spans="1:21" ht="18.75" x14ac:dyDescent="0.3">
      <c r="A36" s="100" t="s">
        <v>1</v>
      </c>
      <c r="B36" s="175"/>
      <c r="C36" s="138"/>
      <c r="D36" s="103"/>
      <c r="E36" s="406"/>
      <c r="F36" s="102"/>
      <c r="G36" s="175"/>
      <c r="H36" s="102"/>
      <c r="I36" s="103"/>
      <c r="J36" s="406"/>
      <c r="K36" s="205"/>
      <c r="L36" s="222">
        <v>2015</v>
      </c>
      <c r="M36" s="223">
        <v>2016</v>
      </c>
      <c r="N36" s="222">
        <v>2015</v>
      </c>
      <c r="O36" s="223">
        <v>2016</v>
      </c>
      <c r="P36" s="86" t="s">
        <v>153</v>
      </c>
    </row>
    <row r="37" spans="1:21" ht="18.75" x14ac:dyDescent="0.3">
      <c r="A37" s="106" t="s">
        <v>83</v>
      </c>
      <c r="B37" s="129">
        <f>'Danica Pensjonsforsikring'!F7+'Danica Pensjonsforsikring'!F22+'Danica Pensjonsforsikring'!F66+'Danica Pensjonsforsikring'!F135</f>
        <v>1049553.1030000001</v>
      </c>
      <c r="C37" s="129">
        <f>'Danica Pensjonsforsikring'!G7+'Danica Pensjonsforsikring'!G22+'Danica Pensjonsforsikring'!G66+'Danica Pensjonsforsikring'!G135</f>
        <v>1164087.9040000001</v>
      </c>
      <c r="D37" s="103">
        <f t="shared" ref="D37:D47" si="12">IF(B37=0, "    ---- ", IF(ABS(ROUND(100/B37*C37-100,1))&lt;999,ROUND(100/B37*C37-100,1),IF(ROUND(100/B37*C37-100,1)&gt;999,999,-999)))</f>
        <v>10.9</v>
      </c>
      <c r="E37" s="406">
        <f t="shared" ref="E37:E46" si="13">100/C$47*C37</f>
        <v>4.2702356752040158</v>
      </c>
      <c r="F37" s="102"/>
      <c r="G37" s="175">
        <f>'Danica Pensjonsforsikring'!F10+'Danica Pensjonsforsikring'!F29+'Danica Pensjonsforsikring'!F87+'Danica Pensjonsforsikring'!F136</f>
        <v>20948913.260000002</v>
      </c>
      <c r="H37" s="175">
        <f>'Danica Pensjonsforsikring'!G10+'Danica Pensjonsforsikring'!G29+'Danica Pensjonsforsikring'!G87+'Danica Pensjonsforsikring'!G136</f>
        <v>26763939.773000002</v>
      </c>
      <c r="I37" s="103">
        <f t="shared" ref="I37:I47" si="14">IF(G37=0, "    ---- ", IF(ABS(ROUND(100/G37*H37-100,1))&lt;999,ROUND(100/G37*H37-100,1),IF(ROUND(100/G37*H37-100,1)&gt;999,999,-999)))</f>
        <v>27.8</v>
      </c>
      <c r="J37" s="406">
        <f t="shared" ref="J37:J46" si="15">100/H$47*H37</f>
        <v>5.1812660746424894</v>
      </c>
      <c r="K37" s="205" t="s">
        <v>141</v>
      </c>
      <c r="L37" s="221">
        <f t="shared" ref="L37:L46" ca="1" si="16">INDIRECT("'" &amp; $A37 &amp; "'!" &amp; $P$36)</f>
        <v>0</v>
      </c>
      <c r="M37" s="219">
        <f t="shared" ref="M37:M46" ca="1" si="17">INDIRECT("'" &amp; $A37 &amp; "'!" &amp; $P$37)</f>
        <v>0</v>
      </c>
      <c r="N37" s="221">
        <f t="shared" ref="N37:N46" ca="1" si="18">INDIRECT("'" &amp; $A37 &amp; "'!" &amp; $P$39)</f>
        <v>0</v>
      </c>
      <c r="O37" s="219">
        <f ca="1">INDIRECT("'"&amp;$A37&amp;"'!"&amp;$P$40)</f>
        <v>0</v>
      </c>
      <c r="P37" s="86" t="s">
        <v>155</v>
      </c>
      <c r="T37" s="206"/>
    </row>
    <row r="38" spans="1:21" ht="18.75" x14ac:dyDescent="0.3">
      <c r="A38" s="106" t="s">
        <v>417</v>
      </c>
      <c r="B38" s="129">
        <f>'DNB Bedriftspensjon AS'!F7+'DNB Bedriftspensjon AS'!F22+'DNB Bedriftspensjon AS'!F66+'DNB Bedriftspensjon AS'!F135</f>
        <v>310599</v>
      </c>
      <c r="C38" s="129">
        <f>'DNB Bedriftspensjon AS'!G7+'DNB Bedriftspensjon AS'!G22+'DNB Bedriftspensjon AS'!G66+'DNB Bedriftspensjon AS'!G135</f>
        <v>0</v>
      </c>
      <c r="D38" s="103">
        <f>IF(B38=0, "    ---- ", IF(ABS(ROUND(100/B38*C38-100,1))&lt;999,ROUND(100/B38*C38-100,1),IF(ROUND(100/B38*C38-100,1)&gt;999,999,-999)))</f>
        <v>-100</v>
      </c>
      <c r="E38" s="406">
        <f t="shared" si="13"/>
        <v>0</v>
      </c>
      <c r="F38" s="102"/>
      <c r="G38" s="175">
        <f>'DNB Bedriftspensjon AS'!F10+'DNB Bedriftspensjon AS'!F29+'DNB Bedriftspensjon AS'!F87+'DNB Bedriftspensjon AS'!F136</f>
        <v>5167910</v>
      </c>
      <c r="H38" s="175">
        <f>'DNB Bedriftspensjon AS'!G10+'DNB Bedriftspensjon AS'!G29+'DNB Bedriftspensjon AS'!G87+'DNB Bedriftspensjon AS'!G136</f>
        <v>0</v>
      </c>
      <c r="I38" s="103">
        <f>IF(G38=0, "    ---- ", IF(ABS(ROUND(100/G38*H38-100,1))&lt;999,ROUND(100/G38*H38-100,1),IF(ROUND(100/G38*H38-100,1)&gt;999,999,-999)))</f>
        <v>-100</v>
      </c>
      <c r="J38" s="406">
        <f t="shared" si="15"/>
        <v>0</v>
      </c>
      <c r="K38" s="86" t="s">
        <v>151</v>
      </c>
      <c r="L38" s="221" t="e">
        <f ca="1">INDIRECT("'" &amp; $A38 &amp; "'!" &amp; $P$36)</f>
        <v>#REF!</v>
      </c>
      <c r="M38" s="219" t="e">
        <f ca="1">INDIRECT("'" &amp; $A38 &amp; "'!" &amp; $P$37)</f>
        <v>#REF!</v>
      </c>
      <c r="N38" s="221" t="e">
        <f t="shared" ca="1" si="18"/>
        <v>#REF!</v>
      </c>
      <c r="O38" s="219" t="e">
        <f ca="1">INDIRECT("'"&amp;$A38&amp;"'!"&amp;$P$40)</f>
        <v>#REF!</v>
      </c>
    </row>
    <row r="39" spans="1:21" ht="18.75" x14ac:dyDescent="0.3">
      <c r="A39" s="85" t="s">
        <v>84</v>
      </c>
      <c r="B39" s="129">
        <f>'DNB Livsforsikring'!F7+'DNB Livsforsikring'!F22+'DNB Livsforsikring'!F66+'DNB Livsforsikring'!F135</f>
        <v>4882926.4189999998</v>
      </c>
      <c r="C39" s="129">
        <f>'DNB Livsforsikring'!G7+'DNB Livsforsikring'!G22+'DNB Livsforsikring'!G66+'DNB Livsforsikring'!G135</f>
        <v>5687337</v>
      </c>
      <c r="D39" s="103">
        <f t="shared" si="12"/>
        <v>16.5</v>
      </c>
      <c r="E39" s="406">
        <f t="shared" si="13"/>
        <v>20.862917027877458</v>
      </c>
      <c r="F39" s="102"/>
      <c r="G39" s="175">
        <f>'DNB Livsforsikring'!F10+'DNB Livsforsikring'!F29+'DNB Livsforsikring'!F87+'DNB Livsforsikring'!F136</f>
        <v>95193910.070999995</v>
      </c>
      <c r="H39" s="175">
        <f>'DNB Livsforsikring'!G10+'DNB Livsforsikring'!G29+'DNB Livsforsikring'!G87+'DNB Livsforsikring'!G136</f>
        <v>129966187.12900001</v>
      </c>
      <c r="I39" s="103">
        <f t="shared" si="14"/>
        <v>36.5</v>
      </c>
      <c r="J39" s="406">
        <f t="shared" si="15"/>
        <v>25.160324000633636</v>
      </c>
      <c r="K39" s="86" t="s">
        <v>149</v>
      </c>
      <c r="L39" s="221">
        <f t="shared" ca="1" si="16"/>
        <v>0</v>
      </c>
      <c r="M39" s="219">
        <f t="shared" ca="1" si="17"/>
        <v>0</v>
      </c>
      <c r="N39" s="221">
        <f t="shared" ca="1" si="18"/>
        <v>0</v>
      </c>
      <c r="O39" s="219">
        <f ca="1">INDIRECT("'"&amp;$A39&amp;"'!"&amp;$P$40)</f>
        <v>0</v>
      </c>
      <c r="P39" s="86" t="s">
        <v>154</v>
      </c>
    </row>
    <row r="40" spans="1:21" ht="18.75" x14ac:dyDescent="0.3">
      <c r="A40" s="106" t="s">
        <v>86</v>
      </c>
      <c r="B40" s="129">
        <f>'Frende Livsforsikring'!F7+'Frende Livsforsikring'!F22+'Frende Livsforsikring'!F66+'Frende Livsforsikring'!F135</f>
        <v>211959</v>
      </c>
      <c r="C40" s="129">
        <f>'Frende Livsforsikring'!G7+'Frende Livsforsikring'!G22+'Frende Livsforsikring'!G66+'Frende Livsforsikring'!G135</f>
        <v>0</v>
      </c>
      <c r="D40" s="103">
        <f t="shared" si="12"/>
        <v>-100</v>
      </c>
      <c r="E40" s="406">
        <f t="shared" si="13"/>
        <v>0</v>
      </c>
      <c r="F40" s="102"/>
      <c r="G40" s="175">
        <f>'Frende Livsforsikring'!F10+'Frende Livsforsikring'!F29+'Frende Livsforsikring'!F87+'Frende Livsforsikring'!F136</f>
        <v>4269268</v>
      </c>
      <c r="H40" s="175">
        <f>'Frende Livsforsikring'!G10+'Frende Livsforsikring'!G29+'Frende Livsforsikring'!G87+'Frende Livsforsikring'!G136</f>
        <v>0</v>
      </c>
      <c r="I40" s="103">
        <f t="shared" si="14"/>
        <v>-100</v>
      </c>
      <c r="J40" s="406">
        <f t="shared" si="15"/>
        <v>0</v>
      </c>
      <c r="K40" s="86" t="s">
        <v>142</v>
      </c>
      <c r="L40" s="221">
        <f t="shared" ca="1" si="16"/>
        <v>0</v>
      </c>
      <c r="M40" s="219">
        <f t="shared" ca="1" si="17"/>
        <v>0</v>
      </c>
      <c r="N40" s="221">
        <f t="shared" ca="1" si="18"/>
        <v>0</v>
      </c>
      <c r="O40" s="219">
        <f t="shared" ref="O40:O46" ca="1" si="19">INDIRECT("'"&amp;$A40&amp;"'!"&amp;$P$40)</f>
        <v>0</v>
      </c>
      <c r="P40" s="86" t="s">
        <v>156</v>
      </c>
    </row>
    <row r="41" spans="1:21" ht="18.75" x14ac:dyDescent="0.3">
      <c r="A41" s="106" t="s">
        <v>89</v>
      </c>
      <c r="B41" s="129">
        <f>'Gjensidige Pensjon'!F7+'Gjensidige Pensjon'!F22+'Gjensidige Pensjon'!F66+'Gjensidige Pensjon'!F135</f>
        <v>1579911</v>
      </c>
      <c r="C41" s="129">
        <f>'Gjensidige Pensjon'!G7+'Gjensidige Pensjon'!G22+'Gjensidige Pensjon'!G66+'Gjensidige Pensjon'!G135</f>
        <v>1813519</v>
      </c>
      <c r="D41" s="103">
        <f t="shared" si="12"/>
        <v>14.8</v>
      </c>
      <c r="E41" s="406">
        <f t="shared" si="13"/>
        <v>6.6525504687834216</v>
      </c>
      <c r="F41" s="102"/>
      <c r="G41" s="175">
        <f>'Gjensidige Pensjon'!F10+'Gjensidige Pensjon'!F29+'Gjensidige Pensjon'!F87+'Gjensidige Pensjon'!F136</f>
        <v>29754862.800000001</v>
      </c>
      <c r="H41" s="175">
        <f>'Gjensidige Pensjon'!G10+'Gjensidige Pensjon'!G29+'Gjensidige Pensjon'!G87+'Gjensidige Pensjon'!G136</f>
        <v>38652190</v>
      </c>
      <c r="I41" s="103">
        <f t="shared" si="14"/>
        <v>29.9</v>
      </c>
      <c r="J41" s="406">
        <f t="shared" si="15"/>
        <v>7.4827279711512915</v>
      </c>
      <c r="K41" s="86" t="s">
        <v>150</v>
      </c>
      <c r="L41" s="221">
        <f t="shared" ca="1" si="16"/>
        <v>0</v>
      </c>
      <c r="M41" s="219">
        <f t="shared" ca="1" si="17"/>
        <v>0</v>
      </c>
      <c r="N41" s="221">
        <f t="shared" ca="1" si="18"/>
        <v>0</v>
      </c>
      <c r="O41" s="219">
        <f t="shared" ca="1" si="19"/>
        <v>0</v>
      </c>
    </row>
    <row r="42" spans="1:21" ht="18.75" x14ac:dyDescent="0.3">
      <c r="A42" s="106" t="s">
        <v>63</v>
      </c>
      <c r="B42" s="129">
        <f>KLP!F7+KLP!F22+KLP!F66+KLP!F135</f>
        <v>32970.711000000003</v>
      </c>
      <c r="C42" s="129">
        <f>KLP!G7+KLP!G22+KLP!G66+KLP!G135</f>
        <v>96259.103000000003</v>
      </c>
      <c r="D42" s="103">
        <f t="shared" si="12"/>
        <v>192</v>
      </c>
      <c r="E42" s="406">
        <f t="shared" si="13"/>
        <v>0.3531082612243498</v>
      </c>
      <c r="F42" s="102"/>
      <c r="G42" s="175">
        <f>KLP!F10+KLP!F29+KLP!F87+KLP!F136</f>
        <v>1933154.62115</v>
      </c>
      <c r="H42" s="175">
        <f>KLP!G10+KLP!G29+KLP!G87+KLP!G136</f>
        <v>2232813.0127599998</v>
      </c>
      <c r="I42" s="103">
        <f t="shared" si="14"/>
        <v>15.5</v>
      </c>
      <c r="J42" s="406">
        <f t="shared" si="15"/>
        <v>0.4322531888860589</v>
      </c>
      <c r="K42" s="86" t="s">
        <v>143</v>
      </c>
      <c r="L42" s="221">
        <f t="shared" ca="1" si="16"/>
        <v>0</v>
      </c>
      <c r="M42" s="219">
        <f t="shared" ca="1" si="17"/>
        <v>0</v>
      </c>
      <c r="N42" s="221">
        <f t="shared" ca="1" si="18"/>
        <v>0</v>
      </c>
      <c r="O42" s="219">
        <f t="shared" ca="1" si="19"/>
        <v>0</v>
      </c>
    </row>
    <row r="43" spans="1:21" ht="18.75" x14ac:dyDescent="0.3">
      <c r="A43" s="106" t="s">
        <v>93</v>
      </c>
      <c r="B43" s="129">
        <f>'Nordea Liv '!F7+'Nordea Liv '!F22+'Nordea Liv '!F66+'Nordea Liv '!F135</f>
        <v>5863550.9649199992</v>
      </c>
      <c r="C43" s="129">
        <f>'Nordea Liv '!G7+'Nordea Liv '!G22+'Nordea Liv '!G66+'Nordea Liv '!G135</f>
        <v>9140677.7173800003</v>
      </c>
      <c r="D43" s="103">
        <f t="shared" si="12"/>
        <v>55.9</v>
      </c>
      <c r="E43" s="406">
        <f t="shared" si="13"/>
        <v>33.53084243052016</v>
      </c>
      <c r="F43" s="102"/>
      <c r="G43" s="175">
        <f>'Nordea Liv '!F10+'Nordea Liv '!F29+'Nordea Liv '!F87+'Nordea Liv '!F136</f>
        <v>79687040</v>
      </c>
      <c r="H43" s="175">
        <f>'Nordea Liv '!G10+'Nordea Liv '!G29+'Nordea Liv '!G87+'Nordea Liv '!G136</f>
        <v>114051500</v>
      </c>
      <c r="I43" s="103">
        <f t="shared" si="14"/>
        <v>43.1</v>
      </c>
      <c r="J43" s="406">
        <f t="shared" si="15"/>
        <v>22.079378922688768</v>
      </c>
      <c r="K43" s="205"/>
      <c r="L43" s="221">
        <f t="shared" ca="1" si="16"/>
        <v>0</v>
      </c>
      <c r="M43" s="219">
        <f t="shared" ca="1" si="17"/>
        <v>0</v>
      </c>
      <c r="N43" s="221">
        <f t="shared" ca="1" si="18"/>
        <v>0</v>
      </c>
      <c r="O43" s="219">
        <f t="shared" ca="1" si="19"/>
        <v>0</v>
      </c>
    </row>
    <row r="44" spans="1:21" ht="18.75" x14ac:dyDescent="0.3">
      <c r="A44" s="106" t="s">
        <v>71</v>
      </c>
      <c r="B44" s="129">
        <f>'SHB Liv'!F7+'SHB Liv'!F22+'SHB Liv'!F66+'SHB Liv'!F135</f>
        <v>67197.383550000013</v>
      </c>
      <c r="C44" s="129">
        <f>'SHB Liv'!G7+'SHB Liv'!G22+'SHB Liv'!G66+'SHB Liv'!G135</f>
        <v>83074.449899999992</v>
      </c>
      <c r="D44" s="103">
        <f t="shared" si="12"/>
        <v>23.6</v>
      </c>
      <c r="E44" s="406">
        <f t="shared" si="13"/>
        <v>0.30474286215152407</v>
      </c>
      <c r="F44" s="102"/>
      <c r="G44" s="175">
        <f>'SHB Liv'!F10+'SHB Liv'!F29+'SHB Liv'!F87+'SHB Liv'!F136</f>
        <v>2514066.6801399998</v>
      </c>
      <c r="H44" s="175">
        <f>'SHB Liv'!G10+'SHB Liv'!G29+'SHB Liv'!G87+'SHB Liv'!G136</f>
        <v>3229114.5629100003</v>
      </c>
      <c r="I44" s="103">
        <f t="shared" si="14"/>
        <v>28.4</v>
      </c>
      <c r="J44" s="406">
        <f t="shared" si="15"/>
        <v>0.62512850790443275</v>
      </c>
      <c r="K44" s="205"/>
      <c r="L44" s="221">
        <f t="shared" ca="1" si="16"/>
        <v>0</v>
      </c>
      <c r="M44" s="219">
        <f t="shared" ca="1" si="17"/>
        <v>0</v>
      </c>
      <c r="N44" s="221">
        <f t="shared" ca="1" si="18"/>
        <v>0</v>
      </c>
      <c r="O44" s="219">
        <f t="shared" ca="1" si="19"/>
        <v>0</v>
      </c>
    </row>
    <row r="45" spans="1:21" ht="18.75" x14ac:dyDescent="0.3">
      <c r="A45" s="85" t="s">
        <v>67</v>
      </c>
      <c r="B45" s="129">
        <f>'Sparebank 1'!F7+'Sparebank 1'!F22+'Sparebank 1'!F66+'Sparebank 1'!F135</f>
        <v>2338484.3714999999</v>
      </c>
      <c r="C45" s="129">
        <f>'Sparebank 1'!G7+'Sparebank 1'!G22+'Sparebank 1'!G66+'Sparebank 1'!G135</f>
        <v>2700593.74584</v>
      </c>
      <c r="D45" s="103">
        <f t="shared" si="12"/>
        <v>15.5</v>
      </c>
      <c r="E45" s="406">
        <f t="shared" si="13"/>
        <v>9.9066159162829113</v>
      </c>
      <c r="F45" s="102"/>
      <c r="G45" s="175">
        <f>'Sparebank 1'!F10+'Sparebank 1'!F29+'Sparebank 1'!F87+'Sparebank 1'!F136</f>
        <v>36536483.392659999</v>
      </c>
      <c r="H45" s="175">
        <f>'Sparebank 1'!G10+'Sparebank 1'!G29+'Sparebank 1'!G87+'Sparebank 1'!G136</f>
        <v>50948452.248089992</v>
      </c>
      <c r="I45" s="103">
        <f t="shared" si="14"/>
        <v>39.4</v>
      </c>
      <c r="J45" s="406">
        <f t="shared" si="15"/>
        <v>9.8631774479958025</v>
      </c>
      <c r="K45" s="138"/>
      <c r="L45" s="221">
        <f t="shared" ca="1" si="16"/>
        <v>0</v>
      </c>
      <c r="M45" s="219">
        <f t="shared" ca="1" si="17"/>
        <v>0</v>
      </c>
      <c r="N45" s="221">
        <f t="shared" ca="1" si="18"/>
        <v>0</v>
      </c>
      <c r="O45" s="219">
        <f t="shared" ca="1" si="19"/>
        <v>0</v>
      </c>
    </row>
    <row r="46" spans="1:21" ht="18.75" x14ac:dyDescent="0.3">
      <c r="A46" s="85" t="s">
        <v>95</v>
      </c>
      <c r="B46" s="129">
        <f>'Storebrand Livsforsikring'!F7+'Storebrand Livsforsikring'!F22+'Storebrand Livsforsikring'!F66+'Storebrand Livsforsikring'!F135</f>
        <v>6396691.7459999993</v>
      </c>
      <c r="C46" s="129">
        <f>'Storebrand Livsforsikring'!G7+'Storebrand Livsforsikring'!G22+'Storebrand Livsforsikring'!G66+'Storebrand Livsforsikring'!G135</f>
        <v>6574958.2869999995</v>
      </c>
      <c r="D46" s="103">
        <f t="shared" si="12"/>
        <v>2.8</v>
      </c>
      <c r="E46" s="406">
        <f t="shared" si="13"/>
        <v>24.118987357956154</v>
      </c>
      <c r="F46" s="102"/>
      <c r="G46" s="175">
        <f>'Storebrand Livsforsikring'!F10+'Storebrand Livsforsikring'!F29+'Storebrand Livsforsikring'!F87+'Storebrand Livsforsikring'!F136</f>
        <v>117297307.31699999</v>
      </c>
      <c r="H46" s="175">
        <f>'Storebrand Livsforsikring'!G10+'Storebrand Livsforsikring'!G29+'Storebrand Livsforsikring'!G87+'Storebrand Livsforsikring'!G136</f>
        <v>150707923.69099998</v>
      </c>
      <c r="I46" s="103">
        <f t="shared" si="14"/>
        <v>28.5</v>
      </c>
      <c r="J46" s="406">
        <f t="shared" si="15"/>
        <v>29.175743886097528</v>
      </c>
      <c r="K46" s="138"/>
      <c r="L46" s="221">
        <f t="shared" ca="1" si="16"/>
        <v>0</v>
      </c>
      <c r="M46" s="219">
        <f t="shared" ca="1" si="17"/>
        <v>0</v>
      </c>
      <c r="N46" s="221">
        <f t="shared" ca="1" si="18"/>
        <v>0</v>
      </c>
      <c r="O46" s="219">
        <f t="shared" ca="1" si="19"/>
        <v>0</v>
      </c>
    </row>
    <row r="47" spans="1:21" s="110" customFormat="1" ht="18.75" x14ac:dyDescent="0.3">
      <c r="A47" s="100" t="s">
        <v>99</v>
      </c>
      <c r="B47" s="240">
        <f>SUM(B37:B46)</f>
        <v>22733843.698969997</v>
      </c>
      <c r="C47" s="240">
        <f>SUM(C37:C46)</f>
        <v>27260507.207120001</v>
      </c>
      <c r="D47" s="109">
        <f t="shared" si="12"/>
        <v>19.899999999999999</v>
      </c>
      <c r="E47" s="407">
        <f>SUM(E37:E46)</f>
        <v>100</v>
      </c>
      <c r="F47" s="108"/>
      <c r="G47" s="177">
        <f>SUM(G37:G46)</f>
        <v>393302916.14194995</v>
      </c>
      <c r="H47" s="177">
        <f>SUM(H37:H46)</f>
        <v>516552120.41675997</v>
      </c>
      <c r="I47" s="109">
        <f t="shared" si="14"/>
        <v>31.3</v>
      </c>
      <c r="J47" s="407">
        <f>SUM(J37:J46)</f>
        <v>100.00000000000003</v>
      </c>
      <c r="K47" s="138"/>
      <c r="L47" s="221" t="e">
        <f ca="1">SUM(L37:L46)</f>
        <v>#REF!</v>
      </c>
      <c r="M47" s="219" t="e">
        <f ca="1">SUM(M37:M46)</f>
        <v>#REF!</v>
      </c>
      <c r="N47" s="221" t="e">
        <f ca="1">SUM(N37:N46)</f>
        <v>#REF!</v>
      </c>
      <c r="O47" s="219" t="e">
        <f ca="1">SUM(O37:O46)</f>
        <v>#REF!</v>
      </c>
    </row>
    <row r="48" spans="1:21" ht="18.75" x14ac:dyDescent="0.3">
      <c r="A48" s="100"/>
      <c r="B48" s="129"/>
      <c r="C48" s="108"/>
      <c r="D48" s="109"/>
      <c r="E48" s="406"/>
      <c r="F48" s="108"/>
      <c r="G48" s="177"/>
      <c r="H48" s="108"/>
      <c r="I48" s="109"/>
      <c r="J48" s="407"/>
      <c r="K48" s="138"/>
      <c r="L48" s="218" t="s">
        <v>100</v>
      </c>
      <c r="M48" s="224"/>
      <c r="N48" s="225"/>
      <c r="O48" s="224"/>
    </row>
    <row r="49" spans="1:20" ht="18.75" x14ac:dyDescent="0.3">
      <c r="A49" s="85"/>
      <c r="B49" s="129"/>
      <c r="C49" s="102"/>
      <c r="D49" s="103"/>
      <c r="E49" s="406"/>
      <c r="F49" s="102"/>
      <c r="G49" s="175"/>
      <c r="H49" s="102"/>
      <c r="I49" s="103"/>
      <c r="J49" s="406"/>
      <c r="K49" s="138"/>
      <c r="L49" s="222">
        <v>2015</v>
      </c>
      <c r="M49" s="223">
        <v>2016</v>
      </c>
      <c r="N49" s="222">
        <v>2015</v>
      </c>
      <c r="O49" s="223">
        <v>2016</v>
      </c>
    </row>
    <row r="50" spans="1:20" ht="18.75" x14ac:dyDescent="0.3">
      <c r="A50" s="100" t="s">
        <v>100</v>
      </c>
      <c r="B50" s="129"/>
      <c r="C50" s="102"/>
      <c r="D50" s="103"/>
      <c r="E50" s="406"/>
      <c r="F50" s="102"/>
      <c r="G50" s="175"/>
      <c r="H50" s="102"/>
      <c r="I50" s="103"/>
      <c r="J50" s="406"/>
      <c r="K50" s="138"/>
      <c r="L50" s="221"/>
      <c r="M50" s="219"/>
      <c r="N50" s="221"/>
      <c r="O50" s="219"/>
      <c r="P50" s="205"/>
      <c r="Q50" s="205"/>
      <c r="R50" s="205"/>
      <c r="S50" s="180"/>
      <c r="T50" s="138"/>
    </row>
    <row r="51" spans="1:20" ht="18.75" x14ac:dyDescent="0.3">
      <c r="A51" s="85" t="s">
        <v>421</v>
      </c>
      <c r="B51" s="129">
        <f>B9</f>
        <v>0</v>
      </c>
      <c r="C51" s="129">
        <f>C9</f>
        <v>59890</v>
      </c>
      <c r="D51" s="103" t="str">
        <f t="shared" ref="D51" si="20">IF(B51=0, "    ---- ", IF(ABS(ROUND(100/B51*C51-100,1))&lt;999,ROUND(100/B51*C51-100,1),IF(ROUND(100/B51*C51-100,1)&gt;999,999,-999)))</f>
        <v xml:space="preserve">    ---- </v>
      </c>
      <c r="E51" s="406">
        <f t="shared" ref="E51" si="21">100/C$77*C51</f>
        <v>7.9089573308201128E-2</v>
      </c>
      <c r="F51" s="102"/>
      <c r="G51" s="175">
        <f>G9</f>
        <v>0</v>
      </c>
      <c r="H51" s="175">
        <f>H9</f>
        <v>0</v>
      </c>
      <c r="I51" s="103"/>
      <c r="J51" s="406">
        <f t="shared" ref="J51" si="22">100/H$77*H51</f>
        <v>0</v>
      </c>
      <c r="K51" s="138"/>
      <c r="L51" s="221" t="e">
        <f ca="1">L10</f>
        <v>#REF!</v>
      </c>
      <c r="M51" s="226" t="e">
        <f ca="1">M10</f>
        <v>#REF!</v>
      </c>
      <c r="N51" s="221" t="e">
        <f ca="1">N10</f>
        <v>#REF!</v>
      </c>
      <c r="O51" s="226" t="e">
        <f ca="1">O10</f>
        <v>#REF!</v>
      </c>
      <c r="P51" s="205"/>
      <c r="Q51" s="205"/>
      <c r="R51" s="205"/>
      <c r="S51" s="180"/>
      <c r="T51" s="138"/>
    </row>
    <row r="52" spans="1:20" ht="18.75" x14ac:dyDescent="0.3">
      <c r="A52" s="106" t="s">
        <v>83</v>
      </c>
      <c r="B52" s="129">
        <f>B10+B37</f>
        <v>1265971.0930000001</v>
      </c>
      <c r="C52" s="102">
        <f>C10+C37</f>
        <v>1380189.7610000002</v>
      </c>
      <c r="D52" s="103">
        <f t="shared" ref="D52:D76" si="23">IF(B52=0, "    ---- ", IF(ABS(ROUND(100/B52*C52-100,1))&lt;999,ROUND(100/B52*C52-100,1),IF(ROUND(100/B52*C52-100,1)&gt;999,999,-999)))</f>
        <v>9</v>
      </c>
      <c r="E52" s="406">
        <f t="shared" ref="E52:E75" si="24">100/C$77*C52</f>
        <v>1.8226518497551865</v>
      </c>
      <c r="F52" s="102"/>
      <c r="G52" s="175">
        <f>G10+G37</f>
        <v>22208463.973000001</v>
      </c>
      <c r="H52" s="175">
        <f>H10+H37</f>
        <v>28122299.542000003</v>
      </c>
      <c r="I52" s="103">
        <f t="shared" ref="I52:I73" si="25">IF(G52=0, "    ---- ", IF(ABS(ROUND(100/G52*H52-100,1))&lt;999,ROUND(100/G52*H52-100,1),IF(ROUND(100/G52*H52-100,1)&gt;999,999,-999)))</f>
        <v>26.6</v>
      </c>
      <c r="J52" s="406">
        <f t="shared" ref="J52:J75" si="26">100/H$77*H52</f>
        <v>1.7063824907731571</v>
      </c>
      <c r="K52" s="138"/>
      <c r="L52" s="221">
        <f ca="1">L12+L37</f>
        <v>0</v>
      </c>
      <c r="M52" s="219">
        <f ca="1">M12+M37</f>
        <v>0</v>
      </c>
      <c r="N52" s="221">
        <f ca="1">N12+N37</f>
        <v>0</v>
      </c>
      <c r="O52" s="219">
        <f ca="1">O12+O37</f>
        <v>0</v>
      </c>
      <c r="P52" s="205"/>
      <c r="Q52" s="205"/>
      <c r="R52" s="205"/>
      <c r="S52" s="180"/>
      <c r="T52" s="138"/>
    </row>
    <row r="53" spans="1:20" ht="18.75" x14ac:dyDescent="0.3">
      <c r="A53" s="85" t="s">
        <v>417</v>
      </c>
      <c r="B53" s="102">
        <f>B11+B38</f>
        <v>360703</v>
      </c>
      <c r="C53" s="102">
        <f>+C11+C38</f>
        <v>0</v>
      </c>
      <c r="D53" s="103">
        <f>IF(B53=0, "    ---- ", IF(ABS(ROUND(100/B53*C53-100,1))&lt;999,ROUND(100/B53*C53-100,1),IF(ROUND(100/B53*C53-100,1)&gt;999,999,-999)))</f>
        <v>-100</v>
      </c>
      <c r="E53" s="406">
        <f t="shared" si="24"/>
        <v>0</v>
      </c>
      <c r="F53" s="102"/>
      <c r="G53" s="175">
        <f>G11+G38</f>
        <v>6954191</v>
      </c>
      <c r="H53" s="175">
        <f>H11+H38</f>
        <v>0</v>
      </c>
      <c r="I53" s="103">
        <f>IF(G53=0, "    ---- ", IF(ABS(ROUND(100/G53*H53-100,1))&lt;999,ROUND(100/G53*H53-100,1),IF(ROUND(100/G53*H53-100,1)&gt;999,999,-999)))</f>
        <v>-100</v>
      </c>
      <c r="J53" s="406">
        <f t="shared" si="26"/>
        <v>0</v>
      </c>
      <c r="K53" s="138"/>
      <c r="L53" s="221" t="e">
        <f ca="1">L24+L38</f>
        <v>#REF!</v>
      </c>
      <c r="M53" s="219" t="e">
        <f ca="1">+M24+M38</f>
        <v>#REF!</v>
      </c>
      <c r="N53" s="221" t="e">
        <f ca="1">N24+N38</f>
        <v>#REF!</v>
      </c>
      <c r="O53" s="219" t="e">
        <f ca="1">O24+O38</f>
        <v>#REF!</v>
      </c>
      <c r="P53" s="205"/>
      <c r="Q53" s="205"/>
      <c r="R53" s="205"/>
      <c r="S53" s="180"/>
      <c r="T53" s="138"/>
    </row>
    <row r="54" spans="1:20" ht="18.75" x14ac:dyDescent="0.3">
      <c r="A54" s="85" t="s">
        <v>84</v>
      </c>
      <c r="B54" s="129">
        <f>B12+B39</f>
        <v>6916972.4139999999</v>
      </c>
      <c r="C54" s="102">
        <f>+C12+C39</f>
        <v>7643584.7650000006</v>
      </c>
      <c r="D54" s="103">
        <f t="shared" si="23"/>
        <v>10.5</v>
      </c>
      <c r="E54" s="406">
        <f t="shared" si="24"/>
        <v>10.093969904974401</v>
      </c>
      <c r="F54" s="102"/>
      <c r="G54" s="175">
        <f>+G12+G39</f>
        <v>291056310.07099998</v>
      </c>
      <c r="H54" s="175">
        <f>+H12+H39</f>
        <v>325634808.87515002</v>
      </c>
      <c r="I54" s="103">
        <f t="shared" si="25"/>
        <v>11.9</v>
      </c>
      <c r="J54" s="406">
        <f t="shared" si="26"/>
        <v>19.758609548303752</v>
      </c>
      <c r="K54" s="138"/>
      <c r="L54" s="221">
        <f ca="1">L13+L39</f>
        <v>0</v>
      </c>
      <c r="M54" s="219">
        <f ca="1">+M13+M39</f>
        <v>0</v>
      </c>
      <c r="N54" s="221">
        <f ca="1">+N13+N39</f>
        <v>0</v>
      </c>
      <c r="O54" s="219">
        <f ca="1">+O13+O39</f>
        <v>0</v>
      </c>
      <c r="P54" s="205"/>
      <c r="Q54" s="205"/>
      <c r="R54" s="205"/>
      <c r="S54" s="180"/>
      <c r="T54" s="138"/>
    </row>
    <row r="55" spans="1:20" ht="18.75" x14ac:dyDescent="0.3">
      <c r="A55" s="85" t="s">
        <v>85</v>
      </c>
      <c r="B55" s="129">
        <f t="shared" ref="B55:C57" si="27">B13</f>
        <v>196946</v>
      </c>
      <c r="C55" s="102">
        <f t="shared" si="27"/>
        <v>213759</v>
      </c>
      <c r="D55" s="103">
        <f t="shared" si="23"/>
        <v>8.5</v>
      </c>
      <c r="E55" s="406">
        <f t="shared" si="24"/>
        <v>0.28228599266635107</v>
      </c>
      <c r="F55" s="102"/>
      <c r="G55" s="175">
        <f t="shared" ref="G55:H57" si="28">G13</f>
        <v>0</v>
      </c>
      <c r="H55" s="175">
        <f t="shared" si="28"/>
        <v>0</v>
      </c>
      <c r="I55" s="103"/>
      <c r="J55" s="406">
        <f t="shared" si="26"/>
        <v>0</v>
      </c>
      <c r="K55" s="138"/>
      <c r="L55" s="221">
        <f ca="1">L15</f>
        <v>0</v>
      </c>
      <c r="M55" s="219">
        <f ca="1">M15</f>
        <v>0</v>
      </c>
      <c r="N55" s="221">
        <f ca="1">N15</f>
        <v>0</v>
      </c>
      <c r="O55" s="219">
        <f ca="1">+O15+O40</f>
        <v>0</v>
      </c>
      <c r="P55" s="205"/>
      <c r="Q55" s="205"/>
      <c r="R55" s="205"/>
      <c r="S55" s="180"/>
      <c r="T55" s="138"/>
    </row>
    <row r="56" spans="1:20" ht="18.75" x14ac:dyDescent="0.3">
      <c r="A56" s="85" t="s">
        <v>422</v>
      </c>
      <c r="B56" s="129">
        <f t="shared" si="27"/>
        <v>0</v>
      </c>
      <c r="C56" s="129">
        <f t="shared" si="27"/>
        <v>8868.24</v>
      </c>
      <c r="D56" s="103" t="str">
        <f t="shared" ref="D56" si="29">IF(B56=0, "    ---- ", IF(ABS(ROUND(100/B56*C56-100,1))&lt;999,ROUND(100/B56*C56-100,1),IF(ROUND(100/B56*C56-100,1)&gt;999,999,-999)))</f>
        <v xml:space="preserve">    ---- </v>
      </c>
      <c r="E56" s="406">
        <f t="shared" si="24"/>
        <v>1.1711225874014386E-2</v>
      </c>
      <c r="F56" s="102"/>
      <c r="G56" s="175">
        <f t="shared" si="28"/>
        <v>0</v>
      </c>
      <c r="H56" s="175">
        <f t="shared" si="28"/>
        <v>0</v>
      </c>
      <c r="I56" s="103"/>
      <c r="J56" s="406">
        <f t="shared" si="26"/>
        <v>0</v>
      </c>
      <c r="K56" s="138"/>
      <c r="L56" s="221"/>
      <c r="M56" s="219"/>
      <c r="N56" s="221"/>
      <c r="O56" s="219"/>
      <c r="P56" s="205"/>
      <c r="Q56" s="205"/>
      <c r="R56" s="205"/>
      <c r="S56" s="180"/>
      <c r="T56" s="138"/>
    </row>
    <row r="57" spans="1:20" ht="18.75" x14ac:dyDescent="0.3">
      <c r="A57" s="106" t="s">
        <v>401</v>
      </c>
      <c r="B57" s="129">
        <f t="shared" si="27"/>
        <v>1494137.5873699998</v>
      </c>
      <c r="C57" s="129">
        <f t="shared" si="27"/>
        <v>1554860.00135</v>
      </c>
      <c r="D57" s="103">
        <f t="shared" ref="D57" si="30">IF(B57=0, "    ---- ", IF(ABS(ROUND(100/B57*C57-100,1))&lt;999,ROUND(100/B57*C57-100,1),IF(ROUND(100/B57*C57-100,1)&gt;999,999,-999)))</f>
        <v>4.0999999999999996</v>
      </c>
      <c r="E57" s="406">
        <f t="shared" si="24"/>
        <v>2.0533179839833116</v>
      </c>
      <c r="F57" s="102"/>
      <c r="G57" s="175">
        <f t="shared" si="28"/>
        <v>3587824.3847499997</v>
      </c>
      <c r="H57" s="175">
        <f t="shared" si="28"/>
        <v>4079532.4523799997</v>
      </c>
      <c r="I57" s="103">
        <f t="shared" ref="I57" si="31">IF(G57=0, "    ---- ", IF(ABS(ROUND(100/G57*H57-100,1))&lt;999,ROUND(100/G57*H57-100,1),IF(ROUND(100/G57*H57-100,1)&gt;999,999,-999)))</f>
        <v>13.7</v>
      </c>
      <c r="J57" s="406">
        <f t="shared" si="26"/>
        <v>0.24753462059123774</v>
      </c>
      <c r="K57" s="138"/>
      <c r="L57" s="221"/>
      <c r="M57" s="219"/>
      <c r="N57" s="221"/>
      <c r="O57" s="219"/>
      <c r="P57" s="205"/>
      <c r="Q57" s="205"/>
      <c r="R57" s="205"/>
      <c r="S57" s="180"/>
      <c r="T57" s="138"/>
    </row>
    <row r="58" spans="1:20" ht="18.75" x14ac:dyDescent="0.3">
      <c r="A58" s="106" t="s">
        <v>86</v>
      </c>
      <c r="B58" s="129">
        <f>B16+B40</f>
        <v>717362</v>
      </c>
      <c r="C58" s="104">
        <f>C16+C40</f>
        <v>460428</v>
      </c>
      <c r="D58" s="105">
        <f t="shared" si="23"/>
        <v>-35.799999999999997</v>
      </c>
      <c r="E58" s="408">
        <f t="shared" si="24"/>
        <v>0.6080322935239344</v>
      </c>
      <c r="F58" s="104"/>
      <c r="G58" s="176">
        <f>G16+G40</f>
        <v>5401620</v>
      </c>
      <c r="H58" s="176">
        <f>H16+H40</f>
        <v>1134700</v>
      </c>
      <c r="I58" s="103">
        <f t="shared" si="25"/>
        <v>-79</v>
      </c>
      <c r="J58" s="406">
        <f t="shared" si="26"/>
        <v>6.8850422753963747E-2</v>
      </c>
      <c r="K58" s="138"/>
      <c r="L58" s="221">
        <f ca="1">L17+L40</f>
        <v>0</v>
      </c>
      <c r="M58" s="219">
        <f ca="1">M17+M40</f>
        <v>0</v>
      </c>
      <c r="N58" s="221">
        <f ca="1">N17+N40</f>
        <v>0</v>
      </c>
      <c r="O58" s="219">
        <f ca="1">O17+O40</f>
        <v>0</v>
      </c>
      <c r="P58" s="208"/>
      <c r="Q58" s="208"/>
      <c r="R58" s="208"/>
      <c r="S58" s="180"/>
      <c r="T58" s="138"/>
    </row>
    <row r="59" spans="1:20" ht="18.75" x14ac:dyDescent="0.3">
      <c r="A59" s="106" t="s">
        <v>87</v>
      </c>
      <c r="B59" s="129">
        <f>B17</f>
        <v>622.01300000000003</v>
      </c>
      <c r="C59" s="104">
        <f>C17</f>
        <v>5314.415</v>
      </c>
      <c r="D59" s="105">
        <f t="shared" si="23"/>
        <v>754.4</v>
      </c>
      <c r="E59" s="408">
        <f t="shared" si="24"/>
        <v>7.018113453543225E-3</v>
      </c>
      <c r="F59" s="104"/>
      <c r="G59" s="176">
        <f>G17</f>
        <v>0</v>
      </c>
      <c r="H59" s="176">
        <f>H17</f>
        <v>0</v>
      </c>
      <c r="I59" s="103"/>
      <c r="J59" s="406">
        <f t="shared" si="26"/>
        <v>0</v>
      </c>
      <c r="K59" s="138"/>
      <c r="L59" s="221">
        <f ca="1">L18</f>
        <v>0</v>
      </c>
      <c r="M59" s="219">
        <f ca="1">M18</f>
        <v>0</v>
      </c>
      <c r="N59" s="221">
        <f ca="1">N18</f>
        <v>0</v>
      </c>
      <c r="O59" s="219">
        <f ca="1">O18</f>
        <v>0</v>
      </c>
      <c r="P59" s="208"/>
      <c r="Q59" s="208"/>
      <c r="R59" s="208"/>
      <c r="S59" s="180"/>
      <c r="T59" s="138"/>
    </row>
    <row r="60" spans="1:20" ht="18.75" x14ac:dyDescent="0.3">
      <c r="A60" s="85" t="s">
        <v>88</v>
      </c>
      <c r="B60" s="102">
        <f>B18</f>
        <v>1264393</v>
      </c>
      <c r="C60" s="102">
        <f>+C18</f>
        <v>1474212.797</v>
      </c>
      <c r="D60" s="103">
        <f t="shared" si="23"/>
        <v>16.600000000000001</v>
      </c>
      <c r="E60" s="406">
        <f t="shared" si="24"/>
        <v>1.9468168488933</v>
      </c>
      <c r="F60" s="102"/>
      <c r="G60" s="175">
        <f>+G18</f>
        <v>0</v>
      </c>
      <c r="H60" s="175">
        <f>+H18</f>
        <v>0</v>
      </c>
      <c r="I60" s="103"/>
      <c r="J60" s="406">
        <f t="shared" si="26"/>
        <v>0</v>
      </c>
      <c r="K60" s="138"/>
      <c r="L60" s="221">
        <f ca="1">L19</f>
        <v>0</v>
      </c>
      <c r="M60" s="219">
        <f ca="1">+M19</f>
        <v>0</v>
      </c>
      <c r="N60" s="221">
        <f ca="1">+N19</f>
        <v>0</v>
      </c>
      <c r="O60" s="219">
        <f ca="1">+O19</f>
        <v>0</v>
      </c>
      <c r="P60" s="205"/>
      <c r="Q60" s="205"/>
      <c r="R60" s="205"/>
      <c r="S60" s="180"/>
      <c r="T60" s="138"/>
    </row>
    <row r="61" spans="1:20" ht="18.75" x14ac:dyDescent="0.3">
      <c r="A61" s="85" t="s">
        <v>89</v>
      </c>
      <c r="B61" s="102">
        <f>B19+B41</f>
        <v>1942059.4</v>
      </c>
      <c r="C61" s="102">
        <f>C19+C41</f>
        <v>2209389</v>
      </c>
      <c r="D61" s="103">
        <f t="shared" si="23"/>
        <v>13.8</v>
      </c>
      <c r="E61" s="406">
        <f t="shared" si="24"/>
        <v>2.9176762945705992</v>
      </c>
      <c r="F61" s="102"/>
      <c r="G61" s="175">
        <f>G19+G41</f>
        <v>37129921.600000001</v>
      </c>
      <c r="H61" s="175">
        <f>H19+H41</f>
        <v>46640575</v>
      </c>
      <c r="I61" s="103">
        <f t="shared" si="25"/>
        <v>25.6</v>
      </c>
      <c r="J61" s="406">
        <f t="shared" si="26"/>
        <v>2.8300196582691046</v>
      </c>
      <c r="K61" s="138"/>
      <c r="L61" s="221">
        <f ca="1">L20+L41</f>
        <v>0</v>
      </c>
      <c r="M61" s="219">
        <f ca="1">M20+M41</f>
        <v>0</v>
      </c>
      <c r="N61" s="221">
        <f ca="1">N20+N41</f>
        <v>0</v>
      </c>
      <c r="O61" s="219">
        <f ca="1">O20+O41</f>
        <v>0</v>
      </c>
      <c r="P61" s="205"/>
      <c r="Q61" s="205"/>
      <c r="R61" s="205"/>
      <c r="S61" s="180"/>
      <c r="T61" s="138"/>
    </row>
    <row r="62" spans="1:20" ht="18.75" x14ac:dyDescent="0.3">
      <c r="A62" s="85" t="s">
        <v>90</v>
      </c>
      <c r="B62" s="102">
        <f>B20</f>
        <v>17644.029899999998</v>
      </c>
      <c r="C62" s="102">
        <f>+C20</f>
        <v>17644.029899999998</v>
      </c>
      <c r="D62" s="103">
        <f t="shared" si="23"/>
        <v>0</v>
      </c>
      <c r="E62" s="406">
        <f t="shared" si="24"/>
        <v>2.3300363937688136E-2</v>
      </c>
      <c r="F62" s="102"/>
      <c r="G62" s="175">
        <f>+G20</f>
        <v>24707.77272555888</v>
      </c>
      <c r="H62" s="175">
        <f>+H20</f>
        <v>20421.386947750718</v>
      </c>
      <c r="I62" s="103">
        <f t="shared" si="25"/>
        <v>-17.3</v>
      </c>
      <c r="J62" s="406">
        <f t="shared" si="26"/>
        <v>1.2391126505463244E-3</v>
      </c>
      <c r="K62" s="138"/>
      <c r="L62" s="221">
        <f ca="1">L21</f>
        <v>0</v>
      </c>
      <c r="M62" s="219">
        <f t="shared" ref="M62:O63" ca="1" si="32">+M21</f>
        <v>0</v>
      </c>
      <c r="N62" s="221">
        <f t="shared" ca="1" si="32"/>
        <v>0</v>
      </c>
      <c r="O62" s="219">
        <f t="shared" ca="1" si="32"/>
        <v>0</v>
      </c>
      <c r="P62" s="205"/>
      <c r="Q62" s="205"/>
      <c r="R62" s="205"/>
      <c r="S62" s="180"/>
      <c r="T62" s="138"/>
    </row>
    <row r="63" spans="1:20" ht="18.75" x14ac:dyDescent="0.3">
      <c r="A63" s="85" t="s">
        <v>91</v>
      </c>
      <c r="B63" s="102">
        <f>B21</f>
        <v>301902.74099999998</v>
      </c>
      <c r="C63" s="102">
        <f>+C21</f>
        <v>315101.851636982</v>
      </c>
      <c r="D63" s="103">
        <f t="shared" si="23"/>
        <v>4.4000000000000004</v>
      </c>
      <c r="E63" s="406">
        <f t="shared" si="24"/>
        <v>0.41611739847375195</v>
      </c>
      <c r="F63" s="102"/>
      <c r="G63" s="175">
        <f>+G21</f>
        <v>0</v>
      </c>
      <c r="H63" s="175">
        <f>+H21</f>
        <v>0</v>
      </c>
      <c r="I63" s="103"/>
      <c r="J63" s="406">
        <f t="shared" si="26"/>
        <v>0</v>
      </c>
      <c r="K63" s="138"/>
      <c r="L63" s="221">
        <f ca="1">L22</f>
        <v>0</v>
      </c>
      <c r="M63" s="219">
        <f t="shared" ca="1" si="32"/>
        <v>0</v>
      </c>
      <c r="N63" s="221">
        <f t="shared" ca="1" si="32"/>
        <v>0</v>
      </c>
      <c r="O63" s="219">
        <f t="shared" ca="1" si="32"/>
        <v>0</v>
      </c>
      <c r="P63" s="205"/>
      <c r="Q63" s="205"/>
      <c r="R63" s="205"/>
      <c r="S63" s="180"/>
      <c r="T63" s="138"/>
    </row>
    <row r="64" spans="1:20" ht="18.75" x14ac:dyDescent="0.3">
      <c r="A64" s="85" t="s">
        <v>406</v>
      </c>
      <c r="B64" s="102">
        <f>B22</f>
        <v>8168</v>
      </c>
      <c r="C64" s="102">
        <f>C22</f>
        <v>0</v>
      </c>
      <c r="D64" s="103">
        <f>IF(B64=0, "    ---- ", IF(ABS(ROUND(100/B64*C64-100,1))&lt;999,ROUND(100/B64*C64-100,1),IF(ROUND(100/B64*C64-100,1)&gt;999,999,-999)))</f>
        <v>-100</v>
      </c>
      <c r="E64" s="406">
        <f t="shared" si="24"/>
        <v>0</v>
      </c>
      <c r="F64" s="102"/>
      <c r="G64" s="175">
        <f>G22</f>
        <v>0</v>
      </c>
      <c r="H64" s="175">
        <f>H22</f>
        <v>0</v>
      </c>
      <c r="I64" s="103"/>
      <c r="J64" s="406">
        <f t="shared" si="26"/>
        <v>0</v>
      </c>
      <c r="K64" s="138"/>
      <c r="L64" s="221">
        <f ca="1">L23</f>
        <v>0</v>
      </c>
      <c r="M64" s="219">
        <f ca="1">M23</f>
        <v>0</v>
      </c>
      <c r="N64" s="221">
        <f ca="1">N23</f>
        <v>0</v>
      </c>
      <c r="O64" s="219">
        <f ca="1">O23</f>
        <v>0</v>
      </c>
      <c r="P64" s="205"/>
      <c r="Q64" s="205"/>
      <c r="R64" s="205"/>
      <c r="S64" s="180"/>
      <c r="T64" s="138"/>
    </row>
    <row r="65" spans="1:240" ht="18.75" x14ac:dyDescent="0.3">
      <c r="A65" s="85" t="s">
        <v>63</v>
      </c>
      <c r="B65" s="104">
        <f>B23+B42</f>
        <v>14258498.093959998</v>
      </c>
      <c r="C65" s="104">
        <f>C23+C42</f>
        <v>33633640.321949996</v>
      </c>
      <c r="D65" s="105">
        <f t="shared" si="23"/>
        <v>135.9</v>
      </c>
      <c r="E65" s="408">
        <f t="shared" si="24"/>
        <v>44.415933575964829</v>
      </c>
      <c r="F65" s="104"/>
      <c r="G65" s="176">
        <f>G23+G42</f>
        <v>518864941.31756002</v>
      </c>
      <c r="H65" s="176">
        <f>H23+H42</f>
        <v>565869521.31959999</v>
      </c>
      <c r="I65" s="103">
        <f t="shared" si="25"/>
        <v>9.1</v>
      </c>
      <c r="J65" s="406">
        <f t="shared" si="26"/>
        <v>34.335380070888839</v>
      </c>
      <c r="K65" s="138"/>
      <c r="L65" s="221">
        <f ca="1">L11+L42</f>
        <v>0</v>
      </c>
      <c r="M65" s="219">
        <f ca="1">M11+M42</f>
        <v>0</v>
      </c>
      <c r="N65" s="221">
        <f ca="1">N11+N42</f>
        <v>0</v>
      </c>
      <c r="O65" s="219">
        <f ca="1">O11+O42</f>
        <v>0</v>
      </c>
      <c r="P65" s="208"/>
      <c r="Q65" s="208"/>
      <c r="R65" s="208"/>
      <c r="S65" s="180"/>
      <c r="T65" s="138"/>
    </row>
    <row r="66" spans="1:240" ht="18.75" x14ac:dyDescent="0.3">
      <c r="A66" s="85" t="s">
        <v>92</v>
      </c>
      <c r="B66" s="102">
        <f>B24</f>
        <v>173861.997</v>
      </c>
      <c r="C66" s="102">
        <f>C24</f>
        <v>219490.81400000001</v>
      </c>
      <c r="D66" s="103">
        <f t="shared" si="23"/>
        <v>26.2</v>
      </c>
      <c r="E66" s="406">
        <f t="shared" si="24"/>
        <v>0.28985531514993723</v>
      </c>
      <c r="F66" s="102"/>
      <c r="G66" s="175">
        <f>G24</f>
        <v>45976.864000000001</v>
      </c>
      <c r="H66" s="175">
        <f>H24</f>
        <v>67448.820000000007</v>
      </c>
      <c r="I66" s="103">
        <f t="shared" si="25"/>
        <v>46.7</v>
      </c>
      <c r="J66" s="406">
        <f t="shared" si="26"/>
        <v>4.0926057735577734E-3</v>
      </c>
      <c r="K66" s="138"/>
      <c r="L66" s="221">
        <f t="shared" ref="L66:O67" ca="1" si="33">L25</f>
        <v>0</v>
      </c>
      <c r="M66" s="219">
        <f t="shared" ca="1" si="33"/>
        <v>0</v>
      </c>
      <c r="N66" s="221">
        <f t="shared" ca="1" si="33"/>
        <v>0</v>
      </c>
      <c r="O66" s="219">
        <f t="shared" ca="1" si="33"/>
        <v>0</v>
      </c>
      <c r="P66" s="205"/>
      <c r="Q66" s="205"/>
      <c r="R66" s="205"/>
      <c r="S66" s="180"/>
      <c r="T66" s="138"/>
    </row>
    <row r="67" spans="1:240" ht="18.75" x14ac:dyDescent="0.3">
      <c r="A67" s="107" t="s">
        <v>413</v>
      </c>
      <c r="B67" s="102">
        <f>B25</f>
        <v>36699</v>
      </c>
      <c r="C67" s="102">
        <f>C25</f>
        <v>39431</v>
      </c>
      <c r="D67" s="103">
        <f t="shared" si="23"/>
        <v>7.4</v>
      </c>
      <c r="E67" s="406">
        <f t="shared" si="24"/>
        <v>5.2071814411682731E-2</v>
      </c>
      <c r="F67" s="102"/>
      <c r="G67" s="175">
        <f>G25</f>
        <v>0</v>
      </c>
      <c r="H67" s="175">
        <f>H25</f>
        <v>0</v>
      </c>
      <c r="I67" s="103"/>
      <c r="J67" s="406">
        <f t="shared" si="26"/>
        <v>0</v>
      </c>
      <c r="K67" s="138"/>
      <c r="L67" s="221">
        <f t="shared" ca="1" si="33"/>
        <v>0</v>
      </c>
      <c r="M67" s="219">
        <f t="shared" ca="1" si="33"/>
        <v>0</v>
      </c>
      <c r="N67" s="221">
        <f t="shared" ca="1" si="33"/>
        <v>0</v>
      </c>
      <c r="O67" s="219">
        <f t="shared" ca="1" si="33"/>
        <v>0</v>
      </c>
      <c r="P67" s="205"/>
      <c r="Q67" s="205"/>
      <c r="R67" s="205"/>
      <c r="S67" s="180"/>
      <c r="T67" s="138"/>
    </row>
    <row r="68" spans="1:240" ht="18.75" x14ac:dyDescent="0.3">
      <c r="A68" s="106" t="s">
        <v>65</v>
      </c>
      <c r="B68" s="102">
        <f>B26+B43</f>
        <v>6766990.9724863805</v>
      </c>
      <c r="C68" s="102">
        <f>+C26+C43</f>
        <v>10076333.707789943</v>
      </c>
      <c r="D68" s="103">
        <f t="shared" si="23"/>
        <v>48.9</v>
      </c>
      <c r="E68" s="406">
        <f t="shared" si="24"/>
        <v>13.306611011189695</v>
      </c>
      <c r="F68" s="102"/>
      <c r="G68" s="175">
        <f>+G26+G43</f>
        <v>131543138.77123134</v>
      </c>
      <c r="H68" s="175">
        <f>+H26+H43</f>
        <v>168852159.99998409</v>
      </c>
      <c r="I68" s="103">
        <f t="shared" si="25"/>
        <v>28.4</v>
      </c>
      <c r="J68" s="406">
        <f t="shared" si="26"/>
        <v>10.245476865179194</v>
      </c>
      <c r="K68" s="138"/>
      <c r="L68" s="221">
        <f ca="1">L27+L43</f>
        <v>0</v>
      </c>
      <c r="M68" s="219">
        <f ca="1">+M27+M43</f>
        <v>0</v>
      </c>
      <c r="N68" s="221">
        <f ca="1">+N27+N43</f>
        <v>0</v>
      </c>
      <c r="O68" s="219">
        <f ca="1">+O27+O43</f>
        <v>0</v>
      </c>
      <c r="P68" s="205"/>
      <c r="Q68" s="205"/>
      <c r="R68" s="205"/>
      <c r="S68" s="180"/>
      <c r="T68" s="138"/>
    </row>
    <row r="69" spans="1:240" ht="18.75" customHeight="1" x14ac:dyDescent="0.3">
      <c r="A69" s="106" t="s">
        <v>94</v>
      </c>
      <c r="B69" s="102">
        <f>B27</f>
        <v>1571000</v>
      </c>
      <c r="C69" s="102">
        <f>C27</f>
        <v>2128000</v>
      </c>
      <c r="D69" s="103">
        <f t="shared" si="23"/>
        <v>35.5</v>
      </c>
      <c r="E69" s="406">
        <f t="shared" si="24"/>
        <v>2.8101955585214897</v>
      </c>
      <c r="F69" s="102"/>
      <c r="G69" s="175">
        <f>G27</f>
        <v>77112000</v>
      </c>
      <c r="H69" s="175">
        <f>H27</f>
        <v>87821000</v>
      </c>
      <c r="I69" s="103">
        <f t="shared" si="25"/>
        <v>13.9</v>
      </c>
      <c r="J69" s="406">
        <f t="shared" si="26"/>
        <v>5.3287326841243061</v>
      </c>
      <c r="K69" s="138"/>
      <c r="L69" s="221">
        <f ca="1">L28</f>
        <v>0</v>
      </c>
      <c r="M69" s="219">
        <f ca="1">M28</f>
        <v>0</v>
      </c>
      <c r="N69" s="221">
        <f ca="1">N28</f>
        <v>0</v>
      </c>
      <c r="O69" s="219">
        <f ca="1">O28</f>
        <v>0</v>
      </c>
      <c r="P69" s="205"/>
      <c r="Q69" s="205"/>
      <c r="R69" s="205"/>
      <c r="S69" s="180"/>
      <c r="T69" s="138"/>
    </row>
    <row r="70" spans="1:240" ht="18.75" customHeight="1" x14ac:dyDescent="0.3">
      <c r="A70" s="106" t="s">
        <v>363</v>
      </c>
      <c r="B70" s="102">
        <f>B28</f>
        <v>263606.18193381856</v>
      </c>
      <c r="C70" s="102">
        <f>C28</f>
        <v>285507.81500140583</v>
      </c>
      <c r="D70" s="103">
        <f t="shared" ref="D70" si="34">IF(B70=0, "    ---- ", IF(ABS(ROUND(100/B70*C70-100,1))&lt;999,ROUND(100/B70*C70-100,1),IF(ROUND(100/B70*C70-100,1)&gt;999,999,-999)))</f>
        <v>8.3000000000000007</v>
      </c>
      <c r="E70" s="406">
        <f t="shared" si="24"/>
        <v>0.37703608723690124</v>
      </c>
      <c r="F70" s="102"/>
      <c r="G70" s="175">
        <f>G28</f>
        <v>0</v>
      </c>
      <c r="H70" s="175">
        <f>H28</f>
        <v>0</v>
      </c>
      <c r="I70" s="103"/>
      <c r="J70" s="406">
        <f t="shared" si="26"/>
        <v>0</v>
      </c>
      <c r="K70" s="138"/>
      <c r="L70" s="221"/>
      <c r="M70" s="219"/>
      <c r="N70" s="221"/>
      <c r="O70" s="219"/>
      <c r="P70" s="205"/>
      <c r="Q70" s="205"/>
      <c r="R70" s="205"/>
      <c r="S70" s="180"/>
      <c r="T70" s="138"/>
    </row>
    <row r="71" spans="1:240" ht="18.75" customHeight="1" x14ac:dyDescent="0.3">
      <c r="A71" s="106" t="s">
        <v>71</v>
      </c>
      <c r="B71" s="102">
        <f>B44</f>
        <v>67197.383550000013</v>
      </c>
      <c r="C71" s="102">
        <f>C44</f>
        <v>83074.449899999992</v>
      </c>
      <c r="D71" s="103">
        <f t="shared" si="23"/>
        <v>23.6</v>
      </c>
      <c r="E71" s="406">
        <f t="shared" si="24"/>
        <v>0.10970650852236653</v>
      </c>
      <c r="F71" s="102"/>
      <c r="G71" s="175">
        <f>G44</f>
        <v>2514066.6801399998</v>
      </c>
      <c r="H71" s="175">
        <f>H44</f>
        <v>3229114.5629100003</v>
      </c>
      <c r="I71" s="103">
        <f t="shared" si="25"/>
        <v>28.4</v>
      </c>
      <c r="J71" s="406">
        <f t="shared" si="26"/>
        <v>0.19593364129491003</v>
      </c>
      <c r="K71" s="138"/>
      <c r="L71" s="221">
        <f ca="1">L44</f>
        <v>0</v>
      </c>
      <c r="M71" s="219">
        <f ca="1">M44</f>
        <v>0</v>
      </c>
      <c r="N71" s="221">
        <f ca="1">N44</f>
        <v>0</v>
      </c>
      <c r="O71" s="219">
        <f ca="1">O44</f>
        <v>0</v>
      </c>
      <c r="P71" s="205"/>
      <c r="Q71" s="205"/>
      <c r="R71" s="205"/>
      <c r="S71" s="180"/>
      <c r="T71" s="138"/>
    </row>
    <row r="72" spans="1:240" ht="18.75" customHeight="1" x14ac:dyDescent="0.3">
      <c r="A72" s="85" t="s">
        <v>67</v>
      </c>
      <c r="B72" s="102">
        <f>B29+B45</f>
        <v>2744308.4134399998</v>
      </c>
      <c r="C72" s="102">
        <f>+C29+C45</f>
        <v>3136005.1910199998</v>
      </c>
      <c r="D72" s="103">
        <f t="shared" si="23"/>
        <v>14.3</v>
      </c>
      <c r="E72" s="406">
        <f t="shared" si="24"/>
        <v>4.1413476782447081</v>
      </c>
      <c r="F72" s="102"/>
      <c r="G72" s="175">
        <f>+G29+G45</f>
        <v>55787838.728359997</v>
      </c>
      <c r="H72" s="175">
        <f>+H29+H45</f>
        <v>70706668.114139989</v>
      </c>
      <c r="I72" s="103">
        <f t="shared" si="25"/>
        <v>26.7</v>
      </c>
      <c r="J72" s="406">
        <f t="shared" si="26"/>
        <v>4.2902828863864872</v>
      </c>
      <c r="K72" s="138"/>
      <c r="L72" s="221">
        <f ca="1">L30+L45</f>
        <v>0</v>
      </c>
      <c r="M72" s="219">
        <f t="shared" ref="M72:O73" ca="1" si="35">+M30+M45</f>
        <v>0</v>
      </c>
      <c r="N72" s="221">
        <f t="shared" ca="1" si="35"/>
        <v>0</v>
      </c>
      <c r="O72" s="219">
        <f t="shared" ca="1" si="35"/>
        <v>0</v>
      </c>
      <c r="P72" s="205"/>
      <c r="Q72" s="205"/>
      <c r="R72" s="205"/>
      <c r="S72" s="180"/>
      <c r="T72" s="138"/>
    </row>
    <row r="73" spans="1:240" ht="18.75" customHeight="1" x14ac:dyDescent="0.3">
      <c r="A73" s="106" t="s">
        <v>95</v>
      </c>
      <c r="B73" s="102">
        <f>B46+B30</f>
        <v>9790966.4749999996</v>
      </c>
      <c r="C73" s="102">
        <f>+C30+C46</f>
        <v>10232068.467999998</v>
      </c>
      <c r="D73" s="103">
        <f t="shared" si="23"/>
        <v>4.5</v>
      </c>
      <c r="E73" s="406">
        <f t="shared" si="24"/>
        <v>13.512271317322076</v>
      </c>
      <c r="F73" s="102"/>
      <c r="G73" s="175">
        <f>+G30+G46</f>
        <v>299376686.78200001</v>
      </c>
      <c r="H73" s="175">
        <f>+H30+H46</f>
        <v>345887156.954</v>
      </c>
      <c r="I73" s="103">
        <f t="shared" si="25"/>
        <v>15.5</v>
      </c>
      <c r="J73" s="406">
        <f t="shared" si="26"/>
        <v>20.98746539301094</v>
      </c>
      <c r="K73" s="138"/>
      <c r="L73" s="221">
        <f ca="1">L46+L31</f>
        <v>0</v>
      </c>
      <c r="M73" s="219">
        <f t="shared" ca="1" si="35"/>
        <v>0</v>
      </c>
      <c r="N73" s="221">
        <f t="shared" ca="1" si="35"/>
        <v>0</v>
      </c>
      <c r="O73" s="219">
        <f t="shared" ca="1" si="35"/>
        <v>0</v>
      </c>
      <c r="P73" s="205"/>
      <c r="Q73" s="205"/>
      <c r="R73" s="205"/>
      <c r="S73" s="180"/>
      <c r="T73" s="138"/>
    </row>
    <row r="74" spans="1:240" ht="18.75" customHeight="1" x14ac:dyDescent="0.3">
      <c r="A74" s="106" t="s">
        <v>96</v>
      </c>
      <c r="B74" s="102">
        <f>B31</f>
        <v>0</v>
      </c>
      <c r="C74" s="102">
        <f>+C31</f>
        <v>686</v>
      </c>
      <c r="D74" s="103" t="str">
        <f t="shared" si="23"/>
        <v xml:space="preserve">    ---- </v>
      </c>
      <c r="E74" s="406">
        <f t="shared" si="24"/>
        <v>9.0591830504969072E-4</v>
      </c>
      <c r="F74" s="102"/>
      <c r="G74" s="175">
        <f t="shared" ref="G74:H76" si="36">+G31</f>
        <v>0</v>
      </c>
      <c r="H74" s="175">
        <f t="shared" si="36"/>
        <v>0</v>
      </c>
      <c r="I74" s="103"/>
      <c r="J74" s="406">
        <f t="shared" si="26"/>
        <v>0</v>
      </c>
      <c r="K74" s="138"/>
      <c r="L74" s="221">
        <f ca="1">L32</f>
        <v>0</v>
      </c>
      <c r="M74" s="219">
        <f t="shared" ref="M74:O75" ca="1" si="37">+M32</f>
        <v>0</v>
      </c>
      <c r="N74" s="221">
        <f t="shared" ca="1" si="37"/>
        <v>0</v>
      </c>
      <c r="O74" s="219">
        <f t="shared" ca="1" si="37"/>
        <v>0</v>
      </c>
      <c r="P74" s="205"/>
      <c r="Q74" s="205"/>
      <c r="R74" s="205"/>
      <c r="S74" s="180"/>
      <c r="T74" s="138"/>
    </row>
    <row r="75" spans="1:240" ht="18.75" customHeight="1" x14ac:dyDescent="0.3">
      <c r="A75" s="106" t="s">
        <v>97</v>
      </c>
      <c r="B75" s="102">
        <f>B32</f>
        <v>558832.35693999997</v>
      </c>
      <c r="C75" s="102">
        <f>+C32</f>
        <v>545103.80000000005</v>
      </c>
      <c r="D75" s="103">
        <f t="shared" si="23"/>
        <v>-2.5</v>
      </c>
      <c r="E75" s="406">
        <f t="shared" si="24"/>
        <v>0.71985351395356512</v>
      </c>
      <c r="F75" s="102"/>
      <c r="G75" s="175">
        <f t="shared" si="36"/>
        <v>0</v>
      </c>
      <c r="H75" s="175">
        <f t="shared" si="36"/>
        <v>0</v>
      </c>
      <c r="I75" s="103"/>
      <c r="J75" s="406">
        <f t="shared" si="26"/>
        <v>0</v>
      </c>
      <c r="K75" s="138"/>
      <c r="L75" s="221">
        <f ca="1">L33</f>
        <v>0</v>
      </c>
      <c r="M75" s="219">
        <f t="shared" ca="1" si="37"/>
        <v>0</v>
      </c>
      <c r="N75" s="221">
        <f t="shared" ca="1" si="37"/>
        <v>0</v>
      </c>
      <c r="O75" s="219">
        <f t="shared" ca="1" si="37"/>
        <v>0</v>
      </c>
      <c r="P75" s="205"/>
      <c r="Q75" s="205"/>
      <c r="R75" s="205"/>
      <c r="S75" s="180"/>
      <c r="T75" s="138"/>
    </row>
    <row r="76" spans="1:240" ht="18.75" x14ac:dyDescent="0.3">
      <c r="A76" s="191" t="s">
        <v>418</v>
      </c>
      <c r="B76" s="102">
        <f t="shared" ref="B76:C76" si="38">B33</f>
        <v>1120</v>
      </c>
      <c r="C76" s="102">
        <f t="shared" si="38"/>
        <v>1684</v>
      </c>
      <c r="D76" s="103">
        <f t="shared" si="23"/>
        <v>50.4</v>
      </c>
      <c r="E76" s="406">
        <f t="shared" ref="E76" si="39">100/C$34*C76</f>
        <v>3.4747613315720739E-3</v>
      </c>
      <c r="F76" s="191"/>
      <c r="G76" s="175">
        <f t="shared" si="36"/>
        <v>0</v>
      </c>
      <c r="H76" s="175">
        <f t="shared" si="36"/>
        <v>0</v>
      </c>
      <c r="I76" s="191"/>
      <c r="J76" s="406">
        <f t="shared" ref="J76" si="40">100/H$34*H76</f>
        <v>0</v>
      </c>
      <c r="K76" s="205"/>
      <c r="L76" s="221">
        <f t="shared" ref="L76" ca="1" si="41">INDIRECT("'" &amp; $A75 &amp; "'!" &amp; $P$7)</f>
        <v>0</v>
      </c>
      <c r="M76" s="219">
        <f t="shared" ref="M76" ca="1" si="42">INDIRECT("'" &amp; $A75 &amp; "'!" &amp; $P$8)</f>
        <v>0</v>
      </c>
      <c r="N76" s="221">
        <f t="shared" ref="N76" ca="1" si="43">INDIRECT("'" &amp; $A75 &amp; "'!" &amp; $P$10)</f>
        <v>0</v>
      </c>
      <c r="O76" s="219">
        <f t="shared" ref="O76" ca="1" si="44">INDIRECT("'" &amp; $A75 &amp; "'!" &amp; $P$12)</f>
        <v>0</v>
      </c>
    </row>
    <row r="77" spans="1:240" s="110" customFormat="1" ht="18.75" customHeight="1" x14ac:dyDescent="0.3">
      <c r="A77" s="112" t="s">
        <v>2</v>
      </c>
      <c r="B77" s="113">
        <f>SUM(B51:B76)</f>
        <v>50719962.152580202</v>
      </c>
      <c r="C77" s="707">
        <f>SUM(C51:C76)</f>
        <v>75724267.428548321</v>
      </c>
      <c r="D77" s="114">
        <f>IF(B77=0, "    ---- ", IF(ABS(ROUND(100/B77*C77-100,1))&lt;999,ROUND(100/B77*C77-100,1),IF(ROUND(100/B77*C77-100,1)&gt;999,999,-999)))</f>
        <v>49.3</v>
      </c>
      <c r="E77" s="409">
        <f>SUM(E51:E76)</f>
        <v>100.00125090356815</v>
      </c>
      <c r="F77" s="108"/>
      <c r="G77" s="179">
        <f>SUM(G51:G76)</f>
        <v>1451607687.9447668</v>
      </c>
      <c r="H77" s="179">
        <f>SUM(H51:H76)</f>
        <v>1648065407.027112</v>
      </c>
      <c r="I77" s="114">
        <f>IF(G77=0, "    ---- ", IF(ABS(ROUND(100/G77*H77-100,1))&lt;999,ROUND(100/G77*H77-100,1),IF(ROUND(100/G77*H77-100,1)&gt;999,999,-999)))</f>
        <v>13.5</v>
      </c>
      <c r="J77" s="409">
        <f>SUM(J51:J76)</f>
        <v>100</v>
      </c>
      <c r="K77" s="178"/>
      <c r="L77" s="227" t="e">
        <f ca="1">SUM(L51:L75)</f>
        <v>#REF!</v>
      </c>
      <c r="M77" s="228" t="e">
        <f ca="1">SUM(M51:M75)</f>
        <v>#REF!</v>
      </c>
      <c r="N77" s="227" t="e">
        <f ca="1">SUM(N51:N75)</f>
        <v>#REF!</v>
      </c>
      <c r="O77" s="228" t="e">
        <f ca="1">SUM(O51:O75)</f>
        <v>#REF!</v>
      </c>
      <c r="P77" s="207"/>
      <c r="Q77" s="207"/>
      <c r="R77" s="207"/>
      <c r="S77" s="137"/>
      <c r="T77" s="178"/>
    </row>
    <row r="78" spans="1:240" ht="18.75" customHeight="1" x14ac:dyDescent="0.3">
      <c r="A78" s="111" t="s">
        <v>101</v>
      </c>
      <c r="B78" s="111"/>
      <c r="C78" s="111"/>
      <c r="D78" s="111"/>
      <c r="E78" s="111"/>
      <c r="F78" s="111"/>
      <c r="G78" s="111"/>
      <c r="H78" s="111"/>
      <c r="I78" s="111"/>
      <c r="J78" s="111"/>
      <c r="K78" s="111"/>
      <c r="L78" s="184"/>
      <c r="M78" s="184"/>
      <c r="N78" s="184"/>
      <c r="O78" s="184"/>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1"/>
      <c r="DD78" s="111"/>
      <c r="DE78" s="111"/>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c r="EQ78" s="111"/>
      <c r="ER78" s="111"/>
      <c r="ES78" s="111"/>
      <c r="ET78" s="111"/>
      <c r="EU78" s="111"/>
      <c r="EV78" s="111"/>
      <c r="EW78" s="111"/>
      <c r="EX78" s="111"/>
      <c r="EY78" s="111"/>
      <c r="EZ78" s="111"/>
      <c r="FA78" s="111"/>
      <c r="FB78" s="111"/>
      <c r="FC78" s="111"/>
      <c r="FD78" s="111"/>
      <c r="FE78" s="111"/>
      <c r="FF78" s="111"/>
      <c r="FG78" s="111"/>
      <c r="FH78" s="111"/>
      <c r="FI78" s="111"/>
      <c r="FJ78" s="111"/>
      <c r="FK78" s="111"/>
      <c r="FL78" s="111"/>
      <c r="FM78" s="111"/>
      <c r="FN78" s="111"/>
      <c r="FO78" s="111"/>
      <c r="FP78" s="111"/>
      <c r="FQ78" s="111"/>
      <c r="FR78" s="111"/>
      <c r="FS78" s="111"/>
      <c r="FT78" s="111"/>
      <c r="FU78" s="111"/>
      <c r="FV78" s="111"/>
      <c r="FW78" s="111"/>
      <c r="FX78" s="111"/>
      <c r="FY78" s="111"/>
      <c r="FZ78" s="111"/>
      <c r="GA78" s="111"/>
      <c r="GB78" s="111"/>
      <c r="GC78" s="111"/>
      <c r="GD78" s="111"/>
      <c r="GE78" s="111"/>
      <c r="GF78" s="111"/>
      <c r="GG78" s="111"/>
      <c r="GH78" s="111"/>
      <c r="GI78" s="111"/>
      <c r="GJ78" s="111"/>
      <c r="GK78" s="111"/>
      <c r="GL78" s="111"/>
      <c r="GM78" s="111"/>
      <c r="GN78" s="111"/>
      <c r="GO78" s="111"/>
      <c r="GP78" s="111"/>
      <c r="GQ78" s="111"/>
      <c r="GR78" s="111"/>
      <c r="GS78" s="111"/>
      <c r="GT78" s="111"/>
      <c r="GU78" s="111"/>
      <c r="GV78" s="111"/>
      <c r="GW78" s="111"/>
      <c r="GX78" s="111"/>
      <c r="GY78" s="111"/>
      <c r="GZ78" s="111"/>
      <c r="HA78" s="111"/>
      <c r="HB78" s="111"/>
      <c r="HC78" s="111"/>
      <c r="HD78" s="111"/>
      <c r="HE78" s="111"/>
      <c r="HF78" s="111"/>
      <c r="HG78" s="111"/>
      <c r="HH78" s="111"/>
      <c r="HI78" s="111"/>
      <c r="HJ78" s="111"/>
      <c r="HK78" s="111"/>
      <c r="HL78" s="111"/>
      <c r="HM78" s="111"/>
      <c r="HN78" s="111"/>
      <c r="HO78" s="111"/>
      <c r="HP78" s="111"/>
      <c r="HQ78" s="111"/>
      <c r="HR78" s="111"/>
      <c r="HS78" s="111"/>
      <c r="HT78" s="111"/>
      <c r="HU78" s="111"/>
      <c r="HV78" s="111"/>
      <c r="HW78" s="111"/>
      <c r="HX78" s="111"/>
      <c r="HY78" s="111"/>
      <c r="HZ78" s="111"/>
      <c r="IA78" s="111"/>
      <c r="IB78" s="111"/>
      <c r="IC78" s="111"/>
      <c r="ID78" s="111"/>
      <c r="IE78" s="111"/>
      <c r="IF78" s="111"/>
    </row>
    <row r="79" spans="1:240" ht="18.75" customHeight="1" x14ac:dyDescent="0.3">
      <c r="A79" s="73"/>
      <c r="B79" s="73"/>
      <c r="C79" s="73"/>
      <c r="D79" s="73"/>
      <c r="E79" s="73"/>
      <c r="F79" s="73"/>
      <c r="G79" s="73"/>
      <c r="H79" s="73"/>
      <c r="I79" s="73"/>
      <c r="J79" s="73"/>
      <c r="K79" s="73"/>
    </row>
    <row r="80" spans="1:240" ht="18.75" customHeight="1" x14ac:dyDescent="0.3">
      <c r="A80" s="73"/>
      <c r="B80" s="73"/>
      <c r="C80" s="73"/>
      <c r="D80" s="73"/>
      <c r="E80" s="73"/>
      <c r="F80" s="73"/>
      <c r="G80" s="73"/>
      <c r="H80" s="73"/>
      <c r="I80" s="73"/>
      <c r="J80" s="73"/>
      <c r="K80" s="73"/>
    </row>
    <row r="81" spans="1:11" ht="18.75" customHeight="1" x14ac:dyDescent="0.3">
      <c r="A81" s="73"/>
      <c r="B81" s="76"/>
      <c r="C81" s="76"/>
      <c r="D81" s="73"/>
      <c r="E81" s="73"/>
      <c r="F81" s="73"/>
      <c r="G81" s="76"/>
      <c r="H81" s="76"/>
      <c r="I81" s="73"/>
      <c r="J81" s="73"/>
      <c r="K81" s="73"/>
    </row>
    <row r="82" spans="1:11" ht="18.75" customHeight="1" x14ac:dyDescent="0.3">
      <c r="A82" s="73"/>
      <c r="B82" s="73"/>
      <c r="C82" s="73"/>
      <c r="D82" s="73"/>
      <c r="E82" s="73"/>
      <c r="F82" s="73"/>
      <c r="G82" s="73"/>
      <c r="H82" s="73"/>
      <c r="I82" s="73"/>
      <c r="J82" s="73"/>
      <c r="K82" s="73"/>
    </row>
    <row r="83" spans="1:11" ht="18.75" customHeight="1" x14ac:dyDescent="0.3">
      <c r="A83" s="73"/>
      <c r="B83" s="73"/>
      <c r="C83" s="73"/>
      <c r="D83" s="73"/>
      <c r="E83" s="73"/>
      <c r="F83" s="73"/>
      <c r="G83" s="73"/>
      <c r="H83" s="73"/>
      <c r="I83" s="73"/>
      <c r="J83" s="73"/>
      <c r="K83" s="73"/>
    </row>
    <row r="84" spans="1:11" ht="18.75" customHeight="1" x14ac:dyDescent="0.3">
      <c r="A84" s="73"/>
      <c r="B84" s="73"/>
      <c r="C84" s="73"/>
      <c r="D84" s="73"/>
      <c r="E84" s="73"/>
      <c r="F84" s="73"/>
      <c r="G84" s="73"/>
      <c r="H84" s="73"/>
      <c r="I84" s="73"/>
      <c r="J84" s="73"/>
      <c r="K84" s="73"/>
    </row>
    <row r="85" spans="1:11" ht="18.75" customHeight="1" x14ac:dyDescent="0.3">
      <c r="A85" s="73"/>
      <c r="B85" s="73"/>
      <c r="C85" s="73"/>
      <c r="D85" s="73"/>
      <c r="E85" s="73"/>
      <c r="F85" s="73"/>
      <c r="G85" s="73"/>
      <c r="H85" s="73"/>
      <c r="I85" s="73"/>
      <c r="J85" s="73"/>
      <c r="K85" s="73"/>
    </row>
    <row r="86" spans="1:11" ht="18.75" x14ac:dyDescent="0.3">
      <c r="A86" s="73"/>
      <c r="B86" s="73"/>
      <c r="C86" s="73"/>
      <c r="D86" s="73"/>
      <c r="E86" s="73"/>
      <c r="F86" s="73"/>
      <c r="G86" s="73"/>
      <c r="H86" s="73"/>
      <c r="I86" s="73"/>
      <c r="J86" s="73"/>
      <c r="K86" s="73"/>
    </row>
    <row r="87" spans="1:11" ht="18.75" x14ac:dyDescent="0.3">
      <c r="A87" s="73"/>
      <c r="B87" s="73"/>
      <c r="C87" s="73"/>
      <c r="D87" s="73"/>
      <c r="E87" s="73"/>
      <c r="F87" s="73"/>
      <c r="G87" s="73"/>
      <c r="H87" s="73"/>
      <c r="I87" s="73"/>
      <c r="J87" s="73"/>
      <c r="K87" s="73"/>
    </row>
    <row r="88" spans="1:11" ht="18.75" x14ac:dyDescent="0.3">
      <c r="A88" s="73"/>
      <c r="B88" s="73"/>
      <c r="C88" s="73"/>
      <c r="D88" s="73"/>
      <c r="E88" s="73"/>
      <c r="F88" s="73"/>
      <c r="G88" s="73"/>
      <c r="H88" s="73"/>
      <c r="I88" s="73"/>
      <c r="J88" s="73"/>
      <c r="K88" s="73"/>
    </row>
    <row r="89" spans="1:11" ht="18.75" x14ac:dyDescent="0.3">
      <c r="A89" s="73"/>
      <c r="B89" s="73"/>
      <c r="C89" s="73"/>
      <c r="D89" s="73"/>
      <c r="E89" s="73"/>
      <c r="F89" s="73"/>
      <c r="G89" s="73"/>
      <c r="H89" s="73"/>
      <c r="I89" s="73"/>
      <c r="J89" s="73"/>
      <c r="K89" s="73"/>
    </row>
    <row r="90" spans="1:11" ht="18.75" x14ac:dyDescent="0.3">
      <c r="A90" s="73"/>
      <c r="B90" s="73"/>
      <c r="C90" s="73"/>
      <c r="D90" s="73"/>
      <c r="E90" s="73"/>
      <c r="F90" s="73"/>
      <c r="G90" s="73"/>
      <c r="H90" s="73"/>
      <c r="I90" s="73"/>
      <c r="J90" s="73"/>
      <c r="K90" s="73"/>
    </row>
    <row r="91" spans="1:11" ht="18.75" x14ac:dyDescent="0.3">
      <c r="A91" s="73"/>
      <c r="B91" s="73"/>
      <c r="C91" s="73"/>
      <c r="D91" s="73"/>
      <c r="E91" s="73"/>
      <c r="F91" s="73"/>
      <c r="G91" s="73"/>
      <c r="H91" s="73"/>
      <c r="I91" s="73"/>
      <c r="J91" s="73"/>
      <c r="K91" s="73"/>
    </row>
    <row r="92" spans="1:11" ht="18.75" x14ac:dyDescent="0.3">
      <c r="A92" s="73"/>
      <c r="B92" s="73"/>
      <c r="C92" s="73"/>
      <c r="D92" s="73"/>
      <c r="E92" s="73"/>
      <c r="F92" s="73"/>
      <c r="G92" s="73"/>
      <c r="H92" s="73"/>
      <c r="I92" s="73"/>
      <c r="J92" s="73"/>
      <c r="K92" s="73"/>
    </row>
    <row r="93" spans="1:11" ht="18.75" x14ac:dyDescent="0.3">
      <c r="A93" s="73"/>
      <c r="B93" s="73"/>
      <c r="C93" s="73"/>
      <c r="D93" s="73"/>
      <c r="E93" s="73"/>
      <c r="F93" s="73"/>
      <c r="G93" s="73"/>
      <c r="H93" s="73"/>
      <c r="I93" s="73"/>
      <c r="J93" s="73"/>
      <c r="K93" s="73"/>
    </row>
    <row r="94" spans="1:11" ht="18.75" x14ac:dyDescent="0.3">
      <c r="A94" s="73"/>
      <c r="B94" s="73"/>
      <c r="C94" s="73"/>
      <c r="D94" s="73"/>
      <c r="E94" s="73"/>
      <c r="F94" s="73"/>
      <c r="G94" s="73"/>
      <c r="H94" s="73"/>
      <c r="I94" s="73"/>
      <c r="J94" s="73"/>
      <c r="K94" s="73"/>
    </row>
    <row r="95" spans="1:11" ht="18.75" x14ac:dyDescent="0.3">
      <c r="A95" s="73"/>
      <c r="B95" s="73"/>
      <c r="C95" s="73"/>
      <c r="D95" s="73"/>
      <c r="E95" s="73"/>
      <c r="F95" s="73"/>
      <c r="G95" s="73"/>
      <c r="H95" s="73"/>
      <c r="I95" s="73"/>
      <c r="J95" s="73"/>
      <c r="K95" s="73"/>
    </row>
    <row r="96" spans="1:11" ht="18.75" x14ac:dyDescent="0.3">
      <c r="A96" s="73"/>
      <c r="B96" s="73"/>
      <c r="C96" s="73"/>
      <c r="D96" s="73"/>
      <c r="E96" s="73"/>
      <c r="F96" s="73"/>
      <c r="G96" s="73"/>
      <c r="H96" s="73"/>
      <c r="I96" s="73"/>
      <c r="J96" s="73"/>
      <c r="K96" s="73"/>
    </row>
    <row r="97" spans="1:11" ht="18.75" x14ac:dyDescent="0.3">
      <c r="A97" s="73"/>
      <c r="B97" s="73"/>
      <c r="C97" s="73"/>
      <c r="D97" s="73"/>
      <c r="E97" s="73"/>
      <c r="F97" s="73"/>
      <c r="G97" s="73"/>
      <c r="H97" s="73"/>
      <c r="I97" s="73"/>
      <c r="J97" s="73"/>
      <c r="K97" s="73"/>
    </row>
    <row r="98" spans="1:11" ht="18.75" x14ac:dyDescent="0.3">
      <c r="A98" s="73"/>
      <c r="B98" s="73"/>
      <c r="C98" s="73"/>
      <c r="D98" s="73"/>
      <c r="E98" s="73"/>
      <c r="F98" s="73"/>
      <c r="G98" s="73"/>
      <c r="H98" s="73"/>
      <c r="I98" s="73"/>
      <c r="J98" s="73"/>
      <c r="K98" s="73"/>
    </row>
    <row r="99" spans="1:11" ht="18.75" x14ac:dyDescent="0.3">
      <c r="A99" s="73"/>
      <c r="B99" s="73"/>
      <c r="C99" s="73"/>
      <c r="D99" s="73"/>
      <c r="E99" s="73"/>
      <c r="F99" s="73"/>
      <c r="G99" s="73"/>
      <c r="H99" s="73"/>
      <c r="I99" s="73"/>
      <c r="J99" s="73"/>
      <c r="K99" s="73"/>
    </row>
    <row r="100" spans="1:11" ht="18.75" x14ac:dyDescent="0.3">
      <c r="A100" s="73"/>
      <c r="B100" s="73"/>
      <c r="C100" s="73"/>
      <c r="D100" s="73"/>
      <c r="E100" s="73"/>
      <c r="F100" s="73"/>
      <c r="G100" s="73"/>
      <c r="H100" s="73"/>
      <c r="I100" s="73"/>
      <c r="J100" s="73"/>
      <c r="K100" s="73"/>
    </row>
    <row r="101" spans="1:11" ht="18.75" x14ac:dyDescent="0.3">
      <c r="A101" s="73"/>
      <c r="B101" s="73"/>
      <c r="C101" s="73"/>
      <c r="D101" s="73"/>
      <c r="E101" s="73"/>
      <c r="F101" s="73"/>
      <c r="G101" s="73"/>
      <c r="H101" s="73"/>
      <c r="I101" s="73"/>
      <c r="J101" s="73"/>
      <c r="K101" s="73"/>
    </row>
    <row r="102" spans="1:11" ht="18.75" x14ac:dyDescent="0.3">
      <c r="A102" s="73"/>
      <c r="B102" s="73"/>
      <c r="C102" s="73"/>
      <c r="D102" s="73"/>
      <c r="E102" s="73"/>
      <c r="F102" s="73"/>
      <c r="G102" s="73"/>
      <c r="H102" s="73"/>
      <c r="I102" s="73"/>
      <c r="J102" s="73"/>
      <c r="K102" s="73"/>
    </row>
    <row r="103" spans="1:11" ht="18.75" x14ac:dyDescent="0.3">
      <c r="A103" s="111"/>
      <c r="B103" s="111"/>
      <c r="C103" s="111"/>
      <c r="D103" s="111"/>
      <c r="E103" s="111"/>
      <c r="F103" s="111"/>
      <c r="G103" s="111"/>
      <c r="H103" s="111"/>
      <c r="I103" s="111"/>
      <c r="J103" s="111"/>
      <c r="K103" s="111"/>
    </row>
    <row r="104" spans="1:11" ht="18.75" x14ac:dyDescent="0.3">
      <c r="A104" s="115"/>
      <c r="B104" s="116"/>
      <c r="C104" s="116"/>
      <c r="D104" s="116"/>
      <c r="E104" s="73"/>
      <c r="F104" s="73"/>
      <c r="G104" s="73"/>
      <c r="H104" s="73"/>
      <c r="I104" s="73"/>
      <c r="J104" s="74"/>
      <c r="K104" s="74"/>
    </row>
    <row r="105" spans="1:11" ht="18.75" x14ac:dyDescent="0.3">
      <c r="A105" s="73"/>
      <c r="B105" s="73"/>
      <c r="C105" s="73"/>
      <c r="D105" s="73"/>
      <c r="E105" s="73"/>
      <c r="F105" s="73"/>
      <c r="G105" s="73"/>
      <c r="H105" s="73"/>
      <c r="I105" s="73"/>
      <c r="J105" s="73"/>
      <c r="K105" s="73"/>
    </row>
    <row r="106" spans="1:11" ht="18.75" x14ac:dyDescent="0.3">
      <c r="A106" s="73"/>
      <c r="B106" s="73"/>
      <c r="C106" s="73"/>
      <c r="D106" s="73"/>
      <c r="E106" s="73"/>
      <c r="F106" s="73"/>
      <c r="G106" s="73"/>
      <c r="H106" s="73"/>
      <c r="I106" s="73"/>
      <c r="J106" s="73"/>
      <c r="K106" s="73"/>
    </row>
    <row r="107" spans="1:11" ht="18.75" x14ac:dyDescent="0.3">
      <c r="A107" s="73"/>
      <c r="B107" s="73"/>
      <c r="C107" s="73"/>
      <c r="D107" s="73"/>
      <c r="E107" s="73"/>
      <c r="F107" s="73"/>
      <c r="G107" s="73"/>
      <c r="H107" s="73"/>
      <c r="I107" s="73"/>
      <c r="J107" s="73"/>
      <c r="K107" s="73"/>
    </row>
    <row r="108" spans="1:11" ht="18.75" x14ac:dyDescent="0.3">
      <c r="A108" s="73"/>
      <c r="B108" s="73"/>
      <c r="C108" s="73"/>
      <c r="D108" s="73"/>
      <c r="E108" s="73"/>
      <c r="F108" s="73"/>
      <c r="G108" s="73"/>
      <c r="H108" s="73"/>
      <c r="I108" s="73"/>
      <c r="J108" s="73"/>
      <c r="K108" s="73"/>
    </row>
    <row r="109" spans="1:11" ht="18.75" x14ac:dyDescent="0.3">
      <c r="A109" s="73"/>
      <c r="B109" s="73"/>
      <c r="C109" s="73"/>
      <c r="D109" s="73"/>
      <c r="E109" s="73"/>
      <c r="F109" s="73"/>
      <c r="G109" s="73"/>
      <c r="H109" s="73"/>
      <c r="I109" s="73"/>
      <c r="J109" s="73"/>
      <c r="K109" s="73"/>
    </row>
    <row r="110" spans="1:11" ht="18.75" x14ac:dyDescent="0.3">
      <c r="A110" s="73"/>
      <c r="B110" s="73"/>
      <c r="C110" s="73"/>
      <c r="D110" s="73"/>
      <c r="E110" s="73"/>
      <c r="F110" s="73"/>
      <c r="G110" s="73"/>
      <c r="H110" s="73"/>
      <c r="I110" s="73"/>
      <c r="J110" s="73"/>
      <c r="K110" s="73"/>
    </row>
    <row r="111" spans="1:11" ht="18.75" x14ac:dyDescent="0.3">
      <c r="A111" s="73"/>
      <c r="B111" s="73"/>
      <c r="C111" s="73"/>
      <c r="D111" s="73"/>
      <c r="E111" s="73"/>
      <c r="F111" s="73"/>
      <c r="G111" s="73"/>
      <c r="H111" s="73"/>
      <c r="I111" s="73"/>
      <c r="J111" s="73"/>
      <c r="K111" s="73"/>
    </row>
    <row r="112" spans="1:11" ht="18.75" x14ac:dyDescent="0.3">
      <c r="A112" s="73"/>
      <c r="B112" s="73"/>
      <c r="C112" s="73"/>
      <c r="D112" s="73"/>
      <c r="E112" s="73"/>
      <c r="F112" s="73"/>
      <c r="G112" s="73"/>
      <c r="H112" s="73"/>
      <c r="I112" s="73"/>
      <c r="J112" s="73"/>
      <c r="K112" s="73"/>
    </row>
    <row r="113" spans="1:11" ht="18.75" x14ac:dyDescent="0.3">
      <c r="A113" s="73"/>
      <c r="B113" s="73"/>
      <c r="C113" s="73"/>
      <c r="D113" s="73"/>
      <c r="E113" s="73"/>
      <c r="F113" s="73"/>
      <c r="G113" s="73"/>
      <c r="H113" s="73"/>
      <c r="I113" s="73"/>
      <c r="J113" s="73"/>
      <c r="K113" s="73"/>
    </row>
    <row r="114" spans="1:11" ht="18.75" x14ac:dyDescent="0.3">
      <c r="A114" s="73"/>
      <c r="B114" s="73"/>
      <c r="C114" s="73"/>
      <c r="D114" s="73"/>
      <c r="E114" s="73"/>
      <c r="F114" s="73"/>
      <c r="G114" s="73"/>
      <c r="H114" s="73"/>
      <c r="I114" s="73"/>
      <c r="J114" s="73"/>
      <c r="K114" s="73"/>
    </row>
    <row r="115" spans="1:11" ht="18.75" x14ac:dyDescent="0.3">
      <c r="A115" s="73"/>
      <c r="B115" s="73"/>
      <c r="C115" s="73"/>
      <c r="D115" s="73"/>
      <c r="E115" s="73"/>
      <c r="F115" s="73"/>
      <c r="G115" s="73"/>
      <c r="H115" s="73"/>
      <c r="I115" s="73"/>
      <c r="J115" s="73"/>
      <c r="K115" s="73"/>
    </row>
    <row r="116" spans="1:11" ht="18.75" x14ac:dyDescent="0.3">
      <c r="A116" s="73"/>
      <c r="B116" s="73"/>
      <c r="C116" s="73"/>
      <c r="D116" s="73"/>
      <c r="E116" s="73"/>
      <c r="F116" s="73"/>
      <c r="G116" s="73"/>
      <c r="H116" s="73"/>
      <c r="I116" s="73"/>
      <c r="J116" s="73"/>
      <c r="K116" s="73"/>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N30" sqref="N30"/>
    </sheetView>
  </sheetViews>
  <sheetFormatPr baseColWidth="10" defaultColWidth="11.42578125" defaultRowHeight="18" x14ac:dyDescent="0.25"/>
  <cols>
    <col min="1" max="1" width="51" style="80" customWidth="1"/>
    <col min="2" max="3" width="17.85546875" style="80" bestFit="1" customWidth="1"/>
    <col min="4" max="4" width="9.28515625" style="80" bestFit="1" customWidth="1"/>
    <col min="5" max="5" width="4.7109375" style="80" customWidth="1"/>
    <col min="6" max="7" width="16.7109375" style="80" customWidth="1"/>
    <col min="8" max="8" width="9.28515625" style="80" bestFit="1" customWidth="1"/>
    <col min="9" max="9" width="4.7109375" style="80" customWidth="1"/>
    <col min="10" max="10" width="18.7109375" style="80" customWidth="1"/>
    <col min="11" max="11" width="18" style="80" bestFit="1" customWidth="1"/>
    <col min="12" max="12" width="9.28515625" style="80" bestFit="1" customWidth="1"/>
    <col min="13" max="13" width="11.42578125" style="80"/>
    <col min="14" max="15" width="17.28515625" style="80" bestFit="1" customWidth="1"/>
    <col min="16" max="16384" width="11.42578125" style="80"/>
  </cols>
  <sheetData>
    <row r="1" spans="1:15" ht="20.25" x14ac:dyDescent="0.3">
      <c r="A1" s="79" t="s">
        <v>76</v>
      </c>
      <c r="B1" s="72" t="s">
        <v>52</v>
      </c>
      <c r="C1" s="73"/>
      <c r="D1" s="73"/>
      <c r="E1" s="73"/>
      <c r="F1" s="73"/>
      <c r="G1" s="73"/>
      <c r="H1" s="73"/>
      <c r="I1" s="73"/>
      <c r="J1" s="73"/>
      <c r="K1" s="73"/>
      <c r="L1" s="73"/>
      <c r="M1" s="73"/>
    </row>
    <row r="2" spans="1:15" ht="20.25" x14ac:dyDescent="0.3">
      <c r="A2" s="79" t="s">
        <v>102</v>
      </c>
      <c r="B2" s="72"/>
      <c r="C2" s="73"/>
      <c r="D2" s="73"/>
      <c r="E2" s="73"/>
      <c r="F2" s="73"/>
      <c r="G2" s="73"/>
      <c r="H2" s="73"/>
      <c r="I2" s="73"/>
      <c r="J2" s="73"/>
      <c r="K2" s="73"/>
      <c r="L2" s="73"/>
      <c r="M2" s="73"/>
    </row>
    <row r="3" spans="1:15" ht="18.75" x14ac:dyDescent="0.3">
      <c r="A3" s="74" t="s">
        <v>103</v>
      </c>
      <c r="B3" s="73"/>
      <c r="C3" s="73"/>
      <c r="D3" s="73"/>
      <c r="E3" s="73"/>
      <c r="F3" s="73"/>
      <c r="G3" s="73"/>
      <c r="H3" s="73"/>
      <c r="I3" s="73"/>
      <c r="J3" s="73"/>
      <c r="K3" s="73"/>
      <c r="L3" s="73"/>
      <c r="M3" s="73"/>
    </row>
    <row r="4" spans="1:15" ht="18.75" x14ac:dyDescent="0.3">
      <c r="A4" s="81" t="s">
        <v>416</v>
      </c>
      <c r="B4" s="101"/>
      <c r="C4" s="117"/>
      <c r="D4" s="118"/>
      <c r="E4" s="111"/>
      <c r="F4" s="82"/>
      <c r="G4" s="83"/>
      <c r="H4" s="84"/>
      <c r="I4" s="111"/>
      <c r="J4" s="82"/>
      <c r="K4" s="83"/>
      <c r="L4" s="84"/>
      <c r="M4" s="73"/>
    </row>
    <row r="5" spans="1:15" ht="18.75" x14ac:dyDescent="0.3">
      <c r="A5" s="119"/>
      <c r="B5" s="759" t="s">
        <v>0</v>
      </c>
      <c r="C5" s="760"/>
      <c r="D5" s="761"/>
      <c r="E5" s="88"/>
      <c r="F5" s="759" t="s">
        <v>1</v>
      </c>
      <c r="G5" s="760"/>
      <c r="H5" s="761"/>
      <c r="I5" s="120"/>
      <c r="J5" s="759" t="s">
        <v>104</v>
      </c>
      <c r="K5" s="760"/>
      <c r="L5" s="761"/>
      <c r="M5" s="73"/>
    </row>
    <row r="6" spans="1:15" ht="18.75" x14ac:dyDescent="0.3">
      <c r="A6" s="121"/>
      <c r="B6" s="122"/>
      <c r="C6" s="123"/>
      <c r="D6" s="93" t="s">
        <v>105</v>
      </c>
      <c r="E6" s="99"/>
      <c r="F6" s="122"/>
      <c r="G6" s="123"/>
      <c r="H6" s="93" t="s">
        <v>105</v>
      </c>
      <c r="I6" s="124"/>
      <c r="J6" s="122"/>
      <c r="K6" s="123"/>
      <c r="L6" s="93" t="s">
        <v>105</v>
      </c>
      <c r="M6" s="73"/>
    </row>
    <row r="7" spans="1:15" ht="18.75" x14ac:dyDescent="0.3">
      <c r="A7" s="125" t="s">
        <v>106</v>
      </c>
      <c r="B7" s="126">
        <v>2020</v>
      </c>
      <c r="C7" s="183">
        <v>2021</v>
      </c>
      <c r="D7" s="98" t="s">
        <v>82</v>
      </c>
      <c r="E7" s="99"/>
      <c r="F7" s="96">
        <v>2020</v>
      </c>
      <c r="G7" s="126">
        <v>2021</v>
      </c>
      <c r="H7" s="98" t="s">
        <v>82</v>
      </c>
      <c r="I7" s="127"/>
      <c r="J7" s="182">
        <v>2020</v>
      </c>
      <c r="K7" s="183">
        <v>2021</v>
      </c>
      <c r="L7" s="98" t="s">
        <v>82</v>
      </c>
      <c r="M7" s="73"/>
    </row>
    <row r="8" spans="1:15" ht="22.5" x14ac:dyDescent="0.3">
      <c r="A8" s="190" t="s">
        <v>107</v>
      </c>
      <c r="B8" s="230"/>
      <c r="C8" s="199"/>
      <c r="D8" s="199"/>
      <c r="E8" s="180"/>
      <c r="F8" s="199"/>
      <c r="G8" s="199"/>
      <c r="H8" s="199"/>
      <c r="I8" s="200"/>
      <c r="J8" s="199"/>
      <c r="K8" s="199"/>
      <c r="L8" s="199"/>
      <c r="M8" s="73"/>
    </row>
    <row r="9" spans="1:15" ht="18.75" x14ac:dyDescent="0.3">
      <c r="A9" s="191" t="s">
        <v>108</v>
      </c>
      <c r="B9" s="103">
        <f>'Skjema total MA'!B7</f>
        <v>2687293.8206622265</v>
      </c>
      <c r="C9" s="103">
        <f>'Skjema total MA'!C7</f>
        <v>2766505.5161421131</v>
      </c>
      <c r="D9" s="231">
        <f>IF(B9=0, "    ---- ", IF(ABS(ROUND(100/B9*C9-100,1))&lt;999,ROUND(100/B9*C9-100,1),IF(ROUND(100/B9*C9-100,1)&gt;999,999,-999)))</f>
        <v>2.9</v>
      </c>
      <c r="E9" s="180"/>
      <c r="F9" s="194">
        <f>'Skjema total MA'!E7</f>
        <v>4722775.0113899997</v>
      </c>
      <c r="G9" s="194">
        <f>'Skjema total MA'!F7</f>
        <v>7746378.6778199989</v>
      </c>
      <c r="H9" s="231">
        <f>IF(F9=0, "    ---- ", IF(ABS(ROUND(100/F9*G9-100,1))&lt;999,ROUND(100/F9*G9-100,1),IF(ROUND(100/F9*G9-100,1)&gt;999,999,-999)))</f>
        <v>64</v>
      </c>
      <c r="I9" s="180"/>
      <c r="J9" s="194">
        <f t="shared" ref="J9:K60" si="0">SUM(B9+F9)</f>
        <v>7410068.8320522262</v>
      </c>
      <c r="K9" s="194">
        <f t="shared" si="0"/>
        <v>10512884.193962112</v>
      </c>
      <c r="L9" s="229">
        <f>IF(J9=0, "    ---- ", IF(ABS(ROUND(100/J9*K9-100,1))&lt;999,ROUND(100/J9*K9-100,1),IF(ROUND(100/J9*K9-100,1)&gt;999,999,-999)))</f>
        <v>41.9</v>
      </c>
      <c r="M9" s="73"/>
    </row>
    <row r="10" spans="1:15" ht="18.75" x14ac:dyDescent="0.3">
      <c r="A10" s="191" t="s">
        <v>109</v>
      </c>
      <c r="B10" s="103">
        <f>'Skjema total MA'!B22</f>
        <v>987633.37332152703</v>
      </c>
      <c r="C10" s="103">
        <f>'Skjema total MA'!C22</f>
        <v>1120765.8294620232</v>
      </c>
      <c r="D10" s="231">
        <f t="shared" ref="D10:D17" si="1">IF(B10=0, "    ---- ", IF(ABS(ROUND(100/B10*C10-100,1))&lt;999,ROUND(100/B10*C10-100,1),IF(ROUND(100/B10*C10-100,1)&gt;999,999,-999)))</f>
        <v>13.5</v>
      </c>
      <c r="E10" s="180"/>
      <c r="F10" s="194">
        <f>'Skjema total MA'!E22</f>
        <v>642171.47821999993</v>
      </c>
      <c r="G10" s="194">
        <f>'Skjema total MA'!F22</f>
        <v>801478.53217000002</v>
      </c>
      <c r="H10" s="231">
        <f t="shared" ref="H10:H57" si="2">IF(F10=0, "    ---- ", IF(ABS(ROUND(100/F10*G10-100,1))&lt;999,ROUND(100/F10*G10-100,1),IF(ROUND(100/F10*G10-100,1)&gt;999,999,-999)))</f>
        <v>24.8</v>
      </c>
      <c r="I10" s="180"/>
      <c r="J10" s="194">
        <f t="shared" si="0"/>
        <v>1629804.8515415271</v>
      </c>
      <c r="K10" s="194">
        <f t="shared" si="0"/>
        <v>1922244.3616320232</v>
      </c>
      <c r="L10" s="229">
        <f t="shared" ref="L10:L60" si="3">IF(J10=0, "    ---- ", IF(ABS(ROUND(100/J10*K10-100,1))&lt;999,ROUND(100/J10*K10-100,1),IF(ROUND(100/J10*K10-100,1)&gt;999,999,-999)))</f>
        <v>17.899999999999999</v>
      </c>
      <c r="M10" s="73"/>
    </row>
    <row r="11" spans="1:15" ht="18.75" x14ac:dyDescent="0.3">
      <c r="A11" s="191" t="s">
        <v>110</v>
      </c>
      <c r="B11" s="103">
        <f>'Skjema total MA'!B47</f>
        <v>3652256.7442264454</v>
      </c>
      <c r="C11" s="103">
        <f>'Skjema total MA'!C47</f>
        <v>3965357.7194741955</v>
      </c>
      <c r="D11" s="231">
        <f t="shared" si="1"/>
        <v>8.6</v>
      </c>
      <c r="E11" s="180"/>
      <c r="F11" s="194"/>
      <c r="G11" s="194"/>
      <c r="H11" s="231"/>
      <c r="I11" s="180"/>
      <c r="J11" s="194">
        <f t="shared" si="0"/>
        <v>3652256.7442264454</v>
      </c>
      <c r="K11" s="194">
        <f t="shared" si="0"/>
        <v>3965357.7194741955</v>
      </c>
      <c r="L11" s="229">
        <f t="shared" si="3"/>
        <v>8.6</v>
      </c>
      <c r="M11" s="73"/>
    </row>
    <row r="12" spans="1:15" ht="18.75" x14ac:dyDescent="0.3">
      <c r="A12" s="191" t="s">
        <v>111</v>
      </c>
      <c r="B12" s="103">
        <f>'Skjema total MA'!B66</f>
        <v>4701885.101259999</v>
      </c>
      <c r="C12" s="103">
        <f>'Skjema total MA'!C66</f>
        <v>4679283.7213499993</v>
      </c>
      <c r="D12" s="231">
        <f t="shared" si="1"/>
        <v>-0.5</v>
      </c>
      <c r="E12" s="180"/>
      <c r="F12" s="194">
        <f>'Skjema total MA'!E66</f>
        <v>17335926.498360001</v>
      </c>
      <c r="G12" s="194">
        <f>'Skjema total MA'!F66</f>
        <v>18616390.894129999</v>
      </c>
      <c r="H12" s="231">
        <f t="shared" si="2"/>
        <v>7.4</v>
      </c>
      <c r="I12" s="180"/>
      <c r="J12" s="194">
        <f t="shared" si="0"/>
        <v>22037811.59962</v>
      </c>
      <c r="K12" s="194">
        <f t="shared" si="0"/>
        <v>23295674.615479998</v>
      </c>
      <c r="L12" s="229">
        <f t="shared" si="3"/>
        <v>5.7</v>
      </c>
      <c r="M12" s="73"/>
    </row>
    <row r="13" spans="1:15" ht="18.75" x14ac:dyDescent="0.3">
      <c r="A13" s="191" t="s">
        <v>112</v>
      </c>
      <c r="B13" s="103">
        <f>'Skjema total MA'!B68</f>
        <v>105589.40124000001</v>
      </c>
      <c r="C13" s="103">
        <f>'Skjema total MA'!C68</f>
        <v>24512.352129999999</v>
      </c>
      <c r="D13" s="231">
        <f t="shared" si="1"/>
        <v>-76.8</v>
      </c>
      <c r="E13" s="180"/>
      <c r="F13" s="194">
        <f>'Skjema total MA'!E68</f>
        <v>16653441.134599999</v>
      </c>
      <c r="G13" s="194">
        <f>'Skjema total MA'!F68</f>
        <v>17877320.361480001</v>
      </c>
      <c r="H13" s="231">
        <f t="shared" si="2"/>
        <v>7.3</v>
      </c>
      <c r="I13" s="180"/>
      <c r="J13" s="194">
        <f t="shared" si="0"/>
        <v>16759030.535839999</v>
      </c>
      <c r="K13" s="194">
        <f t="shared" si="0"/>
        <v>17901832.713610001</v>
      </c>
      <c r="L13" s="229">
        <f t="shared" si="3"/>
        <v>6.8</v>
      </c>
      <c r="M13" s="73"/>
      <c r="O13" s="725"/>
    </row>
    <row r="14" spans="1:15" s="132" customFormat="1" ht="18.75" x14ac:dyDescent="0.3">
      <c r="A14" s="192" t="s">
        <v>113</v>
      </c>
      <c r="B14" s="130">
        <f>'Skjema total MA'!B75</f>
        <v>228334.05906</v>
      </c>
      <c r="C14" s="130">
        <f>'Skjema total MA'!C75</f>
        <v>275353.79006000003</v>
      </c>
      <c r="D14" s="231">
        <f t="shared" si="1"/>
        <v>20.6</v>
      </c>
      <c r="E14" s="181"/>
      <c r="F14" s="195">
        <f>'Skjema total MA'!E75</f>
        <v>682485.36375999998</v>
      </c>
      <c r="G14" s="195">
        <f>'Skjema total MA'!F75</f>
        <v>739070.53264999995</v>
      </c>
      <c r="H14" s="231">
        <f t="shared" si="2"/>
        <v>8.3000000000000007</v>
      </c>
      <c r="I14" s="181"/>
      <c r="J14" s="194">
        <f t="shared" si="0"/>
        <v>910819.42281999998</v>
      </c>
      <c r="K14" s="194">
        <f t="shared" si="0"/>
        <v>1014424.32271</v>
      </c>
      <c r="L14" s="229">
        <f t="shared" si="3"/>
        <v>11.4</v>
      </c>
      <c r="M14" s="131"/>
    </row>
    <row r="15" spans="1:15" ht="22.5" x14ac:dyDescent="0.3">
      <c r="A15" s="191" t="s">
        <v>352</v>
      </c>
      <c r="B15" s="103">
        <f>'Skjema total MA'!B135</f>
        <v>15955095.80614</v>
      </c>
      <c r="C15" s="103">
        <f>'Skjema total MA'!C135</f>
        <v>35930264.175000004</v>
      </c>
      <c r="D15" s="231">
        <f t="shared" si="1"/>
        <v>125.2</v>
      </c>
      <c r="E15" s="180"/>
      <c r="F15" s="194">
        <f>'Skjema total MA'!E135</f>
        <v>32970.711000000003</v>
      </c>
      <c r="G15" s="194">
        <f>'Skjema total MA'!F135</f>
        <v>96259.103000000003</v>
      </c>
      <c r="H15" s="231">
        <f t="shared" si="2"/>
        <v>192</v>
      </c>
      <c r="I15" s="180"/>
      <c r="J15" s="194">
        <f t="shared" si="0"/>
        <v>15988066.517139999</v>
      </c>
      <c r="K15" s="194">
        <f t="shared" si="0"/>
        <v>36026523.278000005</v>
      </c>
      <c r="L15" s="229">
        <f t="shared" si="3"/>
        <v>125.3</v>
      </c>
      <c r="M15" s="73"/>
    </row>
    <row r="16" spans="1:15" ht="18.75" x14ac:dyDescent="0.3">
      <c r="A16" s="191" t="s">
        <v>114</v>
      </c>
      <c r="B16" s="103">
        <f>'Skjema total MA'!B36</f>
        <v>1953.6079999999999</v>
      </c>
      <c r="C16" s="103">
        <f>'Skjema total MA'!C36</f>
        <v>1583.26</v>
      </c>
      <c r="D16" s="231">
        <f t="shared" si="1"/>
        <v>-19</v>
      </c>
      <c r="E16" s="180"/>
      <c r="F16" s="194">
        <f>'Skjema total MA'!E36</f>
        <v>0</v>
      </c>
      <c r="G16" s="194">
        <f>'Skjema total MA'!F36</f>
        <v>0</v>
      </c>
      <c r="H16" s="231"/>
      <c r="I16" s="180"/>
      <c r="J16" s="194">
        <f t="shared" si="0"/>
        <v>1953.6079999999999</v>
      </c>
      <c r="K16" s="194">
        <f t="shared" si="0"/>
        <v>1583.26</v>
      </c>
      <c r="L16" s="229">
        <f t="shared" si="3"/>
        <v>-19</v>
      </c>
      <c r="M16" s="73"/>
    </row>
    <row r="17" spans="1:23" s="134" customFormat="1" ht="18.75" customHeight="1" x14ac:dyDescent="0.3">
      <c r="A17" s="136" t="s">
        <v>115</v>
      </c>
      <c r="B17" s="109">
        <f>'Tabel 1.1'!B34</f>
        <v>27986118.453610204</v>
      </c>
      <c r="C17" s="196">
        <f>'Tabel 1.1'!C34</f>
        <v>48463760.221428327</v>
      </c>
      <c r="D17" s="231">
        <f t="shared" si="1"/>
        <v>73.2</v>
      </c>
      <c r="E17" s="137"/>
      <c r="F17" s="196">
        <f>'Tabel 1.1'!B47</f>
        <v>22733843.698969997</v>
      </c>
      <c r="G17" s="196">
        <f>'Tabel 1.1'!C47</f>
        <v>27260507.207120001</v>
      </c>
      <c r="H17" s="231">
        <f t="shared" si="2"/>
        <v>19.899999999999999</v>
      </c>
      <c r="I17" s="137"/>
      <c r="J17" s="196">
        <f t="shared" si="0"/>
        <v>50719962.152580202</v>
      </c>
      <c r="K17" s="270">
        <f t="shared" si="0"/>
        <v>75724267.428548336</v>
      </c>
      <c r="L17" s="706">
        <f t="shared" si="3"/>
        <v>49.3</v>
      </c>
      <c r="M17" s="74"/>
      <c r="N17" s="133"/>
      <c r="O17" s="133"/>
      <c r="Q17" s="135"/>
      <c r="R17" s="135"/>
      <c r="S17" s="135"/>
      <c r="T17" s="135"/>
      <c r="U17" s="135"/>
      <c r="V17" s="135"/>
      <c r="W17" s="135"/>
    </row>
    <row r="18" spans="1:23" ht="18.75" customHeight="1" x14ac:dyDescent="0.3">
      <c r="A18" s="136"/>
      <c r="B18" s="103"/>
      <c r="C18" s="194"/>
      <c r="D18" s="194"/>
      <c r="E18" s="180"/>
      <c r="F18" s="194"/>
      <c r="G18" s="194"/>
      <c r="H18" s="231"/>
      <c r="I18" s="180"/>
      <c r="J18" s="194"/>
      <c r="K18" s="194"/>
      <c r="L18" s="229"/>
      <c r="M18" s="73"/>
      <c r="O18" s="725"/>
    </row>
    <row r="19" spans="1:23" ht="18.75" customHeight="1" x14ac:dyDescent="0.3">
      <c r="A19" s="190" t="s">
        <v>353</v>
      </c>
      <c r="B19" s="198"/>
      <c r="C19" s="201"/>
      <c r="D19" s="194"/>
      <c r="E19" s="180"/>
      <c r="F19" s="201"/>
      <c r="G19" s="201"/>
      <c r="H19" s="231"/>
      <c r="I19" s="180"/>
      <c r="J19" s="194"/>
      <c r="K19" s="194"/>
      <c r="L19" s="229"/>
      <c r="M19" s="73"/>
    </row>
    <row r="20" spans="1:23" ht="18.75" customHeight="1" x14ac:dyDescent="0.3">
      <c r="A20" s="191" t="s">
        <v>108</v>
      </c>
      <c r="B20" s="103">
        <f>'Skjema total MA'!B10</f>
        <v>18361814.190795854</v>
      </c>
      <c r="C20" s="103">
        <f>'Skjema total MA'!C10</f>
        <v>17427543.315812003</v>
      </c>
      <c r="D20" s="231">
        <f>IF(B20=0, "    ---- ", IF(ABS(ROUND(100/B20*C20-100,1))&lt;999,ROUND(100/B20*C20-100,1),IF(ROUND(100/B20*C20-100,1)&gt;999,999,-999)))</f>
        <v>-5.0999999999999996</v>
      </c>
      <c r="E20" s="180"/>
      <c r="F20" s="194">
        <f>'Skjema total MA'!E10</f>
        <v>51880506.836899996</v>
      </c>
      <c r="G20" s="194">
        <f>'Skjema total MA'!F10</f>
        <v>70223464.743249997</v>
      </c>
      <c r="H20" s="231">
        <f t="shared" si="2"/>
        <v>35.4</v>
      </c>
      <c r="I20" s="180"/>
      <c r="J20" s="194">
        <f t="shared" si="0"/>
        <v>70242321.02769585</v>
      </c>
      <c r="K20" s="194">
        <f t="shared" si="0"/>
        <v>87651008.059062004</v>
      </c>
      <c r="L20" s="229">
        <f t="shared" si="3"/>
        <v>24.8</v>
      </c>
      <c r="M20" s="73"/>
    </row>
    <row r="21" spans="1:23" ht="18.75" customHeight="1" x14ac:dyDescent="0.3">
      <c r="A21" s="191" t="s">
        <v>109</v>
      </c>
      <c r="B21" s="103">
        <f>'Skjema total MA'!B29</f>
        <v>46423797.902234346</v>
      </c>
      <c r="C21" s="103">
        <f>'Skjema total MA'!C29</f>
        <v>45548764.014844544</v>
      </c>
      <c r="D21" s="231">
        <f t="shared" ref="D21:D27" si="4">IF(B21=0, "    ---- ", IF(ABS(ROUND(100/B21*C21-100,1))&lt;999,ROUND(100/B21*C21-100,1),IF(ROUND(100/B21*C21-100,1)&gt;999,999,-999)))</f>
        <v>-1.9</v>
      </c>
      <c r="E21" s="180"/>
      <c r="F21" s="194">
        <f>'Skjema total MA'!E29</f>
        <v>21902385.500539999</v>
      </c>
      <c r="G21" s="194">
        <f>'Skjema total MA'!F29</f>
        <v>25685828.300900001</v>
      </c>
      <c r="H21" s="231">
        <f t="shared" si="2"/>
        <v>17.3</v>
      </c>
      <c r="I21" s="180"/>
      <c r="J21" s="194">
        <f t="shared" si="0"/>
        <v>68326183.402774349</v>
      </c>
      <c r="K21" s="194">
        <f t="shared" si="0"/>
        <v>71234592.315744549</v>
      </c>
      <c r="L21" s="229">
        <f t="shared" si="3"/>
        <v>4.3</v>
      </c>
      <c r="M21" s="73"/>
    </row>
    <row r="22" spans="1:23" ht="18.75" x14ac:dyDescent="0.3">
      <c r="A22" s="191" t="s">
        <v>111</v>
      </c>
      <c r="B22" s="103">
        <f>'Skjema total MA'!B87</f>
        <v>392962991.43437672</v>
      </c>
      <c r="C22" s="103">
        <f>'Skjema total MA'!C87</f>
        <v>402578891.17085534</v>
      </c>
      <c r="D22" s="231">
        <f t="shared" si="4"/>
        <v>2.4</v>
      </c>
      <c r="E22" s="180"/>
      <c r="F22" s="194">
        <f>'Skjema total MA'!E87</f>
        <v>317586869.18335998</v>
      </c>
      <c r="G22" s="194">
        <f>'Skjema total MA'!F87</f>
        <v>418410014.35985005</v>
      </c>
      <c r="H22" s="231">
        <f t="shared" si="2"/>
        <v>31.7</v>
      </c>
      <c r="I22" s="180"/>
      <c r="J22" s="194">
        <f t="shared" si="0"/>
        <v>710549860.6177367</v>
      </c>
      <c r="K22" s="194">
        <f t="shared" si="0"/>
        <v>820988905.53070545</v>
      </c>
      <c r="L22" s="229">
        <f t="shared" si="3"/>
        <v>15.5</v>
      </c>
      <c r="M22" s="73"/>
    </row>
    <row r="23" spans="1:23" ht="22.5" x14ac:dyDescent="0.3">
      <c r="A23" s="191" t="s">
        <v>116</v>
      </c>
      <c r="B23" s="103">
        <f>'Skjema total MA'!B89</f>
        <v>3174025.9301235098</v>
      </c>
      <c r="C23" s="103">
        <f>'Skjema total MA'!C89</f>
        <v>3085371.1043245704</v>
      </c>
      <c r="D23" s="231">
        <f t="shared" si="4"/>
        <v>-2.8</v>
      </c>
      <c r="E23" s="180"/>
      <c r="F23" s="194">
        <f>'Skjema total MA'!E89</f>
        <v>315390839.35684997</v>
      </c>
      <c r="G23" s="194">
        <f>'Skjema total MA'!F89</f>
        <v>414322429.19332004</v>
      </c>
      <c r="H23" s="231">
        <f t="shared" si="2"/>
        <v>31.4</v>
      </c>
      <c r="I23" s="180"/>
      <c r="J23" s="194">
        <f t="shared" si="0"/>
        <v>318564865.28697348</v>
      </c>
      <c r="K23" s="194">
        <f t="shared" si="0"/>
        <v>417407800.29764462</v>
      </c>
      <c r="L23" s="229">
        <f t="shared" si="3"/>
        <v>31</v>
      </c>
      <c r="M23" s="73"/>
    </row>
    <row r="24" spans="1:23" ht="18.75" x14ac:dyDescent="0.3">
      <c r="A24" s="192" t="s">
        <v>113</v>
      </c>
      <c r="B24" s="103">
        <f>'Skjema total MA'!B96</f>
        <v>1683130.4755699998</v>
      </c>
      <c r="C24" s="103">
        <f>'Skjema total MA'!C96</f>
        <v>2319961.8083600001</v>
      </c>
      <c r="D24" s="231">
        <f t="shared" si="4"/>
        <v>37.799999999999997</v>
      </c>
      <c r="E24" s="180"/>
      <c r="F24" s="194">
        <f>'Skjema total MA'!E96</f>
        <v>2196029.82651</v>
      </c>
      <c r="G24" s="194">
        <f>'Skjema total MA'!F96</f>
        <v>4087585.16653</v>
      </c>
      <c r="H24" s="231">
        <f t="shared" si="2"/>
        <v>86.1</v>
      </c>
      <c r="I24" s="180"/>
      <c r="J24" s="194">
        <f t="shared" si="0"/>
        <v>3879160.3020799998</v>
      </c>
      <c r="K24" s="194">
        <f t="shared" si="0"/>
        <v>6407546.9748900002</v>
      </c>
      <c r="L24" s="229">
        <f t="shared" si="3"/>
        <v>65.2</v>
      </c>
      <c r="M24" s="73"/>
    </row>
    <row r="25" spans="1:23" ht="22.5" x14ac:dyDescent="0.3">
      <c r="A25" s="191" t="s">
        <v>352</v>
      </c>
      <c r="B25" s="103">
        <f>'Skjema total MA'!B136</f>
        <v>596977629.90140998</v>
      </c>
      <c r="C25" s="103">
        <f>'Skjema total MA'!C136</f>
        <v>662603918.01883996</v>
      </c>
      <c r="D25" s="231">
        <f t="shared" si="4"/>
        <v>11</v>
      </c>
      <c r="E25" s="180"/>
      <c r="F25" s="194">
        <f>'Skjema total MA'!E136</f>
        <v>1933154.62115</v>
      </c>
      <c r="G25" s="194">
        <f>'Skjema total MA'!F136</f>
        <v>2232813.0127599998</v>
      </c>
      <c r="H25" s="231">
        <f t="shared" si="2"/>
        <v>15.5</v>
      </c>
      <c r="I25" s="180"/>
      <c r="J25" s="194">
        <f t="shared" si="0"/>
        <v>598910784.52256</v>
      </c>
      <c r="K25" s="194">
        <f t="shared" si="0"/>
        <v>664836731.0316</v>
      </c>
      <c r="L25" s="229">
        <f t="shared" si="3"/>
        <v>11</v>
      </c>
      <c r="M25" s="73"/>
    </row>
    <row r="26" spans="1:23" ht="18.75" x14ac:dyDescent="0.3">
      <c r="A26" s="191" t="s">
        <v>114</v>
      </c>
      <c r="B26" s="103">
        <f>'Skjema total MA'!B37</f>
        <v>3578538.3739999998</v>
      </c>
      <c r="C26" s="103">
        <f>'Skjema total MA'!C37</f>
        <v>3354170.09</v>
      </c>
      <c r="D26" s="231">
        <f t="shared" si="4"/>
        <v>-6.3</v>
      </c>
      <c r="E26" s="180"/>
      <c r="F26" s="194">
        <f>'Skjema total MA'!E37</f>
        <v>0</v>
      </c>
      <c r="G26" s="194">
        <f>'Skjema total MA'!F37</f>
        <v>0</v>
      </c>
      <c r="H26" s="231"/>
      <c r="I26" s="180"/>
      <c r="J26" s="194">
        <f t="shared" si="0"/>
        <v>3578538.3739999998</v>
      </c>
      <c r="K26" s="194">
        <f t="shared" si="0"/>
        <v>3354170.09</v>
      </c>
      <c r="L26" s="229">
        <f t="shared" si="3"/>
        <v>-6.3</v>
      </c>
      <c r="M26" s="73"/>
    </row>
    <row r="27" spans="1:23" s="134" customFormat="1" ht="18.75" x14ac:dyDescent="0.3">
      <c r="A27" s="136" t="s">
        <v>117</v>
      </c>
      <c r="B27" s="109">
        <f>'Tabel 1.1'!G34</f>
        <v>1058304771.8028169</v>
      </c>
      <c r="C27" s="196">
        <f>'Tabel 1.1'!H34</f>
        <v>1131513286.6103518</v>
      </c>
      <c r="D27" s="231">
        <f t="shared" si="4"/>
        <v>6.9</v>
      </c>
      <c r="E27" s="137"/>
      <c r="F27" s="196">
        <f>'Tabel 1.1'!G47</f>
        <v>393302916.14194995</v>
      </c>
      <c r="G27" s="196">
        <f>'Tabel 1.1'!H47</f>
        <v>516552120.41675997</v>
      </c>
      <c r="H27" s="231">
        <f t="shared" si="2"/>
        <v>31.3</v>
      </c>
      <c r="I27" s="137"/>
      <c r="J27" s="196">
        <f t="shared" si="0"/>
        <v>1451607687.9447668</v>
      </c>
      <c r="K27" s="196">
        <f t="shared" si="0"/>
        <v>1648065407.0271118</v>
      </c>
      <c r="L27" s="229">
        <f t="shared" si="3"/>
        <v>13.5</v>
      </c>
      <c r="M27" s="74"/>
      <c r="N27" s="133"/>
      <c r="O27" s="133"/>
    </row>
    <row r="28" spans="1:23" ht="18.75" x14ac:dyDescent="0.3">
      <c r="A28" s="136"/>
      <c r="B28" s="103"/>
      <c r="C28" s="194"/>
      <c r="D28" s="231"/>
      <c r="E28" s="180"/>
      <c r="F28" s="194"/>
      <c r="G28" s="194"/>
      <c r="H28" s="231"/>
      <c r="I28" s="180"/>
      <c r="J28" s="194">
        <f t="shared" si="0"/>
        <v>0</v>
      </c>
      <c r="K28" s="194">
        <f t="shared" si="0"/>
        <v>0</v>
      </c>
      <c r="L28" s="229"/>
      <c r="M28" s="73"/>
    </row>
    <row r="29" spans="1:23" ht="22.5" x14ac:dyDescent="0.3">
      <c r="A29" s="190" t="s">
        <v>354</v>
      </c>
      <c r="B29" s="198"/>
      <c r="C29" s="201"/>
      <c r="D29" s="194"/>
      <c r="E29" s="180"/>
      <c r="F29" s="194"/>
      <c r="G29" s="194"/>
      <c r="H29" s="231"/>
      <c r="I29" s="180"/>
      <c r="J29" s="194"/>
      <c r="K29" s="194"/>
      <c r="L29" s="229"/>
      <c r="M29" s="73"/>
    </row>
    <row r="30" spans="1:23" ht="18.75" x14ac:dyDescent="0.3">
      <c r="A30" s="191" t="s">
        <v>108</v>
      </c>
      <c r="B30" s="103">
        <f>'Skjema total MA'!B11</f>
        <v>18520</v>
      </c>
      <c r="C30" s="103">
        <f>'Skjema total MA'!C11</f>
        <v>24524</v>
      </c>
      <c r="D30" s="231">
        <f>IF(B30=0, "    ---- ", IF(ABS(ROUND(100/B30*C30-100,1))&lt;999,ROUND(100/B30*C30-100,1),IF(ROUND(100/B30*C30-100,1)&gt;999,999,-999)))</f>
        <v>32.4</v>
      </c>
      <c r="E30" s="180"/>
      <c r="F30" s="194">
        <f>'Skjema total MA'!E11</f>
        <v>217462.92000999997</v>
      </c>
      <c r="G30" s="194">
        <f>'Skjema total MA'!F11</f>
        <v>259173.54251</v>
      </c>
      <c r="H30" s="231">
        <f t="shared" si="2"/>
        <v>19.2</v>
      </c>
      <c r="I30" s="180"/>
      <c r="J30" s="194">
        <f t="shared" si="0"/>
        <v>235982.92000999997</v>
      </c>
      <c r="K30" s="194">
        <f t="shared" si="0"/>
        <v>283697.54251</v>
      </c>
      <c r="L30" s="229">
        <f t="shared" si="3"/>
        <v>20.2</v>
      </c>
      <c r="M30" s="73"/>
    </row>
    <row r="31" spans="1:23" ht="18.75" x14ac:dyDescent="0.3">
      <c r="A31" s="191" t="s">
        <v>109</v>
      </c>
      <c r="B31" s="103">
        <f>'Skjema total MA'!B34</f>
        <v>11540.130000000001</v>
      </c>
      <c r="C31" s="103">
        <f>'Skjema total MA'!C34</f>
        <v>5661.3959999999997</v>
      </c>
      <c r="D31" s="231">
        <f t="shared" ref="D31:D38" si="5">IF(B31=0, "    ---- ", IF(ABS(ROUND(100/B31*C31-100,1))&lt;999,ROUND(100/B31*C31-100,1),IF(ROUND(100/B31*C31-100,1)&gt;999,999,-999)))</f>
        <v>-50.9</v>
      </c>
      <c r="E31" s="180"/>
      <c r="F31" s="194">
        <f>'Skjema total MA'!E34</f>
        <v>-1928.1106399999953</v>
      </c>
      <c r="G31" s="194">
        <f>'Skjema total MA'!F34</f>
        <v>21589.357619999999</v>
      </c>
      <c r="H31" s="231">
        <f t="shared" si="2"/>
        <v>-999</v>
      </c>
      <c r="I31" s="180"/>
      <c r="J31" s="194">
        <f t="shared" si="0"/>
        <v>9612.0193600000057</v>
      </c>
      <c r="K31" s="194">
        <f t="shared" si="0"/>
        <v>27250.75362</v>
      </c>
      <c r="L31" s="229">
        <f t="shared" si="3"/>
        <v>183.5</v>
      </c>
      <c r="M31" s="73"/>
    </row>
    <row r="32" spans="1:23" ht="18.75" x14ac:dyDescent="0.3">
      <c r="A32" s="191" t="s">
        <v>111</v>
      </c>
      <c r="B32" s="103">
        <f>'Skjema total MA'!B112</f>
        <v>532961.16861000005</v>
      </c>
      <c r="C32" s="103">
        <f>'Skjema total MA'!C112</f>
        <v>259773.9768</v>
      </c>
      <c r="D32" s="231">
        <f t="shared" si="5"/>
        <v>-51.3</v>
      </c>
      <c r="E32" s="180"/>
      <c r="F32" s="194">
        <f>'Skjema total MA'!E112</f>
        <v>11816895.368489999</v>
      </c>
      <c r="G32" s="194">
        <f>'Skjema total MA'!F112</f>
        <v>29226126.996290002</v>
      </c>
      <c r="H32" s="231">
        <f t="shared" si="2"/>
        <v>147.30000000000001</v>
      </c>
      <c r="I32" s="180"/>
      <c r="J32" s="194">
        <f t="shared" si="0"/>
        <v>12349856.537099998</v>
      </c>
      <c r="K32" s="194">
        <f t="shared" si="0"/>
        <v>29485900.97309</v>
      </c>
      <c r="L32" s="229">
        <f t="shared" si="3"/>
        <v>138.80000000000001</v>
      </c>
      <c r="M32" s="73"/>
    </row>
    <row r="33" spans="1:15" ht="22.5" x14ac:dyDescent="0.3">
      <c r="A33" s="191" t="s">
        <v>352</v>
      </c>
      <c r="B33" s="103">
        <f>'Skjema total MA'!B137</f>
        <v>3328031.82</v>
      </c>
      <c r="C33" s="103">
        <f>'Skjema total MA'!C137</f>
        <v>7134946.7209999999</v>
      </c>
      <c r="D33" s="231">
        <f t="shared" si="5"/>
        <v>114.4</v>
      </c>
      <c r="E33" s="180"/>
      <c r="F33" s="194">
        <f>'Skjema total MA'!E137</f>
        <v>-462823.85</v>
      </c>
      <c r="G33" s="194">
        <f>'Skjema total MA'!F137</f>
        <v>0</v>
      </c>
      <c r="H33" s="231">
        <f t="shared" si="2"/>
        <v>-100</v>
      </c>
      <c r="I33" s="180"/>
      <c r="J33" s="194">
        <f t="shared" si="0"/>
        <v>2865207.9699999997</v>
      </c>
      <c r="K33" s="194">
        <f t="shared" si="0"/>
        <v>7134946.7209999999</v>
      </c>
      <c r="L33" s="229">
        <f t="shared" si="3"/>
        <v>149</v>
      </c>
      <c r="M33" s="73"/>
    </row>
    <row r="34" spans="1:15" ht="18.75" x14ac:dyDescent="0.3">
      <c r="A34" s="191" t="s">
        <v>114</v>
      </c>
      <c r="B34" s="103">
        <f>'Skjema total MA'!B38</f>
        <v>0</v>
      </c>
      <c r="C34" s="103">
        <f>'Skjema total MA'!C38</f>
        <v>0</v>
      </c>
      <c r="D34" s="231"/>
      <c r="E34" s="180"/>
      <c r="F34" s="194">
        <f>'Skjema total MA'!E38</f>
        <v>0</v>
      </c>
      <c r="G34" s="194">
        <f>'Skjema total MA'!F38</f>
        <v>0</v>
      </c>
      <c r="H34" s="231"/>
      <c r="I34" s="180"/>
      <c r="J34" s="194">
        <f t="shared" si="0"/>
        <v>0</v>
      </c>
      <c r="K34" s="194">
        <f t="shared" si="0"/>
        <v>0</v>
      </c>
      <c r="L34" s="229"/>
      <c r="M34" s="73"/>
    </row>
    <row r="35" spans="1:15" s="134" customFormat="1" ht="18.75" x14ac:dyDescent="0.3">
      <c r="A35" s="136" t="s">
        <v>118</v>
      </c>
      <c r="B35" s="109">
        <f>SUM(B30:B34)</f>
        <v>3891053.1186099998</v>
      </c>
      <c r="C35" s="196">
        <f>SUM(C30:C34)</f>
        <v>7424906.0937999999</v>
      </c>
      <c r="D35" s="231">
        <f t="shared" si="5"/>
        <v>90.8</v>
      </c>
      <c r="E35" s="137"/>
      <c r="F35" s="196">
        <f>SUM(F30:F34)</f>
        <v>11569606.32786</v>
      </c>
      <c r="G35" s="196">
        <f>SUM(G30:G34)</f>
        <v>29506889.896420002</v>
      </c>
      <c r="H35" s="231">
        <f t="shared" si="2"/>
        <v>155</v>
      </c>
      <c r="I35" s="137"/>
      <c r="J35" s="196">
        <f t="shared" si="0"/>
        <v>15460659.44647</v>
      </c>
      <c r="K35" s="196">
        <f t="shared" si="0"/>
        <v>36931795.990220003</v>
      </c>
      <c r="L35" s="229">
        <f t="shared" si="3"/>
        <v>138.9</v>
      </c>
      <c r="M35" s="74"/>
    </row>
    <row r="36" spans="1:15" ht="18.75" x14ac:dyDescent="0.3">
      <c r="A36" s="136"/>
      <c r="B36" s="109"/>
      <c r="C36" s="196"/>
      <c r="D36" s="231"/>
      <c r="E36" s="137"/>
      <c r="F36" s="196"/>
      <c r="G36" s="196"/>
      <c r="H36" s="231"/>
      <c r="I36" s="137"/>
      <c r="J36" s="194"/>
      <c r="K36" s="194"/>
      <c r="L36" s="229"/>
      <c r="M36" s="73"/>
    </row>
    <row r="37" spans="1:15" ht="22.5" x14ac:dyDescent="0.3">
      <c r="A37" s="136" t="s">
        <v>355</v>
      </c>
      <c r="B37" s="109"/>
      <c r="C37" s="196"/>
      <c r="D37" s="194"/>
      <c r="E37" s="137"/>
      <c r="F37" s="196"/>
      <c r="G37" s="196"/>
      <c r="H37" s="231"/>
      <c r="I37" s="137"/>
      <c r="J37" s="194"/>
      <c r="K37" s="194"/>
      <c r="L37" s="229"/>
      <c r="M37" s="73"/>
    </row>
    <row r="38" spans="1:15" s="134" customFormat="1" ht="18.75" x14ac:dyDescent="0.3">
      <c r="A38" s="136" t="s">
        <v>110</v>
      </c>
      <c r="B38" s="109">
        <f>'Skjema total MA'!B53</f>
        <v>131019.867</v>
      </c>
      <c r="C38" s="109">
        <f>'Skjema total MA'!C53</f>
        <v>235110.696</v>
      </c>
      <c r="D38" s="231">
        <f t="shared" si="5"/>
        <v>79.400000000000006</v>
      </c>
      <c r="E38" s="137"/>
      <c r="F38" s="196"/>
      <c r="G38" s="196"/>
      <c r="H38" s="231"/>
      <c r="I38" s="137"/>
      <c r="J38" s="196">
        <f t="shared" si="0"/>
        <v>131019.867</v>
      </c>
      <c r="K38" s="196">
        <f t="shared" si="0"/>
        <v>235110.696</v>
      </c>
      <c r="L38" s="229">
        <f t="shared" si="3"/>
        <v>79.400000000000006</v>
      </c>
      <c r="M38" s="74"/>
    </row>
    <row r="39" spans="1:15" ht="18.75" x14ac:dyDescent="0.3">
      <c r="A39" s="136"/>
      <c r="B39" s="109"/>
      <c r="C39" s="196"/>
      <c r="D39" s="194"/>
      <c r="E39" s="137"/>
      <c r="F39" s="196"/>
      <c r="G39" s="196"/>
      <c r="H39" s="231"/>
      <c r="I39" s="137"/>
      <c r="J39" s="194"/>
      <c r="K39" s="194"/>
      <c r="L39" s="229"/>
      <c r="M39" s="73"/>
    </row>
    <row r="40" spans="1:15" ht="22.5" x14ac:dyDescent="0.3">
      <c r="A40" s="190" t="s">
        <v>356</v>
      </c>
      <c r="B40" s="198"/>
      <c r="C40" s="201"/>
      <c r="D40" s="194"/>
      <c r="E40" s="180"/>
      <c r="F40" s="194"/>
      <c r="G40" s="194"/>
      <c r="H40" s="231"/>
      <c r="I40" s="180"/>
      <c r="J40" s="194"/>
      <c r="K40" s="194"/>
      <c r="L40" s="229"/>
      <c r="M40" s="73"/>
    </row>
    <row r="41" spans="1:15" ht="18.75" x14ac:dyDescent="0.3">
      <c r="A41" s="191" t="s">
        <v>108</v>
      </c>
      <c r="B41" s="103">
        <f>'Skjema total MA'!B12</f>
        <v>2399</v>
      </c>
      <c r="C41" s="103">
        <f>'Skjema total MA'!C12</f>
        <v>3700</v>
      </c>
      <c r="D41" s="231">
        <f>IF(B41=0, "    ---- ", IF(ABS(ROUND(100/B41*C41-100,1))&lt;999,ROUND(100/B41*C41-100,1),IF(ROUND(100/B41*C41-100,1)&gt;999,999,-999)))</f>
        <v>54.2</v>
      </c>
      <c r="E41" s="180"/>
      <c r="F41" s="194">
        <f>'Skjema total MA'!E12</f>
        <v>154005.36911</v>
      </c>
      <c r="G41" s="194">
        <f>'Skjema total MA'!F12</f>
        <v>99172.854860000007</v>
      </c>
      <c r="H41" s="231">
        <f t="shared" si="2"/>
        <v>-35.6</v>
      </c>
      <c r="I41" s="180"/>
      <c r="J41" s="194">
        <f t="shared" si="0"/>
        <v>156404.36911</v>
      </c>
      <c r="K41" s="194">
        <f t="shared" si="0"/>
        <v>102872.85486000001</v>
      </c>
      <c r="L41" s="229">
        <f t="shared" si="3"/>
        <v>-34.200000000000003</v>
      </c>
      <c r="M41" s="73"/>
    </row>
    <row r="42" spans="1:15" ht="18.75" x14ac:dyDescent="0.3">
      <c r="A42" s="191" t="s">
        <v>109</v>
      </c>
      <c r="B42" s="103">
        <f>'Skjema total MA'!B35</f>
        <v>-61191.684910000004</v>
      </c>
      <c r="C42" s="103">
        <f>'Skjema total MA'!C35</f>
        <v>-65822.47709</v>
      </c>
      <c r="D42" s="231">
        <f t="shared" ref="D42:D46" si="6">IF(B42=0, "    ---- ", IF(ABS(ROUND(100/B42*C42-100,1))&lt;999,ROUND(100/B42*C42-100,1),IF(ROUND(100/B42*C42-100,1)&gt;999,999,-999)))</f>
        <v>7.6</v>
      </c>
      <c r="E42" s="180"/>
      <c r="F42" s="194">
        <f>'Skjema total MA'!E35</f>
        <v>76445.871169999999</v>
      </c>
      <c r="G42" s="194">
        <f>'Skjema total MA'!F35</f>
        <v>110139.29119</v>
      </c>
      <c r="H42" s="231">
        <f t="shared" si="2"/>
        <v>44.1</v>
      </c>
      <c r="I42" s="180"/>
      <c r="J42" s="194">
        <f t="shared" si="0"/>
        <v>15254.186259999995</v>
      </c>
      <c r="K42" s="194">
        <f t="shared" si="0"/>
        <v>44316.814100000003</v>
      </c>
      <c r="L42" s="229">
        <f t="shared" si="3"/>
        <v>190.5</v>
      </c>
      <c r="M42" s="73"/>
    </row>
    <row r="43" spans="1:15" ht="18.75" x14ac:dyDescent="0.3">
      <c r="A43" s="191" t="s">
        <v>111</v>
      </c>
      <c r="B43" s="103">
        <f>'Skjema total MA'!B120</f>
        <v>594965.51118999999</v>
      </c>
      <c r="C43" s="103">
        <f>'Skjema total MA'!C120</f>
        <v>356144.94210999983</v>
      </c>
      <c r="D43" s="231">
        <f t="shared" si="6"/>
        <v>-40.1</v>
      </c>
      <c r="E43" s="180"/>
      <c r="F43" s="194">
        <f>'Skjema total MA'!E120</f>
        <v>11565070.293479998</v>
      </c>
      <c r="G43" s="194">
        <f>'Skjema total MA'!F120</f>
        <v>33783529.177040003</v>
      </c>
      <c r="H43" s="231">
        <f t="shared" si="2"/>
        <v>192.1</v>
      </c>
      <c r="I43" s="180"/>
      <c r="J43" s="194">
        <f t="shared" si="0"/>
        <v>12160035.804669999</v>
      </c>
      <c r="K43" s="194">
        <f t="shared" si="0"/>
        <v>34139674.119150005</v>
      </c>
      <c r="L43" s="229">
        <f t="shared" si="3"/>
        <v>180.8</v>
      </c>
      <c r="M43" s="73"/>
    </row>
    <row r="44" spans="1:15" ht="22.5" x14ac:dyDescent="0.3">
      <c r="A44" s="191" t="s">
        <v>352</v>
      </c>
      <c r="B44" s="103">
        <f>'Skjema total MA'!B138</f>
        <v>7696459.3569999998</v>
      </c>
      <c r="C44" s="103">
        <f>'Skjema total MA'!C138</f>
        <v>8346122.3590000002</v>
      </c>
      <c r="D44" s="231">
        <f t="shared" si="6"/>
        <v>8.4</v>
      </c>
      <c r="E44" s="180"/>
      <c r="F44" s="194">
        <f>'Skjema total MA'!E138</f>
        <v>0</v>
      </c>
      <c r="G44" s="194">
        <f>'Skjema total MA'!F138</f>
        <v>0</v>
      </c>
      <c r="H44" s="231"/>
      <c r="I44" s="180"/>
      <c r="J44" s="194">
        <f t="shared" si="0"/>
        <v>7696459.3569999998</v>
      </c>
      <c r="K44" s="194">
        <f t="shared" si="0"/>
        <v>8346122.3590000002</v>
      </c>
      <c r="L44" s="229">
        <f t="shared" si="3"/>
        <v>8.4</v>
      </c>
      <c r="M44" s="73"/>
    </row>
    <row r="45" spans="1:15" ht="18.75" x14ac:dyDescent="0.3">
      <c r="A45" s="191" t="s">
        <v>114</v>
      </c>
      <c r="B45" s="103">
        <f>'Skjema total MA'!B39</f>
        <v>0</v>
      </c>
      <c r="C45" s="103">
        <f>'Skjema total MA'!C39</f>
        <v>3</v>
      </c>
      <c r="D45" s="231" t="str">
        <f t="shared" si="6"/>
        <v xml:space="preserve">    ---- </v>
      </c>
      <c r="E45" s="180"/>
      <c r="F45" s="194"/>
      <c r="G45" s="194"/>
      <c r="H45" s="231"/>
      <c r="I45" s="180"/>
      <c r="J45" s="194">
        <f t="shared" si="0"/>
        <v>0</v>
      </c>
      <c r="K45" s="194">
        <f t="shared" si="0"/>
        <v>3</v>
      </c>
      <c r="L45" s="229" t="str">
        <f t="shared" si="3"/>
        <v xml:space="preserve">    ---- </v>
      </c>
      <c r="M45" s="73"/>
    </row>
    <row r="46" spans="1:15" s="134" customFormat="1" ht="18.75" x14ac:dyDescent="0.3">
      <c r="A46" s="136" t="s">
        <v>119</v>
      </c>
      <c r="B46" s="109">
        <f>SUM(B41:B45)</f>
        <v>8232632.1832799995</v>
      </c>
      <c r="C46" s="196">
        <f>SUM(C41:C45)</f>
        <v>8640147.8240200002</v>
      </c>
      <c r="D46" s="231">
        <f t="shared" si="6"/>
        <v>5</v>
      </c>
      <c r="E46" s="137"/>
      <c r="F46" s="196">
        <f>SUM(F41:F45)</f>
        <v>11795521.533759998</v>
      </c>
      <c r="G46" s="270">
        <f>SUM(G41:G45)</f>
        <v>33992841.323090002</v>
      </c>
      <c r="H46" s="231">
        <f t="shared" si="2"/>
        <v>188.2</v>
      </c>
      <c r="I46" s="137"/>
      <c r="J46" s="196">
        <f t="shared" si="0"/>
        <v>20028153.717039999</v>
      </c>
      <c r="K46" s="196">
        <f t="shared" si="0"/>
        <v>42632989.14711</v>
      </c>
      <c r="L46" s="229">
        <f t="shared" si="3"/>
        <v>112.9</v>
      </c>
      <c r="M46" s="74"/>
      <c r="N46" s="133"/>
      <c r="O46" s="133"/>
    </row>
    <row r="47" spans="1:15" ht="18.75" x14ac:dyDescent="0.3">
      <c r="A47" s="136"/>
      <c r="B47" s="109"/>
      <c r="C47" s="196"/>
      <c r="D47" s="194"/>
      <c r="E47" s="137"/>
      <c r="F47" s="196"/>
      <c r="G47" s="196"/>
      <c r="H47" s="231"/>
      <c r="I47" s="137"/>
      <c r="J47" s="194"/>
      <c r="K47" s="194"/>
      <c r="L47" s="229"/>
      <c r="M47" s="73"/>
    </row>
    <row r="48" spans="1:15" ht="22.5" x14ac:dyDescent="0.3">
      <c r="A48" s="136" t="s">
        <v>357</v>
      </c>
      <c r="B48" s="109"/>
      <c r="C48" s="196"/>
      <c r="D48" s="194"/>
      <c r="E48" s="137"/>
      <c r="F48" s="196"/>
      <c r="G48" s="196"/>
      <c r="H48" s="231"/>
      <c r="I48" s="137"/>
      <c r="J48" s="194"/>
      <c r="K48" s="194"/>
      <c r="L48" s="229"/>
      <c r="M48" s="73"/>
    </row>
    <row r="49" spans="1:15" s="134" customFormat="1" ht="18.75" x14ac:dyDescent="0.3">
      <c r="A49" s="136" t="s">
        <v>110</v>
      </c>
      <c r="B49" s="109">
        <f>'Skjema total MA'!B56</f>
        <v>111355.41099999999</v>
      </c>
      <c r="C49" s="109">
        <f>'Skjema total MA'!C56</f>
        <v>93364.087</v>
      </c>
      <c r="D49" s="231">
        <f t="shared" ref="D49" si="7">IF(B49=0, "    ---- ", IF(ABS(ROUND(100/B49*C49-100,1))&lt;999,ROUND(100/B49*C49-100,1),IF(ROUND(100/B49*C49-100,1)&gt;999,999,-999)))</f>
        <v>-16.2</v>
      </c>
      <c r="E49" s="137"/>
      <c r="F49" s="196"/>
      <c r="G49" s="196"/>
      <c r="H49" s="231"/>
      <c r="I49" s="137"/>
      <c r="J49" s="196">
        <f>SUM(B49+F49)</f>
        <v>111355.41099999999</v>
      </c>
      <c r="K49" s="196">
        <f>SUM(C49+G49)</f>
        <v>93364.087</v>
      </c>
      <c r="L49" s="229">
        <f t="shared" si="3"/>
        <v>-16.2</v>
      </c>
      <c r="M49" s="74"/>
    </row>
    <row r="50" spans="1:15" ht="18.75" x14ac:dyDescent="0.3">
      <c r="A50" s="136"/>
      <c r="B50" s="103"/>
      <c r="C50" s="194"/>
      <c r="D50" s="194"/>
      <c r="E50" s="180"/>
      <c r="F50" s="194"/>
      <c r="G50" s="194"/>
      <c r="H50" s="231"/>
      <c r="I50" s="180"/>
      <c r="J50" s="194"/>
      <c r="K50" s="194"/>
      <c r="L50" s="229"/>
      <c r="M50" s="73"/>
    </row>
    <row r="51" spans="1:15" ht="21.75" x14ac:dyDescent="0.3">
      <c r="A51" s="190" t="s">
        <v>358</v>
      </c>
      <c r="B51" s="103"/>
      <c r="C51" s="194"/>
      <c r="D51" s="194"/>
      <c r="E51" s="180"/>
      <c r="F51" s="194"/>
      <c r="G51" s="194"/>
      <c r="H51" s="231"/>
      <c r="I51" s="180"/>
      <c r="J51" s="194"/>
      <c r="K51" s="194"/>
      <c r="L51" s="229" t="str">
        <f t="shared" si="3"/>
        <v xml:space="preserve">    ---- </v>
      </c>
      <c r="M51" s="73"/>
    </row>
    <row r="52" spans="1:15" ht="18.75" x14ac:dyDescent="0.3">
      <c r="A52" s="191" t="s">
        <v>108</v>
      </c>
      <c r="B52" s="103">
        <f>B30-B41</f>
        <v>16121</v>
      </c>
      <c r="C52" s="194">
        <f>C30-C41</f>
        <v>20824</v>
      </c>
      <c r="D52" s="231">
        <f>IF(B52=0, "    ---- ", IF(ABS(ROUND(100/B52*C52-100,1))&lt;999,ROUND(100/B52*C52-100,1),IF(ROUND(100/B52*C52-100,1)&gt;999,999,-999)))</f>
        <v>29.2</v>
      </c>
      <c r="E52" s="180"/>
      <c r="F52" s="194">
        <f>F30-F41</f>
        <v>63457.550899999973</v>
      </c>
      <c r="G52" s="194">
        <f>G30-G41</f>
        <v>160000.68764999998</v>
      </c>
      <c r="H52" s="231">
        <f t="shared" si="2"/>
        <v>152.1</v>
      </c>
      <c r="I52" s="180"/>
      <c r="J52" s="194">
        <f t="shared" si="0"/>
        <v>79578.550899999973</v>
      </c>
      <c r="K52" s="194">
        <f t="shared" si="0"/>
        <v>180824.68764999998</v>
      </c>
      <c r="L52" s="229">
        <f t="shared" si="3"/>
        <v>127.2</v>
      </c>
      <c r="M52" s="73"/>
    </row>
    <row r="53" spans="1:15" ht="18.75" x14ac:dyDescent="0.3">
      <c r="A53" s="191" t="s">
        <v>109</v>
      </c>
      <c r="B53" s="103">
        <f t="shared" ref="B53:C56" si="8">B31-B42</f>
        <v>72731.814910000001</v>
      </c>
      <c r="C53" s="194">
        <f t="shared" si="8"/>
        <v>71483.873089999994</v>
      </c>
      <c r="D53" s="231">
        <f t="shared" ref="D53:D60" si="9">IF(B53=0, "    ---- ", IF(ABS(ROUND(100/B53*C53-100,1))&lt;999,ROUND(100/B53*C53-100,1),IF(ROUND(100/B53*C53-100,1)&gt;999,999,-999)))</f>
        <v>-1.7</v>
      </c>
      <c r="E53" s="180"/>
      <c r="F53" s="194">
        <f t="shared" ref="F53:G56" si="10">F31-F42</f>
        <v>-78373.981809999997</v>
      </c>
      <c r="G53" s="194">
        <f t="shared" si="10"/>
        <v>-88549.933570000008</v>
      </c>
      <c r="H53" s="231">
        <f t="shared" si="2"/>
        <v>13</v>
      </c>
      <c r="I53" s="180"/>
      <c r="J53" s="194">
        <f t="shared" si="0"/>
        <v>-5642.1668999999965</v>
      </c>
      <c r="K53" s="194">
        <f t="shared" si="0"/>
        <v>-17066.060480000015</v>
      </c>
      <c r="L53" s="229">
        <f t="shared" si="3"/>
        <v>202.5</v>
      </c>
      <c r="M53" s="73"/>
    </row>
    <row r="54" spans="1:15" ht="18.75" x14ac:dyDescent="0.3">
      <c r="A54" s="191" t="s">
        <v>111</v>
      </c>
      <c r="B54" s="103">
        <f t="shared" si="8"/>
        <v>-62004.342579999939</v>
      </c>
      <c r="C54" s="194">
        <f t="shared" si="8"/>
        <v>-96370.965309999825</v>
      </c>
      <c r="D54" s="231">
        <f t="shared" si="9"/>
        <v>55.4</v>
      </c>
      <c r="E54" s="180"/>
      <c r="F54" s="194">
        <f t="shared" si="10"/>
        <v>251825.07501000166</v>
      </c>
      <c r="G54" s="194">
        <f t="shared" si="10"/>
        <v>-4557402.1807500012</v>
      </c>
      <c r="H54" s="231">
        <f t="shared" si="2"/>
        <v>-999</v>
      </c>
      <c r="I54" s="180"/>
      <c r="J54" s="194">
        <f t="shared" si="0"/>
        <v>189820.73243000172</v>
      </c>
      <c r="K54" s="194">
        <f t="shared" si="0"/>
        <v>-4653773.1460600011</v>
      </c>
      <c r="L54" s="229">
        <f t="shared" si="3"/>
        <v>-999</v>
      </c>
      <c r="M54" s="73"/>
    </row>
    <row r="55" spans="1:15" ht="22.5" x14ac:dyDescent="0.3">
      <c r="A55" s="191" t="s">
        <v>352</v>
      </c>
      <c r="B55" s="103">
        <f t="shared" si="8"/>
        <v>-4368427.5370000005</v>
      </c>
      <c r="C55" s="194">
        <f t="shared" si="8"/>
        <v>-1211175.6380000003</v>
      </c>
      <c r="D55" s="231">
        <f t="shared" si="9"/>
        <v>-72.3</v>
      </c>
      <c r="E55" s="180"/>
      <c r="F55" s="194">
        <f t="shared" si="10"/>
        <v>-462823.85</v>
      </c>
      <c r="G55" s="194">
        <f t="shared" si="10"/>
        <v>0</v>
      </c>
      <c r="H55" s="231">
        <f t="shared" si="2"/>
        <v>-100</v>
      </c>
      <c r="I55" s="180"/>
      <c r="J55" s="194">
        <f t="shared" si="0"/>
        <v>-4831251.3870000001</v>
      </c>
      <c r="K55" s="194">
        <f t="shared" si="0"/>
        <v>-1211175.6380000003</v>
      </c>
      <c r="L55" s="229">
        <f t="shared" si="3"/>
        <v>-74.900000000000006</v>
      </c>
      <c r="M55" s="73"/>
    </row>
    <row r="56" spans="1:15" ht="18.75" x14ac:dyDescent="0.3">
      <c r="A56" s="191" t="s">
        <v>114</v>
      </c>
      <c r="B56" s="103">
        <f t="shared" si="8"/>
        <v>0</v>
      </c>
      <c r="C56" s="194">
        <f t="shared" si="8"/>
        <v>-3</v>
      </c>
      <c r="D56" s="231" t="str">
        <f t="shared" si="9"/>
        <v xml:space="preserve">    ---- </v>
      </c>
      <c r="E56" s="180"/>
      <c r="F56" s="194">
        <f t="shared" si="10"/>
        <v>0</v>
      </c>
      <c r="G56" s="194">
        <f t="shared" si="10"/>
        <v>0</v>
      </c>
      <c r="H56" s="231"/>
      <c r="I56" s="180"/>
      <c r="J56" s="194">
        <f t="shared" si="0"/>
        <v>0</v>
      </c>
      <c r="K56" s="194">
        <f t="shared" si="0"/>
        <v>-3</v>
      </c>
      <c r="L56" s="229" t="str">
        <f t="shared" si="3"/>
        <v xml:space="preserve">    ---- </v>
      </c>
      <c r="M56" s="73"/>
    </row>
    <row r="57" spans="1:15" s="134" customFormat="1" ht="18.75" x14ac:dyDescent="0.3">
      <c r="A57" s="136" t="s">
        <v>120</v>
      </c>
      <c r="B57" s="109">
        <f>SUM(B52:B56)</f>
        <v>-4341579.0646700002</v>
      </c>
      <c r="C57" s="196">
        <f>SUM(C52:C56)</f>
        <v>-1215241.73022</v>
      </c>
      <c r="D57" s="231">
        <f>IF(B57=0, "    ---- ", IF(ABS(ROUND(100/B57*C57-100,1))&lt;999,ROUND(100/B57*C57-100,1),IF(ROUND(100/B57*C57-100,1)&gt;999,999,-999)))</f>
        <v>-72</v>
      </c>
      <c r="E57" s="137"/>
      <c r="F57" s="196">
        <f>SUM(F52:F56)</f>
        <v>-225915.20589999834</v>
      </c>
      <c r="G57" s="270">
        <f>SUM(G52:G56)</f>
        <v>-4485951.4266700009</v>
      </c>
      <c r="H57" s="231">
        <f t="shared" si="2"/>
        <v>999</v>
      </c>
      <c r="I57" s="137"/>
      <c r="J57" s="196">
        <f t="shared" si="0"/>
        <v>-4567494.2705699988</v>
      </c>
      <c r="K57" s="194">
        <f t="shared" si="0"/>
        <v>-5701193.1568900011</v>
      </c>
      <c r="L57" s="229">
        <f t="shared" si="3"/>
        <v>24.8</v>
      </c>
      <c r="M57" s="74"/>
      <c r="N57" s="133"/>
      <c r="O57" s="133"/>
    </row>
    <row r="58" spans="1:15" ht="18.75" x14ac:dyDescent="0.3">
      <c r="A58" s="136"/>
      <c r="B58" s="109"/>
      <c r="C58" s="196"/>
      <c r="D58" s="231"/>
      <c r="E58" s="137"/>
      <c r="F58" s="196"/>
      <c r="G58" s="196"/>
      <c r="H58" s="231"/>
      <c r="I58" s="137"/>
      <c r="J58" s="196"/>
      <c r="K58" s="194"/>
      <c r="L58" s="229"/>
      <c r="M58" s="73"/>
    </row>
    <row r="59" spans="1:15" ht="22.5" x14ac:dyDescent="0.3">
      <c r="A59" s="136" t="s">
        <v>359</v>
      </c>
      <c r="B59" s="109"/>
      <c r="C59" s="196"/>
      <c r="D59" s="231"/>
      <c r="E59" s="137"/>
      <c r="F59" s="196"/>
      <c r="G59" s="196"/>
      <c r="H59" s="231"/>
      <c r="I59" s="137"/>
      <c r="J59" s="196"/>
      <c r="K59" s="194"/>
      <c r="L59" s="229"/>
      <c r="M59" s="73"/>
    </row>
    <row r="60" spans="1:15" s="134" customFormat="1" ht="18.75" x14ac:dyDescent="0.3">
      <c r="A60" s="136" t="s">
        <v>110</v>
      </c>
      <c r="B60" s="109">
        <f>B38-B49</f>
        <v>19664.456000000006</v>
      </c>
      <c r="C60" s="196">
        <f>C38-C49</f>
        <v>141746.609</v>
      </c>
      <c r="D60" s="231">
        <f t="shared" si="9"/>
        <v>620.79999999999995</v>
      </c>
      <c r="E60" s="137"/>
      <c r="F60" s="196">
        <f>F38-F49</f>
        <v>0</v>
      </c>
      <c r="G60" s="196">
        <f>G38-G49</f>
        <v>0</v>
      </c>
      <c r="H60" s="231"/>
      <c r="I60" s="137"/>
      <c r="J60" s="196">
        <f t="shared" si="0"/>
        <v>19664.456000000006</v>
      </c>
      <c r="K60" s="194">
        <f t="shared" si="0"/>
        <v>141746.609</v>
      </c>
      <c r="L60" s="229">
        <f t="shared" si="3"/>
        <v>620.79999999999995</v>
      </c>
      <c r="M60" s="74"/>
    </row>
    <row r="61" spans="1:15" s="134" customFormat="1" ht="18.75" x14ac:dyDescent="0.3">
      <c r="A61" s="193"/>
      <c r="B61" s="114"/>
      <c r="C61" s="197"/>
      <c r="D61" s="202"/>
      <c r="E61" s="137"/>
      <c r="F61" s="197"/>
      <c r="G61" s="197"/>
      <c r="H61" s="202"/>
      <c r="I61" s="137"/>
      <c r="J61" s="202"/>
      <c r="K61" s="202"/>
      <c r="L61" s="202"/>
      <c r="M61" s="74"/>
    </row>
    <row r="62" spans="1:15" ht="18.75" x14ac:dyDescent="0.3">
      <c r="A62" s="111" t="s">
        <v>121</v>
      </c>
      <c r="C62" s="138"/>
      <c r="D62" s="138"/>
      <c r="E62" s="138"/>
      <c r="F62" s="138"/>
      <c r="G62" s="111"/>
      <c r="H62" s="73"/>
      <c r="I62" s="111"/>
      <c r="J62" s="111"/>
      <c r="K62" s="111"/>
      <c r="L62" s="73"/>
      <c r="M62" s="73"/>
    </row>
    <row r="63" spans="1:15" ht="18.75" x14ac:dyDescent="0.3">
      <c r="A63" s="111" t="s">
        <v>122</v>
      </c>
      <c r="C63" s="138"/>
      <c r="D63" s="138"/>
      <c r="E63" s="138"/>
      <c r="F63" s="138"/>
      <c r="G63" s="73"/>
      <c r="H63" s="73"/>
      <c r="I63" s="73"/>
      <c r="J63" s="73"/>
      <c r="K63" s="73"/>
      <c r="L63" s="73"/>
      <c r="M63" s="73"/>
    </row>
    <row r="64" spans="1:15" ht="18.75" x14ac:dyDescent="0.3">
      <c r="A64" s="111" t="s">
        <v>101</v>
      </c>
      <c r="B64" s="73"/>
      <c r="C64" s="73"/>
      <c r="D64" s="73"/>
      <c r="E64" s="73"/>
      <c r="F64" s="73"/>
      <c r="G64" s="73"/>
      <c r="H64" s="73"/>
      <c r="I64" s="73"/>
      <c r="J64" s="73"/>
      <c r="K64" s="73"/>
      <c r="L64" s="73"/>
      <c r="M64" s="73"/>
    </row>
    <row r="65" spans="1:13" ht="18.75" x14ac:dyDescent="0.3">
      <c r="A65" s="73"/>
      <c r="C65" s="73"/>
      <c r="D65" s="73"/>
      <c r="E65" s="73"/>
      <c r="F65" s="73"/>
      <c r="G65" s="73"/>
      <c r="H65" s="73"/>
      <c r="I65" s="73"/>
      <c r="J65" s="73"/>
      <c r="K65" s="73"/>
      <c r="L65" s="73"/>
      <c r="M65" s="73"/>
    </row>
    <row r="66" spans="1:13" ht="18.75" x14ac:dyDescent="0.3">
      <c r="A66" s="73"/>
      <c r="B66" s="73"/>
      <c r="C66" s="73"/>
      <c r="D66" s="73"/>
      <c r="E66" s="73"/>
      <c r="F66" s="73"/>
      <c r="G66" s="73"/>
      <c r="H66" s="73"/>
      <c r="I66" s="73"/>
      <c r="J66" s="73"/>
      <c r="K66" s="73"/>
      <c r="L66" s="73"/>
      <c r="M66" s="73"/>
    </row>
    <row r="67" spans="1:13" ht="18.75" x14ac:dyDescent="0.3">
      <c r="A67" s="73"/>
      <c r="B67" s="73"/>
      <c r="C67" s="73"/>
      <c r="D67" s="73"/>
      <c r="E67" s="73"/>
      <c r="F67" s="73"/>
      <c r="G67" s="73"/>
      <c r="H67" s="73"/>
      <c r="I67" s="73"/>
      <c r="J67" s="73"/>
      <c r="K67" s="73"/>
      <c r="L67" s="73"/>
      <c r="M67" s="73"/>
    </row>
    <row r="68" spans="1:13" ht="18.75" x14ac:dyDescent="0.3">
      <c r="A68" s="73"/>
      <c r="B68" s="73"/>
      <c r="C68" s="73"/>
      <c r="D68" s="73"/>
      <c r="E68" s="73"/>
      <c r="F68" s="73"/>
      <c r="G68" s="73"/>
      <c r="H68" s="73"/>
      <c r="I68" s="73"/>
      <c r="J68" s="73"/>
      <c r="K68" s="73"/>
      <c r="L68" s="73"/>
      <c r="M68" s="73"/>
    </row>
    <row r="69" spans="1:13" ht="18.75" x14ac:dyDescent="0.3">
      <c r="A69" s="73"/>
      <c r="B69" s="73"/>
      <c r="C69" s="73"/>
      <c r="D69" s="73"/>
      <c r="E69" s="73"/>
      <c r="F69" s="73"/>
      <c r="G69" s="73"/>
      <c r="H69" s="73"/>
      <c r="I69" s="73"/>
      <c r="J69" s="73"/>
      <c r="K69" s="73"/>
      <c r="L69" s="73"/>
      <c r="M69" s="73"/>
    </row>
    <row r="70" spans="1:13" ht="18.75" x14ac:dyDescent="0.3">
      <c r="A70" s="73"/>
      <c r="B70" s="73"/>
      <c r="C70" s="73"/>
      <c r="D70" s="73"/>
      <c r="E70" s="73"/>
      <c r="F70" s="73"/>
      <c r="G70" s="73"/>
      <c r="H70" s="73"/>
      <c r="I70" s="73"/>
      <c r="J70" s="73"/>
      <c r="K70" s="73"/>
      <c r="L70" s="73"/>
      <c r="M70" s="73"/>
    </row>
    <row r="71" spans="1:13" ht="18.75" x14ac:dyDescent="0.3">
      <c r="A71" s="73"/>
      <c r="B71" s="73"/>
      <c r="C71" s="73"/>
      <c r="D71" s="73"/>
      <c r="E71" s="73"/>
      <c r="F71" s="73"/>
      <c r="G71" s="73"/>
      <c r="H71" s="73"/>
      <c r="I71" s="73"/>
      <c r="J71" s="73"/>
      <c r="K71" s="73"/>
      <c r="L71" s="73"/>
      <c r="M71" s="73"/>
    </row>
    <row r="72" spans="1:13" ht="18.75" x14ac:dyDescent="0.3">
      <c r="A72" s="73"/>
      <c r="B72" s="73"/>
      <c r="C72" s="73"/>
      <c r="D72" s="73"/>
      <c r="E72" s="73"/>
      <c r="F72" s="73"/>
      <c r="G72" s="73"/>
      <c r="H72" s="73"/>
      <c r="I72" s="73"/>
      <c r="J72" s="73"/>
      <c r="K72" s="73"/>
      <c r="L72" s="73"/>
      <c r="M72" s="73"/>
    </row>
    <row r="73" spans="1:13" ht="18.75" x14ac:dyDescent="0.3">
      <c r="A73" s="73"/>
      <c r="B73" s="73"/>
      <c r="C73" s="73"/>
      <c r="D73" s="73"/>
      <c r="E73" s="73"/>
      <c r="F73" s="73"/>
      <c r="G73" s="73"/>
      <c r="H73" s="73"/>
      <c r="I73" s="73"/>
      <c r="J73" s="73"/>
      <c r="K73" s="73"/>
      <c r="L73" s="73"/>
      <c r="M73" s="73"/>
    </row>
    <row r="74" spans="1:13" ht="18.75" x14ac:dyDescent="0.3">
      <c r="A74" s="73"/>
      <c r="B74" s="73"/>
      <c r="C74" s="73"/>
      <c r="D74" s="73"/>
      <c r="E74" s="73"/>
      <c r="F74" s="73"/>
      <c r="G74" s="73"/>
      <c r="H74" s="73"/>
      <c r="I74" s="73"/>
      <c r="J74" s="73"/>
      <c r="K74" s="73"/>
      <c r="L74" s="73"/>
      <c r="M74" s="73"/>
    </row>
    <row r="75" spans="1:13" ht="18.75" x14ac:dyDescent="0.3">
      <c r="A75" s="73"/>
      <c r="B75" s="73"/>
      <c r="C75" s="73"/>
      <c r="D75" s="73"/>
      <c r="E75" s="73"/>
      <c r="F75" s="73"/>
      <c r="G75" s="73"/>
      <c r="H75" s="73"/>
      <c r="I75" s="73"/>
      <c r="J75" s="73"/>
      <c r="K75" s="73"/>
      <c r="L75" s="73"/>
      <c r="M75" s="73"/>
    </row>
    <row r="76" spans="1:13" ht="18.75" x14ac:dyDescent="0.3">
      <c r="A76" s="73"/>
      <c r="B76" s="73"/>
      <c r="C76" s="73"/>
      <c r="D76" s="73"/>
      <c r="E76" s="73"/>
      <c r="F76" s="73"/>
      <c r="G76" s="73"/>
      <c r="H76" s="73"/>
      <c r="I76" s="73"/>
      <c r="J76" s="73"/>
      <c r="K76" s="73"/>
      <c r="L76" s="73"/>
      <c r="M76" s="73"/>
    </row>
    <row r="77" spans="1:13" ht="18.75" x14ac:dyDescent="0.3">
      <c r="A77" s="73"/>
      <c r="B77" s="73"/>
      <c r="C77" s="73"/>
      <c r="D77" s="73"/>
      <c r="E77" s="73"/>
      <c r="F77" s="73"/>
      <c r="G77" s="73"/>
      <c r="H77" s="73"/>
      <c r="I77" s="73"/>
      <c r="J77" s="73"/>
      <c r="K77" s="73"/>
      <c r="L77" s="73"/>
      <c r="M77" s="73"/>
    </row>
    <row r="78" spans="1:13" ht="18.75" x14ac:dyDescent="0.3">
      <c r="A78" s="73"/>
      <c r="B78" s="73"/>
      <c r="C78" s="73"/>
      <c r="D78" s="73"/>
      <c r="E78" s="73"/>
      <c r="F78" s="73"/>
      <c r="G78" s="73"/>
      <c r="H78" s="73"/>
      <c r="I78" s="73"/>
      <c r="J78" s="73"/>
      <c r="K78" s="73"/>
      <c r="L78" s="73"/>
      <c r="M78" s="73"/>
    </row>
    <row r="79" spans="1:13" ht="18.75" x14ac:dyDescent="0.3">
      <c r="A79" s="73"/>
      <c r="B79" s="73"/>
      <c r="C79" s="73"/>
      <c r="D79" s="73"/>
      <c r="E79" s="73"/>
      <c r="F79" s="73"/>
      <c r="G79" s="73"/>
      <c r="H79" s="73"/>
      <c r="I79" s="73"/>
      <c r="J79" s="73"/>
      <c r="K79" s="73"/>
      <c r="L79" s="73"/>
      <c r="M79" s="73"/>
    </row>
    <row r="80" spans="1:13" ht="18.75" x14ac:dyDescent="0.3">
      <c r="A80" s="73"/>
      <c r="B80" s="73"/>
      <c r="C80" s="73"/>
      <c r="D80" s="73"/>
      <c r="E80" s="73"/>
      <c r="F80" s="73"/>
      <c r="G80" s="73"/>
      <c r="H80" s="73"/>
      <c r="I80" s="73"/>
      <c r="J80" s="73"/>
      <c r="K80" s="73"/>
      <c r="L80" s="73"/>
      <c r="M80" s="73"/>
    </row>
    <row r="81" spans="1:13" ht="18.75" x14ac:dyDescent="0.3">
      <c r="A81" s="73"/>
      <c r="B81" s="73"/>
      <c r="C81" s="73"/>
      <c r="D81" s="73"/>
      <c r="E81" s="73"/>
      <c r="F81" s="73"/>
      <c r="G81" s="73"/>
      <c r="H81" s="73"/>
      <c r="I81" s="73"/>
      <c r="J81" s="73"/>
      <c r="K81" s="73"/>
      <c r="L81" s="73"/>
      <c r="M81" s="73"/>
    </row>
    <row r="82" spans="1:13" ht="18.75" x14ac:dyDescent="0.3">
      <c r="A82" s="73"/>
      <c r="B82" s="73"/>
      <c r="C82" s="73"/>
      <c r="D82" s="73"/>
      <c r="E82" s="73"/>
      <c r="F82" s="73"/>
      <c r="G82" s="73"/>
      <c r="H82" s="73"/>
      <c r="I82" s="73"/>
      <c r="J82" s="73"/>
      <c r="K82" s="73"/>
      <c r="L82" s="73"/>
      <c r="M82" s="73"/>
    </row>
    <row r="83" spans="1:13" ht="18.75" x14ac:dyDescent="0.3">
      <c r="A83" s="73"/>
      <c r="B83" s="73"/>
      <c r="C83" s="73"/>
      <c r="D83" s="73"/>
      <c r="E83" s="73"/>
      <c r="F83" s="73"/>
      <c r="G83" s="73"/>
      <c r="H83" s="73"/>
      <c r="I83" s="73"/>
      <c r="J83" s="73"/>
      <c r="K83" s="73"/>
      <c r="L83" s="73"/>
      <c r="M83" s="73"/>
    </row>
    <row r="84" spans="1:13" ht="18.75" x14ac:dyDescent="0.3">
      <c r="A84" s="73"/>
      <c r="B84" s="73"/>
      <c r="C84" s="73"/>
      <c r="D84" s="73"/>
      <c r="E84" s="73"/>
      <c r="F84" s="73"/>
      <c r="G84" s="73"/>
      <c r="H84" s="73"/>
      <c r="I84" s="73"/>
      <c r="J84" s="73"/>
      <c r="K84" s="73"/>
      <c r="L84" s="73"/>
      <c r="M84" s="73"/>
    </row>
    <row r="85" spans="1:13" ht="18.75" x14ac:dyDescent="0.3">
      <c r="A85" s="73"/>
      <c r="B85" s="73"/>
      <c r="C85" s="73"/>
      <c r="D85" s="73"/>
      <c r="E85" s="73"/>
      <c r="F85" s="73"/>
      <c r="G85" s="73"/>
      <c r="H85" s="73"/>
      <c r="I85" s="73"/>
      <c r="J85" s="73"/>
      <c r="K85" s="73"/>
      <c r="L85" s="73"/>
      <c r="M85" s="73"/>
    </row>
    <row r="86" spans="1:13" ht="18.75" x14ac:dyDescent="0.3">
      <c r="A86" s="73"/>
      <c r="B86" s="73"/>
      <c r="C86" s="73"/>
      <c r="D86" s="73"/>
      <c r="E86" s="73"/>
      <c r="F86" s="73"/>
      <c r="G86" s="73"/>
      <c r="H86" s="73"/>
      <c r="I86" s="73"/>
      <c r="J86" s="73"/>
      <c r="K86" s="73"/>
      <c r="L86" s="73"/>
      <c r="M86" s="73"/>
    </row>
    <row r="87" spans="1:13" ht="18.75" x14ac:dyDescent="0.3">
      <c r="A87" s="73"/>
      <c r="B87" s="73"/>
      <c r="C87" s="73"/>
      <c r="D87" s="73"/>
      <c r="E87" s="73"/>
      <c r="F87" s="73"/>
      <c r="G87" s="73"/>
      <c r="H87" s="73"/>
      <c r="I87" s="73"/>
      <c r="J87" s="73"/>
      <c r="K87" s="73"/>
      <c r="L87" s="73"/>
      <c r="M87" s="73"/>
    </row>
    <row r="88" spans="1:13" ht="18.75" x14ac:dyDescent="0.3">
      <c r="A88" s="73"/>
      <c r="B88" s="73"/>
      <c r="C88" s="73"/>
      <c r="D88" s="73"/>
      <c r="E88" s="73"/>
      <c r="F88" s="73"/>
      <c r="G88" s="73"/>
      <c r="H88" s="73"/>
      <c r="I88" s="73"/>
      <c r="J88" s="73"/>
      <c r="K88" s="73"/>
      <c r="L88" s="73"/>
      <c r="M88" s="73"/>
    </row>
    <row r="89" spans="1:13" ht="18.75" x14ac:dyDescent="0.3">
      <c r="A89" s="73"/>
      <c r="B89" s="73"/>
      <c r="C89" s="73"/>
      <c r="D89" s="73"/>
      <c r="E89" s="73"/>
      <c r="F89" s="73"/>
      <c r="G89" s="73"/>
      <c r="H89" s="73"/>
      <c r="I89" s="73"/>
      <c r="J89" s="73"/>
      <c r="K89" s="73"/>
      <c r="L89" s="73"/>
      <c r="M89" s="73"/>
    </row>
    <row r="90" spans="1:13" ht="18.75" x14ac:dyDescent="0.3">
      <c r="A90" s="73"/>
      <c r="B90" s="73"/>
      <c r="C90" s="73"/>
      <c r="D90" s="73"/>
      <c r="E90" s="73"/>
      <c r="F90" s="73"/>
      <c r="G90" s="73"/>
      <c r="H90" s="73"/>
      <c r="I90" s="73"/>
      <c r="J90" s="73"/>
      <c r="K90" s="73"/>
      <c r="L90" s="73"/>
      <c r="M90" s="73"/>
    </row>
    <row r="91" spans="1:13" ht="18.75" x14ac:dyDescent="0.3">
      <c r="A91" s="73"/>
      <c r="B91" s="73"/>
      <c r="C91" s="73"/>
      <c r="D91" s="73"/>
      <c r="E91" s="73"/>
      <c r="F91" s="73"/>
      <c r="G91" s="73"/>
      <c r="H91" s="73"/>
      <c r="I91" s="73"/>
      <c r="J91" s="73"/>
      <c r="K91" s="73"/>
      <c r="L91" s="73"/>
      <c r="M91" s="73"/>
    </row>
    <row r="92" spans="1:13" ht="18.75" x14ac:dyDescent="0.3">
      <c r="A92" s="73"/>
      <c r="B92" s="73"/>
      <c r="C92" s="73"/>
      <c r="D92" s="73"/>
      <c r="E92" s="73"/>
      <c r="F92" s="73"/>
      <c r="G92" s="73"/>
      <c r="H92" s="73"/>
      <c r="I92" s="73"/>
      <c r="J92" s="73"/>
      <c r="K92" s="73"/>
      <c r="L92" s="73"/>
      <c r="M92" s="73"/>
    </row>
    <row r="93" spans="1:13" ht="18.75" x14ac:dyDescent="0.3">
      <c r="A93" s="73"/>
      <c r="B93" s="73"/>
      <c r="C93" s="73"/>
      <c r="D93" s="73"/>
      <c r="E93" s="73"/>
      <c r="F93" s="73"/>
      <c r="G93" s="73"/>
      <c r="H93" s="73"/>
      <c r="I93" s="73"/>
      <c r="J93" s="73"/>
      <c r="K93" s="73"/>
      <c r="L93" s="73"/>
      <c r="M93" s="73"/>
    </row>
    <row r="94" spans="1:13" ht="18.75" x14ac:dyDescent="0.3">
      <c r="A94" s="73"/>
      <c r="B94" s="73"/>
      <c r="C94" s="73"/>
      <c r="D94" s="73"/>
      <c r="E94" s="73"/>
      <c r="F94" s="73"/>
      <c r="G94" s="73"/>
      <c r="H94" s="73"/>
      <c r="I94" s="73"/>
      <c r="J94" s="73"/>
      <c r="K94" s="73"/>
      <c r="L94" s="73"/>
      <c r="M94" s="73"/>
    </row>
    <row r="95" spans="1:13" ht="18.75" x14ac:dyDescent="0.3">
      <c r="A95" s="73"/>
      <c r="B95" s="73"/>
      <c r="C95" s="73"/>
      <c r="D95" s="73"/>
      <c r="E95" s="73"/>
      <c r="F95" s="73"/>
      <c r="G95" s="73"/>
      <c r="H95" s="73"/>
      <c r="I95" s="73"/>
      <c r="J95" s="73"/>
      <c r="K95" s="73"/>
      <c r="L95" s="73"/>
      <c r="M95" s="73"/>
    </row>
    <row r="96" spans="1:13" ht="18.75" x14ac:dyDescent="0.3">
      <c r="A96" s="73"/>
      <c r="B96" s="73"/>
      <c r="C96" s="73"/>
      <c r="D96" s="73"/>
      <c r="E96" s="73"/>
      <c r="F96" s="73"/>
      <c r="G96" s="73"/>
      <c r="H96" s="73"/>
      <c r="I96" s="73"/>
      <c r="J96" s="73"/>
      <c r="K96" s="73"/>
      <c r="L96" s="73"/>
      <c r="M96" s="73"/>
    </row>
    <row r="97" spans="1:13" ht="18.75" x14ac:dyDescent="0.3">
      <c r="A97" s="73"/>
      <c r="B97" s="73"/>
      <c r="C97" s="73"/>
      <c r="D97" s="73"/>
      <c r="E97" s="73"/>
      <c r="F97" s="73"/>
      <c r="G97" s="73"/>
      <c r="H97" s="73"/>
      <c r="I97" s="73"/>
      <c r="J97" s="73"/>
      <c r="K97" s="73"/>
      <c r="L97" s="73"/>
      <c r="M97" s="73"/>
    </row>
    <row r="98" spans="1:13" ht="18.75" x14ac:dyDescent="0.3">
      <c r="A98" s="73"/>
      <c r="B98" s="73"/>
      <c r="C98" s="73"/>
      <c r="D98" s="73"/>
      <c r="E98" s="73"/>
      <c r="F98" s="73"/>
      <c r="G98" s="73"/>
      <c r="H98" s="73"/>
      <c r="I98" s="73"/>
      <c r="J98" s="73"/>
      <c r="K98" s="73"/>
      <c r="L98" s="73"/>
      <c r="M98" s="73"/>
    </row>
    <row r="99" spans="1:13" ht="18.75" x14ac:dyDescent="0.3">
      <c r="A99" s="73"/>
      <c r="B99" s="73"/>
      <c r="C99" s="73"/>
      <c r="D99" s="73"/>
      <c r="E99" s="73"/>
      <c r="F99" s="73"/>
      <c r="G99" s="73"/>
      <c r="H99" s="73"/>
      <c r="I99" s="73"/>
      <c r="J99" s="73"/>
      <c r="K99" s="73"/>
      <c r="L99" s="73"/>
      <c r="M99" s="73"/>
    </row>
    <row r="100" spans="1:13" ht="18.75" x14ac:dyDescent="0.3">
      <c r="A100" s="73"/>
      <c r="B100" s="73"/>
      <c r="C100" s="73"/>
      <c r="D100" s="73"/>
      <c r="E100" s="73"/>
      <c r="F100" s="73"/>
      <c r="G100" s="73"/>
      <c r="H100" s="73"/>
      <c r="I100" s="73"/>
      <c r="J100" s="73"/>
      <c r="K100" s="73"/>
      <c r="L100" s="73"/>
      <c r="M100" s="73"/>
    </row>
    <row r="101" spans="1:13" ht="18.75" x14ac:dyDescent="0.3">
      <c r="A101" s="73"/>
      <c r="B101" s="73"/>
      <c r="C101" s="73"/>
      <c r="D101" s="73"/>
      <c r="E101" s="73"/>
      <c r="F101" s="73"/>
      <c r="G101" s="73"/>
      <c r="H101" s="73"/>
      <c r="I101" s="73"/>
      <c r="J101" s="73"/>
      <c r="K101" s="73"/>
      <c r="L101" s="73"/>
      <c r="M101" s="73"/>
    </row>
    <row r="102" spans="1:13" ht="18.75" x14ac:dyDescent="0.3">
      <c r="A102" s="73"/>
      <c r="B102" s="73"/>
      <c r="C102" s="73"/>
      <c r="D102" s="73"/>
      <c r="E102" s="73"/>
      <c r="F102" s="73"/>
      <c r="G102" s="73"/>
      <c r="H102" s="73"/>
      <c r="I102" s="73"/>
      <c r="J102" s="73"/>
      <c r="K102" s="73"/>
      <c r="L102" s="73"/>
      <c r="M102" s="73"/>
    </row>
    <row r="103" spans="1:13" ht="18.75" x14ac:dyDescent="0.3">
      <c r="A103" s="73"/>
      <c r="B103" s="73"/>
      <c r="C103" s="73"/>
      <c r="D103" s="73"/>
      <c r="E103" s="73"/>
      <c r="F103" s="73"/>
      <c r="G103" s="73"/>
      <c r="H103" s="73"/>
      <c r="I103" s="73"/>
      <c r="J103" s="73"/>
      <c r="K103" s="73"/>
      <c r="L103" s="73"/>
      <c r="M103" s="73"/>
    </row>
    <row r="104" spans="1:13" ht="18.75" x14ac:dyDescent="0.3">
      <c r="A104" s="73"/>
      <c r="B104" s="73"/>
      <c r="C104" s="73"/>
      <c r="D104" s="73"/>
      <c r="E104" s="73"/>
      <c r="F104" s="73"/>
      <c r="G104" s="73"/>
      <c r="H104" s="73"/>
      <c r="I104" s="73"/>
      <c r="J104" s="73"/>
      <c r="K104" s="73"/>
      <c r="L104" s="73"/>
      <c r="M104" s="73"/>
    </row>
    <row r="105" spans="1:13" ht="18.75" x14ac:dyDescent="0.3">
      <c r="A105" s="73"/>
      <c r="B105" s="73"/>
      <c r="C105" s="73"/>
      <c r="D105" s="73"/>
      <c r="E105" s="73"/>
      <c r="F105" s="73"/>
      <c r="G105" s="73"/>
      <c r="H105" s="73"/>
      <c r="I105" s="73"/>
      <c r="J105" s="73"/>
      <c r="K105" s="73"/>
      <c r="L105" s="73"/>
      <c r="M105" s="73"/>
    </row>
    <row r="106" spans="1:13" ht="18.75" x14ac:dyDescent="0.3">
      <c r="A106" s="73"/>
      <c r="B106" s="73"/>
      <c r="C106" s="73"/>
      <c r="D106" s="73"/>
      <c r="E106" s="73"/>
      <c r="F106" s="73"/>
      <c r="G106" s="73"/>
      <c r="H106" s="73"/>
      <c r="I106" s="73"/>
      <c r="J106" s="73"/>
      <c r="K106" s="73"/>
      <c r="L106" s="73"/>
      <c r="M106" s="73"/>
    </row>
    <row r="107" spans="1:13" ht="18.75" x14ac:dyDescent="0.3">
      <c r="A107" s="73"/>
      <c r="B107" s="73"/>
      <c r="C107" s="73"/>
      <c r="D107" s="73"/>
      <c r="E107" s="73"/>
      <c r="F107" s="73"/>
      <c r="G107" s="73"/>
      <c r="H107" s="73"/>
      <c r="I107" s="73"/>
      <c r="J107" s="73"/>
      <c r="K107" s="73"/>
      <c r="L107" s="73"/>
      <c r="M107" s="73"/>
    </row>
    <row r="108" spans="1:13" ht="18.75" x14ac:dyDescent="0.3">
      <c r="A108" s="73"/>
      <c r="B108" s="73"/>
      <c r="C108" s="73"/>
      <c r="D108" s="73"/>
      <c r="E108" s="73"/>
      <c r="F108" s="73"/>
      <c r="G108" s="73"/>
      <c r="H108" s="73"/>
      <c r="I108" s="73"/>
      <c r="J108" s="73"/>
      <c r="K108" s="73"/>
      <c r="L108" s="73"/>
      <c r="M108" s="73"/>
    </row>
    <row r="109" spans="1:13" ht="18.75" x14ac:dyDescent="0.3">
      <c r="A109" s="73"/>
      <c r="B109" s="73"/>
      <c r="C109" s="73"/>
      <c r="D109" s="73"/>
      <c r="E109" s="73"/>
      <c r="F109" s="73"/>
      <c r="G109" s="73"/>
      <c r="H109" s="73"/>
      <c r="I109" s="73"/>
      <c r="J109" s="73"/>
      <c r="K109" s="73"/>
      <c r="L109" s="73"/>
      <c r="M109" s="73"/>
    </row>
    <row r="110" spans="1:13" ht="18.75" x14ac:dyDescent="0.3">
      <c r="A110" s="73"/>
      <c r="B110" s="73"/>
      <c r="C110" s="73"/>
      <c r="D110" s="73"/>
      <c r="E110" s="73"/>
      <c r="F110" s="73"/>
      <c r="G110" s="73"/>
      <c r="H110" s="73"/>
      <c r="I110" s="73"/>
      <c r="J110" s="73"/>
      <c r="K110" s="73"/>
      <c r="L110" s="73"/>
      <c r="M110" s="73"/>
    </row>
    <row r="111" spans="1:13" ht="18.75" x14ac:dyDescent="0.3">
      <c r="A111" s="73"/>
      <c r="B111" s="73"/>
      <c r="C111" s="73"/>
      <c r="D111" s="73"/>
      <c r="E111" s="73"/>
      <c r="F111" s="73"/>
      <c r="G111" s="73"/>
      <c r="H111" s="73"/>
      <c r="I111" s="73"/>
      <c r="J111" s="73"/>
      <c r="K111" s="73"/>
      <c r="L111" s="73"/>
      <c r="M111" s="73"/>
    </row>
    <row r="112" spans="1:13" ht="18.75" x14ac:dyDescent="0.3">
      <c r="A112" s="73"/>
      <c r="B112" s="73"/>
      <c r="C112" s="73"/>
      <c r="D112" s="73"/>
      <c r="E112" s="73"/>
      <c r="F112" s="73"/>
      <c r="G112" s="73"/>
      <c r="H112" s="73"/>
      <c r="I112" s="73"/>
      <c r="J112" s="73"/>
      <c r="K112" s="73"/>
      <c r="L112" s="73"/>
      <c r="M112" s="73"/>
    </row>
    <row r="113" spans="1:13" ht="18.75" x14ac:dyDescent="0.3">
      <c r="A113" s="73"/>
      <c r="B113" s="73"/>
      <c r="C113" s="73"/>
      <c r="D113" s="73"/>
      <c r="E113" s="73"/>
      <c r="F113" s="73"/>
      <c r="G113" s="73"/>
      <c r="H113" s="73"/>
      <c r="I113" s="73"/>
      <c r="J113" s="73"/>
      <c r="K113" s="73"/>
      <c r="L113" s="73"/>
      <c r="M113" s="73"/>
    </row>
    <row r="114" spans="1:13" ht="18.75" x14ac:dyDescent="0.3">
      <c r="A114" s="73"/>
      <c r="B114" s="73"/>
      <c r="C114" s="73"/>
      <c r="D114" s="73"/>
      <c r="E114" s="73"/>
      <c r="F114" s="73"/>
      <c r="G114" s="73"/>
      <c r="H114" s="73"/>
      <c r="I114" s="73"/>
      <c r="J114" s="73"/>
      <c r="K114" s="73"/>
      <c r="L114" s="73"/>
      <c r="M114" s="73"/>
    </row>
    <row r="115" spans="1:13" ht="18.75" x14ac:dyDescent="0.3">
      <c r="A115" s="73"/>
      <c r="B115" s="73"/>
      <c r="C115" s="73"/>
      <c r="D115" s="73"/>
      <c r="E115" s="73"/>
      <c r="F115" s="73"/>
      <c r="G115" s="73"/>
      <c r="H115" s="73"/>
      <c r="I115" s="73"/>
      <c r="J115" s="73"/>
      <c r="K115" s="73"/>
      <c r="L115" s="73"/>
      <c r="M115" s="73"/>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42578125" defaultRowHeight="18" x14ac:dyDescent="0.25"/>
  <cols>
    <col min="1" max="1" width="35.7109375" style="80" customWidth="1"/>
    <col min="2" max="2" width="18.28515625" style="80" customWidth="1"/>
    <col min="3" max="3" width="17.7109375" style="80" customWidth="1"/>
    <col min="4" max="4" width="11.7109375" style="80" customWidth="1"/>
    <col min="5" max="5" width="4.7109375" style="80" customWidth="1"/>
    <col min="6" max="7" width="13" style="80" customWidth="1"/>
    <col min="8" max="8" width="11.7109375" style="80" customWidth="1"/>
    <col min="9" max="9" width="12.42578125" style="80" customWidth="1"/>
    <col min="10" max="10" width="11.42578125" style="80"/>
    <col min="11" max="12" width="17.28515625" style="80" bestFit="1" customWidth="1"/>
    <col min="13" max="16384" width="11.42578125" style="80"/>
  </cols>
  <sheetData>
    <row r="1" spans="1:10" ht="18.75" customHeight="1" x14ac:dyDescent="0.3">
      <c r="A1" s="79" t="s">
        <v>76</v>
      </c>
      <c r="B1" s="72" t="s">
        <v>52</v>
      </c>
      <c r="C1" s="79"/>
      <c r="D1" s="79"/>
      <c r="E1" s="79"/>
      <c r="F1" s="73"/>
      <c r="G1" s="73"/>
      <c r="H1" s="73"/>
      <c r="I1" s="73"/>
      <c r="J1" s="73"/>
    </row>
    <row r="2" spans="1:10" ht="20.100000000000001" customHeight="1" x14ac:dyDescent="0.3">
      <c r="A2" s="79" t="s">
        <v>158</v>
      </c>
      <c r="B2" s="79"/>
      <c r="C2" s="79"/>
      <c r="D2" s="79"/>
      <c r="E2" s="79"/>
      <c r="F2" s="73"/>
      <c r="G2" s="73"/>
      <c r="H2" s="73"/>
      <c r="I2" s="73"/>
      <c r="J2" s="73"/>
    </row>
    <row r="3" spans="1:10" ht="20.100000000000001" customHeight="1" x14ac:dyDescent="0.3">
      <c r="A3" s="74"/>
      <c r="B3" s="74"/>
      <c r="C3" s="74"/>
      <c r="D3" s="74"/>
      <c r="E3" s="254"/>
      <c r="F3" s="73"/>
      <c r="G3" s="73"/>
      <c r="H3" s="73"/>
      <c r="I3" s="73"/>
      <c r="J3" s="73"/>
    </row>
    <row r="4" spans="1:10" ht="20.100000000000001" customHeight="1" x14ac:dyDescent="0.3">
      <c r="A4" s="255"/>
      <c r="B4" s="763" t="s">
        <v>159</v>
      </c>
      <c r="C4" s="763"/>
      <c r="D4" s="764"/>
      <c r="E4" s="88"/>
      <c r="F4" s="765" t="s">
        <v>159</v>
      </c>
      <c r="G4" s="763"/>
      <c r="H4" s="764"/>
      <c r="I4" s="73"/>
      <c r="J4" s="73"/>
    </row>
    <row r="5" spans="1:10" ht="18.75" customHeight="1" x14ac:dyDescent="0.3">
      <c r="A5" s="256" t="s">
        <v>416</v>
      </c>
      <c r="B5" s="766" t="s">
        <v>160</v>
      </c>
      <c r="C5" s="767"/>
      <c r="D5" s="768"/>
      <c r="E5" s="257"/>
      <c r="F5" s="769" t="s">
        <v>161</v>
      </c>
      <c r="G5" s="770"/>
      <c r="H5" s="771"/>
      <c r="I5" s="111"/>
      <c r="J5" s="73"/>
    </row>
    <row r="6" spans="1:10" ht="18.75" customHeight="1" x14ac:dyDescent="0.3">
      <c r="A6" s="121"/>
      <c r="B6" s="119"/>
      <c r="C6" s="190"/>
      <c r="D6" s="258" t="s">
        <v>80</v>
      </c>
      <c r="E6" s="258"/>
      <c r="F6" s="122"/>
      <c r="G6" s="123"/>
      <c r="H6" s="93" t="s">
        <v>80</v>
      </c>
      <c r="I6" s="99"/>
      <c r="J6" s="73"/>
    </row>
    <row r="7" spans="1:10" ht="18.75" customHeight="1" x14ac:dyDescent="0.3">
      <c r="A7" s="125"/>
      <c r="B7" s="96">
        <v>2020</v>
      </c>
      <c r="C7" s="96">
        <v>2021</v>
      </c>
      <c r="D7" s="259" t="s">
        <v>82</v>
      </c>
      <c r="E7" s="258"/>
      <c r="F7" s="96">
        <v>2020</v>
      </c>
      <c r="G7" s="126">
        <v>2021</v>
      </c>
      <c r="H7" s="260" t="s">
        <v>82</v>
      </c>
      <c r="I7" s="99"/>
      <c r="J7" s="73"/>
    </row>
    <row r="8" spans="1:10" ht="18.75" customHeight="1" x14ac:dyDescent="0.3">
      <c r="A8" s="100" t="s">
        <v>162</v>
      </c>
      <c r="B8" s="108">
        <f>SUM(B9:B14)</f>
        <v>160026.82253926</v>
      </c>
      <c r="C8" s="108">
        <f>SUM(C9:C14)</f>
        <v>181739.17935821999</v>
      </c>
      <c r="D8" s="261">
        <f t="shared" ref="D8:D38" si="0">IF(B8=0, "    ---- ", IF(ABS(ROUND(100/B8*C8-100,1))&lt;999,ROUND(100/B8*C8-100,1),IF(ROUND(100/B8*C8-100,1)&gt;999,999,-999)))</f>
        <v>13.6</v>
      </c>
      <c r="E8" s="262"/>
      <c r="F8" s="261">
        <f>SUM(F9:F14)</f>
        <v>100</v>
      </c>
      <c r="G8" s="261">
        <f>SUM(G9:G14)</f>
        <v>100</v>
      </c>
      <c r="H8" s="262">
        <f t="shared" ref="H8:H38" si="1">IF(F8=0, "    ---- ", IF(ABS(ROUND(100/F8*G8-100,1))&lt;999,ROUND(100/F8*G8-100,1),IF(ROUND(100/F8*G8-100,1)&gt;999,999,-999)))</f>
        <v>0</v>
      </c>
      <c r="I8" s="103"/>
      <c r="J8" s="73"/>
    </row>
    <row r="9" spans="1:10" ht="18.75" customHeight="1" x14ac:dyDescent="0.3">
      <c r="A9" s="85" t="s">
        <v>163</v>
      </c>
      <c r="B9" s="105">
        <f>'Tabell 6'!AO21</f>
        <v>3049.8225584500001</v>
      </c>
      <c r="C9" s="105">
        <f>'Tabell 6'!AP21</f>
        <v>4478.4544352299999</v>
      </c>
      <c r="D9" s="263">
        <f t="shared" si="0"/>
        <v>46.8</v>
      </c>
      <c r="E9" s="263"/>
      <c r="F9" s="263">
        <f>'Tabell 6'!AO21/'Tabell 6'!AO29*100</f>
        <v>1.90581960577376</v>
      </c>
      <c r="G9" s="263">
        <f>'Tabell 6'!AP21/'Tabell 6'!AP29*100</f>
        <v>2.4642206766008714</v>
      </c>
      <c r="H9" s="264">
        <f t="shared" si="1"/>
        <v>29.3</v>
      </c>
      <c r="I9" s="103"/>
      <c r="J9" s="76"/>
    </row>
    <row r="10" spans="1:10" ht="18.75" customHeight="1" x14ac:dyDescent="0.3">
      <c r="A10" s="85" t="s">
        <v>164</v>
      </c>
      <c r="B10" s="104">
        <f>'Tabell 6'!AO18+'Tabell 6'!AO22</f>
        <v>74467.230220330006</v>
      </c>
      <c r="C10" s="104">
        <f>'Tabell 6'!AP18+'Tabell 6'!AP22</f>
        <v>77302.712313319993</v>
      </c>
      <c r="D10" s="263">
        <f t="shared" si="0"/>
        <v>3.8</v>
      </c>
      <c r="E10" s="263"/>
      <c r="F10" s="263">
        <f>('Tabell 6'!AO18+'Tabell 6'!AO22)/'Tabell 6'!AO29*100</f>
        <v>46.534217850923497</v>
      </c>
      <c r="G10" s="263">
        <f>('Tabell 6'!AP18+'Tabell 6'!AP22)/'Tabell 6'!AP29*100</f>
        <v>42.534973793928721</v>
      </c>
      <c r="H10" s="264">
        <f t="shared" si="1"/>
        <v>-8.6</v>
      </c>
      <c r="I10" s="103"/>
      <c r="J10" s="73"/>
    </row>
    <row r="11" spans="1:10" ht="18.75" customHeight="1" x14ac:dyDescent="0.3">
      <c r="A11" s="85" t="s">
        <v>165</v>
      </c>
      <c r="B11" s="104">
        <f>'Tabell 6'!AO14</f>
        <v>979.70500874999993</v>
      </c>
      <c r="C11" s="104">
        <f>'Tabell 6'!AP14</f>
        <v>1007.84924075</v>
      </c>
      <c r="D11" s="263">
        <f t="shared" si="0"/>
        <v>2.9</v>
      </c>
      <c r="E11" s="263"/>
      <c r="F11" s="263">
        <f>'Tabell 6'!AO14/'Tabell 6'!AO29*100</f>
        <v>0.61221299854881817</v>
      </c>
      <c r="G11" s="263">
        <f>'Tabell 6'!AP14/'Tabell 6'!AP29*100</f>
        <v>0.55455804538627429</v>
      </c>
      <c r="H11" s="264">
        <f t="shared" si="1"/>
        <v>-9.4</v>
      </c>
      <c r="I11" s="103"/>
      <c r="J11" s="73"/>
    </row>
    <row r="12" spans="1:10" ht="18.75" customHeight="1" x14ac:dyDescent="0.3">
      <c r="A12" s="107" t="s">
        <v>166</v>
      </c>
      <c r="B12" s="104">
        <f>'Tabell 6'!AO15</f>
        <v>25747.487063680001</v>
      </c>
      <c r="C12" s="104">
        <f>'Tabell 6'!AP15</f>
        <v>25884.877783080003</v>
      </c>
      <c r="D12" s="265">
        <f t="shared" si="0"/>
        <v>0.5</v>
      </c>
      <c r="E12" s="265"/>
      <c r="F12" s="263">
        <f>'Tabell 6'!AO15/'Tabell 6'!AO29*100</f>
        <v>16.08948216000681</v>
      </c>
      <c r="G12" s="263">
        <f>'Tabell 6'!AP15/'Tabell 6'!AP29*100</f>
        <v>14.242871501064275</v>
      </c>
      <c r="H12" s="264">
        <f t="shared" si="1"/>
        <v>-11.5</v>
      </c>
      <c r="I12" s="103"/>
      <c r="J12" s="73"/>
    </row>
    <row r="13" spans="1:10" ht="18.75" customHeight="1" x14ac:dyDescent="0.3">
      <c r="A13" s="85" t="s">
        <v>167</v>
      </c>
      <c r="B13" s="104">
        <f>'Tabell 6'!AO19+'Tabell 6'!AO23</f>
        <v>32914.82045829</v>
      </c>
      <c r="C13" s="104">
        <f>'Tabell 6'!AP19+'Tabell 6'!AP23</f>
        <v>30827.373330820003</v>
      </c>
      <c r="D13" s="263">
        <f t="shared" si="0"/>
        <v>-6.3</v>
      </c>
      <c r="E13" s="263"/>
      <c r="F13" s="263">
        <f>('Tabell 6'!AO19+'Tabell 6'!AO23)/'Tabell 6'!AO29*100</f>
        <v>20.56831469625342</v>
      </c>
      <c r="G13" s="263">
        <f>('Tabell 6'!AP19+'Tabell 6'!AP23)/'Tabell 6'!AP29*100</f>
        <v>16.962425735431104</v>
      </c>
      <c r="H13" s="264">
        <f t="shared" si="1"/>
        <v>-17.5</v>
      </c>
      <c r="I13" s="103"/>
      <c r="J13" s="73"/>
    </row>
    <row r="14" spans="1:10" ht="18.75" customHeight="1" x14ac:dyDescent="0.3">
      <c r="A14" s="85" t="s">
        <v>168</v>
      </c>
      <c r="B14" s="175">
        <f>'Tabell 6'!AO17-'Tabell 6'!AO18+'Tabell 6'!AO24+'Tabell 6'!AO25+'Tabell 6'!AO26+'Tabell 6'!AO28</f>
        <v>22867.757229759998</v>
      </c>
      <c r="C14" s="175">
        <f>'Tabell 6'!AP17-'Tabell 6'!AP18+'Tabell 6'!AP24+'Tabell 6'!AP25+'Tabell 6'!AP26+'Tabell 6'!AP28</f>
        <v>42237.912255020005</v>
      </c>
      <c r="D14" s="263">
        <f t="shared" si="0"/>
        <v>84.7</v>
      </c>
      <c r="E14" s="263"/>
      <c r="F14" s="263">
        <f>('Tabell 6'!AO17-'Tabell 6'!AO18+'Tabell 6'!AO24+'Tabell 6'!AO25+'Tabell 6'!AO26+'Tabell 6'!AO28)/'Tabell 6'!AO29*100</f>
        <v>14.289952688493679</v>
      </c>
      <c r="G14" s="263">
        <f>('Tabell 6'!AP17-'Tabell 6'!AP18+'Tabell 6'!AP24+'Tabell 6'!AP25+'Tabell 6'!AP26+'Tabell 6'!AP28)/'Tabell 6'!AP29*100</f>
        <v>23.240950247588756</v>
      </c>
      <c r="H14" s="264">
        <f t="shared" si="1"/>
        <v>62.6</v>
      </c>
      <c r="I14" s="103"/>
      <c r="J14" s="73"/>
    </row>
    <row r="15" spans="1:10" ht="18.75" customHeight="1" x14ac:dyDescent="0.3">
      <c r="A15" s="191"/>
      <c r="B15" s="102"/>
      <c r="C15" s="175"/>
      <c r="D15" s="264"/>
      <c r="E15" s="264"/>
      <c r="F15" s="264"/>
      <c r="G15" s="263"/>
      <c r="H15" s="264"/>
      <c r="I15" s="103"/>
      <c r="J15" s="73"/>
    </row>
    <row r="16" spans="1:10" s="134" customFormat="1" ht="18.75" customHeight="1" x14ac:dyDescent="0.3">
      <c r="A16" s="100" t="s">
        <v>169</v>
      </c>
      <c r="B16" s="108">
        <f>SUM(B17:B22)</f>
        <v>1167029.8760336998</v>
      </c>
      <c r="C16" s="108">
        <f>SUM(C17:C22)</f>
        <v>1237940.0141490898</v>
      </c>
      <c r="D16" s="261">
        <f t="shared" si="0"/>
        <v>6.1</v>
      </c>
      <c r="E16" s="261"/>
      <c r="F16" s="261">
        <f>SUM(F17:F22)</f>
        <v>100.00000000000001</v>
      </c>
      <c r="G16" s="261">
        <f>SUM(G17:G22)</f>
        <v>99.999999999999986</v>
      </c>
      <c r="H16" s="262">
        <f t="shared" si="1"/>
        <v>0</v>
      </c>
      <c r="I16" s="109"/>
      <c r="J16" s="74"/>
    </row>
    <row r="17" spans="1:10" ht="18.75" customHeight="1" x14ac:dyDescent="0.3">
      <c r="A17" s="85" t="s">
        <v>163</v>
      </c>
      <c r="B17" s="102">
        <f>'Tabell 6'!AO40</f>
        <v>172073.20513133</v>
      </c>
      <c r="C17" s="102">
        <f>'Tabell 6'!AP40</f>
        <v>239949.12301869004</v>
      </c>
      <c r="D17" s="263">
        <f t="shared" si="0"/>
        <v>39.4</v>
      </c>
      <c r="E17" s="263"/>
      <c r="F17" s="263">
        <f>'Tabell 6'!AO40/('Tabell 6'!AO45+'Tabell 6'!AO46)*100</f>
        <v>14.744541563592422</v>
      </c>
      <c r="G17" s="263">
        <f>'Tabell 6'!AP40/('Tabell 6'!AP45+'Tabell 6'!AP46)*100</f>
        <v>19.382936190460036</v>
      </c>
      <c r="H17" s="264">
        <f t="shared" si="1"/>
        <v>31.5</v>
      </c>
      <c r="I17" s="103"/>
      <c r="J17" s="73"/>
    </row>
    <row r="18" spans="1:10" ht="18.75" customHeight="1" x14ac:dyDescent="0.3">
      <c r="A18" s="85" t="s">
        <v>164</v>
      </c>
      <c r="B18" s="102">
        <f>'Tabell 6'!AO37+'Tabell 6'!AO41</f>
        <v>356082.16913632996</v>
      </c>
      <c r="C18" s="102">
        <f>'Tabell 6'!AP37+'Tabell 6'!AP41</f>
        <v>343581.06546021998</v>
      </c>
      <c r="D18" s="263">
        <f t="shared" si="0"/>
        <v>-3.5</v>
      </c>
      <c r="E18" s="263"/>
      <c r="F18" s="263">
        <f>('Tabell 6'!AO37+'Tabell 6'!AO41)/('Tabell 6'!AO45+'Tabell 6'!AO46)*100</f>
        <v>30.511829769647431</v>
      </c>
      <c r="G18" s="263">
        <f>('Tabell 6'!AP37+'Tabell 6'!AP41)/('Tabell 6'!AP45+'Tabell 6'!AP46)*100</f>
        <v>27.754258003881048</v>
      </c>
      <c r="H18" s="264">
        <f t="shared" si="1"/>
        <v>-9</v>
      </c>
      <c r="I18" s="103"/>
      <c r="J18" s="73"/>
    </row>
    <row r="19" spans="1:10" ht="18.75" customHeight="1" x14ac:dyDescent="0.3">
      <c r="A19" s="85" t="s">
        <v>165</v>
      </c>
      <c r="B19" s="102">
        <f>'Tabell 6'!AO33</f>
        <v>22.243001969999998</v>
      </c>
      <c r="C19" s="102">
        <f>'Tabell 6'!AP33</f>
        <v>19.310409679999999</v>
      </c>
      <c r="D19" s="263">
        <f t="shared" si="0"/>
        <v>-13.2</v>
      </c>
      <c r="E19" s="263"/>
      <c r="F19" s="263">
        <f>'Tabell 6'!AO33/('Tabell 6'!AO45+'Tabell 6'!AO46)*100</f>
        <v>1.9059496613399206E-3</v>
      </c>
      <c r="G19" s="263">
        <f>'Tabell 6'!AP33/('Tabell 6'!AP45+'Tabell 6'!AP46)*100</f>
        <v>1.559882503133498E-3</v>
      </c>
      <c r="H19" s="264">
        <f t="shared" si="1"/>
        <v>-18.2</v>
      </c>
      <c r="I19" s="103"/>
      <c r="J19" s="73"/>
    </row>
    <row r="20" spans="1:10" ht="18.75" customHeight="1" x14ac:dyDescent="0.3">
      <c r="A20" s="107" t="s">
        <v>166</v>
      </c>
      <c r="B20" s="104">
        <f>'Tabell 6'!AO34</f>
        <v>160949.43602965999</v>
      </c>
      <c r="C20" s="104">
        <f>'Tabell 6'!AP34</f>
        <v>168275.22349696001</v>
      </c>
      <c r="D20" s="265">
        <f t="shared" si="0"/>
        <v>4.5999999999999996</v>
      </c>
      <c r="E20" s="265"/>
      <c r="F20" s="263">
        <f>'Tabell 6'!AO34/('Tabell 6'!AO45+'Tabell 6'!AO46)*100</f>
        <v>13.791372383427511</v>
      </c>
      <c r="G20" s="263">
        <f>'Tabell 6'!AP34/('Tabell 6'!AP45+'Tabell 6'!AP46)*100</f>
        <v>13.593164577738094</v>
      </c>
      <c r="H20" s="264">
        <f t="shared" si="1"/>
        <v>-1.4</v>
      </c>
      <c r="I20" s="103"/>
      <c r="J20" s="73"/>
    </row>
    <row r="21" spans="1:10" ht="18.75" customHeight="1" x14ac:dyDescent="0.3">
      <c r="A21" s="85" t="s">
        <v>167</v>
      </c>
      <c r="B21" s="102">
        <f>'Tabell 6'!AO38+'Tabell 6'!AO42</f>
        <v>456618.35331361991</v>
      </c>
      <c r="C21" s="102">
        <f>'Tabell 6'!AP38+'Tabell 6'!AP42</f>
        <v>472117.98134526983</v>
      </c>
      <c r="D21" s="263">
        <f t="shared" si="0"/>
        <v>3.4</v>
      </c>
      <c r="E21" s="263"/>
      <c r="F21" s="263">
        <f>('Tabell 6'!AO38+'Tabell 6'!AO42)/('Tabell 6'!AO45+'Tabell 6'!AO46)*100</f>
        <v>39.126535034860957</v>
      </c>
      <c r="G21" s="263">
        <f>('Tabell 6'!AP38+'Tabell 6'!AP42)/('Tabell 6'!AP45+'Tabell 6'!AP46)*100</f>
        <v>38.137387591416108</v>
      </c>
      <c r="H21" s="264">
        <f t="shared" si="1"/>
        <v>-2.5</v>
      </c>
      <c r="I21" s="103"/>
      <c r="J21" s="73"/>
    </row>
    <row r="22" spans="1:10" ht="18.75" customHeight="1" x14ac:dyDescent="0.3">
      <c r="A22" s="191" t="s">
        <v>168</v>
      </c>
      <c r="B22" s="102">
        <f>'Tabell 6'!AO36-'Tabell 6'!AO37+'Tabell 6'!AO43+'Tabell 6'!AO44+'Tabell 6'!AO46</f>
        <v>21284.469420790021</v>
      </c>
      <c r="C22" s="102">
        <f>'Tabell 6'!AP36-'Tabell 6'!AP37+'Tabell 6'!AP43+'Tabell 6'!AP44+'Tabell 6'!AP46</f>
        <v>13997.31041826999</v>
      </c>
      <c r="D22" s="263">
        <f t="shared" si="0"/>
        <v>-34.200000000000003</v>
      </c>
      <c r="E22" s="263"/>
      <c r="F22" s="264">
        <f>('Tabell 6'!AO36-'Tabell 6'!AO37+'Tabell 6'!AO43+'Tabell 6'!AO44+'Tabell 6'!AO46)/('Tabell 6'!AO45+'Tabell 6'!AO46)*100</f>
        <v>1.8238152988103451</v>
      </c>
      <c r="G22" s="264">
        <f>('Tabell 6'!AP36-'Tabell 6'!AP37+'Tabell 6'!AP43+'Tabell 6'!AP44+'Tabell 6'!AP46)/('Tabell 6'!AP45+'Tabell 6'!AP46)*100</f>
        <v>1.1306937540015765</v>
      </c>
      <c r="H22" s="264">
        <f t="shared" si="1"/>
        <v>-38</v>
      </c>
      <c r="I22" s="103"/>
      <c r="J22" s="73"/>
    </row>
    <row r="23" spans="1:10" ht="18.75" customHeight="1" x14ac:dyDescent="0.3">
      <c r="A23" s="85"/>
      <c r="B23" s="175"/>
      <c r="C23" s="175"/>
      <c r="D23" s="264"/>
      <c r="E23" s="263"/>
      <c r="F23" s="263"/>
      <c r="G23" s="264"/>
      <c r="H23" s="264"/>
      <c r="I23" s="180"/>
      <c r="J23" s="73"/>
    </row>
    <row r="24" spans="1:10" ht="18.75" customHeight="1" x14ac:dyDescent="0.3">
      <c r="A24" s="136" t="s">
        <v>170</v>
      </c>
      <c r="B24" s="108">
        <f>SUM(B25:B30)</f>
        <v>393541.68944549002</v>
      </c>
      <c r="C24" s="108">
        <f>SUM(C25:C30)</f>
        <v>517701.80548897001</v>
      </c>
      <c r="D24" s="261">
        <f t="shared" si="0"/>
        <v>31.5</v>
      </c>
      <c r="E24" s="261"/>
      <c r="F24" s="262">
        <f>SUM(F25:F30)</f>
        <v>99.999999999999986</v>
      </c>
      <c r="G24" s="262">
        <f>SUM(G25:G30)</f>
        <v>100</v>
      </c>
      <c r="H24" s="264">
        <f t="shared" si="1"/>
        <v>0</v>
      </c>
      <c r="I24" s="180"/>
      <c r="J24" s="73"/>
    </row>
    <row r="25" spans="1:10" ht="18.75" customHeight="1" x14ac:dyDescent="0.3">
      <c r="A25" s="191" t="s">
        <v>163</v>
      </c>
      <c r="B25" s="102">
        <f>'Tabell 6'!AO55</f>
        <v>222012.73150741</v>
      </c>
      <c r="C25" s="102">
        <f>'Tabell 6'!AP55</f>
        <v>337678.83559073997</v>
      </c>
      <c r="D25" s="263">
        <f t="shared" si="0"/>
        <v>52.1</v>
      </c>
      <c r="E25" s="263"/>
      <c r="F25" s="263">
        <f>'Tabell 6'!AO55/('Tabell 6'!AO60+'Tabell 6'!AO61)*100</f>
        <v>56.414031209814496</v>
      </c>
      <c r="G25" s="263">
        <f>'Tabell 6'!AP55/('Tabell 6'!AP60+'Tabell 6'!AP61)*100</f>
        <v>65.226513025544094</v>
      </c>
      <c r="H25" s="264">
        <f t="shared" si="1"/>
        <v>15.6</v>
      </c>
      <c r="I25" s="180"/>
      <c r="J25" s="73"/>
    </row>
    <row r="26" spans="1:10" ht="18.75" customHeight="1" x14ac:dyDescent="0.3">
      <c r="A26" s="191" t="s">
        <v>164</v>
      </c>
      <c r="B26" s="102">
        <f>'Tabell 6'!AO52+'Tabell 6'!AO56</f>
        <v>143251.45857326</v>
      </c>
      <c r="C26" s="102">
        <f>'Tabell 6'!AP52+'Tabell 6'!AP56</f>
        <v>167605.91157786001</v>
      </c>
      <c r="D26" s="263">
        <f t="shared" si="0"/>
        <v>17</v>
      </c>
      <c r="E26" s="263"/>
      <c r="F26" s="263">
        <f>('Tabell 6'!AO52+'Tabell 6'!AO56)/('Tabell 6'!AO60+'Tabell 6'!AO61)*100</f>
        <v>36.40058027272913</v>
      </c>
      <c r="G26" s="263">
        <f>('Tabell 6'!AP52+'Tabell 6'!AP56)/('Tabell 6'!AP60+'Tabell 6'!AP61)*100</f>
        <v>32.374990738067069</v>
      </c>
      <c r="H26" s="264">
        <f t="shared" si="1"/>
        <v>-11.1</v>
      </c>
      <c r="I26" s="180"/>
      <c r="J26" s="73"/>
    </row>
    <row r="27" spans="1:10" ht="18.75" customHeight="1" x14ac:dyDescent="0.3">
      <c r="A27" s="191" t="s">
        <v>165</v>
      </c>
      <c r="B27" s="102">
        <f>'Tabell 6'!AO48</f>
        <v>0</v>
      </c>
      <c r="C27" s="102">
        <f>'Tabell 6'!AP48</f>
        <v>0</v>
      </c>
      <c r="D27" s="263" t="str">
        <f t="shared" si="0"/>
        <v xml:space="preserve">    ---- </v>
      </c>
      <c r="E27" s="263"/>
      <c r="F27" s="263">
        <f>'Tabell 6'!AO48/('Tabell 6'!AO60+'Tabell 6'!AO61)*100</f>
        <v>0</v>
      </c>
      <c r="G27" s="263">
        <f>'Tabell 6'!AP48/('Tabell 6'!AP60+'Tabell 6'!AP61)*100</f>
        <v>0</v>
      </c>
      <c r="H27" s="264" t="str">
        <f t="shared" si="1"/>
        <v xml:space="preserve">    ---- </v>
      </c>
      <c r="I27" s="180"/>
      <c r="J27" s="73"/>
    </row>
    <row r="28" spans="1:10" ht="18.75" customHeight="1" x14ac:dyDescent="0.3">
      <c r="A28" s="107" t="s">
        <v>166</v>
      </c>
      <c r="B28" s="104">
        <f>'Tabell 6'!AO49</f>
        <v>22573.512962879999</v>
      </c>
      <c r="C28" s="104">
        <f>'Tabell 6'!AP49</f>
        <v>8061.9056508800004</v>
      </c>
      <c r="D28" s="265">
        <f t="shared" si="0"/>
        <v>-64.3</v>
      </c>
      <c r="E28" s="265"/>
      <c r="F28" s="263">
        <f>'Tabell 6'!AO49/('Tabell 6'!AO60+'Tabell 6'!AO61)*100</f>
        <v>5.7359902567594903</v>
      </c>
      <c r="G28" s="263">
        <f>'Tabell 6'!AP49/('Tabell 6'!AP60+'Tabell 6'!AP61)*100</f>
        <v>1.5572488960639264</v>
      </c>
      <c r="H28" s="264">
        <f t="shared" si="1"/>
        <v>-72.900000000000006</v>
      </c>
      <c r="I28" s="180"/>
      <c r="J28" s="73"/>
    </row>
    <row r="29" spans="1:10" ht="18.75" customHeight="1" x14ac:dyDescent="0.3">
      <c r="A29" s="191" t="s">
        <v>167</v>
      </c>
      <c r="B29" s="102">
        <f>'Tabell 6'!AO53+'Tabell 6'!AO57</f>
        <v>2705.20259373</v>
      </c>
      <c r="C29" s="102">
        <f>'Tabell 6'!AP53+'Tabell 6'!AP57</f>
        <v>3714.8146888900001</v>
      </c>
      <c r="D29" s="263">
        <f t="shared" si="0"/>
        <v>37.299999999999997</v>
      </c>
      <c r="E29" s="263"/>
      <c r="F29" s="263">
        <f>('Tabell 6'!AO53+'Tabell 6'!AO57)/('Tabell 6'!AO60+'Tabell 6'!AO61)*100</f>
        <v>0.68739924289639998</v>
      </c>
      <c r="G29" s="263">
        <f>('Tabell 6'!AP53+'Tabell 6'!AP57)/('Tabell 6'!AP60+'Tabell 6'!AP61)*100</f>
        <v>0.71755876635998073</v>
      </c>
      <c r="H29" s="264">
        <f t="shared" si="1"/>
        <v>4.4000000000000004</v>
      </c>
      <c r="I29" s="180"/>
      <c r="J29" s="73"/>
    </row>
    <row r="30" spans="1:10" ht="18.75" customHeight="1" x14ac:dyDescent="0.3">
      <c r="A30" s="85" t="s">
        <v>168</v>
      </c>
      <c r="B30" s="102">
        <f>'Tabell 6'!AO51-'Tabell 6'!AO52+'Tabell 6'!AO58+'Tabell 6'!AO59+'Tabell 6'!AO61</f>
        <v>2998.7838082100002</v>
      </c>
      <c r="C30" s="102">
        <f>'Tabell 6'!AP51-'Tabell 6'!AP52+'Tabell 6'!AP58+'Tabell 6'!AP59+'Tabell 6'!AP61</f>
        <v>640.33798060000004</v>
      </c>
      <c r="D30" s="264">
        <f t="shared" si="0"/>
        <v>-78.599999999999994</v>
      </c>
      <c r="E30" s="264"/>
      <c r="F30" s="264">
        <f>('Tabell 6'!AO51-'Tabell 6'!AO52+'Tabell 6'!AO58+'Tabell 6'!AO59+'Tabell 6'!AO61)/('Tabell 6'!AO60+'Tabell 6'!AO61)*100</f>
        <v>0.76199901780046753</v>
      </c>
      <c r="G30" s="264">
        <f>('Tabell 6'!AP51-'Tabell 6'!AP52+'Tabell 6'!AP58+'Tabell 6'!AP59+'Tabell 6'!AP61)/('Tabell 6'!AP60+'Tabell 6'!AP61)*100</f>
        <v>0.12368857396492948</v>
      </c>
      <c r="H30" s="264">
        <f t="shared" si="1"/>
        <v>-83.8</v>
      </c>
      <c r="I30" s="180"/>
      <c r="J30" s="73"/>
    </row>
    <row r="31" spans="1:10" ht="18.75" customHeight="1" x14ac:dyDescent="0.3">
      <c r="A31" s="191"/>
      <c r="B31" s="175"/>
      <c r="C31" s="175"/>
      <c r="D31" s="263"/>
      <c r="E31" s="263"/>
      <c r="F31" s="263"/>
      <c r="G31" s="264"/>
      <c r="H31" s="264"/>
      <c r="I31" s="180"/>
      <c r="J31" s="73"/>
    </row>
    <row r="32" spans="1:10" ht="18.75" customHeight="1" x14ac:dyDescent="0.3">
      <c r="A32" s="136" t="s">
        <v>2</v>
      </c>
      <c r="B32" s="108">
        <f>SUM(B33:B38)</f>
        <v>1720598.38801845</v>
      </c>
      <c r="C32" s="108">
        <f>SUM(C33:C38)</f>
        <v>1937380.9989962801</v>
      </c>
      <c r="D32" s="261">
        <f t="shared" si="0"/>
        <v>12.6</v>
      </c>
      <c r="E32" s="261"/>
      <c r="F32" s="261">
        <f>SUM(F33:F38)</f>
        <v>99.999999999999986</v>
      </c>
      <c r="G32" s="261">
        <f>SUM(G33:G38)</f>
        <v>99.999999999999986</v>
      </c>
      <c r="H32" s="262">
        <f t="shared" si="1"/>
        <v>0</v>
      </c>
      <c r="I32" s="180"/>
      <c r="J32" s="73"/>
    </row>
    <row r="33" spans="1:10" ht="18.75" customHeight="1" x14ac:dyDescent="0.3">
      <c r="A33" s="191" t="s">
        <v>163</v>
      </c>
      <c r="B33" s="102">
        <f t="shared" ref="B33:C38" si="2">B9+B17+B25</f>
        <v>397135.75919719</v>
      </c>
      <c r="C33" s="102">
        <f t="shared" si="2"/>
        <v>582106.41304466</v>
      </c>
      <c r="D33" s="263">
        <f t="shared" si="0"/>
        <v>46.6</v>
      </c>
      <c r="E33" s="263"/>
      <c r="F33" s="263">
        <f>B33/B32*100</f>
        <v>23.081258355388595</v>
      </c>
      <c r="G33" s="263">
        <f>C33/C32*100</f>
        <v>30.046047388006702</v>
      </c>
      <c r="H33" s="264">
        <f t="shared" si="1"/>
        <v>30.2</v>
      </c>
      <c r="I33" s="180"/>
      <c r="J33" s="73"/>
    </row>
    <row r="34" spans="1:10" ht="18.75" customHeight="1" x14ac:dyDescent="0.3">
      <c r="A34" s="191" t="s">
        <v>164</v>
      </c>
      <c r="B34" s="102">
        <f t="shared" si="2"/>
        <v>573800.85792991996</v>
      </c>
      <c r="C34" s="102">
        <f t="shared" si="2"/>
        <v>588489.68935140001</v>
      </c>
      <c r="D34" s="263">
        <f t="shared" si="0"/>
        <v>2.6</v>
      </c>
      <c r="E34" s="263"/>
      <c r="F34" s="263">
        <f>B34/B32*100</f>
        <v>33.348912908766891</v>
      </c>
      <c r="G34" s="263">
        <f>C34/C32*100</f>
        <v>30.375527046888827</v>
      </c>
      <c r="H34" s="264">
        <f t="shared" si="1"/>
        <v>-8.9</v>
      </c>
      <c r="I34" s="180"/>
      <c r="J34" s="73"/>
    </row>
    <row r="35" spans="1:10" ht="18.75" customHeight="1" x14ac:dyDescent="0.3">
      <c r="A35" s="191" t="s">
        <v>165</v>
      </c>
      <c r="B35" s="102">
        <f t="shared" si="2"/>
        <v>1001.94801072</v>
      </c>
      <c r="C35" s="102">
        <f t="shared" si="2"/>
        <v>1027.1596504300001</v>
      </c>
      <c r="D35" s="263">
        <f t="shared" si="0"/>
        <v>2.5</v>
      </c>
      <c r="E35" s="263"/>
      <c r="F35" s="263">
        <f>B35/B32*100</f>
        <v>5.8232532222345423E-2</v>
      </c>
      <c r="G35" s="263">
        <f>C35/C32*100</f>
        <v>5.3017947990723131E-2</v>
      </c>
      <c r="H35" s="264">
        <f t="shared" si="1"/>
        <v>-9</v>
      </c>
      <c r="I35" s="180"/>
      <c r="J35" s="73"/>
    </row>
    <row r="36" spans="1:10" ht="18.75" customHeight="1" x14ac:dyDescent="0.3">
      <c r="A36" s="107" t="s">
        <v>166</v>
      </c>
      <c r="B36" s="104">
        <f t="shared" si="2"/>
        <v>209270.43605621997</v>
      </c>
      <c r="C36" s="104">
        <f t="shared" si="2"/>
        <v>202222.00693092003</v>
      </c>
      <c r="D36" s="265">
        <f t="shared" si="0"/>
        <v>-3.4</v>
      </c>
      <c r="E36" s="265"/>
      <c r="F36" s="263">
        <f>B36/B32*100</f>
        <v>12.162654429615563</v>
      </c>
      <c r="G36" s="263">
        <f>C36/C32*100</f>
        <v>10.437905968711748</v>
      </c>
      <c r="H36" s="264">
        <f t="shared" si="1"/>
        <v>-14.2</v>
      </c>
      <c r="I36" s="180"/>
      <c r="J36" s="73"/>
    </row>
    <row r="37" spans="1:10" ht="18.75" customHeight="1" x14ac:dyDescent="0.3">
      <c r="A37" s="191" t="s">
        <v>167</v>
      </c>
      <c r="B37" s="102">
        <f t="shared" si="2"/>
        <v>492238.37636563991</v>
      </c>
      <c r="C37" s="102">
        <f t="shared" si="2"/>
        <v>506660.16936497984</v>
      </c>
      <c r="D37" s="263">
        <f t="shared" si="0"/>
        <v>2.9</v>
      </c>
      <c r="E37" s="263"/>
      <c r="F37" s="263">
        <f>B37/B32*100</f>
        <v>28.608557336412062</v>
      </c>
      <c r="G37" s="263">
        <f>C37/C32*100</f>
        <v>26.151808530561144</v>
      </c>
      <c r="H37" s="264">
        <f t="shared" si="1"/>
        <v>-8.6</v>
      </c>
      <c r="I37" s="180"/>
      <c r="J37" s="73"/>
    </row>
    <row r="38" spans="1:10" ht="18.75" customHeight="1" x14ac:dyDescent="0.3">
      <c r="A38" s="266" t="s">
        <v>168</v>
      </c>
      <c r="B38" s="267">
        <f t="shared" si="2"/>
        <v>47151.010458760014</v>
      </c>
      <c r="C38" s="267">
        <f t="shared" si="2"/>
        <v>56875.560653889996</v>
      </c>
      <c r="D38" s="268">
        <f t="shared" si="0"/>
        <v>20.6</v>
      </c>
      <c r="E38" s="263"/>
      <c r="F38" s="268">
        <f>B38/B32*100</f>
        <v>2.7403844375945337</v>
      </c>
      <c r="G38" s="268">
        <f>C38/C32*100</f>
        <v>2.9356931178408443</v>
      </c>
      <c r="H38" s="269">
        <f t="shared" si="1"/>
        <v>7.1</v>
      </c>
      <c r="I38" s="180"/>
      <c r="J38" s="73"/>
    </row>
    <row r="39" spans="1:10" ht="18.75" customHeight="1" x14ac:dyDescent="0.3">
      <c r="A39" s="111"/>
      <c r="B39" s="111"/>
      <c r="C39" s="111"/>
      <c r="D39" s="111"/>
      <c r="E39" s="111"/>
      <c r="F39" s="180"/>
      <c r="G39" s="180"/>
      <c r="H39" s="180"/>
      <c r="I39" s="180"/>
      <c r="J39" s="73"/>
    </row>
    <row r="40" spans="1:10" ht="18.75" customHeight="1" x14ac:dyDescent="0.3">
      <c r="A40" s="111" t="s">
        <v>171</v>
      </c>
      <c r="B40" s="111"/>
      <c r="C40" s="111"/>
      <c r="D40" s="111"/>
      <c r="E40" s="111"/>
      <c r="F40" s="180"/>
      <c r="G40" s="180"/>
      <c r="H40" s="180"/>
      <c r="I40" s="180"/>
      <c r="J40" s="73"/>
    </row>
    <row r="41" spans="1:10" ht="18.75" x14ac:dyDescent="0.3">
      <c r="A41" s="111" t="s">
        <v>101</v>
      </c>
      <c r="B41" s="111"/>
      <c r="C41" s="111"/>
      <c r="D41" s="111"/>
      <c r="E41" s="111"/>
      <c r="F41" s="73"/>
      <c r="G41" s="73"/>
      <c r="H41" s="73"/>
      <c r="I41" s="73"/>
      <c r="J41" s="73"/>
    </row>
    <row r="42" spans="1:10" ht="18.75" x14ac:dyDescent="0.3">
      <c r="A42" s="73"/>
      <c r="B42" s="73"/>
      <c r="C42" s="73"/>
      <c r="D42" s="73"/>
      <c r="E42" s="73"/>
      <c r="G42" s="73"/>
      <c r="H42" s="73"/>
      <c r="I42" s="73"/>
      <c r="J42" s="73"/>
    </row>
    <row r="43" spans="1:10" ht="18.75" x14ac:dyDescent="0.3">
      <c r="A43" s="73"/>
      <c r="B43" s="73"/>
      <c r="C43" s="73"/>
      <c r="D43" s="73"/>
      <c r="E43" s="73"/>
      <c r="F43" s="73"/>
      <c r="G43" s="73"/>
      <c r="H43" s="73"/>
      <c r="I43" s="73"/>
      <c r="J43" s="73"/>
    </row>
    <row r="44" spans="1:10" ht="18.75" x14ac:dyDescent="0.3">
      <c r="A44" s="73"/>
      <c r="B44" s="73"/>
      <c r="C44" s="73"/>
      <c r="D44" s="73"/>
      <c r="E44" s="73"/>
      <c r="F44" s="73"/>
      <c r="G44" s="73"/>
      <c r="H44" s="73"/>
      <c r="I44" s="73"/>
      <c r="J44" s="73"/>
    </row>
    <row r="45" spans="1:10" ht="18.75" x14ac:dyDescent="0.3">
      <c r="A45" s="73"/>
      <c r="B45" s="73"/>
      <c r="C45" s="73"/>
      <c r="D45" s="73"/>
      <c r="E45" s="73"/>
      <c r="F45" s="73"/>
      <c r="G45" s="73"/>
      <c r="H45" s="73"/>
      <c r="I45" s="73"/>
      <c r="J45" s="73"/>
    </row>
    <row r="46" spans="1:10" ht="18.75" x14ac:dyDescent="0.3">
      <c r="A46" s="73"/>
      <c r="B46" s="73"/>
      <c r="C46" s="73"/>
      <c r="D46" s="73"/>
      <c r="E46" s="73"/>
      <c r="F46" s="73"/>
      <c r="G46" s="73"/>
      <c r="H46" s="73"/>
      <c r="I46" s="73"/>
      <c r="J46" s="73"/>
    </row>
    <row r="47" spans="1:10" ht="18.75" x14ac:dyDescent="0.3">
      <c r="A47" s="73"/>
      <c r="B47" s="73"/>
      <c r="C47" s="73"/>
      <c r="D47" s="73"/>
      <c r="E47" s="73"/>
      <c r="F47" s="73"/>
      <c r="G47" s="73"/>
      <c r="H47" s="73"/>
      <c r="I47" s="73"/>
      <c r="J47" s="73"/>
    </row>
    <row r="48" spans="1:10" ht="18.75" x14ac:dyDescent="0.3">
      <c r="A48" s="73"/>
      <c r="B48" s="73"/>
      <c r="C48" s="73"/>
      <c r="D48" s="73"/>
      <c r="E48" s="73"/>
      <c r="F48" s="73"/>
      <c r="G48" s="73"/>
      <c r="H48" s="73"/>
      <c r="I48" s="73"/>
      <c r="J48" s="73"/>
    </row>
    <row r="49" spans="1:10" ht="18.75" x14ac:dyDescent="0.3">
      <c r="A49" s="73"/>
      <c r="B49" s="73"/>
      <c r="C49" s="73"/>
      <c r="D49" s="73"/>
      <c r="E49" s="73"/>
      <c r="F49" s="73"/>
      <c r="G49" s="73"/>
      <c r="H49" s="73"/>
      <c r="I49" s="73"/>
      <c r="J49" s="73"/>
    </row>
    <row r="50" spans="1:10" ht="18.75" x14ac:dyDescent="0.3">
      <c r="A50" s="73"/>
      <c r="B50" s="73"/>
      <c r="C50" s="73"/>
      <c r="D50" s="73"/>
      <c r="E50" s="73"/>
      <c r="F50" s="73"/>
      <c r="G50" s="73"/>
      <c r="H50" s="73"/>
      <c r="I50" s="73"/>
      <c r="J50" s="73"/>
    </row>
    <row r="51" spans="1:10" ht="18.75" x14ac:dyDescent="0.3">
      <c r="A51" s="73"/>
      <c r="B51" s="73"/>
      <c r="C51" s="73"/>
      <c r="D51" s="73"/>
      <c r="E51" s="73"/>
      <c r="F51" s="73"/>
      <c r="G51" s="73"/>
      <c r="H51" s="73"/>
      <c r="I51" s="73"/>
      <c r="J51" s="73"/>
    </row>
    <row r="52" spans="1:10" ht="18.75" x14ac:dyDescent="0.3">
      <c r="A52" s="73"/>
      <c r="B52" s="73"/>
      <c r="C52" s="73"/>
      <c r="D52" s="73"/>
      <c r="E52" s="73"/>
      <c r="F52" s="73"/>
      <c r="G52" s="73"/>
      <c r="H52" s="73"/>
      <c r="I52" s="73"/>
      <c r="J52" s="73"/>
    </row>
    <row r="53" spans="1:10" ht="18.75" x14ac:dyDescent="0.3">
      <c r="A53" s="73"/>
      <c r="B53" s="73"/>
      <c r="C53" s="73"/>
      <c r="D53" s="73"/>
      <c r="E53" s="73"/>
      <c r="F53" s="73"/>
      <c r="G53" s="73"/>
      <c r="H53" s="73"/>
      <c r="I53" s="73"/>
      <c r="J53" s="73"/>
    </row>
    <row r="54" spans="1:10" ht="18.75" x14ac:dyDescent="0.3">
      <c r="A54" s="73"/>
      <c r="B54" s="73"/>
      <c r="C54" s="73"/>
      <c r="D54" s="73"/>
      <c r="E54" s="73"/>
      <c r="F54" s="73"/>
      <c r="G54" s="73"/>
      <c r="H54" s="73"/>
      <c r="I54" s="73"/>
      <c r="J54" s="73"/>
    </row>
    <row r="55" spans="1:10" ht="18.75" x14ac:dyDescent="0.3">
      <c r="A55" s="73"/>
      <c r="B55" s="73"/>
      <c r="C55" s="73"/>
      <c r="D55" s="73"/>
      <c r="E55" s="73"/>
      <c r="F55" s="73"/>
      <c r="G55" s="73"/>
      <c r="H55" s="73"/>
      <c r="I55" s="73"/>
      <c r="J55" s="73"/>
    </row>
    <row r="56" spans="1:10" ht="18.75" x14ac:dyDescent="0.3">
      <c r="A56" s="73"/>
      <c r="B56" s="73"/>
      <c r="C56" s="73"/>
      <c r="D56" s="73"/>
      <c r="E56" s="73"/>
      <c r="F56" s="73"/>
      <c r="G56" s="73"/>
      <c r="H56" s="73"/>
      <c r="I56" s="73"/>
      <c r="J56" s="73"/>
    </row>
    <row r="57" spans="1:10" ht="18.75" x14ac:dyDescent="0.3">
      <c r="A57" s="73"/>
      <c r="B57" s="73"/>
      <c r="C57" s="73"/>
      <c r="D57" s="73"/>
      <c r="E57" s="73"/>
      <c r="F57" s="73"/>
      <c r="G57" s="73"/>
      <c r="H57" s="73"/>
      <c r="I57" s="73"/>
      <c r="J57" s="73"/>
    </row>
    <row r="58" spans="1:10" ht="18.75" x14ac:dyDescent="0.3">
      <c r="A58" s="73"/>
      <c r="B58" s="73"/>
      <c r="C58" s="73"/>
      <c r="D58" s="73"/>
      <c r="E58" s="73"/>
      <c r="F58" s="73"/>
      <c r="G58" s="73"/>
      <c r="H58" s="73"/>
      <c r="I58" s="73"/>
      <c r="J58" s="73"/>
    </row>
    <row r="59" spans="1:10" ht="18.75" x14ac:dyDescent="0.3">
      <c r="A59" s="73"/>
      <c r="B59" s="73"/>
      <c r="C59" s="73"/>
      <c r="D59" s="73"/>
      <c r="E59" s="73"/>
      <c r="F59" s="73"/>
      <c r="G59" s="73"/>
      <c r="H59" s="73"/>
      <c r="I59" s="73"/>
      <c r="J59" s="73"/>
    </row>
    <row r="60" spans="1:10" ht="18.75" x14ac:dyDescent="0.3">
      <c r="A60" s="73"/>
      <c r="B60" s="73"/>
      <c r="C60" s="73"/>
      <c r="D60" s="73"/>
      <c r="E60" s="73"/>
      <c r="F60" s="73"/>
      <c r="G60" s="73"/>
      <c r="H60" s="73"/>
      <c r="I60" s="73"/>
      <c r="J60" s="73"/>
    </row>
    <row r="61" spans="1:10" ht="18.75" x14ac:dyDescent="0.3">
      <c r="A61" s="73"/>
      <c r="B61" s="73"/>
      <c r="C61" s="73"/>
      <c r="D61" s="73"/>
      <c r="E61" s="73"/>
      <c r="F61" s="73"/>
      <c r="G61" s="73"/>
      <c r="H61" s="73"/>
      <c r="I61" s="73"/>
      <c r="J61" s="73"/>
    </row>
    <row r="62" spans="1:10" ht="18.75" x14ac:dyDescent="0.3">
      <c r="A62" s="73"/>
      <c r="B62" s="73"/>
      <c r="C62" s="73"/>
      <c r="D62" s="73"/>
      <c r="E62" s="73"/>
      <c r="F62" s="73"/>
      <c r="G62" s="73"/>
      <c r="H62" s="73"/>
      <c r="I62" s="73"/>
      <c r="J62" s="73"/>
    </row>
    <row r="63" spans="1:10" ht="18.75" x14ac:dyDescent="0.3">
      <c r="A63" s="73"/>
      <c r="B63" s="73"/>
      <c r="C63" s="73"/>
      <c r="D63" s="73"/>
      <c r="E63" s="73"/>
      <c r="F63" s="73"/>
      <c r="G63" s="73"/>
      <c r="H63" s="73"/>
      <c r="I63" s="73"/>
      <c r="J63" s="73"/>
    </row>
    <row r="64" spans="1:10" ht="18.75" x14ac:dyDescent="0.3">
      <c r="A64" s="73"/>
      <c r="B64" s="73"/>
      <c r="C64" s="73"/>
      <c r="D64" s="73"/>
      <c r="E64" s="73"/>
      <c r="F64" s="73"/>
      <c r="G64" s="73"/>
      <c r="H64" s="73"/>
      <c r="I64" s="73"/>
      <c r="J64" s="73"/>
    </row>
    <row r="65" spans="1:10" ht="18.75" x14ac:dyDescent="0.3">
      <c r="A65" s="73"/>
      <c r="B65" s="73"/>
      <c r="C65" s="73"/>
      <c r="D65" s="73"/>
      <c r="E65" s="73"/>
      <c r="F65" s="73"/>
      <c r="G65" s="73"/>
      <c r="H65" s="73"/>
      <c r="I65" s="73"/>
      <c r="J65" s="73"/>
    </row>
    <row r="66" spans="1:10" ht="18.75" x14ac:dyDescent="0.3">
      <c r="A66" s="73"/>
      <c r="B66" s="73"/>
      <c r="C66" s="73"/>
      <c r="D66" s="73"/>
      <c r="E66" s="73"/>
      <c r="F66" s="73"/>
      <c r="G66" s="73"/>
      <c r="H66" s="73"/>
      <c r="I66" s="73"/>
      <c r="J66" s="73"/>
    </row>
    <row r="67" spans="1:10" ht="18.75" x14ac:dyDescent="0.3">
      <c r="A67" s="73"/>
      <c r="B67" s="73"/>
      <c r="C67" s="73"/>
      <c r="D67" s="73"/>
      <c r="E67" s="73"/>
      <c r="F67" s="73"/>
      <c r="G67" s="73"/>
      <c r="H67" s="73"/>
      <c r="I67" s="73"/>
      <c r="J67" s="73"/>
    </row>
    <row r="68" spans="1:10" ht="18.75" x14ac:dyDescent="0.3">
      <c r="A68" s="73"/>
      <c r="B68" s="73"/>
      <c r="C68" s="73"/>
      <c r="D68" s="73"/>
      <c r="E68" s="73"/>
      <c r="F68" s="73"/>
      <c r="G68" s="73"/>
      <c r="H68" s="73"/>
      <c r="I68" s="73"/>
      <c r="J68" s="73"/>
    </row>
    <row r="69" spans="1:10" ht="18.75" x14ac:dyDescent="0.3">
      <c r="A69" s="73"/>
      <c r="B69" s="73"/>
      <c r="C69" s="73"/>
      <c r="D69" s="73"/>
      <c r="E69" s="73"/>
      <c r="F69" s="73"/>
      <c r="G69" s="73"/>
      <c r="H69" s="73"/>
      <c r="I69" s="73"/>
      <c r="J69" s="73"/>
    </row>
    <row r="70" spans="1:10" ht="18.75" x14ac:dyDescent="0.3">
      <c r="A70" s="73"/>
      <c r="B70" s="73"/>
      <c r="C70" s="73"/>
      <c r="D70" s="73"/>
      <c r="E70" s="73"/>
      <c r="F70" s="73"/>
      <c r="G70" s="73"/>
      <c r="H70" s="73"/>
      <c r="I70" s="73"/>
      <c r="J70" s="73"/>
    </row>
    <row r="71" spans="1:10" ht="18.75" x14ac:dyDescent="0.3">
      <c r="A71" s="73"/>
      <c r="B71" s="73"/>
      <c r="C71" s="73"/>
      <c r="D71" s="73"/>
      <c r="E71" s="73"/>
      <c r="F71" s="73"/>
      <c r="G71" s="73"/>
      <c r="H71" s="73"/>
      <c r="I71" s="73"/>
      <c r="J71" s="73"/>
    </row>
    <row r="72" spans="1:10" ht="18.75" x14ac:dyDescent="0.3">
      <c r="A72" s="73"/>
      <c r="B72" s="73"/>
      <c r="C72" s="73"/>
      <c r="D72" s="73"/>
      <c r="E72" s="73"/>
      <c r="F72" s="73"/>
      <c r="G72" s="73"/>
      <c r="H72" s="73"/>
      <c r="I72" s="73"/>
      <c r="J72" s="73"/>
    </row>
    <row r="73" spans="1:10" ht="18.75" x14ac:dyDescent="0.3">
      <c r="A73" s="73"/>
      <c r="B73" s="73"/>
      <c r="C73" s="73"/>
      <c r="D73" s="73"/>
      <c r="E73" s="73"/>
      <c r="F73" s="73"/>
      <c r="G73" s="73"/>
      <c r="H73" s="73"/>
      <c r="I73" s="73"/>
      <c r="J73" s="73"/>
    </row>
    <row r="74" spans="1:10" ht="18.75" x14ac:dyDescent="0.3">
      <c r="A74" s="73"/>
      <c r="B74" s="73"/>
      <c r="C74" s="73"/>
      <c r="D74" s="73"/>
      <c r="E74" s="73"/>
      <c r="F74" s="73"/>
      <c r="G74" s="73"/>
      <c r="H74" s="73"/>
      <c r="I74" s="73"/>
      <c r="J74" s="73"/>
    </row>
    <row r="75" spans="1:10" ht="18.75" x14ac:dyDescent="0.3">
      <c r="A75" s="73"/>
      <c r="B75" s="73"/>
      <c r="C75" s="73"/>
      <c r="D75" s="73"/>
      <c r="E75" s="73"/>
      <c r="F75" s="73"/>
      <c r="G75" s="73"/>
      <c r="H75" s="73"/>
      <c r="I75" s="73"/>
      <c r="J75" s="73"/>
    </row>
    <row r="76" spans="1:10" ht="18.75" x14ac:dyDescent="0.3">
      <c r="A76" s="73"/>
      <c r="B76" s="73"/>
      <c r="C76" s="73"/>
      <c r="D76" s="73"/>
      <c r="E76" s="73"/>
      <c r="F76" s="73"/>
      <c r="G76" s="73"/>
      <c r="H76" s="73"/>
      <c r="I76" s="73"/>
      <c r="J76" s="73"/>
    </row>
    <row r="77" spans="1:10" ht="18.75" x14ac:dyDescent="0.3">
      <c r="A77" s="73"/>
      <c r="B77" s="73"/>
      <c r="C77" s="73"/>
      <c r="D77" s="73"/>
      <c r="E77" s="73"/>
      <c r="F77" s="73"/>
      <c r="G77" s="73"/>
      <c r="H77" s="73"/>
      <c r="I77" s="73"/>
      <c r="J77" s="73"/>
    </row>
    <row r="78" spans="1:10" ht="18.75" x14ac:dyDescent="0.3">
      <c r="A78" s="73"/>
      <c r="B78" s="73"/>
      <c r="C78" s="73"/>
      <c r="D78" s="73"/>
      <c r="E78" s="73"/>
      <c r="F78" s="73"/>
      <c r="G78" s="73"/>
      <c r="H78" s="73"/>
      <c r="I78" s="73"/>
      <c r="J78" s="73"/>
    </row>
    <row r="79" spans="1:10" ht="18.75" x14ac:dyDescent="0.3">
      <c r="A79" s="73"/>
      <c r="B79" s="73"/>
      <c r="C79" s="73"/>
      <c r="D79" s="73"/>
      <c r="E79" s="73"/>
      <c r="F79" s="73"/>
      <c r="G79" s="73"/>
      <c r="H79" s="73"/>
      <c r="I79" s="73"/>
      <c r="J79" s="73"/>
    </row>
    <row r="80" spans="1:10" ht="18.75" x14ac:dyDescent="0.3">
      <c r="A80" s="73"/>
      <c r="B80" s="73"/>
      <c r="C80" s="73"/>
      <c r="D80" s="73"/>
      <c r="E80" s="73"/>
      <c r="F80" s="73"/>
      <c r="G80" s="73"/>
      <c r="H80" s="73"/>
      <c r="I80" s="73"/>
      <c r="J80" s="73"/>
    </row>
    <row r="81" spans="1:10" ht="18.75" x14ac:dyDescent="0.3">
      <c r="A81" s="73"/>
      <c r="B81" s="73"/>
      <c r="C81" s="73"/>
      <c r="D81" s="73"/>
      <c r="E81" s="73"/>
      <c r="F81" s="73"/>
      <c r="G81" s="73"/>
      <c r="H81" s="73"/>
      <c r="I81" s="73"/>
      <c r="J81" s="73"/>
    </row>
    <row r="82" spans="1:10" ht="18.75" x14ac:dyDescent="0.3">
      <c r="A82" s="73"/>
      <c r="B82" s="73"/>
      <c r="C82" s="73"/>
      <c r="D82" s="73"/>
      <c r="E82" s="73"/>
      <c r="F82" s="73"/>
      <c r="G82" s="73"/>
      <c r="H82" s="73"/>
      <c r="I82" s="73"/>
      <c r="J82" s="73"/>
    </row>
    <row r="83" spans="1:10" ht="18.75" x14ac:dyDescent="0.3">
      <c r="A83" s="73"/>
      <c r="B83" s="73"/>
      <c r="C83" s="73"/>
      <c r="D83" s="73"/>
      <c r="E83" s="73"/>
      <c r="F83" s="73"/>
      <c r="G83" s="73"/>
      <c r="H83" s="73"/>
      <c r="I83" s="73"/>
      <c r="J83" s="73"/>
    </row>
    <row r="84" spans="1:10" ht="18.75" x14ac:dyDescent="0.3">
      <c r="A84" s="73"/>
      <c r="B84" s="73"/>
      <c r="C84" s="73"/>
      <c r="D84" s="73"/>
      <c r="E84" s="73"/>
      <c r="F84" s="73"/>
      <c r="G84" s="73"/>
      <c r="H84" s="73"/>
      <c r="I84" s="73"/>
      <c r="J84" s="73"/>
    </row>
    <row r="85" spans="1:10" ht="18.75" x14ac:dyDescent="0.3">
      <c r="A85" s="73"/>
      <c r="B85" s="73"/>
      <c r="C85" s="73"/>
      <c r="D85" s="73"/>
      <c r="E85" s="73"/>
      <c r="F85" s="73"/>
      <c r="G85" s="73"/>
      <c r="H85" s="73"/>
      <c r="I85" s="73"/>
      <c r="J85" s="73"/>
    </row>
    <row r="86" spans="1:10" ht="18.75" x14ac:dyDescent="0.3">
      <c r="A86" s="73"/>
      <c r="B86" s="73"/>
      <c r="C86" s="73"/>
      <c r="D86" s="73"/>
      <c r="E86" s="73"/>
      <c r="F86" s="73"/>
      <c r="G86" s="73"/>
      <c r="H86" s="73"/>
      <c r="I86" s="73"/>
      <c r="J86" s="73"/>
    </row>
    <row r="87" spans="1:10" ht="18.75" x14ac:dyDescent="0.3">
      <c r="A87" s="73"/>
      <c r="B87" s="73"/>
      <c r="C87" s="73"/>
      <c r="D87" s="73"/>
      <c r="E87" s="73"/>
      <c r="F87" s="73"/>
      <c r="G87" s="73"/>
      <c r="H87" s="73"/>
      <c r="I87" s="73"/>
      <c r="J87" s="73"/>
    </row>
    <row r="88" spans="1:10" ht="18.75" x14ac:dyDescent="0.3">
      <c r="A88" s="73"/>
      <c r="B88" s="73"/>
      <c r="C88" s="73"/>
      <c r="D88" s="73"/>
      <c r="E88" s="73"/>
      <c r="F88" s="73"/>
      <c r="G88" s="73"/>
      <c r="H88" s="73"/>
      <c r="I88" s="73"/>
      <c r="J88" s="73"/>
    </row>
    <row r="89" spans="1:10" ht="18.75" x14ac:dyDescent="0.3">
      <c r="A89" s="73"/>
      <c r="B89" s="73"/>
      <c r="C89" s="73"/>
      <c r="D89" s="73"/>
      <c r="E89" s="73"/>
      <c r="F89" s="73"/>
      <c r="G89" s="73"/>
      <c r="H89" s="73"/>
      <c r="I89" s="73"/>
      <c r="J89" s="73"/>
    </row>
    <row r="90" spans="1:10" ht="18.75" x14ac:dyDescent="0.3">
      <c r="A90" s="73"/>
      <c r="B90" s="73"/>
      <c r="C90" s="73"/>
      <c r="D90" s="73"/>
      <c r="E90" s="73"/>
      <c r="F90" s="73"/>
      <c r="G90" s="73"/>
      <c r="H90" s="73"/>
      <c r="I90" s="73"/>
      <c r="J90" s="73"/>
    </row>
    <row r="91" spans="1:10" ht="18.75" x14ac:dyDescent="0.3">
      <c r="A91" s="73"/>
      <c r="B91" s="73"/>
      <c r="C91" s="73"/>
      <c r="D91" s="73"/>
      <c r="E91" s="73"/>
      <c r="F91" s="73"/>
      <c r="G91" s="73"/>
      <c r="H91" s="73"/>
      <c r="I91" s="73"/>
      <c r="J91" s="73"/>
    </row>
    <row r="92" spans="1:10" ht="18.75" x14ac:dyDescent="0.3">
      <c r="A92" s="73"/>
      <c r="B92" s="73"/>
      <c r="C92" s="73"/>
      <c r="D92" s="73"/>
      <c r="E92" s="73"/>
      <c r="F92" s="73"/>
      <c r="G92" s="73"/>
      <c r="H92" s="73"/>
      <c r="I92" s="73"/>
      <c r="J92" s="73"/>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M304"/>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sheetView>
  </sheetViews>
  <sheetFormatPr baseColWidth="10" defaultColWidth="11.42578125" defaultRowHeight="12.75" x14ac:dyDescent="0.2"/>
  <cols>
    <col min="1" max="1" width="57.28515625" style="1" customWidth="1"/>
    <col min="2" max="3" width="10.7109375" style="1" customWidth="1"/>
    <col min="4" max="4" width="8.7109375" style="1" customWidth="1"/>
    <col min="5" max="6" width="10.7109375" style="1" customWidth="1"/>
    <col min="7" max="7" width="8.7109375" style="1" customWidth="1"/>
    <col min="8" max="9" width="10.7109375" style="1" customWidth="1"/>
    <col min="10" max="10" width="8.7109375" style="1" customWidth="1"/>
    <col min="11" max="12" width="11.42578125" style="1"/>
    <col min="13" max="13" width="12.28515625" style="1" bestFit="1" customWidth="1"/>
    <col min="14" max="16384" width="11.42578125" style="1"/>
  </cols>
  <sheetData>
    <row r="1" spans="1:13" ht="15.75" customHeight="1" x14ac:dyDescent="0.2">
      <c r="A1" s="349">
        <v>4</v>
      </c>
      <c r="B1" s="4"/>
      <c r="C1" s="4"/>
      <c r="D1" s="4"/>
      <c r="E1" s="4"/>
      <c r="F1" s="4"/>
      <c r="G1" s="4"/>
      <c r="H1" s="4"/>
      <c r="I1" s="4"/>
      <c r="J1" s="4"/>
    </row>
    <row r="2" spans="1:13" ht="15.75" customHeight="1" x14ac:dyDescent="0.25">
      <c r="A2" s="164" t="s">
        <v>28</v>
      </c>
      <c r="B2" s="772"/>
      <c r="C2" s="772"/>
      <c r="D2" s="772"/>
      <c r="E2" s="772"/>
      <c r="F2" s="772"/>
      <c r="G2" s="772"/>
      <c r="H2" s="772"/>
      <c r="I2" s="772"/>
      <c r="J2" s="772"/>
    </row>
    <row r="3" spans="1:13" ht="15.75" customHeight="1" x14ac:dyDescent="0.25">
      <c r="A3" s="162"/>
      <c r="B3" s="295"/>
      <c r="C3" s="295"/>
      <c r="D3" s="295"/>
      <c r="E3" s="295"/>
      <c r="F3" s="295"/>
      <c r="G3" s="295"/>
      <c r="H3" s="295"/>
      <c r="I3" s="295"/>
      <c r="J3" s="295"/>
    </row>
    <row r="4" spans="1:13" ht="15.75" customHeight="1" x14ac:dyDescent="0.2">
      <c r="A4" s="143"/>
      <c r="B4" s="773" t="s">
        <v>0</v>
      </c>
      <c r="C4" s="774"/>
      <c r="D4" s="774"/>
      <c r="E4" s="773" t="s">
        <v>1</v>
      </c>
      <c r="F4" s="774"/>
      <c r="G4" s="774"/>
      <c r="H4" s="773" t="s">
        <v>2</v>
      </c>
      <c r="I4" s="774"/>
      <c r="J4" s="775"/>
    </row>
    <row r="5" spans="1:13" ht="15.75" customHeight="1" x14ac:dyDescent="0.2">
      <c r="A5" s="157"/>
      <c r="B5" s="731" t="s">
        <v>439</v>
      </c>
      <c r="C5" s="731" t="s">
        <v>440</v>
      </c>
      <c r="D5" s="247" t="s">
        <v>3</v>
      </c>
      <c r="E5" s="731" t="s">
        <v>439</v>
      </c>
      <c r="F5" s="731" t="s">
        <v>440</v>
      </c>
      <c r="G5" s="247" t="s">
        <v>3</v>
      </c>
      <c r="H5" s="731" t="s">
        <v>439</v>
      </c>
      <c r="I5" s="731" t="s">
        <v>440</v>
      </c>
      <c r="J5" s="247" t="s">
        <v>3</v>
      </c>
    </row>
    <row r="6" spans="1:13" ht="15.75" customHeight="1" x14ac:dyDescent="0.2">
      <c r="A6" s="753"/>
      <c r="B6" s="15"/>
      <c r="C6" s="15"/>
      <c r="D6" s="17" t="s">
        <v>4</v>
      </c>
      <c r="E6" s="16"/>
      <c r="F6" s="16"/>
      <c r="G6" s="15" t="s">
        <v>4</v>
      </c>
      <c r="H6" s="16"/>
      <c r="I6" s="16"/>
      <c r="J6" s="15" t="s">
        <v>4</v>
      </c>
    </row>
    <row r="7" spans="1:13" s="42" customFormat="1" ht="15.75" customHeight="1" x14ac:dyDescent="0.2">
      <c r="A7" s="14" t="s">
        <v>23</v>
      </c>
      <c r="B7" s="735">
        <f>'Fremtind Livsforsikring'!B7+'Danica Pensjonsforsikring'!B7+'DNB Livsforsikring'!B7+'Eika Forsikring AS'!B7+'Frende Livsforsikring'!B7+'Frende Skadeforsikring'!B7+'Gjensidige Forsikring'!B7+'Gjensidige Pensjon'!B7+'Handelsbanken Liv'!B7+'If Skadeforsikring NUF'!B7+KLP!B7+'DNB Bedriftspensjon AS'!B7+'KLP Skadeforsikring AS'!B7+'Landkreditt Forsikring'!B7+Insr!B7+'Nordea Liv '!B7+'Oslo Pensjonsforsikring'!B7+'Protector Forsikring'!B7+'SHB Liv'!B7+'Sparebank 1'!B7+'Storebrand Livsforsikring'!B7+'Telenor Forsikring'!B7+'Tryg Forsikring'!B7+'WaterCircle F'!B7+'Codan Forsikring'!B7+'Euro Accident'!B7</f>
        <v>2687293.8206622265</v>
      </c>
      <c r="C7" s="234">
        <f>'Fremtind Livsforsikring'!C7+'Danica Pensjonsforsikring'!C7+'DNB Livsforsikring'!C7+'Eika Forsikring AS'!C7+'Frende Livsforsikring'!C7+'Frende Skadeforsikring'!C7+'Gjensidige Forsikring'!C7+'Gjensidige Pensjon'!C7+'Handelsbanken Liv'!C7+'If Skadeforsikring NUF'!C7+KLP!C7+'DNB Bedriftspensjon AS'!C7+'KLP Skadeforsikring AS'!C7+'Landkreditt Forsikring'!C7+Insr!C7+'Nordea Liv '!C7+'Oslo Pensjonsforsikring'!C7+'Protector Forsikring'!C7+'SHB Liv'!C7+'Sparebank 1'!C7+'Storebrand Livsforsikring'!C7+'Telenor Forsikring'!C7+'Tryg Forsikring'!C7+'WaterCircle F'!C7+'Codan Forsikring'!C7+'Euro Accident'!C7</f>
        <v>2766505.5161421131</v>
      </c>
      <c r="D7" s="159">
        <f t="shared" ref="D7:D12" si="0">IF(B7=0, "    ---- ", IF(ABS(ROUND(100/B7*C7-100,1))&lt;999,ROUND(100/B7*C7-100,1),IF(ROUND(100/B7*C7-100,1)&gt;999,999,-999)))</f>
        <v>2.9</v>
      </c>
      <c r="E7" s="234">
        <f>'Fremtind Livsforsikring'!F7+'Danica Pensjonsforsikring'!F7+'DNB Livsforsikring'!F7+'Eika Forsikring AS'!F7+'Frende Livsforsikring'!F7+'Frende Skadeforsikring'!F7+'Gjensidige Forsikring'!F7+'Gjensidige Pensjon'!F7+'Handelsbanken Liv'!F7+'If Skadeforsikring NUF'!F7+KLP!F7+'DNB Bedriftspensjon AS'!F7+'KLP Skadeforsikring AS'!F7+'Landkreditt Forsikring'!F7+Insr!F7+'Nordea Liv '!F7+'Oslo Pensjonsforsikring'!F7+'Protector Forsikring'!F7+'SHB Liv'!F7+'Sparebank 1'!F7+'Storebrand Livsforsikring'!F7+'Telenor Forsikring'!F7+'Tryg Forsikring'!F7+'WaterCircle F'!F7+'Codan Forsikring'!F7+'Euro Accident'!F7</f>
        <v>4722775.0113899997</v>
      </c>
      <c r="F7" s="234">
        <f>'Fremtind Livsforsikring'!G7+'Danica Pensjonsforsikring'!G7+'DNB Livsforsikring'!G7+'Eika Forsikring AS'!G7+'Frende Livsforsikring'!G7+'Frende Skadeforsikring'!G7+'Gjensidige Forsikring'!G7+'Gjensidige Pensjon'!G7+'Handelsbanken Liv'!G7+'If Skadeforsikring NUF'!G7+KLP!G7+'DNB Bedriftspensjon AS'!G7+'KLP Skadeforsikring AS'!G7+'Landkreditt Forsikring'!G7+Insr!G7+'Nordea Liv '!G7+'Oslo Pensjonsforsikring'!G7+'Protector Forsikring'!G7+'SHB Liv'!G7+'Sparebank 1'!G7+'Storebrand Livsforsikring'!G7+'Telenor Forsikring'!G7+'Tryg Forsikring'!G7+'WaterCircle F'!G7+'Codan Forsikring'!G7+'Euro Accident'!G7</f>
        <v>7746378.6778199989</v>
      </c>
      <c r="G7" s="159">
        <f t="shared" ref="G7:G12" si="1">IF(E7=0, "    ---- ", IF(ABS(ROUND(100/E7*F7-100,1))&lt;999,ROUND(100/E7*F7-100,1),IF(ROUND(100/E7*F7-100,1)&gt;999,999,-999)))</f>
        <v>64</v>
      </c>
      <c r="H7" s="275">
        <f t="shared" ref="H7:H12" si="2">B7+E7</f>
        <v>7410068.8320522262</v>
      </c>
      <c r="I7" s="276">
        <f t="shared" ref="I7:I12" si="3">C7+F7</f>
        <v>10512884.193962112</v>
      </c>
      <c r="J7" s="170">
        <f t="shared" ref="J7:J12" si="4">IF(H7=0, "    ---- ", IF(ABS(ROUND(100/H7*I7-100,1))&lt;999,ROUND(100/H7*I7-100,1),IF(ROUND(100/H7*I7-100,1)&gt;999,999,-999)))</f>
        <v>41.9</v>
      </c>
      <c r="M7" s="142"/>
    </row>
    <row r="8" spans="1:13" ht="15.75" customHeight="1" x14ac:dyDescent="0.2">
      <c r="A8" s="20" t="s">
        <v>25</v>
      </c>
      <c r="B8" s="43">
        <f>'Fremtind Livsforsikring'!B8+'Danica Pensjonsforsikring'!B8+'DNB Livsforsikring'!B8+'Eika Forsikring AS'!B8+'Frende Livsforsikring'!B8+'Frende Skadeforsikring'!B8+'Gjensidige Forsikring'!B8+'Gjensidige Pensjon'!B8+'Handelsbanken Liv'!B8+'If Skadeforsikring NUF'!B8+KLP!B8+'DNB Bedriftspensjon AS'!B8+'KLP Skadeforsikring AS'!B8+'Landkreditt Forsikring'!B8+Insr!B8+'Nordea Liv '!B8+'Oslo Pensjonsforsikring'!B8+'Protector Forsikring'!B8+'SHB Liv'!B8+'Sparebank 1'!B8+'Storebrand Livsforsikring'!B8+'Telenor Forsikring'!B8+'Tryg Forsikring'!B8+'WaterCircle F'!B8+'Codan Forsikring'!B8+'Euro Accident'!B8</f>
        <v>1804015.6186876937</v>
      </c>
      <c r="C8" s="43">
        <f>'Fremtind Livsforsikring'!C8+'Danica Pensjonsforsikring'!C8+'DNB Livsforsikring'!C8+'Eika Forsikring AS'!C8+'Frende Livsforsikring'!C8+'Frende Skadeforsikring'!C8+'Gjensidige Forsikring'!C8+'Gjensidige Pensjon'!C8+'Handelsbanken Liv'!C8+'If Skadeforsikring NUF'!C8+KLP!C8+'DNB Bedriftspensjon AS'!C8+'KLP Skadeforsikring AS'!C8+'Landkreditt Forsikring'!C8+Insr!C8+'Nordea Liv '!C8+'Oslo Pensjonsforsikring'!C8+'Protector Forsikring'!C8+'SHB Liv'!C8+'Sparebank 1'!C8+'Storebrand Livsforsikring'!C8+'Telenor Forsikring'!C8+'Tryg Forsikring'!C8+'WaterCircle F'!C8+'Codan Forsikring'!C8+'Euro Accident'!C8</f>
        <v>1810390.7110328772</v>
      </c>
      <c r="D8" s="165">
        <f t="shared" si="0"/>
        <v>0.4</v>
      </c>
      <c r="E8" s="185"/>
      <c r="F8" s="185"/>
      <c r="G8" s="174"/>
      <c r="H8" s="187">
        <f t="shared" si="2"/>
        <v>1804015.6186876937</v>
      </c>
      <c r="I8" s="188">
        <f t="shared" si="3"/>
        <v>1810390.7110328772</v>
      </c>
      <c r="J8" s="170">
        <f t="shared" si="4"/>
        <v>0.4</v>
      </c>
    </row>
    <row r="9" spans="1:13" ht="15.75" customHeight="1" x14ac:dyDescent="0.2">
      <c r="A9" s="20" t="s">
        <v>24</v>
      </c>
      <c r="B9" s="43">
        <f>'Fremtind Livsforsikring'!B9+'Danica Pensjonsforsikring'!B9+'DNB Livsforsikring'!B9+'Eika Forsikring AS'!B9+'Frende Livsforsikring'!B9+'Frende Skadeforsikring'!B9+'Gjensidige Forsikring'!B9+'Gjensidige Pensjon'!B9+'Handelsbanken Liv'!B9+'If Skadeforsikring NUF'!B9+KLP!B9+'DNB Bedriftspensjon AS'!B9+'KLP Skadeforsikring AS'!B9+'Landkreditt Forsikring'!B9+Insr!B9+'Nordea Liv '!B9+'Oslo Pensjonsforsikring'!B9+'Protector Forsikring'!B9+'SHB Liv'!B9+'Sparebank 1'!B9+'Storebrand Livsforsikring'!B9+'Telenor Forsikring'!B9+'Tryg Forsikring'!B9+'WaterCircle F'!B9+'Codan Forsikring'!B9+'Euro Accident'!B9</f>
        <v>519970.633870352</v>
      </c>
      <c r="C9" s="43">
        <f>'Fremtind Livsforsikring'!C9+'Danica Pensjonsforsikring'!C9+'DNB Livsforsikring'!C9+'Eika Forsikring AS'!C9+'Frende Livsforsikring'!C9+'Frende Skadeforsikring'!C9+'Gjensidige Forsikring'!C9+'Gjensidige Pensjon'!C9+'Handelsbanken Liv'!C9+'If Skadeforsikring NUF'!C9+KLP!C9+'DNB Bedriftspensjon AS'!C9+'KLP Skadeforsikring AS'!C9+'Landkreditt Forsikring'!C9+Insr!C9+'Nordea Liv '!C9+'Oslo Pensjonsforsikring'!C9+'Protector Forsikring'!C9+'SHB Liv'!C9+'Sparebank 1'!C9+'Storebrand Livsforsikring'!C9+'Telenor Forsikring'!C9+'Tryg Forsikring'!C9+'WaterCircle F'!C9+'Codan Forsikring'!C9+'Euro Accident'!C9</f>
        <v>590600.06144997897</v>
      </c>
      <c r="D9" s="174">
        <f t="shared" si="0"/>
        <v>13.6</v>
      </c>
      <c r="E9" s="185"/>
      <c r="F9" s="185"/>
      <c r="G9" s="174"/>
      <c r="H9" s="187">
        <f t="shared" si="2"/>
        <v>519970.633870352</v>
      </c>
      <c r="I9" s="188">
        <f t="shared" si="3"/>
        <v>590600.06144997897</v>
      </c>
      <c r="J9" s="170">
        <f t="shared" si="4"/>
        <v>13.6</v>
      </c>
    </row>
    <row r="10" spans="1:13" s="42" customFormat="1" ht="15.75" customHeight="1" x14ac:dyDescent="0.2">
      <c r="A10" s="38" t="s">
        <v>364</v>
      </c>
      <c r="B10" s="234">
        <f>'Fremtind Livsforsikring'!B10+'Danica Pensjonsforsikring'!B10+'DNB Livsforsikring'!B10+'Eika Forsikring AS'!B10+'Frende Livsforsikring'!B10+'Frende Skadeforsikring'!B10+'Gjensidige Forsikring'!B10+'Gjensidige Pensjon'!B10+'Handelsbanken Liv'!B10+'If Skadeforsikring NUF'!B10+KLP!B10+'DNB Bedriftspensjon AS'!B10+'KLP Skadeforsikring AS'!B10+'Landkreditt Forsikring'!B10+Insr!B10+'Nordea Liv '!B10+'Oslo Pensjonsforsikring'!B10+'Protector Forsikring'!B10+'SHB Liv'!B10+'Sparebank 1'!B10+'Storebrand Livsforsikring'!B10+'Telenor Forsikring'!B10+'Tryg Forsikring'!B10+'WaterCircle F'!B10+'Codan Forsikring'!B10+'Euro Accident'!B10</f>
        <v>18361814.190795854</v>
      </c>
      <c r="C10" s="234">
        <f>'Fremtind Livsforsikring'!C10+'Danica Pensjonsforsikring'!C10+'DNB Livsforsikring'!C10+'Eika Forsikring AS'!C10+'Frende Livsforsikring'!C10+'Frende Skadeforsikring'!C10+'Gjensidige Forsikring'!C10+'Gjensidige Pensjon'!C10+'Handelsbanken Liv'!C10+'If Skadeforsikring NUF'!C10+KLP!C10+'DNB Bedriftspensjon AS'!C10+'KLP Skadeforsikring AS'!C10+'Landkreditt Forsikring'!C10+Insr!C10+'Nordea Liv '!C10+'Oslo Pensjonsforsikring'!C10+'Protector Forsikring'!C10+'SHB Liv'!C10+'Sparebank 1'!C10+'Storebrand Livsforsikring'!C10+'Telenor Forsikring'!C10+'Tryg Forsikring'!C10+'WaterCircle F'!C10+'Codan Forsikring'!C10+'Euro Accident'!C10</f>
        <v>17427543.315812003</v>
      </c>
      <c r="D10" s="159">
        <f t="shared" si="0"/>
        <v>-5.0999999999999996</v>
      </c>
      <c r="E10" s="234">
        <f>'Fremtind Livsforsikring'!F10+'Danica Pensjonsforsikring'!F10+'DNB Livsforsikring'!F10+'Eika Forsikring AS'!F10+'Frende Livsforsikring'!F10+'Frende Skadeforsikring'!F10+'Gjensidige Forsikring'!F10+'Gjensidige Pensjon'!F10+'Handelsbanken Liv'!F10+'If Skadeforsikring NUF'!F10+KLP!F10+'DNB Bedriftspensjon AS'!F10+'KLP Skadeforsikring AS'!F10+'Landkreditt Forsikring'!F10+Insr!F10+'Nordea Liv '!F10+'Oslo Pensjonsforsikring'!F10+'Protector Forsikring'!F10+'SHB Liv'!F10+'Sparebank 1'!F10+'Storebrand Livsforsikring'!F10+'Telenor Forsikring'!F10+'Tryg Forsikring'!F10+'WaterCircle F'!F10+'Codan Forsikring'!F10+'Euro Accident'!F10</f>
        <v>51880506.836899996</v>
      </c>
      <c r="F10" s="234">
        <f>'Fremtind Livsforsikring'!G10+'Danica Pensjonsforsikring'!G10+'DNB Livsforsikring'!G10+'Eika Forsikring AS'!G10+'Frende Livsforsikring'!G10+'Frende Skadeforsikring'!G10+'Gjensidige Forsikring'!G10+'Gjensidige Pensjon'!G10+'Handelsbanken Liv'!G10+'If Skadeforsikring NUF'!G10+KLP!G10+'DNB Bedriftspensjon AS'!G10+'KLP Skadeforsikring AS'!G10+'Landkreditt Forsikring'!G10+Insr!G10+'Nordea Liv '!G10+'Oslo Pensjonsforsikring'!G10+'Protector Forsikring'!G10+'SHB Liv'!G10+'Sparebank 1'!G10+'Storebrand Livsforsikring'!G10+'Telenor Forsikring'!G10+'Tryg Forsikring'!G10+'WaterCircle F'!G10+'Codan Forsikring'!G10+'Euro Accident'!G10</f>
        <v>70223464.743249997</v>
      </c>
      <c r="G10" s="159">
        <f t="shared" si="1"/>
        <v>35.4</v>
      </c>
      <c r="H10" s="275">
        <f t="shared" si="2"/>
        <v>70242321.02769585</v>
      </c>
      <c r="I10" s="276">
        <f t="shared" si="3"/>
        <v>87651008.059062004</v>
      </c>
      <c r="J10" s="170">
        <f t="shared" si="4"/>
        <v>24.8</v>
      </c>
    </row>
    <row r="11" spans="1:13" s="42" customFormat="1" ht="15.75" customHeight="1" x14ac:dyDescent="0.2">
      <c r="A11" s="38" t="s">
        <v>365</v>
      </c>
      <c r="B11" s="234">
        <f>'Fremtind Livsforsikring'!B11+'Danica Pensjonsforsikring'!B11+'DNB Livsforsikring'!B11+'Eika Forsikring AS'!B11+'Frende Livsforsikring'!B11+'Frende Skadeforsikring'!B11+'Gjensidige Forsikring'!B11+'Gjensidige Pensjon'!B11+'Handelsbanken Liv'!B11+'If Skadeforsikring NUF'!B11+KLP!B11+'DNB Bedriftspensjon AS'!B11+'KLP Skadeforsikring AS'!B11+'Landkreditt Forsikring'!B11+Insr!B11+'Nordea Liv '!B11+'Oslo Pensjonsforsikring'!B11+'Protector Forsikring'!B11+'SHB Liv'!B11+'Sparebank 1'!B11+'Storebrand Livsforsikring'!B11+'Telenor Forsikring'!B11+'Tryg Forsikring'!B11+'WaterCircle F'!B11+'Codan Forsikring'!B11+'Euro Accident'!B11</f>
        <v>18520</v>
      </c>
      <c r="C11" s="234">
        <f>'Fremtind Livsforsikring'!C11+'Danica Pensjonsforsikring'!C11+'DNB Livsforsikring'!C11+'Eika Forsikring AS'!C11+'Frende Livsforsikring'!C11+'Frende Skadeforsikring'!C11+'Gjensidige Forsikring'!C11+'Gjensidige Pensjon'!C11+'Handelsbanken Liv'!C11+'If Skadeforsikring NUF'!C11+KLP!C11+'DNB Bedriftspensjon AS'!C11+'KLP Skadeforsikring AS'!C11+'Landkreditt Forsikring'!C11+Insr!C11+'Nordea Liv '!C11+'Oslo Pensjonsforsikring'!C11+'Protector Forsikring'!C11+'SHB Liv'!C11+'Sparebank 1'!C11+'Storebrand Livsforsikring'!C11+'Telenor Forsikring'!C11+'Tryg Forsikring'!C11+'WaterCircle F'!C11+'Codan Forsikring'!C11+'Euro Accident'!C11</f>
        <v>24524</v>
      </c>
      <c r="D11" s="170">
        <f t="shared" si="0"/>
        <v>32.4</v>
      </c>
      <c r="E11" s="234">
        <f>'Fremtind Livsforsikring'!F11+'Danica Pensjonsforsikring'!F11+'DNB Livsforsikring'!F11+'Eika Forsikring AS'!F11+'Frende Livsforsikring'!F11+'Frende Skadeforsikring'!F11+'Gjensidige Forsikring'!F11+'Gjensidige Pensjon'!F11+'Handelsbanken Liv'!F11+'If Skadeforsikring NUF'!F11+KLP!F11+'DNB Bedriftspensjon AS'!F11+'KLP Skadeforsikring AS'!F11+'Landkreditt Forsikring'!F11+Insr!F11+'Nordea Liv '!F11+'Oslo Pensjonsforsikring'!F11+'Protector Forsikring'!F11+'SHB Liv'!F11+'Sparebank 1'!F11+'Storebrand Livsforsikring'!F11+'Telenor Forsikring'!F11+'Tryg Forsikring'!F11+'WaterCircle F'!F11+'Codan Forsikring'!F11+'Euro Accident'!F11</f>
        <v>217462.92000999997</v>
      </c>
      <c r="F11" s="234">
        <f>'Fremtind Livsforsikring'!G11+'Danica Pensjonsforsikring'!G11+'DNB Livsforsikring'!G11+'Eika Forsikring AS'!G11+'Frende Livsforsikring'!G11+'Frende Skadeforsikring'!G11+'Gjensidige Forsikring'!G11+'Gjensidige Pensjon'!G11+'Handelsbanken Liv'!G11+'If Skadeforsikring NUF'!G11+KLP!G11+'DNB Bedriftspensjon AS'!G11+'KLP Skadeforsikring AS'!G11+'Landkreditt Forsikring'!G11+Insr!G11+'Nordea Liv '!G11+'Oslo Pensjonsforsikring'!G11+'Protector Forsikring'!G11+'SHB Liv'!G11+'Sparebank 1'!G11+'Storebrand Livsforsikring'!G11+'Telenor Forsikring'!G11+'Tryg Forsikring'!G11+'WaterCircle F'!G11+'Codan Forsikring'!G11+'Euro Accident'!G11</f>
        <v>259173.54251</v>
      </c>
      <c r="G11" s="170">
        <f t="shared" si="1"/>
        <v>19.2</v>
      </c>
      <c r="H11" s="275">
        <f t="shared" si="2"/>
        <v>235982.92000999997</v>
      </c>
      <c r="I11" s="276">
        <f t="shared" si="3"/>
        <v>283697.54251</v>
      </c>
      <c r="J11" s="170">
        <f t="shared" si="4"/>
        <v>20.2</v>
      </c>
    </row>
    <row r="12" spans="1:13" s="42" customFormat="1" ht="15.75" customHeight="1" x14ac:dyDescent="0.2">
      <c r="A12" s="581" t="s">
        <v>366</v>
      </c>
      <c r="B12" s="274">
        <f>'Fremtind Livsforsikring'!B12+'Danica Pensjonsforsikring'!B12+'DNB Livsforsikring'!B12+'Eika Forsikring AS'!B12+'Frende Livsforsikring'!B12+'Frende Skadeforsikring'!B12+'Gjensidige Forsikring'!B12+'Gjensidige Pensjon'!B12+'Handelsbanken Liv'!B12+'If Skadeforsikring NUF'!B12+KLP!B12+'DNB Bedriftspensjon AS'!B12+'KLP Skadeforsikring AS'!B12+'Landkreditt Forsikring'!B12+Insr!B12+'Nordea Liv '!B12+'Oslo Pensjonsforsikring'!B12+'Protector Forsikring'!B12+'SHB Liv'!B12+'Sparebank 1'!B12+'Storebrand Livsforsikring'!B12+'Telenor Forsikring'!B12+'Tryg Forsikring'!B12+'WaterCircle F'!B12+'Codan Forsikring'!B12+'Euro Accident'!B12</f>
        <v>2399</v>
      </c>
      <c r="C12" s="274">
        <f>'Fremtind Livsforsikring'!C12+'Danica Pensjonsforsikring'!C12+'DNB Livsforsikring'!C12+'Eika Forsikring AS'!C12+'Frende Livsforsikring'!C12+'Frende Skadeforsikring'!C12+'Gjensidige Forsikring'!C12+'Gjensidige Pensjon'!C12+'Handelsbanken Liv'!C12+'If Skadeforsikring NUF'!C12+KLP!C12+'DNB Bedriftspensjon AS'!C12+'KLP Skadeforsikring AS'!C12+'Landkreditt Forsikring'!C12+Insr!C12+'Nordea Liv '!C12+'Oslo Pensjonsforsikring'!C12+'Protector Forsikring'!C12+'SHB Liv'!C12+'Sparebank 1'!C12+'Storebrand Livsforsikring'!C12+'Telenor Forsikring'!C12+'Tryg Forsikring'!C12+'WaterCircle F'!C12+'Codan Forsikring'!C12+'Euro Accident'!C12</f>
        <v>3700</v>
      </c>
      <c r="D12" s="169">
        <f t="shared" si="0"/>
        <v>54.2</v>
      </c>
      <c r="E12" s="274">
        <f>'Fremtind Livsforsikring'!F12+'Danica Pensjonsforsikring'!F12+'DNB Livsforsikring'!F12+'Eika Forsikring AS'!F12+'Frende Livsforsikring'!F12+'Frende Skadeforsikring'!F12+'Gjensidige Forsikring'!F12+'Gjensidige Pensjon'!F12+'Handelsbanken Liv'!F12+'If Skadeforsikring NUF'!F12+KLP!F12+'DNB Bedriftspensjon AS'!F12+'KLP Skadeforsikring AS'!F12+'Landkreditt Forsikring'!F12+Insr!F12+'Nordea Liv '!F12+'Oslo Pensjonsforsikring'!F12+'Protector Forsikring'!F12+'SHB Liv'!F12+'Sparebank 1'!F12+'Storebrand Livsforsikring'!F12+'Telenor Forsikring'!F12+'Tryg Forsikring'!F12+'WaterCircle F'!F12+'Codan Forsikring'!F12+'Euro Accident'!F12</f>
        <v>154005.36911</v>
      </c>
      <c r="F12" s="274">
        <f>'Fremtind Livsforsikring'!G12+'Danica Pensjonsforsikring'!G12+'DNB Livsforsikring'!G12+'Eika Forsikring AS'!G12+'Frende Livsforsikring'!G12+'Frende Skadeforsikring'!G12+'Gjensidige Forsikring'!G12+'Gjensidige Pensjon'!G12+'Handelsbanken Liv'!G12+'If Skadeforsikring NUF'!G12+KLP!G12+'DNB Bedriftspensjon AS'!G12+'KLP Skadeforsikring AS'!G12+'Landkreditt Forsikring'!G12+Insr!G12+'Nordea Liv '!G12+'Oslo Pensjonsforsikring'!G12+'Protector Forsikring'!G12+'SHB Liv'!G12+'Sparebank 1'!G12+'Storebrand Livsforsikring'!G12+'Telenor Forsikring'!G12+'Tryg Forsikring'!G12+'WaterCircle F'!G12+'Codan Forsikring'!G12+'Euro Accident'!G12</f>
        <v>99172.854860000007</v>
      </c>
      <c r="G12" s="168">
        <f t="shared" si="1"/>
        <v>-35.6</v>
      </c>
      <c r="H12" s="277">
        <f t="shared" si="2"/>
        <v>156404.36911</v>
      </c>
      <c r="I12" s="278">
        <f t="shared" si="3"/>
        <v>102872.85486000001</v>
      </c>
      <c r="J12" s="168">
        <f t="shared" si="4"/>
        <v>-34.200000000000003</v>
      </c>
    </row>
    <row r="13" spans="1:13" s="42" customFormat="1" ht="15.75" customHeight="1" x14ac:dyDescent="0.2">
      <c r="A13" s="167"/>
      <c r="B13" s="34"/>
      <c r="C13" s="5"/>
      <c r="D13" s="31"/>
      <c r="E13" s="34"/>
      <c r="F13" s="5"/>
      <c r="G13" s="31"/>
      <c r="H13" s="47"/>
      <c r="I13" s="47"/>
      <c r="J13" s="31"/>
    </row>
    <row r="14" spans="1:13" ht="15.75" customHeight="1" x14ac:dyDescent="0.2">
      <c r="A14" s="152" t="s">
        <v>274</v>
      </c>
    </row>
    <row r="15" spans="1:13" ht="15.75" customHeight="1" x14ac:dyDescent="0.2">
      <c r="A15" s="148"/>
      <c r="E15" s="7"/>
      <c r="F15" s="7"/>
      <c r="G15" s="7"/>
      <c r="H15" s="7"/>
      <c r="I15" s="7"/>
      <c r="J15" s="7"/>
    </row>
    <row r="16" spans="1:13" s="3" customFormat="1" ht="15.75" customHeight="1" x14ac:dyDescent="0.25">
      <c r="A16" s="163"/>
      <c r="C16" s="29"/>
      <c r="D16" s="29"/>
      <c r="E16" s="29"/>
      <c r="F16" s="29"/>
      <c r="G16" s="29"/>
      <c r="H16" s="29"/>
      <c r="I16" s="29"/>
      <c r="J16" s="29"/>
    </row>
    <row r="17" spans="1:11" ht="15.75" customHeight="1" x14ac:dyDescent="0.25">
      <c r="A17" s="146" t="s">
        <v>271</v>
      </c>
      <c r="B17" s="27"/>
      <c r="C17" s="27"/>
      <c r="D17" s="28"/>
      <c r="E17" s="27"/>
      <c r="F17" s="27"/>
      <c r="G17" s="27"/>
      <c r="H17" s="27"/>
      <c r="I17" s="27"/>
      <c r="J17" s="27"/>
    </row>
    <row r="18" spans="1:11" ht="15.75" customHeight="1" x14ac:dyDescent="0.25">
      <c r="A18" s="148"/>
      <c r="B18" s="772"/>
      <c r="C18" s="772"/>
      <c r="D18" s="772"/>
      <c r="E18" s="772"/>
      <c r="F18" s="772"/>
      <c r="G18" s="772"/>
      <c r="H18" s="772"/>
      <c r="I18" s="772"/>
      <c r="J18" s="772"/>
    </row>
    <row r="19" spans="1:11" ht="15.75" customHeight="1" x14ac:dyDescent="0.2">
      <c r="A19" s="143"/>
      <c r="B19" s="773" t="s">
        <v>0</v>
      </c>
      <c r="C19" s="774"/>
      <c r="D19" s="774"/>
      <c r="E19" s="773" t="s">
        <v>1</v>
      </c>
      <c r="F19" s="774"/>
      <c r="G19" s="775"/>
      <c r="H19" s="774" t="s">
        <v>2</v>
      </c>
      <c r="I19" s="774"/>
      <c r="J19" s="775"/>
    </row>
    <row r="20" spans="1:11" ht="15.75" customHeight="1" x14ac:dyDescent="0.2">
      <c r="A20" s="139" t="s">
        <v>5</v>
      </c>
      <c r="B20" s="731" t="s">
        <v>439</v>
      </c>
      <c r="C20" s="731" t="s">
        <v>440</v>
      </c>
      <c r="D20" s="247" t="s">
        <v>3</v>
      </c>
      <c r="E20" s="731" t="s">
        <v>439</v>
      </c>
      <c r="F20" s="731" t="s">
        <v>440</v>
      </c>
      <c r="G20" s="247" t="s">
        <v>3</v>
      </c>
      <c r="H20" s="731" t="s">
        <v>439</v>
      </c>
      <c r="I20" s="731" t="s">
        <v>440</v>
      </c>
      <c r="J20" s="247" t="s">
        <v>3</v>
      </c>
    </row>
    <row r="21" spans="1:11" ht="15.75" customHeight="1" x14ac:dyDescent="0.2">
      <c r="A21" s="754"/>
      <c r="B21" s="15"/>
      <c r="C21" s="15"/>
      <c r="D21" s="17" t="s">
        <v>4</v>
      </c>
      <c r="E21" s="16"/>
      <c r="F21" s="16"/>
      <c r="G21" s="15" t="s">
        <v>4</v>
      </c>
      <c r="H21" s="16"/>
      <c r="I21" s="16"/>
      <c r="J21" s="15" t="s">
        <v>4</v>
      </c>
    </row>
    <row r="22" spans="1:11" s="42" customFormat="1" ht="15.75" customHeight="1" x14ac:dyDescent="0.2">
      <c r="A22" s="14" t="s">
        <v>23</v>
      </c>
      <c r="B22" s="234">
        <f>'Fremtind Livsforsikring'!B22+'Danica Pensjonsforsikring'!B22+'DNB Livsforsikring'!B22+'Eika Forsikring AS'!B22+'Frende Livsforsikring'!B22+'Frende Skadeforsikring'!B22+'Gjensidige Forsikring'!B22+'Gjensidige Pensjon'!B22+'Handelsbanken Liv'!B22+'If Skadeforsikring NUF'!B22+KLP!B22+'DNB Bedriftspensjon AS'!B22+'KLP Skadeforsikring AS'!B22+'Landkreditt Forsikring'!B22+Insr!B22+'Nordea Liv '!B22+'Oslo Pensjonsforsikring'!B22+'Protector Forsikring'!B22+'SHB Liv'!B22+'Sparebank 1'!B22+'Storebrand Livsforsikring'!B22+'Telenor Forsikring'!B22+'Tryg Forsikring'!B22+'WaterCircle F'!B22+'Codan Forsikring'!B22+'Euro Accident'!B22</f>
        <v>987633.37332152703</v>
      </c>
      <c r="C22" s="234">
        <f>'Fremtind Livsforsikring'!C22+'Danica Pensjonsforsikring'!C22+'DNB Livsforsikring'!C22+'Eika Forsikring AS'!C22+'Frende Livsforsikring'!C22+'Frende Skadeforsikring'!C22+'Gjensidige Forsikring'!C22+'Gjensidige Pensjon'!C22+'Handelsbanken Liv'!C22+'If Skadeforsikring NUF'!C22+KLP!C22+'DNB Bedriftspensjon AS'!C22+'KLP Skadeforsikring AS'!C22+'Landkreditt Forsikring'!C22+Insr!C22+'Nordea Liv '!C22+'Oslo Pensjonsforsikring'!C22+'Protector Forsikring'!C22+'SHB Liv'!C22+'Sparebank 1'!C22+'Storebrand Livsforsikring'!C22+'Telenor Forsikring'!C22+'Tryg Forsikring'!C22+'WaterCircle F'!C22+'Codan Forsikring'!C22+'Euro Accident'!C22</f>
        <v>1120765.8294620232</v>
      </c>
      <c r="D22" s="11">
        <f t="shared" ref="D22:D39" si="5">IF(B22=0, "    ---- ", IF(ABS(ROUND(100/B22*C22-100,1))&lt;999,ROUND(100/B22*C22-100,1),IF(ROUND(100/B22*C22-100,1)&gt;999,999,-999)))</f>
        <v>13.5</v>
      </c>
      <c r="E22" s="735">
        <f>'Fremtind Livsforsikring'!F22+'Danica Pensjonsforsikring'!F22+'DNB Livsforsikring'!F22+'Eika Forsikring AS'!F22+'Frende Livsforsikring'!F22+'Frende Skadeforsikring'!F22+'Gjensidige Forsikring'!F22+'Gjensidige Pensjon'!F22+'Handelsbanken Liv'!F22+'If Skadeforsikring NUF'!F22+KLP!F22+'DNB Bedriftspensjon AS'!F22+'KLP Skadeforsikring AS'!F22+'Landkreditt Forsikring'!F22+Insr!F22+'Nordea Liv '!F22+'Oslo Pensjonsforsikring'!F22+'Protector Forsikring'!F22+'SHB Liv'!F22+'Sparebank 1'!F22+'Storebrand Livsforsikring'!F22+'Telenor Forsikring'!F22+'Tryg Forsikring'!F22+'WaterCircle F'!F22+'Codan Forsikring'!F22+'Euro Accident'!F22</f>
        <v>642171.47821999993</v>
      </c>
      <c r="F22" s="234">
        <f>'Fremtind Livsforsikring'!G22+'Danica Pensjonsforsikring'!G22+'DNB Livsforsikring'!G22+'Eika Forsikring AS'!G22+'Frende Livsforsikring'!G22+'Frende Skadeforsikring'!G22+'Gjensidige Forsikring'!G22+'Gjensidige Pensjon'!G22+'Handelsbanken Liv'!G22+'If Skadeforsikring NUF'!G22+KLP!G22+'DNB Bedriftspensjon AS'!G22+'KLP Skadeforsikring AS'!G22+'Landkreditt Forsikring'!G22+Insr!G22+'Nordea Liv '!G22+'Oslo Pensjonsforsikring'!G22+'Protector Forsikring'!G22+'SHB Liv'!G22+'Sparebank 1'!G22+'Storebrand Livsforsikring'!G22+'Telenor Forsikring'!G22+'Tryg Forsikring'!G22+'WaterCircle F'!G22+'Codan Forsikring'!G22+'Euro Accident'!G22</f>
        <v>801478.53217000002</v>
      </c>
      <c r="G22" s="348">
        <f t="shared" ref="G22:G35" si="6">IF(E22=0, "    ---- ", IF(ABS(ROUND(100/E22*F22-100,1))&lt;999,ROUND(100/E22*F22-100,1),IF(ROUND(100/E22*F22-100,1)&gt;999,999,-999)))</f>
        <v>24.8</v>
      </c>
      <c r="H22" s="306">
        <f>SUM(B22,E22)</f>
        <v>1629804.8515415271</v>
      </c>
      <c r="I22" s="234">
        <f t="shared" ref="I22:I39" si="7">SUM(C22,F22)</f>
        <v>1922244.3616320232</v>
      </c>
      <c r="J22" s="23">
        <f t="shared" ref="J22:J39" si="8">IF(H22=0, "    ---- ", IF(ABS(ROUND(100/H22*I22-100,1))&lt;999,ROUND(100/H22*I22-100,1),IF(ROUND(100/H22*I22-100,1)&gt;999,999,-999)))</f>
        <v>17.899999999999999</v>
      </c>
    </row>
    <row r="23" spans="1:11" ht="15.75" customHeight="1" x14ac:dyDescent="0.2">
      <c r="A23" s="582" t="s">
        <v>367</v>
      </c>
      <c r="B23" s="43">
        <f>'Fremtind Livsforsikring'!B23+'Danica Pensjonsforsikring'!B23+'DNB Livsforsikring'!B23+'Eika Forsikring AS'!B23+'Frende Livsforsikring'!B23+'Frende Skadeforsikring'!B23+'Gjensidige Forsikring'!B23+'Gjensidige Pensjon'!B23+'Handelsbanken Liv'!B23+'If Skadeforsikring NUF'!B23+KLP!B23+'DNB Bedriftspensjon AS'!B23+'KLP Skadeforsikring AS'!B23+'Landkreditt Forsikring'!B23+Insr!B23+'Nordea Liv '!B23+'Oslo Pensjonsforsikring'!B23+'Protector Forsikring'!B23+'SHB Liv'!B23+'Sparebank 1'!B23+'Storebrand Livsforsikring'!B23+'Telenor Forsikring'!B23+'Tryg Forsikring'!B23+'WaterCircle F'!B23+'Codan Forsikring'!B23+'Euro Accident'!B23</f>
        <v>409082.34826152714</v>
      </c>
      <c r="C23" s="43">
        <f>'Fremtind Livsforsikring'!C23+'Danica Pensjonsforsikring'!C23+'DNB Livsforsikring'!C23+'Eika Forsikring AS'!C23+'Frende Livsforsikring'!C23+'Frende Skadeforsikring'!C23+'Gjensidige Forsikring'!C23+'Gjensidige Pensjon'!C23+'Handelsbanken Liv'!C23+'If Skadeforsikring NUF'!C23+KLP!C23+'DNB Bedriftspensjon AS'!C23+'KLP Skadeforsikring AS'!C23+'Landkreditt Forsikring'!C23+Insr!C23+'Nordea Liv '!C23+'Oslo Pensjonsforsikring'!C23+'Protector Forsikring'!C23+'SHB Liv'!C23+'Sparebank 1'!C23+'Storebrand Livsforsikring'!C23+'Telenor Forsikring'!C23+'Tryg Forsikring'!C23+'WaterCircle F'!C23+'Codan Forsikring'!C23+'Euro Accident'!C23</f>
        <v>448685.46215703333</v>
      </c>
      <c r="D23" s="26">
        <f>IF($A$1=4,IF(B23=0, "    ---- ", IF(ABS(ROUND(100/B23*C23-100,1))&lt;999,ROUND(100/B23*C23-100,1),IF(ROUND(100/B23*C23-100,1)&gt;999,999,-999))),"")</f>
        <v>9.6999999999999993</v>
      </c>
      <c r="E23" s="730">
        <f>'Fremtind Livsforsikring'!F23+'Danica Pensjonsforsikring'!F23+'DNB Livsforsikring'!F23+'Eika Forsikring AS'!F23+'Frende Livsforsikring'!F23+'Frende Skadeforsikring'!F23+'Gjensidige Forsikring'!F23+'Gjensidige Pensjon'!F23+'Handelsbanken Liv'!F23+'If Skadeforsikring NUF'!F23+KLP!F23+'DNB Bedriftspensjon AS'!F23+'KLP Skadeforsikring AS'!F23+'Landkreditt Forsikring'!F23+Insr!F23+'Nordea Liv '!F23+'Oslo Pensjonsforsikring'!F23+'Protector Forsikring'!F23+'SHB Liv'!F23+'Sparebank 1'!F23+'Storebrand Livsforsikring'!F23+'Telenor Forsikring'!F23+'Tryg Forsikring'!F23+'WaterCircle F'!F23+'Codan Forsikring'!F23+'Euro Accident'!F23</f>
        <v>87360.507779999985</v>
      </c>
      <c r="F23" s="43">
        <f>'Fremtind Livsforsikring'!G23+'Danica Pensjonsforsikring'!G23+'DNB Livsforsikring'!G23+'Eika Forsikring AS'!G23+'Frende Livsforsikring'!G23+'Frende Skadeforsikring'!G23+'Gjensidige Forsikring'!G23+'Gjensidige Pensjon'!G23+'Handelsbanken Liv'!G23+'If Skadeforsikring NUF'!G23+KLP!G23+'DNB Bedriftspensjon AS'!G23+'KLP Skadeforsikring AS'!G23+'Landkreditt Forsikring'!G23+Insr!G23+'Nordea Liv '!G23+'Oslo Pensjonsforsikring'!G23+'Protector Forsikring'!G23+'SHB Liv'!G23+'Sparebank 1'!G23+'Storebrand Livsforsikring'!G23+'Telenor Forsikring'!G23+'Tryg Forsikring'!G23+'WaterCircle F'!G23+'Codan Forsikring'!G23+'Euro Accident'!G23</f>
        <v>144435.14938000002</v>
      </c>
      <c r="G23" s="165">
        <f>IF($A$1=4,IF(E23=0, "    ---- ", IF(ABS(ROUND(100/E23*F23-100,1))&lt;999,ROUND(100/E23*F23-100,1),IF(ROUND(100/E23*F23-100,1)&gt;999,999,-999))),"")</f>
        <v>65.3</v>
      </c>
      <c r="H23" s="232">
        <f t="shared" ref="H23:H39" si="9">SUM(B23,E23)</f>
        <v>496442.85604152712</v>
      </c>
      <c r="I23" s="43">
        <f t="shared" si="7"/>
        <v>593120.61153703334</v>
      </c>
      <c r="J23" s="22">
        <f t="shared" si="8"/>
        <v>19.5</v>
      </c>
    </row>
    <row r="24" spans="1:11" ht="15.75" customHeight="1" x14ac:dyDescent="0.2">
      <c r="A24" s="582" t="s">
        <v>368</v>
      </c>
      <c r="B24" s="43">
        <f>'Fremtind Livsforsikring'!B24+'Danica Pensjonsforsikring'!B24+'DNB Livsforsikring'!B24+'Eika Forsikring AS'!B24+'Frende Livsforsikring'!B24+'Frende Skadeforsikring'!B24+'Gjensidige Forsikring'!B24+'Gjensidige Pensjon'!B24+'Handelsbanken Liv'!B24+'If Skadeforsikring NUF'!B24+KLP!B24+'DNB Bedriftspensjon AS'!B24+'KLP Skadeforsikring AS'!B24+'Landkreditt Forsikring'!B24+Insr!B24+'Nordea Liv '!B24+'Oslo Pensjonsforsikring'!B24+'Protector Forsikring'!B24+'SHB Liv'!B24+'Sparebank 1'!B24+'Storebrand Livsforsikring'!B24+'Telenor Forsikring'!B24+'Tryg Forsikring'!B24+'WaterCircle F'!B24+'Codan Forsikring'!B24+'Euro Accident'!B24</f>
        <v>17020.447840000001</v>
      </c>
      <c r="C24" s="43">
        <f>'Fremtind Livsforsikring'!C24+'Danica Pensjonsforsikring'!C24+'DNB Livsforsikring'!C24+'Eika Forsikring AS'!C24+'Frende Livsforsikring'!C24+'Frende Skadeforsikring'!C24+'Gjensidige Forsikring'!C24+'Gjensidige Pensjon'!C24+'Handelsbanken Liv'!C24+'If Skadeforsikring NUF'!C24+KLP!C24+'DNB Bedriftspensjon AS'!C24+'KLP Skadeforsikring AS'!C24+'Landkreditt Forsikring'!C24+Insr!C24+'Nordea Liv '!C24+'Oslo Pensjonsforsikring'!C24+'Protector Forsikring'!C24+'SHB Liv'!C24+'Sparebank 1'!C24+'Storebrand Livsforsikring'!C24+'Telenor Forsikring'!C24+'Tryg Forsikring'!C24+'WaterCircle F'!C24+'Codan Forsikring'!C24+'Euro Accident'!C24</f>
        <v>13842.588312490599</v>
      </c>
      <c r="D24" s="26">
        <f t="shared" ref="D24:D25" si="10">IF($A$1=4,IF(B24=0, "    ---- ", IF(ABS(ROUND(100/B24*C24-100,1))&lt;999,ROUND(100/B24*C24-100,1),IF(ROUND(100/B24*C24-100,1)&gt;999,999,-999))),"")</f>
        <v>-18.7</v>
      </c>
      <c r="E24" s="730">
        <f>'Fremtind Livsforsikring'!F24+'Danica Pensjonsforsikring'!F24+'DNB Livsforsikring'!F24+'Eika Forsikring AS'!F24+'Frende Livsforsikring'!F24+'Frende Skadeforsikring'!F24+'Gjensidige Forsikring'!F24+'Gjensidige Pensjon'!F24+'Handelsbanken Liv'!F24+'If Skadeforsikring NUF'!F24+KLP!F24+'DNB Bedriftspensjon AS'!F24+'KLP Skadeforsikring AS'!F24+'Landkreditt Forsikring'!F24+Insr!F24+'Nordea Liv '!F24+'Oslo Pensjonsforsikring'!F24+'Protector Forsikring'!F24+'SHB Liv'!F24+'Sparebank 1'!F24+'Storebrand Livsforsikring'!F24+'Telenor Forsikring'!F24+'Tryg Forsikring'!F24+'WaterCircle F'!F24+'Codan Forsikring'!F24+'Euro Accident'!F24</f>
        <v>939.49790999999993</v>
      </c>
      <c r="F24" s="43">
        <f>'Fremtind Livsforsikring'!G24+'Danica Pensjonsforsikring'!G24+'DNB Livsforsikring'!G24+'Eika Forsikring AS'!G24+'Frende Livsforsikring'!G24+'Frende Skadeforsikring'!G24+'Gjensidige Forsikring'!G24+'Gjensidige Pensjon'!G24+'Handelsbanken Liv'!G24+'If Skadeforsikring NUF'!G24+KLP!G24+'DNB Bedriftspensjon AS'!G24+'KLP Skadeforsikring AS'!G24+'Landkreditt Forsikring'!G24+Insr!G24+'Nordea Liv '!G24+'Oslo Pensjonsforsikring'!G24+'Protector Forsikring'!G24+'SHB Liv'!G24+'Sparebank 1'!G24+'Storebrand Livsforsikring'!G24+'Telenor Forsikring'!G24+'Tryg Forsikring'!G24+'WaterCircle F'!G24+'Codan Forsikring'!G24+'Euro Accident'!G24</f>
        <v>55.213290000000001</v>
      </c>
      <c r="G24" s="165">
        <f t="shared" ref="G24:G25" si="11">IF($A$1=4,IF(E24=0, "    ---- ", IF(ABS(ROUND(100/E24*F24-100,1))&lt;999,ROUND(100/E24*F24-100,1),IF(ROUND(100/E24*F24-100,1)&gt;999,999,-999))),"")</f>
        <v>-94.1</v>
      </c>
      <c r="H24" s="232">
        <f t="shared" si="9"/>
        <v>17959.945749999999</v>
      </c>
      <c r="I24" s="43">
        <f t="shared" si="7"/>
        <v>13897.801602490599</v>
      </c>
      <c r="J24" s="11">
        <f t="shared" si="8"/>
        <v>-22.6</v>
      </c>
    </row>
    <row r="25" spans="1:11" ht="15.75" customHeight="1" x14ac:dyDescent="0.2">
      <c r="A25" s="582" t="s">
        <v>369</v>
      </c>
      <c r="B25" s="43">
        <f>'Fremtind Livsforsikring'!B25+'Danica Pensjonsforsikring'!B25+'DNB Livsforsikring'!B25+'Eika Forsikring AS'!B25+'Frende Livsforsikring'!B25+'Frende Skadeforsikring'!B25+'Gjensidige Forsikring'!B25+'Gjensidige Pensjon'!B25+'Handelsbanken Liv'!B25+'If Skadeforsikring NUF'!B25+KLP!B25+'DNB Bedriftspensjon AS'!B25+'KLP Skadeforsikring AS'!B25+'Landkreditt Forsikring'!B25+Insr!B25+'Nordea Liv '!B25+'Oslo Pensjonsforsikring'!B25+'Protector Forsikring'!B25+'SHB Liv'!B25+'Sparebank 1'!B25+'Storebrand Livsforsikring'!B25+'Telenor Forsikring'!B25+'Tryg Forsikring'!B25+'WaterCircle F'!B25+'Codan Forsikring'!B25+'Euro Accident'!B25</f>
        <v>16156.164000000001</v>
      </c>
      <c r="C25" s="43">
        <f>'Fremtind Livsforsikring'!C25+'Danica Pensjonsforsikring'!C25+'DNB Livsforsikring'!C25+'Eika Forsikring AS'!C25+'Frende Livsforsikring'!C25+'Frende Skadeforsikring'!C25+'Gjensidige Forsikring'!C25+'Gjensidige Pensjon'!C25+'Handelsbanken Liv'!C25+'If Skadeforsikring NUF'!C25+KLP!C25+'DNB Bedriftspensjon AS'!C25+'KLP Skadeforsikring AS'!C25+'Landkreditt Forsikring'!C25+Insr!C25+'Nordea Liv '!C25+'Oslo Pensjonsforsikring'!C25+'Protector Forsikring'!C25+'SHB Liv'!C25+'Sparebank 1'!C25+'Storebrand Livsforsikring'!C25+'Telenor Forsikring'!C25+'Tryg Forsikring'!C25+'WaterCircle F'!C25+'Codan Forsikring'!C25+'Euro Accident'!C25</f>
        <v>18108.595052498902</v>
      </c>
      <c r="D25" s="26">
        <f t="shared" si="10"/>
        <v>12.1</v>
      </c>
      <c r="E25" s="730">
        <f>'Fremtind Livsforsikring'!F25+'Danica Pensjonsforsikring'!F25+'DNB Livsforsikring'!F25+'Eika Forsikring AS'!F25+'Frende Livsforsikring'!F25+'Frende Skadeforsikring'!F25+'Gjensidige Forsikring'!F25+'Gjensidige Pensjon'!F25+'Handelsbanken Liv'!F25+'If Skadeforsikring NUF'!F25+KLP!F25+'DNB Bedriftspensjon AS'!F25+'KLP Skadeforsikring AS'!F25+'Landkreditt Forsikring'!F25+Insr!F25+'Nordea Liv '!F25+'Oslo Pensjonsforsikring'!F25+'Protector Forsikring'!F25+'SHB Liv'!F25+'Sparebank 1'!F25+'Storebrand Livsforsikring'!F25+'Telenor Forsikring'!F25+'Tryg Forsikring'!F25+'WaterCircle F'!F25+'Codan Forsikring'!F25+'Euro Accident'!F25</f>
        <v>19878.07948</v>
      </c>
      <c r="F25" s="43">
        <f>'Fremtind Livsforsikring'!G25+'Danica Pensjonsforsikring'!G25+'DNB Livsforsikring'!G25+'Eika Forsikring AS'!G25+'Frende Livsforsikring'!G25+'Frende Skadeforsikring'!G25+'Gjensidige Forsikring'!G25+'Gjensidige Pensjon'!G25+'Handelsbanken Liv'!G25+'If Skadeforsikring NUF'!G25+KLP!G25+'DNB Bedriftspensjon AS'!G25+'KLP Skadeforsikring AS'!G25+'Landkreditt Forsikring'!G25+Insr!G25+'Nordea Liv '!G25+'Oslo Pensjonsforsikring'!G25+'Protector Forsikring'!G25+'SHB Liv'!G25+'Sparebank 1'!G25+'Storebrand Livsforsikring'!G25+'Telenor Forsikring'!G25+'Tryg Forsikring'!G25+'WaterCircle F'!G25+'Codan Forsikring'!G25+'Euro Accident'!G25</f>
        <v>8047.5657199999996</v>
      </c>
      <c r="G25" s="165">
        <f t="shared" si="11"/>
        <v>-59.5</v>
      </c>
      <c r="H25" s="232">
        <f t="shared" si="9"/>
        <v>36034.243480000005</v>
      </c>
      <c r="I25" s="43">
        <f t="shared" si="7"/>
        <v>26156.160772498901</v>
      </c>
      <c r="J25" s="26">
        <f t="shared" si="8"/>
        <v>-27.4</v>
      </c>
    </row>
    <row r="26" spans="1:11" ht="15.75" customHeight="1" x14ac:dyDescent="0.2">
      <c r="A26" s="582" t="s">
        <v>370</v>
      </c>
      <c r="B26" s="43">
        <f>'Fremtind Livsforsikring'!B26+'Danica Pensjonsforsikring'!B26+'DNB Livsforsikring'!B26+'Eika Forsikring AS'!B26+'Frende Livsforsikring'!B26+'Frende Skadeforsikring'!B26+'Gjensidige Forsikring'!B26+'Gjensidige Pensjon'!B26+'Handelsbanken Liv'!B26+'If Skadeforsikring NUF'!B26+KLP!B26+'DNB Bedriftspensjon AS'!B26+'KLP Skadeforsikring AS'!B26+'Landkreditt Forsikring'!B26+Insr!B26+'Nordea Liv '!B26+'Oslo Pensjonsforsikring'!B26+'Protector Forsikring'!B26+'SHB Liv'!B26+'Sparebank 1'!B26+'Storebrand Livsforsikring'!B26+'Telenor Forsikring'!B26+'Tryg Forsikring'!B26+'WaterCircle F'!B26+'Codan Forsikring'!B26+'Euro Accident'!B26</f>
        <v>0</v>
      </c>
      <c r="C26" s="43">
        <f>'Fremtind Livsforsikring'!C26+'Danica Pensjonsforsikring'!C26+'DNB Livsforsikring'!C26+'Eika Forsikring AS'!C26+'Frende Livsforsikring'!C26+'Frende Skadeforsikring'!C26+'Gjensidige Forsikring'!C26+'Gjensidige Pensjon'!C26+'Handelsbanken Liv'!C26+'If Skadeforsikring NUF'!C26+KLP!C26+'DNB Bedriftspensjon AS'!C26+'KLP Skadeforsikring AS'!C26+'Landkreditt Forsikring'!C26+Insr!C26+'Nordea Liv '!C26+'Oslo Pensjonsforsikring'!C26+'Protector Forsikring'!C26+'SHB Liv'!C26+'Sparebank 1'!C26+'Storebrand Livsforsikring'!C26+'Telenor Forsikring'!C26+'Tryg Forsikring'!C26+'WaterCircle F'!C26+'Codan Forsikring'!C26+'Euro Accident'!C26</f>
        <v>0</v>
      </c>
      <c r="D26" s="26"/>
      <c r="E26" s="730">
        <f>'Fremtind Livsforsikring'!F26+'Danica Pensjonsforsikring'!F26+'DNB Livsforsikring'!F26+'Eika Forsikring AS'!F26+'Frende Livsforsikring'!F26+'Frende Skadeforsikring'!F26+'Gjensidige Forsikring'!F26+'Gjensidige Pensjon'!F26+'Handelsbanken Liv'!F26+'If Skadeforsikring NUF'!F26+KLP!F26+'DNB Bedriftspensjon AS'!F26+'KLP Skadeforsikring AS'!F26+'Landkreditt Forsikring'!F26+Insr!F26+'Nordea Liv '!F26+'Oslo Pensjonsforsikring'!F26+'Protector Forsikring'!F26+'SHB Liv'!F26+'Sparebank 1'!F26+'Storebrand Livsforsikring'!F26+'Telenor Forsikring'!F26+'Tryg Forsikring'!F26+'WaterCircle F'!F26+'Codan Forsikring'!F26+'Euro Accident'!F26</f>
        <v>529413.39304999996</v>
      </c>
      <c r="F26" s="43">
        <f>'Fremtind Livsforsikring'!G26+'Danica Pensjonsforsikring'!G26+'DNB Livsforsikring'!G26+'Eika Forsikring AS'!G26+'Frende Livsforsikring'!G26+'Frende Skadeforsikring'!G26+'Gjensidige Forsikring'!G26+'Gjensidige Pensjon'!G26+'Handelsbanken Liv'!G26+'If Skadeforsikring NUF'!G26+KLP!G26+'DNB Bedriftspensjon AS'!G26+'KLP Skadeforsikring AS'!G26+'Landkreditt Forsikring'!G26+Insr!G26+'Nordea Liv '!G26+'Oslo Pensjonsforsikring'!G26+'Protector Forsikring'!G26+'SHB Liv'!G26+'Sparebank 1'!G26+'Storebrand Livsforsikring'!G26+'Telenor Forsikring'!G26+'Tryg Forsikring'!G26+'WaterCircle F'!G26+'Codan Forsikring'!G26+'Euro Accident'!G26</f>
        <v>648940.60378</v>
      </c>
      <c r="G26" s="165">
        <f t="shared" ref="G26" si="12">IF($A$1=4,IF(E26=0, "    ---- ", IF(ABS(ROUND(100/E26*F26-100,1))&lt;999,ROUND(100/E26*F26-100,1),IF(ROUND(100/E26*F26-100,1)&gt;999,999,-999))),"")</f>
        <v>22.6</v>
      </c>
      <c r="H26" s="232">
        <f t="shared" ref="H26" si="13">SUM(B26,E26)</f>
        <v>529413.39304999996</v>
      </c>
      <c r="I26" s="43">
        <f t="shared" ref="I26" si="14">SUM(C26,F26)</f>
        <v>648940.60378</v>
      </c>
      <c r="J26" s="26">
        <f t="shared" ref="J26" si="15">IF(H26=0, "    ---- ", IF(ABS(ROUND(100/H26*I26-100,1))&lt;999,ROUND(100/H26*I26-100,1),IF(ROUND(100/H26*I26-100,1)&gt;999,999,-999)))</f>
        <v>22.6</v>
      </c>
    </row>
    <row r="27" spans="1:11" ht="15.75" customHeight="1" x14ac:dyDescent="0.2">
      <c r="A27" s="580" t="s">
        <v>11</v>
      </c>
      <c r="B27" s="43">
        <f>'Fremtind Livsforsikring'!B27+'Danica Pensjonsforsikring'!B27+'DNB Livsforsikring'!B27+'Eika Forsikring AS'!B27+'Frende Livsforsikring'!B27+'Frende Skadeforsikring'!B27+'Gjensidige Forsikring'!B27+'Gjensidige Pensjon'!B27+'Handelsbanken Liv'!B27+'If Skadeforsikring NUF'!B27+KLP!B27+'DNB Bedriftspensjon AS'!B27+'KLP Skadeforsikring AS'!B27+'Landkreditt Forsikring'!B27+Insr!B27+'Nordea Liv '!B27+'Oslo Pensjonsforsikring'!B27+'Protector Forsikring'!B27+'SHB Liv'!B27+'Sparebank 1'!B27+'Storebrand Livsforsikring'!B27+'Telenor Forsikring'!B27+'Tryg Forsikring'!B27+'WaterCircle F'!B27+'Codan Forsikring'!B27+'Euro Accident'!B27</f>
        <v>0</v>
      </c>
      <c r="C27" s="43">
        <f>'Fremtind Livsforsikring'!C27+'Danica Pensjonsforsikring'!C27+'DNB Livsforsikring'!C27+'Eika Forsikring AS'!C27+'Frende Livsforsikring'!C27+'Frende Skadeforsikring'!C27+'Gjensidige Forsikring'!C27+'Gjensidige Pensjon'!C27+'Handelsbanken Liv'!C27+'If Skadeforsikring NUF'!C27+KLP!C27+'DNB Bedriftspensjon AS'!C27+'KLP Skadeforsikring AS'!C27+'Landkreditt Forsikring'!C27+Insr!C27+'Nordea Liv '!C27+'Oslo Pensjonsforsikring'!C27+'Protector Forsikring'!C27+'SHB Liv'!C27+'Sparebank 1'!C27+'Storebrand Livsforsikring'!C27+'Telenor Forsikring'!C27+'Tryg Forsikring'!C27+'WaterCircle F'!C27+'Codan Forsikring'!C27+'Euro Accident'!C27</f>
        <v>0</v>
      </c>
      <c r="D27" s="26"/>
      <c r="E27" s="730">
        <f>'Fremtind Livsforsikring'!F27+'Danica Pensjonsforsikring'!F27+'DNB Livsforsikring'!F27+'Eika Forsikring AS'!F27+'Frende Livsforsikring'!F27+'Frende Skadeforsikring'!F27+'Gjensidige Forsikring'!F27+'Gjensidige Pensjon'!F27+'Handelsbanken Liv'!F27+'If Skadeforsikring NUF'!F27+KLP!F27+'DNB Bedriftspensjon AS'!F27+'KLP Skadeforsikring AS'!F27+'Landkreditt Forsikring'!F27+Insr!F27+'Nordea Liv '!F27+'Oslo Pensjonsforsikring'!F27+'Protector Forsikring'!F27+'SHB Liv'!F27+'Sparebank 1'!F27+'Storebrand Livsforsikring'!F27+'Telenor Forsikring'!F27+'Tryg Forsikring'!F27+'WaterCircle F'!F27+'Codan Forsikring'!F27+'Euro Accident'!F27</f>
        <v>0</v>
      </c>
      <c r="F27" s="43">
        <f>'Fremtind Livsforsikring'!G27+'Danica Pensjonsforsikring'!G27+'DNB Livsforsikring'!G27+'Eika Forsikring AS'!G27+'Frende Livsforsikring'!G27+'Frende Skadeforsikring'!G27+'Gjensidige Forsikring'!G27+'Gjensidige Pensjon'!G27+'Handelsbanken Liv'!G27+'If Skadeforsikring NUF'!G27+KLP!G27+'DNB Bedriftspensjon AS'!G27+'KLP Skadeforsikring AS'!G27+'Landkreditt Forsikring'!G27+Insr!G27+'Nordea Liv '!G27+'Oslo Pensjonsforsikring'!G27+'Protector Forsikring'!G27+'SHB Liv'!G27+'Sparebank 1'!G27+'Storebrand Livsforsikring'!G27+'Telenor Forsikring'!G27+'Tryg Forsikring'!G27+'WaterCircle F'!G27+'Codan Forsikring'!G27+'Euro Accident'!G27</f>
        <v>0</v>
      </c>
      <c r="G27" s="165"/>
      <c r="H27" s="232"/>
      <c r="I27" s="43"/>
      <c r="J27" s="26"/>
    </row>
    <row r="28" spans="1:11" ht="15.75" customHeight="1" x14ac:dyDescent="0.2">
      <c r="A28" s="48" t="s">
        <v>275</v>
      </c>
      <c r="B28" s="43">
        <f>'Fremtind Livsforsikring'!B28+'Danica Pensjonsforsikring'!B28+'DNB Livsforsikring'!B28+'Eika Forsikring AS'!B28+'Frende Livsforsikring'!B28+'Frende Skadeforsikring'!B28+'Gjensidige Forsikring'!B28+'Gjensidige Pensjon'!B28+'Handelsbanken Liv'!B28+'If Skadeforsikring NUF'!B28+KLP!B28+'DNB Bedriftspensjon AS'!B28+'KLP Skadeforsikring AS'!B28+'Landkreditt Forsikring'!B28+Insr!B28+'Nordea Liv '!B28+'Oslo Pensjonsforsikring'!B28+'Protector Forsikring'!B28+'SHB Liv'!B28+'Sparebank 1'!B28+'Storebrand Livsforsikring'!B28+'Telenor Forsikring'!B28+'Tryg Forsikring'!B28+'WaterCircle F'!B28+'Codan Forsikring'!B28+'Euro Accident'!B28</f>
        <v>1078430.6550345533</v>
      </c>
      <c r="C28" s="43">
        <f>'Fremtind Livsforsikring'!C28+'Danica Pensjonsforsikring'!C28+'DNB Livsforsikring'!C28+'Eika Forsikring AS'!C28+'Frende Livsforsikring'!C28+'Frende Skadeforsikring'!C28+'Gjensidige Forsikring'!C28+'Gjensidige Pensjon'!C28+'Handelsbanken Liv'!C28+'If Skadeforsikring NUF'!C28+KLP!C28+'DNB Bedriftspensjon AS'!C28+'KLP Skadeforsikring AS'!C28+'Landkreditt Forsikring'!C28+Insr!C28+'Nordea Liv '!C28+'Oslo Pensjonsforsikring'!C28+'Protector Forsikring'!C28+'SHB Liv'!C28+'Sparebank 1'!C28+'Storebrand Livsforsikring'!C28+'Telenor Forsikring'!C28+'Tryg Forsikring'!C28+'WaterCircle F'!C28+'Codan Forsikring'!C28+'Euro Accident'!C28</f>
        <v>1220573.9122156547</v>
      </c>
      <c r="D28" s="22">
        <f t="shared" si="5"/>
        <v>13.2</v>
      </c>
      <c r="E28" s="733"/>
      <c r="F28" s="185"/>
      <c r="G28" s="165"/>
      <c r="H28" s="232">
        <f t="shared" si="9"/>
        <v>1078430.6550345533</v>
      </c>
      <c r="I28" s="43">
        <f t="shared" si="7"/>
        <v>1220573.9122156547</v>
      </c>
      <c r="J28" s="22">
        <f t="shared" si="8"/>
        <v>13.2</v>
      </c>
      <c r="K28" s="3"/>
    </row>
    <row r="29" spans="1:11" s="417" customFormat="1" ht="15.75" customHeight="1" x14ac:dyDescent="0.2">
      <c r="A29" s="38" t="s">
        <v>371</v>
      </c>
      <c r="B29" s="234">
        <f>'Fremtind Livsforsikring'!B29+'Danica Pensjonsforsikring'!B29+'DNB Livsforsikring'!B29+'Eika Forsikring AS'!B29+'Frende Livsforsikring'!B29+'Frende Skadeforsikring'!B29+'Gjensidige Forsikring'!B29+'Gjensidige Pensjon'!B29+'Handelsbanken Liv'!B29+'If Skadeforsikring NUF'!B29+KLP!B29+'DNB Bedriftspensjon AS'!B29+'KLP Skadeforsikring AS'!B29+'Landkreditt Forsikring'!B29+Insr!B29+'Nordea Liv '!B29+'Oslo Pensjonsforsikring'!B29+'Protector Forsikring'!B29+'SHB Liv'!B29+'Sparebank 1'!B29+'Storebrand Livsforsikring'!B29+'Telenor Forsikring'!B29+'Tryg Forsikring'!B29+'WaterCircle F'!B29+'Codan Forsikring'!B29+'Euro Accident'!B29</f>
        <v>46423797.902234346</v>
      </c>
      <c r="C29" s="234">
        <f>'Fremtind Livsforsikring'!C29+'Danica Pensjonsforsikring'!C29+'DNB Livsforsikring'!C29+'Eika Forsikring AS'!C29+'Frende Livsforsikring'!C29+'Frende Skadeforsikring'!C29+'Gjensidige Forsikring'!C29+'Gjensidige Pensjon'!C29+'Handelsbanken Liv'!C29+'If Skadeforsikring NUF'!C29+KLP!C29+'DNB Bedriftspensjon AS'!C29+'KLP Skadeforsikring AS'!C29+'Landkreditt Forsikring'!C29+Insr!C29+'Nordea Liv '!C29+'Oslo Pensjonsforsikring'!C29+'Protector Forsikring'!C29+'SHB Liv'!C29+'Sparebank 1'!C29+'Storebrand Livsforsikring'!C29+'Telenor Forsikring'!C29+'Tryg Forsikring'!C29+'WaterCircle F'!C29+'Codan Forsikring'!C29+'Euro Accident'!C29</f>
        <v>45548764.014844544</v>
      </c>
      <c r="D29" s="23">
        <f t="shared" si="5"/>
        <v>-1.9</v>
      </c>
      <c r="E29" s="738">
        <f>'Fremtind Livsforsikring'!F29+'Danica Pensjonsforsikring'!F29+'DNB Livsforsikring'!F29+'Eika Forsikring AS'!F29+'Frende Livsforsikring'!F29+'Frende Skadeforsikring'!F29+'Gjensidige Forsikring'!F29+'Gjensidige Pensjon'!F29+'Handelsbanken Liv'!F29+'If Skadeforsikring NUF'!F29+KLP!F29+'DNB Bedriftspensjon AS'!F29+'KLP Skadeforsikring AS'!F29+'Landkreditt Forsikring'!F29+Insr!F29+'Nordea Liv '!F29+'Oslo Pensjonsforsikring'!F29+'Protector Forsikring'!F29+'SHB Liv'!F29+'Sparebank 1'!F29+'Storebrand Livsforsikring'!F29+'Telenor Forsikring'!F29+'Tryg Forsikring'!F29+'WaterCircle F'!F29+'Codan Forsikring'!F29+'Euro Accident'!F29</f>
        <v>21902385.500539999</v>
      </c>
      <c r="F29" s="306">
        <f>'Fremtind Livsforsikring'!G29+'Danica Pensjonsforsikring'!G29+'DNB Livsforsikring'!G29+'Eika Forsikring AS'!G29+'Frende Livsforsikring'!G29+'Frende Skadeforsikring'!G29+'Gjensidige Forsikring'!G29+'Gjensidige Pensjon'!G29+'Handelsbanken Liv'!G29+'If Skadeforsikring NUF'!G29+KLP!G29+'DNB Bedriftspensjon AS'!G29+'KLP Skadeforsikring AS'!G29+'Landkreditt Forsikring'!G29+Insr!G29+'Nordea Liv '!G29+'Oslo Pensjonsforsikring'!G29+'Protector Forsikring'!G29+'SHB Liv'!G29+'Sparebank 1'!G29+'Storebrand Livsforsikring'!G29+'Telenor Forsikring'!G29+'Tryg Forsikring'!G29+'WaterCircle F'!G29+'Codan Forsikring'!G29+'Euro Accident'!G29</f>
        <v>25685828.300900001</v>
      </c>
      <c r="G29" s="170">
        <f t="shared" si="6"/>
        <v>17.3</v>
      </c>
      <c r="H29" s="306">
        <f t="shared" si="9"/>
        <v>68326183.402774349</v>
      </c>
      <c r="I29" s="234">
        <f t="shared" si="7"/>
        <v>71234592.315744549</v>
      </c>
      <c r="J29" s="23">
        <f t="shared" si="8"/>
        <v>4.3</v>
      </c>
    </row>
    <row r="30" spans="1:11" s="3" customFormat="1" ht="15.75" customHeight="1" x14ac:dyDescent="0.2">
      <c r="A30" s="582" t="s">
        <v>367</v>
      </c>
      <c r="B30" s="43">
        <f>'Fremtind Livsforsikring'!B30+'Danica Pensjonsforsikring'!B30+'DNB Livsforsikring'!B30+'Eika Forsikring AS'!B30+'Frende Livsforsikring'!B30+'Frende Skadeforsikring'!B30+'Gjensidige Forsikring'!B30+'Gjensidige Pensjon'!B30+'Handelsbanken Liv'!B30+'If Skadeforsikring NUF'!B30+KLP!B30+'DNB Bedriftspensjon AS'!B30+'KLP Skadeforsikring AS'!B30+'Landkreditt Forsikring'!B30+Insr!B30+'Nordea Liv '!B30+'Oslo Pensjonsforsikring'!B30+'Protector Forsikring'!B30+'SHB Liv'!B30+'Sparebank 1'!B30+'Storebrand Livsforsikring'!B30+'Telenor Forsikring'!B30+'Tryg Forsikring'!B30+'WaterCircle F'!B30+'Codan Forsikring'!B30+'Euro Accident'!B30</f>
        <v>13994070.516516782</v>
      </c>
      <c r="C30" s="43">
        <f>'Fremtind Livsforsikring'!C30+'Danica Pensjonsforsikring'!C30+'DNB Livsforsikring'!C30+'Eika Forsikring AS'!C30+'Frende Livsforsikring'!C30+'Frende Skadeforsikring'!C30+'Gjensidige Forsikring'!C30+'Gjensidige Pensjon'!C30+'Handelsbanken Liv'!C30+'If Skadeforsikring NUF'!C30+KLP!C30+'DNB Bedriftspensjon AS'!C30+'KLP Skadeforsikring AS'!C30+'Landkreditt Forsikring'!C30+Insr!C30+'Nordea Liv '!C30+'Oslo Pensjonsforsikring'!C30+'Protector Forsikring'!C30+'SHB Liv'!C30+'Sparebank 1'!C30+'Storebrand Livsforsikring'!C30+'Telenor Forsikring'!C30+'Tryg Forsikring'!C30+'WaterCircle F'!C30+'Codan Forsikring'!C30+'Euro Accident'!C30</f>
        <v>13530365.426179329</v>
      </c>
      <c r="D30" s="26">
        <f t="shared" ref="D30:D32" si="16">IF($A$1=4,IF(B30=0, "    ---- ", IF(ABS(ROUND(100/B30*C30-100,1))&lt;999,ROUND(100/B30*C30-100,1),IF(ROUND(100/B30*C30-100,1)&gt;999,999,-999))),"")</f>
        <v>-3.3</v>
      </c>
      <c r="E30" s="730">
        <f>'Fremtind Livsforsikring'!F30+'Danica Pensjonsforsikring'!F30+'DNB Livsforsikring'!F30+'Eika Forsikring AS'!F30+'Frende Livsforsikring'!F30+'Frende Skadeforsikring'!F30+'Gjensidige Forsikring'!F30+'Gjensidige Pensjon'!F30+'Handelsbanken Liv'!F30+'If Skadeforsikring NUF'!F30+KLP!F30+'DNB Bedriftspensjon AS'!F30+'KLP Skadeforsikring AS'!F30+'Landkreditt Forsikring'!F30+Insr!F30+'Nordea Liv '!F30+'Oslo Pensjonsforsikring'!F30+'Protector Forsikring'!F30+'SHB Liv'!F30+'Sparebank 1'!F30+'Storebrand Livsforsikring'!F30+'Telenor Forsikring'!F30+'Tryg Forsikring'!F30+'WaterCircle F'!F30+'Codan Forsikring'!F30+'Euro Accident'!F30</f>
        <v>4285522.3579940908</v>
      </c>
      <c r="F30" s="43">
        <f>'Fremtind Livsforsikring'!G30+'Danica Pensjonsforsikring'!G30+'DNB Livsforsikring'!G30+'Eika Forsikring AS'!G30+'Frende Livsforsikring'!G30+'Frende Skadeforsikring'!G30+'Gjensidige Forsikring'!G30+'Gjensidige Pensjon'!G30+'Handelsbanken Liv'!G30+'If Skadeforsikring NUF'!G30+KLP!G30+'DNB Bedriftspensjon AS'!G30+'KLP Skadeforsikring AS'!G30+'Landkreditt Forsikring'!G30+Insr!G30+'Nordea Liv '!G30+'Oslo Pensjonsforsikring'!G30+'Protector Forsikring'!G30+'SHB Liv'!G30+'Sparebank 1'!G30+'Storebrand Livsforsikring'!G30+'Telenor Forsikring'!G30+'Tryg Forsikring'!G30+'WaterCircle F'!G30+'Codan Forsikring'!G30+'Euro Accident'!G30</f>
        <v>4168234.9162818161</v>
      </c>
      <c r="G30" s="165">
        <f t="shared" ref="G30:G32" si="17">IF($A$1=4,IF(E30=0, "    ---- ", IF(ABS(ROUND(100/E30*F30-100,1))&lt;999,ROUND(100/E30*F30-100,1),IF(ROUND(100/E30*F30-100,1)&gt;999,999,-999))),"")</f>
        <v>-2.7</v>
      </c>
      <c r="H30" s="232">
        <f t="shared" si="9"/>
        <v>18279592.874510873</v>
      </c>
      <c r="I30" s="43">
        <f t="shared" si="7"/>
        <v>17698600.342461146</v>
      </c>
      <c r="J30" s="22">
        <f t="shared" si="8"/>
        <v>-3.2</v>
      </c>
    </row>
    <row r="31" spans="1:11" s="3" customFormat="1" ht="15.75" customHeight="1" x14ac:dyDescent="0.2">
      <c r="A31" s="582" t="s">
        <v>368</v>
      </c>
      <c r="B31" s="43">
        <f>'Fremtind Livsforsikring'!B31+'Danica Pensjonsforsikring'!B31+'DNB Livsforsikring'!B31+'Eika Forsikring AS'!B31+'Frende Livsforsikring'!B31+'Frende Skadeforsikring'!B31+'Gjensidige Forsikring'!B31+'Gjensidige Pensjon'!B31+'Handelsbanken Liv'!B31+'If Skadeforsikring NUF'!B31+KLP!B31+'DNB Bedriftspensjon AS'!B31+'KLP Skadeforsikring AS'!B31+'Landkreditt Forsikring'!B31+Insr!B31+'Nordea Liv '!B31+'Oslo Pensjonsforsikring'!B31+'Protector Forsikring'!B31+'SHB Liv'!B31+'Sparebank 1'!B31+'Storebrand Livsforsikring'!B31+'Telenor Forsikring'!B31+'Tryg Forsikring'!B31+'WaterCircle F'!B31+'Codan Forsikring'!B31+'Euro Accident'!B31</f>
        <v>24154749.331323061</v>
      </c>
      <c r="C31" s="43">
        <f>'Fremtind Livsforsikring'!C31+'Danica Pensjonsforsikring'!C31+'DNB Livsforsikring'!C31+'Eika Forsikring AS'!C31+'Frende Livsforsikring'!C31+'Frende Skadeforsikring'!C31+'Gjensidige Forsikring'!C31+'Gjensidige Pensjon'!C31+'Handelsbanken Liv'!C31+'If Skadeforsikring NUF'!C31+KLP!C31+'DNB Bedriftspensjon AS'!C31+'KLP Skadeforsikring AS'!C31+'Landkreditt Forsikring'!C31+Insr!C31+'Nordea Liv '!C31+'Oslo Pensjonsforsikring'!C31+'Protector Forsikring'!C31+'SHB Liv'!C31+'Sparebank 1'!C31+'Storebrand Livsforsikring'!C31+'Telenor Forsikring'!C31+'Tryg Forsikring'!C31+'WaterCircle F'!C31+'Codan Forsikring'!C31+'Euro Accident'!C31</f>
        <v>22907263.450327102</v>
      </c>
      <c r="D31" s="26">
        <f t="shared" si="16"/>
        <v>-5.2</v>
      </c>
      <c r="E31" s="730">
        <f>'Fremtind Livsforsikring'!F31+'Danica Pensjonsforsikring'!F31+'DNB Livsforsikring'!F31+'Eika Forsikring AS'!F31+'Frende Livsforsikring'!F31+'Frende Skadeforsikring'!F31+'Gjensidige Forsikring'!F31+'Gjensidige Pensjon'!F31+'Handelsbanken Liv'!F31+'If Skadeforsikring NUF'!F31+KLP!F31+'DNB Bedriftspensjon AS'!F31+'KLP Skadeforsikring AS'!F31+'Landkreditt Forsikring'!F31+Insr!F31+'Nordea Liv '!F31+'Oslo Pensjonsforsikring'!F31+'Protector Forsikring'!F31+'SHB Liv'!F31+'Sparebank 1'!F31+'Storebrand Livsforsikring'!F31+'Telenor Forsikring'!F31+'Tryg Forsikring'!F31+'WaterCircle F'!F31+'Codan Forsikring'!F31+'Euro Accident'!F31</f>
        <v>9109999.3689118717</v>
      </c>
      <c r="F31" s="43">
        <f>'Fremtind Livsforsikring'!G31+'Danica Pensjonsforsikring'!G31+'DNB Livsforsikring'!G31+'Eika Forsikring AS'!G31+'Frende Livsforsikring'!G31+'Frende Skadeforsikring'!G31+'Gjensidige Forsikring'!G31+'Gjensidige Pensjon'!G31+'Handelsbanken Liv'!G31+'If Skadeforsikring NUF'!G31+KLP!G31+'DNB Bedriftspensjon AS'!G31+'KLP Skadeforsikring AS'!G31+'Landkreditt Forsikring'!G31+Insr!G31+'Nordea Liv '!G31+'Oslo Pensjonsforsikring'!G31+'Protector Forsikring'!G31+'SHB Liv'!G31+'Sparebank 1'!G31+'Storebrand Livsforsikring'!G31+'Telenor Forsikring'!G31+'Tryg Forsikring'!G31+'WaterCircle F'!G31+'Codan Forsikring'!G31+'Euro Accident'!G31</f>
        <v>9681640.0419855881</v>
      </c>
      <c r="G31" s="165">
        <f t="shared" si="17"/>
        <v>6.3</v>
      </c>
      <c r="H31" s="232">
        <f t="shared" si="9"/>
        <v>33264748.700234935</v>
      </c>
      <c r="I31" s="43">
        <f t="shared" si="7"/>
        <v>32588903.492312692</v>
      </c>
      <c r="J31" s="22">
        <f t="shared" si="8"/>
        <v>-2</v>
      </c>
    </row>
    <row r="32" spans="1:11" ht="15.75" customHeight="1" x14ac:dyDescent="0.2">
      <c r="A32" s="582" t="s">
        <v>369</v>
      </c>
      <c r="B32" s="43">
        <f>'Fremtind Livsforsikring'!B32+'Danica Pensjonsforsikring'!B32+'DNB Livsforsikring'!B32+'Eika Forsikring AS'!B32+'Frende Livsforsikring'!B32+'Frende Skadeforsikring'!B32+'Gjensidige Forsikring'!B32+'Gjensidige Pensjon'!B32+'Handelsbanken Liv'!B32+'If Skadeforsikring NUF'!B32+KLP!B32+'DNB Bedriftspensjon AS'!B32+'KLP Skadeforsikring AS'!B32+'Landkreditt Forsikring'!B32+Insr!B32+'Nordea Liv '!B32+'Oslo Pensjonsforsikring'!B32+'Protector Forsikring'!B32+'SHB Liv'!B32+'Sparebank 1'!B32+'Storebrand Livsforsikring'!B32+'Telenor Forsikring'!B32+'Tryg Forsikring'!B32+'WaterCircle F'!B32+'Codan Forsikring'!B32+'Euro Accident'!B32</f>
        <v>2947360.5110844951</v>
      </c>
      <c r="C32" s="43">
        <f>'Fremtind Livsforsikring'!C32+'Danica Pensjonsforsikring'!C32+'DNB Livsforsikring'!C32+'Eika Forsikring AS'!C32+'Frende Livsforsikring'!C32+'Frende Skadeforsikring'!C32+'Gjensidige Forsikring'!C32+'Gjensidige Pensjon'!C32+'Handelsbanken Liv'!C32+'If Skadeforsikring NUF'!C32+KLP!C32+'DNB Bedriftspensjon AS'!C32+'KLP Skadeforsikring AS'!C32+'Landkreditt Forsikring'!C32+Insr!C32+'Nordea Liv '!C32+'Oslo Pensjonsforsikring'!C32+'Protector Forsikring'!C32+'SHB Liv'!C32+'Sparebank 1'!C32+'Storebrand Livsforsikring'!C32+'Telenor Forsikring'!C32+'Tryg Forsikring'!C32+'WaterCircle F'!C32+'Codan Forsikring'!C32+'Euro Accident'!C32</f>
        <v>2944608.9241881049</v>
      </c>
      <c r="D32" s="26">
        <f t="shared" si="16"/>
        <v>-0.1</v>
      </c>
      <c r="E32" s="730">
        <f>'Fremtind Livsforsikring'!F32+'Danica Pensjonsforsikring'!F32+'DNB Livsforsikring'!F32+'Eika Forsikring AS'!F32+'Frende Livsforsikring'!F32+'Frende Skadeforsikring'!F32+'Gjensidige Forsikring'!F32+'Gjensidige Pensjon'!F32+'Handelsbanken Liv'!F32+'If Skadeforsikring NUF'!F32+KLP!F32+'DNB Bedriftspensjon AS'!F32+'KLP Skadeforsikring AS'!F32+'Landkreditt Forsikring'!F32+Insr!F32+'Nordea Liv '!F32+'Oslo Pensjonsforsikring'!F32+'Protector Forsikring'!F32+'SHB Liv'!F32+'Sparebank 1'!F32+'Storebrand Livsforsikring'!F32+'Telenor Forsikring'!F32+'Tryg Forsikring'!F32+'WaterCircle F'!F32+'Codan Forsikring'!F32+'Euro Accident'!F32</f>
        <v>4678384.3557959097</v>
      </c>
      <c r="F32" s="43">
        <f>'Fremtind Livsforsikring'!G32+'Danica Pensjonsforsikring'!G32+'DNB Livsforsikring'!G32+'Eika Forsikring AS'!G32+'Frende Livsforsikring'!G32+'Frende Skadeforsikring'!G32+'Gjensidige Forsikring'!G32+'Gjensidige Pensjon'!G32+'Handelsbanken Liv'!G32+'If Skadeforsikring NUF'!G32+KLP!G32+'DNB Bedriftspensjon AS'!G32+'KLP Skadeforsikring AS'!G32+'Landkreditt Forsikring'!G32+Insr!G32+'Nordea Liv '!G32+'Oslo Pensjonsforsikring'!G32+'Protector Forsikring'!G32+'SHB Liv'!G32+'Sparebank 1'!G32+'Storebrand Livsforsikring'!G32+'Telenor Forsikring'!G32+'Tryg Forsikring'!G32+'WaterCircle F'!G32+'Codan Forsikring'!G32+'Euro Accident'!G32</f>
        <v>5676850.9467107207</v>
      </c>
      <c r="G32" s="165">
        <f t="shared" si="17"/>
        <v>21.3</v>
      </c>
      <c r="H32" s="232">
        <f t="shared" si="9"/>
        <v>7625744.8668804048</v>
      </c>
      <c r="I32" s="43">
        <f t="shared" si="7"/>
        <v>8621459.870898826</v>
      </c>
      <c r="J32" s="23">
        <f t="shared" si="8"/>
        <v>13.1</v>
      </c>
    </row>
    <row r="33" spans="1:10" ht="15.75" customHeight="1" x14ac:dyDescent="0.2">
      <c r="A33" s="582" t="s">
        <v>370</v>
      </c>
      <c r="B33" s="43">
        <f>'Fremtind Livsforsikring'!B33+'Danica Pensjonsforsikring'!B33+'DNB Livsforsikring'!B33+'Eika Forsikring AS'!B33+'Frende Livsforsikring'!B33+'Frende Skadeforsikring'!B33+'Gjensidige Forsikring'!B33+'Gjensidige Pensjon'!B33+'Handelsbanken Liv'!B33+'If Skadeforsikring NUF'!B33+KLP!B33+'DNB Bedriftspensjon AS'!B33+'KLP Skadeforsikring AS'!B33+'Landkreditt Forsikring'!B33+Insr!B33+'Nordea Liv '!B33+'Oslo Pensjonsforsikring'!B33+'Protector Forsikring'!B33+'SHB Liv'!B33+'Sparebank 1'!B33+'Storebrand Livsforsikring'!B33+'Telenor Forsikring'!B33+'Tryg Forsikring'!B33+'WaterCircle F'!B33+'Codan Forsikring'!B33+'Euro Accident'!B33</f>
        <v>0</v>
      </c>
      <c r="C33" s="43">
        <f>'Fremtind Livsforsikring'!C33+'Danica Pensjonsforsikring'!C33+'DNB Livsforsikring'!C33+'Eika Forsikring AS'!C33+'Frende Livsforsikring'!C33+'Frende Skadeforsikring'!C33+'Gjensidige Forsikring'!C33+'Gjensidige Pensjon'!C33+'Handelsbanken Liv'!C33+'If Skadeforsikring NUF'!C33+KLP!C33+'DNB Bedriftspensjon AS'!C33+'KLP Skadeforsikring AS'!C33+'Landkreditt Forsikring'!C33+Insr!C33+'Nordea Liv '!C33+'Oslo Pensjonsforsikring'!C33+'Protector Forsikring'!C33+'SHB Liv'!C33+'Sparebank 1'!C33+'Storebrand Livsforsikring'!C33+'Telenor Forsikring'!C33+'Tryg Forsikring'!C33+'WaterCircle F'!C33+'Codan Forsikring'!C33+'Euro Accident'!C33</f>
        <v>0</v>
      </c>
      <c r="D33" s="26"/>
      <c r="E33" s="730">
        <f>'Fremtind Livsforsikring'!F33+'Danica Pensjonsforsikring'!F33+'DNB Livsforsikring'!F33+'Eika Forsikring AS'!F33+'Frende Livsforsikring'!F33+'Frende Skadeforsikring'!F33+'Gjensidige Forsikring'!F33+'Gjensidige Pensjon'!F33+'Handelsbanken Liv'!F33+'If Skadeforsikring NUF'!F33+KLP!F33+'DNB Bedriftspensjon AS'!F33+'KLP Skadeforsikring AS'!F33+'Landkreditt Forsikring'!F33+Insr!F33+'Nordea Liv '!F33+'Oslo Pensjonsforsikring'!F33+'Protector Forsikring'!F33+'SHB Liv'!F33+'Sparebank 1'!F33+'Storebrand Livsforsikring'!F33+'Telenor Forsikring'!F33+'Tryg Forsikring'!F33+'WaterCircle F'!F33+'Codan Forsikring'!F33+'Euro Accident'!F33</f>
        <v>3828479.4178381292</v>
      </c>
      <c r="F33" s="43">
        <f>'Fremtind Livsforsikring'!G33+'Danica Pensjonsforsikring'!G33+'DNB Livsforsikring'!G33+'Eika Forsikring AS'!G33+'Frende Livsforsikring'!G33+'Frende Skadeforsikring'!G33+'Gjensidige Forsikring'!G33+'Gjensidige Pensjon'!G33+'Handelsbanken Liv'!G33+'If Skadeforsikring NUF'!G33+KLP!G33+'DNB Bedriftspensjon AS'!G33+'KLP Skadeforsikring AS'!G33+'Landkreditt Forsikring'!G33+Insr!G33+'Nordea Liv '!G33+'Oslo Pensjonsforsikring'!G33+'Protector Forsikring'!G33+'SHB Liv'!G33+'Sparebank 1'!G33+'Storebrand Livsforsikring'!G33+'Telenor Forsikring'!G33+'Tryg Forsikring'!G33+'WaterCircle F'!G33+'Codan Forsikring'!G33+'Euro Accident'!G33</f>
        <v>6159102.3959218701</v>
      </c>
      <c r="G33" s="165">
        <f t="shared" ref="G33" si="18">IF($A$1=4,IF(E33=0, "    ---- ", IF(ABS(ROUND(100/E33*F33-100,1))&lt;999,ROUND(100/E33*F33-100,1),IF(ROUND(100/E33*F33-100,1)&gt;999,999,-999))),"")</f>
        <v>60.9</v>
      </c>
      <c r="H33" s="232">
        <f t="shared" ref="H33" si="19">SUM(B33,E33)</f>
        <v>3828479.4178381292</v>
      </c>
      <c r="I33" s="43">
        <f t="shared" ref="I33" si="20">SUM(C33,F33)</f>
        <v>6159102.3959218701</v>
      </c>
      <c r="J33" s="23">
        <f t="shared" ref="J33" si="21">IF(H33=0, "    ---- ", IF(ABS(ROUND(100/H33*I33-100,1))&lt;999,ROUND(100/H33*I33-100,1),IF(ROUND(100/H33*I33-100,1)&gt;999,999,-999)))</f>
        <v>60.9</v>
      </c>
    </row>
    <row r="34" spans="1:10" s="42" customFormat="1" ht="15.75" customHeight="1" x14ac:dyDescent="0.2">
      <c r="A34" s="38" t="s">
        <v>365</v>
      </c>
      <c r="B34" s="234">
        <f>'Fremtind Livsforsikring'!B34+'Danica Pensjonsforsikring'!B34+'DNB Livsforsikring'!B34+'Eika Forsikring AS'!B34+'Frende Livsforsikring'!B34+'Frende Skadeforsikring'!B34+'Gjensidige Forsikring'!B34+'Gjensidige Pensjon'!B34+'Handelsbanken Liv'!B34+'If Skadeforsikring NUF'!B34+KLP!B34+'DNB Bedriftspensjon AS'!B34+'KLP Skadeforsikring AS'!B34+'Landkreditt Forsikring'!B34+Insr!B34+'Nordea Liv '!B34+'Oslo Pensjonsforsikring'!B34+'Protector Forsikring'!B34+'SHB Liv'!B34+'Sparebank 1'!B34+'Storebrand Livsforsikring'!B34+'Telenor Forsikring'!B34+'Tryg Forsikring'!B34+'WaterCircle F'!B34+'Codan Forsikring'!B34+'Euro Accident'!B34</f>
        <v>11540.130000000001</v>
      </c>
      <c r="C34" s="234">
        <f>'Fremtind Livsforsikring'!C34+'Danica Pensjonsforsikring'!C34+'DNB Livsforsikring'!C34+'Eika Forsikring AS'!C34+'Frende Livsforsikring'!C34+'Frende Skadeforsikring'!C34+'Gjensidige Forsikring'!C34+'Gjensidige Pensjon'!C34+'Handelsbanken Liv'!C34+'If Skadeforsikring NUF'!C34+KLP!C34+'DNB Bedriftspensjon AS'!C34+'KLP Skadeforsikring AS'!C34+'Landkreditt Forsikring'!C34+Insr!C34+'Nordea Liv '!C34+'Oslo Pensjonsforsikring'!C34+'Protector Forsikring'!C34+'SHB Liv'!C34+'Sparebank 1'!C34+'Storebrand Livsforsikring'!C34+'Telenor Forsikring'!C34+'Tryg Forsikring'!C34+'WaterCircle F'!C34+'Codan Forsikring'!C34+'Euro Accident'!C34</f>
        <v>5661.3959999999997</v>
      </c>
      <c r="D34" s="23">
        <f t="shared" si="5"/>
        <v>-50.9</v>
      </c>
      <c r="E34" s="738">
        <f>'Fremtind Livsforsikring'!F34+'Danica Pensjonsforsikring'!F34+'DNB Livsforsikring'!F34+'Eika Forsikring AS'!F34+'Frende Livsforsikring'!F34+'Frende Skadeforsikring'!F34+'Gjensidige Forsikring'!F34+'Gjensidige Pensjon'!F34+'Handelsbanken Liv'!F34+'If Skadeforsikring NUF'!F34+KLP!F34+'DNB Bedriftspensjon AS'!F34+'KLP Skadeforsikring AS'!F34+'Landkreditt Forsikring'!F34+Insr!F34+'Nordea Liv '!F34+'Oslo Pensjonsforsikring'!F34+'Protector Forsikring'!F34+'SHB Liv'!F34+'Sparebank 1'!F34+'Storebrand Livsforsikring'!F34+'Telenor Forsikring'!F34+'Tryg Forsikring'!F34+'WaterCircle F'!F34+'Codan Forsikring'!F34+'Euro Accident'!F34</f>
        <v>-1928.1106399999953</v>
      </c>
      <c r="F34" s="306">
        <f>'Fremtind Livsforsikring'!G34+'Danica Pensjonsforsikring'!G34+'DNB Livsforsikring'!G34+'Eika Forsikring AS'!G34+'Frende Livsforsikring'!G34+'Frende Skadeforsikring'!G34+'Gjensidige Forsikring'!G34+'Gjensidige Pensjon'!G34+'Handelsbanken Liv'!G34+'If Skadeforsikring NUF'!G34+KLP!G34+'DNB Bedriftspensjon AS'!G34+'KLP Skadeforsikring AS'!G34+'Landkreditt Forsikring'!G34+Insr!G34+'Nordea Liv '!G34+'Oslo Pensjonsforsikring'!G34+'Protector Forsikring'!G34+'SHB Liv'!G34+'Sparebank 1'!G34+'Storebrand Livsforsikring'!G34+'Telenor Forsikring'!G34+'Tryg Forsikring'!G34+'WaterCircle F'!G34+'Codan Forsikring'!G34+'Euro Accident'!G34</f>
        <v>21589.357619999999</v>
      </c>
      <c r="G34" s="170">
        <f t="shared" si="6"/>
        <v>-999</v>
      </c>
      <c r="H34" s="306">
        <f t="shared" si="9"/>
        <v>9612.0193600000057</v>
      </c>
      <c r="I34" s="234">
        <f t="shared" si="7"/>
        <v>27250.75362</v>
      </c>
      <c r="J34" s="23">
        <f t="shared" si="8"/>
        <v>183.5</v>
      </c>
    </row>
    <row r="35" spans="1:10" s="42" customFormat="1" ht="15.75" customHeight="1" x14ac:dyDescent="0.2">
      <c r="A35" s="38" t="s">
        <v>366</v>
      </c>
      <c r="B35" s="234">
        <f>'Fremtind Livsforsikring'!B35+'Danica Pensjonsforsikring'!B35+'DNB Livsforsikring'!B35+'Eika Forsikring AS'!B35+'Frende Livsforsikring'!B35+'Frende Skadeforsikring'!B35+'Gjensidige Forsikring'!B35+'Gjensidige Pensjon'!B35+'Handelsbanken Liv'!B35+'If Skadeforsikring NUF'!B35+KLP!B35+'DNB Bedriftspensjon AS'!B35+'KLP Skadeforsikring AS'!B35+'Landkreditt Forsikring'!B35+Insr!B35+'Nordea Liv '!B35+'Oslo Pensjonsforsikring'!B35+'Protector Forsikring'!B35+'SHB Liv'!B35+'Sparebank 1'!B35+'Storebrand Livsforsikring'!B35+'Telenor Forsikring'!B35+'Tryg Forsikring'!B35+'WaterCircle F'!B35+'Codan Forsikring'!B35+'Euro Accident'!B35</f>
        <v>-61191.684910000004</v>
      </c>
      <c r="C35" s="234">
        <f>'Fremtind Livsforsikring'!C35+'Danica Pensjonsforsikring'!C35+'DNB Livsforsikring'!C35+'Eika Forsikring AS'!C35+'Frende Livsforsikring'!C35+'Frende Skadeforsikring'!C35+'Gjensidige Forsikring'!C35+'Gjensidige Pensjon'!C35+'Handelsbanken Liv'!C35+'If Skadeforsikring NUF'!C35+KLP!C35+'DNB Bedriftspensjon AS'!C35+'KLP Skadeforsikring AS'!C35+'Landkreditt Forsikring'!C35+Insr!C35+'Nordea Liv '!C35+'Oslo Pensjonsforsikring'!C35+'Protector Forsikring'!C35+'SHB Liv'!C35+'Sparebank 1'!C35+'Storebrand Livsforsikring'!C35+'Telenor Forsikring'!C35+'Tryg Forsikring'!C35+'WaterCircle F'!C35+'Codan Forsikring'!C35+'Euro Accident'!C35</f>
        <v>-65822.47709</v>
      </c>
      <c r="D35" s="23">
        <f t="shared" si="5"/>
        <v>7.6</v>
      </c>
      <c r="E35" s="738">
        <f>'Fremtind Livsforsikring'!F35+'Danica Pensjonsforsikring'!F35+'DNB Livsforsikring'!F35+'Eika Forsikring AS'!F35+'Frende Livsforsikring'!F35+'Frende Skadeforsikring'!F35+'Gjensidige Forsikring'!F35+'Gjensidige Pensjon'!F35+'Handelsbanken Liv'!F35+'If Skadeforsikring NUF'!F35+KLP!F35+'DNB Bedriftspensjon AS'!F35+'KLP Skadeforsikring AS'!F35+'Landkreditt Forsikring'!F35+Insr!F35+'Nordea Liv '!F35+'Oslo Pensjonsforsikring'!F35+'Protector Forsikring'!F35+'SHB Liv'!F35+'Sparebank 1'!F35+'Storebrand Livsforsikring'!F35+'Telenor Forsikring'!F35+'Tryg Forsikring'!F35+'WaterCircle F'!F35+'Codan Forsikring'!F35+'Euro Accident'!F35</f>
        <v>76445.871169999999</v>
      </c>
      <c r="F35" s="306">
        <f>'Fremtind Livsforsikring'!G35+'Danica Pensjonsforsikring'!G35+'DNB Livsforsikring'!G35+'Eika Forsikring AS'!G35+'Frende Livsforsikring'!G35+'Frende Skadeforsikring'!G35+'Gjensidige Forsikring'!G35+'Gjensidige Pensjon'!G35+'Handelsbanken Liv'!G35+'If Skadeforsikring NUF'!G35+KLP!G35+'DNB Bedriftspensjon AS'!G35+'KLP Skadeforsikring AS'!G35+'Landkreditt Forsikring'!G35+Insr!G35+'Nordea Liv '!G35+'Oslo Pensjonsforsikring'!G35+'Protector Forsikring'!G35+'SHB Liv'!G35+'Sparebank 1'!G35+'Storebrand Livsforsikring'!G35+'Telenor Forsikring'!G35+'Tryg Forsikring'!G35+'WaterCircle F'!G35+'Codan Forsikring'!G35+'Euro Accident'!G35</f>
        <v>110139.29119</v>
      </c>
      <c r="G35" s="170">
        <f t="shared" si="6"/>
        <v>44.1</v>
      </c>
      <c r="H35" s="306">
        <f t="shared" si="9"/>
        <v>15254.186259999995</v>
      </c>
      <c r="I35" s="234">
        <f t="shared" si="7"/>
        <v>44316.814100000003</v>
      </c>
      <c r="J35" s="23">
        <f t="shared" si="8"/>
        <v>190.5</v>
      </c>
    </row>
    <row r="36" spans="1:10" s="42" customFormat="1" ht="15.75" customHeight="1" x14ac:dyDescent="0.2">
      <c r="A36" s="12" t="s">
        <v>283</v>
      </c>
      <c r="B36" s="234">
        <f>'Fremtind Livsforsikring'!B36+'Danica Pensjonsforsikring'!B36+'DNB Livsforsikring'!B36+'Eika Forsikring AS'!B36+'Frende Livsforsikring'!B36+'Frende Skadeforsikring'!B36+'Gjensidige Forsikring'!B36+'Gjensidige Pensjon'!B36+'Handelsbanken Liv'!B36+'If Skadeforsikring NUF'!B36+KLP!B36+'DNB Bedriftspensjon AS'!B36+'KLP Skadeforsikring AS'!B36+'Landkreditt Forsikring'!B36+Insr!B36+'Nordea Liv '!B36+'Oslo Pensjonsforsikring'!B36+'Protector Forsikring'!B36+'SHB Liv'!B36+'Sparebank 1'!B36+'Storebrand Livsforsikring'!B36+'Telenor Forsikring'!B36+'Tryg Forsikring'!B36+'WaterCircle F'!B36+'Codan Forsikring'!B36+'Euro Accident'!B36</f>
        <v>1953.6079999999999</v>
      </c>
      <c r="C36" s="234">
        <f>'Fremtind Livsforsikring'!C36+'Danica Pensjonsforsikring'!C36+'DNB Livsforsikring'!C36+'Eika Forsikring AS'!C36+'Frende Livsforsikring'!C36+'Frende Skadeforsikring'!C36+'Gjensidige Forsikring'!C36+'Gjensidige Pensjon'!C36+'Handelsbanken Liv'!C36+'If Skadeforsikring NUF'!C36+KLP!C36+'DNB Bedriftspensjon AS'!C36+'KLP Skadeforsikring AS'!C36+'Landkreditt Forsikring'!C36+Insr!C36+'Nordea Liv '!C36+'Oslo Pensjonsforsikring'!C36+'Protector Forsikring'!C36+'SHB Liv'!C36+'Sparebank 1'!C36+'Storebrand Livsforsikring'!C36+'Telenor Forsikring'!C36+'Tryg Forsikring'!C36+'WaterCircle F'!C36+'Codan Forsikring'!C36+'Euro Accident'!C36</f>
        <v>1583.26</v>
      </c>
      <c r="D36" s="11">
        <f t="shared" si="5"/>
        <v>-19</v>
      </c>
      <c r="E36" s="739">
        <f>'Fremtind Livsforsikring'!F36+'Danica Pensjonsforsikring'!F36+'DNB Livsforsikring'!F36+'Eika Forsikring AS'!F36+'Frende Livsforsikring'!F36+'Frende Skadeforsikring'!F36+'Gjensidige Forsikring'!F36+'Gjensidige Pensjon'!F36+'Handelsbanken Liv'!F36+'If Skadeforsikring NUF'!F36+KLP!F36+'DNB Bedriftspensjon AS'!F36+'KLP Skadeforsikring AS'!F36+'Landkreditt Forsikring'!F36+Insr!F36+'Nordea Liv '!F36+'Oslo Pensjonsforsikring'!F36+'Protector Forsikring'!F36+'SHB Liv'!F36+'Sparebank 1'!F36+'Storebrand Livsforsikring'!F36+'Telenor Forsikring'!F36+'Tryg Forsikring'!F36+'WaterCircle F'!F36+'Codan Forsikring'!F36+'Euro Accident'!F36</f>
        <v>0</v>
      </c>
      <c r="F36" s="317">
        <f>'Fremtind Livsforsikring'!G36+'Danica Pensjonsforsikring'!G36+'DNB Livsforsikring'!G36+'Eika Forsikring AS'!G36+'Frende Livsforsikring'!G36+'Frende Skadeforsikring'!G36+'Gjensidige Forsikring'!G36+'Gjensidige Pensjon'!G36+'Handelsbanken Liv'!G36+'If Skadeforsikring NUF'!G36+KLP!G36+'DNB Bedriftspensjon AS'!G36+'KLP Skadeforsikring AS'!G36+'Landkreditt Forsikring'!G36+Insr!G36+'Nordea Liv '!G36+'Oslo Pensjonsforsikring'!G36+'Protector Forsikring'!G36+'SHB Liv'!G36+'Sparebank 1'!G36+'Storebrand Livsforsikring'!G36+'Telenor Forsikring'!G36+'Tryg Forsikring'!G36+'WaterCircle F'!G36+'Codan Forsikring'!G36+'Euro Accident'!G36</f>
        <v>0</v>
      </c>
      <c r="G36" s="170"/>
      <c r="H36" s="306">
        <f t="shared" si="9"/>
        <v>1953.6079999999999</v>
      </c>
      <c r="I36" s="234">
        <f t="shared" si="7"/>
        <v>1583.26</v>
      </c>
      <c r="J36" s="11">
        <f t="shared" si="8"/>
        <v>-19</v>
      </c>
    </row>
    <row r="37" spans="1:10" s="42" customFormat="1" ht="15.75" customHeight="1" x14ac:dyDescent="0.2">
      <c r="A37" s="583" t="s">
        <v>372</v>
      </c>
      <c r="B37" s="234">
        <f>'Fremtind Livsforsikring'!B37+'Danica Pensjonsforsikring'!B37+'DNB Livsforsikring'!B37+'Eika Forsikring AS'!B37+'Frende Livsforsikring'!B37+'Frende Skadeforsikring'!B37+'Gjensidige Forsikring'!B37+'Gjensidige Pensjon'!B37+'Handelsbanken Liv'!B37+'If Skadeforsikring NUF'!B37+KLP!B37+'DNB Bedriftspensjon AS'!B37+'KLP Skadeforsikring AS'!B37+'Landkreditt Forsikring'!B37+Insr!B37+'Nordea Liv '!B37+'Oslo Pensjonsforsikring'!B37+'Protector Forsikring'!B37+'SHB Liv'!B37+'Sparebank 1'!B37+'Storebrand Livsforsikring'!B37+'Telenor Forsikring'!B37+'Tryg Forsikring'!B37+'WaterCircle F'!B37+'Codan Forsikring'!B37+'Euro Accident'!B37</f>
        <v>3578538.3739999998</v>
      </c>
      <c r="C37" s="234">
        <f>'Fremtind Livsforsikring'!C37+'Danica Pensjonsforsikring'!C37+'DNB Livsforsikring'!C37+'Eika Forsikring AS'!C37+'Frende Livsforsikring'!C37+'Frende Skadeforsikring'!C37+'Gjensidige Forsikring'!C37+'Gjensidige Pensjon'!C37+'Handelsbanken Liv'!C37+'If Skadeforsikring NUF'!C37+KLP!C37+'DNB Bedriftspensjon AS'!C37+'KLP Skadeforsikring AS'!C37+'Landkreditt Forsikring'!C37+Insr!C37+'Nordea Liv '!C37+'Oslo Pensjonsforsikring'!C37+'Protector Forsikring'!C37+'SHB Liv'!C37+'Sparebank 1'!C37+'Storebrand Livsforsikring'!C37+'Telenor Forsikring'!C37+'Tryg Forsikring'!C37+'WaterCircle F'!C37+'Codan Forsikring'!C37+'Euro Accident'!C37</f>
        <v>3354170.09</v>
      </c>
      <c r="D37" s="23">
        <f t="shared" si="5"/>
        <v>-6.3</v>
      </c>
      <c r="E37" s="740">
        <f>'Fremtind Livsforsikring'!F37+'Danica Pensjonsforsikring'!F37+'DNB Livsforsikring'!F37+'Eika Forsikring AS'!F37+'Frende Livsforsikring'!F37+'Frende Skadeforsikring'!F37+'Gjensidige Forsikring'!F37+'Gjensidige Pensjon'!F37+'Handelsbanken Liv'!F37+'If Skadeforsikring NUF'!F37+KLP!F37+'DNB Bedriftspensjon AS'!F37+'KLP Skadeforsikring AS'!F37+'Landkreditt Forsikring'!F37+Insr!F37+'Nordea Liv '!F37+'Oslo Pensjonsforsikring'!F37+'Protector Forsikring'!F37+'SHB Liv'!F37+'Sparebank 1'!F37+'Storebrand Livsforsikring'!F37+'Telenor Forsikring'!F37+'Tryg Forsikring'!F37+'WaterCircle F'!F37+'Codan Forsikring'!F37+'Euro Accident'!F37</f>
        <v>0</v>
      </c>
      <c r="F37" s="322">
        <f>'Fremtind Livsforsikring'!G37+'Danica Pensjonsforsikring'!G37+'DNB Livsforsikring'!G37+'Eika Forsikring AS'!G37+'Frende Livsforsikring'!G37+'Frende Skadeforsikring'!G37+'Gjensidige Forsikring'!G37+'Gjensidige Pensjon'!G37+'Handelsbanken Liv'!G37+'If Skadeforsikring NUF'!G37+KLP!G37+'DNB Bedriftspensjon AS'!G37+'KLP Skadeforsikring AS'!G37+'Landkreditt Forsikring'!G37+Insr!G37+'Nordea Liv '!G37+'Oslo Pensjonsforsikring'!G37+'Protector Forsikring'!G37+'SHB Liv'!G37+'Sparebank 1'!G37+'Storebrand Livsforsikring'!G37+'Telenor Forsikring'!G37+'Tryg Forsikring'!G37+'WaterCircle F'!G37+'Codan Forsikring'!G37+'Euro Accident'!G37</f>
        <v>0</v>
      </c>
      <c r="G37" s="170"/>
      <c r="H37" s="306">
        <f t="shared" si="9"/>
        <v>3578538.3739999998</v>
      </c>
      <c r="I37" s="234">
        <f t="shared" si="7"/>
        <v>3354170.09</v>
      </c>
      <c r="J37" s="23">
        <f t="shared" si="8"/>
        <v>-6.3</v>
      </c>
    </row>
    <row r="38" spans="1:10" s="42" customFormat="1" ht="15.75" customHeight="1" x14ac:dyDescent="0.2">
      <c r="A38" s="583" t="s">
        <v>373</v>
      </c>
      <c r="B38" s="234">
        <f>'Fremtind Livsforsikring'!B38+'Danica Pensjonsforsikring'!B38+'DNB Livsforsikring'!B38+'Eika Forsikring AS'!B38+'Frende Livsforsikring'!B38+'Frende Skadeforsikring'!B38+'Gjensidige Forsikring'!B38+'Gjensidige Pensjon'!B38+'Handelsbanken Liv'!B38+'If Skadeforsikring NUF'!B38+KLP!B38+'DNB Bedriftspensjon AS'!B38+'KLP Skadeforsikring AS'!B38+'Landkreditt Forsikring'!B38+Insr!B38+'Nordea Liv '!B38+'Oslo Pensjonsforsikring'!B38+'Protector Forsikring'!B38+'SHB Liv'!B38+'Sparebank 1'!B38+'Storebrand Livsforsikring'!B38+'Telenor Forsikring'!B38+'Tryg Forsikring'!B38+'WaterCircle F'!B38+'Codan Forsikring'!B38+'Euro Accident'!B38</f>
        <v>0</v>
      </c>
      <c r="C38" s="234">
        <f>'Fremtind Livsforsikring'!C38+'Danica Pensjonsforsikring'!C38+'DNB Livsforsikring'!C38+'Eika Forsikring AS'!C38+'Frende Livsforsikring'!C38+'Frende Skadeforsikring'!C38+'Gjensidige Forsikring'!C38+'Gjensidige Pensjon'!C38+'Handelsbanken Liv'!C38+'If Skadeforsikring NUF'!C38+KLP!C38+'DNB Bedriftspensjon AS'!C38+'KLP Skadeforsikring AS'!C38+'Landkreditt Forsikring'!C38+Insr!C38+'Nordea Liv '!C38+'Oslo Pensjonsforsikring'!C38+'Protector Forsikring'!C38+'SHB Liv'!C38+'Sparebank 1'!C38+'Storebrand Livsforsikring'!C38+'Telenor Forsikring'!C38+'Tryg Forsikring'!C38+'WaterCircle F'!C38+'Codan Forsikring'!C38+'Euro Accident'!C38</f>
        <v>0</v>
      </c>
      <c r="D38" s="23"/>
      <c r="E38" s="741">
        <f>'Fremtind Livsforsikring'!F38+'Danica Pensjonsforsikring'!F38+'DNB Livsforsikring'!F38+'Eika Forsikring AS'!F38+'Frende Livsforsikring'!F38+'Frende Skadeforsikring'!F38+'Gjensidige Forsikring'!F38+'Gjensidige Pensjon'!F38+'Handelsbanken Liv'!F38+'If Skadeforsikring NUF'!F38+KLP!F38+'DNB Bedriftspensjon AS'!F38+'KLP Skadeforsikring AS'!F38+'Landkreditt Forsikring'!F38+Insr!F38+'Nordea Liv '!F38+'Oslo Pensjonsforsikring'!F38+'Protector Forsikring'!F38+'SHB Liv'!F38+'Sparebank 1'!F38+'Storebrand Livsforsikring'!F38+'Telenor Forsikring'!F38+'Tryg Forsikring'!F38+'WaterCircle F'!F38+'Codan Forsikring'!F38+'Euro Accident'!F38</f>
        <v>0</v>
      </c>
      <c r="F38" s="323">
        <f>'Fremtind Livsforsikring'!G38+'Danica Pensjonsforsikring'!G38+'DNB Livsforsikring'!G38+'Eika Forsikring AS'!G38+'Frende Livsforsikring'!G38+'Frende Skadeforsikring'!G38+'Gjensidige Forsikring'!G38+'Gjensidige Pensjon'!G38+'Handelsbanken Liv'!G38+'If Skadeforsikring NUF'!G38+KLP!G38+'DNB Bedriftspensjon AS'!G38+'KLP Skadeforsikring AS'!G38+'Landkreditt Forsikring'!G38+Insr!G38+'Nordea Liv '!G38+'Oslo Pensjonsforsikring'!G38+'Protector Forsikring'!G38+'SHB Liv'!G38+'Sparebank 1'!G38+'Storebrand Livsforsikring'!G38+'Telenor Forsikring'!G38+'Tryg Forsikring'!G38+'WaterCircle F'!G38+'Codan Forsikring'!G38+'Euro Accident'!G38</f>
        <v>0</v>
      </c>
      <c r="G38" s="170"/>
      <c r="H38" s="306"/>
      <c r="I38" s="234"/>
      <c r="J38" s="23"/>
    </row>
    <row r="39" spans="1:10" s="42" customFormat="1" ht="15.75" customHeight="1" x14ac:dyDescent="0.2">
      <c r="A39" s="584" t="s">
        <v>374</v>
      </c>
      <c r="B39" s="274">
        <f>'Fremtind Livsforsikring'!B39+'Danica Pensjonsforsikring'!B39+'DNB Livsforsikring'!B39+'Eika Forsikring AS'!B39+'Frende Livsforsikring'!B39+'Frende Skadeforsikring'!B39+'Gjensidige Forsikring'!B39+'Gjensidige Pensjon'!B39+'Handelsbanken Liv'!B39+'If Skadeforsikring NUF'!B39+KLP!B39+'DNB Bedriftspensjon AS'!B39+'KLP Skadeforsikring AS'!B39+'Landkreditt Forsikring'!B39+Insr!B39+'Nordea Liv '!B39+'Oslo Pensjonsforsikring'!B39+'Protector Forsikring'!B39+'SHB Liv'!B39+'Sparebank 1'!B39+'Storebrand Livsforsikring'!B39+'Telenor Forsikring'!B39+'Tryg Forsikring'!B39+'WaterCircle F'!B39+'Codan Forsikring'!B39+'Euro Accident'!B39</f>
        <v>0</v>
      </c>
      <c r="C39" s="274">
        <f>'Fremtind Livsforsikring'!C39+'Danica Pensjonsforsikring'!C39+'DNB Livsforsikring'!C39+'Eika Forsikring AS'!C39+'Frende Livsforsikring'!C39+'Frende Skadeforsikring'!C39+'Gjensidige Forsikring'!C39+'Gjensidige Pensjon'!C39+'Handelsbanken Liv'!C39+'If Skadeforsikring NUF'!C39+KLP!C39+'DNB Bedriftspensjon AS'!C39+'KLP Skadeforsikring AS'!C39+'Landkreditt Forsikring'!C39+Insr!C39+'Nordea Liv '!C39+'Oslo Pensjonsforsikring'!C39+'Protector Forsikring'!C39+'SHB Liv'!C39+'Sparebank 1'!C39+'Storebrand Livsforsikring'!C39+'Telenor Forsikring'!C39+'Tryg Forsikring'!C39+'WaterCircle F'!C39+'Codan Forsikring'!C39+'Euro Accident'!C39</f>
        <v>3</v>
      </c>
      <c r="D39" s="35" t="str">
        <f t="shared" si="5"/>
        <v xml:space="preserve">    ---- </v>
      </c>
      <c r="E39" s="742">
        <f>'Fremtind Livsforsikring'!F39+'Danica Pensjonsforsikring'!F39+'DNB Livsforsikring'!F39+'Eika Forsikring AS'!F39+'Frende Livsforsikring'!F39+'Frende Skadeforsikring'!F39+'Gjensidige Forsikring'!F39+'Gjensidige Pensjon'!F39+'Handelsbanken Liv'!F39+'If Skadeforsikring NUF'!F39+KLP!F39+'DNB Bedriftspensjon AS'!F39+'KLP Skadeforsikring AS'!F39+'Landkreditt Forsikring'!F39+Insr!F39+'Nordea Liv '!F39+'Oslo Pensjonsforsikring'!F39+'Protector Forsikring'!F39+'SHB Liv'!F39+'Sparebank 1'!F39+'Storebrand Livsforsikring'!F39+'Telenor Forsikring'!F39+'Tryg Forsikring'!F39+'WaterCircle F'!F39+'Codan Forsikring'!F39+'Euro Accident'!F39</f>
        <v>0</v>
      </c>
      <c r="F39" s="324">
        <f>'Fremtind Livsforsikring'!G39+'Danica Pensjonsforsikring'!G39+'DNB Livsforsikring'!G39+'Eika Forsikring AS'!G39+'Frende Livsforsikring'!G39+'Frende Skadeforsikring'!G39+'Gjensidige Forsikring'!G39+'Gjensidige Pensjon'!G39+'Handelsbanken Liv'!G39+'If Skadeforsikring NUF'!G39+KLP!G39+'DNB Bedriftspensjon AS'!G39+'KLP Skadeforsikring AS'!G39+'Landkreditt Forsikring'!G39+Insr!G39+'Nordea Liv '!G39+'Oslo Pensjonsforsikring'!G39+'Protector Forsikring'!G39+'SHB Liv'!G39+'Sparebank 1'!G39+'Storebrand Livsforsikring'!G39+'Telenor Forsikring'!G39+'Tryg Forsikring'!G39+'WaterCircle F'!G39+'Codan Forsikring'!G39+'Euro Accident'!G39</f>
        <v>0</v>
      </c>
      <c r="G39" s="168"/>
      <c r="H39" s="312">
        <f t="shared" si="9"/>
        <v>0</v>
      </c>
      <c r="I39" s="274">
        <f t="shared" si="7"/>
        <v>3</v>
      </c>
      <c r="J39" s="35" t="str">
        <f t="shared" si="8"/>
        <v xml:space="preserve">    ---- </v>
      </c>
    </row>
    <row r="40" spans="1:10" ht="15.75" customHeight="1" x14ac:dyDescent="0.2">
      <c r="A40" s="46"/>
    </row>
    <row r="41" spans="1:10" ht="15.75" customHeight="1" x14ac:dyDescent="0.2">
      <c r="A41" s="154"/>
    </row>
    <row r="42" spans="1:10" ht="15.75" customHeight="1" x14ac:dyDescent="0.25">
      <c r="A42" s="146" t="s">
        <v>272</v>
      </c>
      <c r="B42" s="772"/>
      <c r="C42" s="772"/>
      <c r="D42" s="772"/>
      <c r="E42" s="776"/>
      <c r="F42" s="776"/>
      <c r="G42" s="776"/>
      <c r="H42" s="776"/>
      <c r="I42" s="776"/>
      <c r="J42" s="776"/>
    </row>
    <row r="43" spans="1:10" ht="15.75" customHeight="1" x14ac:dyDescent="0.25">
      <c r="A43" s="162"/>
      <c r="B43" s="432"/>
      <c r="C43" s="432"/>
      <c r="D43" s="432"/>
      <c r="E43" s="296"/>
      <c r="F43" s="296"/>
      <c r="G43" s="296"/>
      <c r="H43" s="296"/>
      <c r="I43" s="296"/>
      <c r="J43" s="296"/>
    </row>
    <row r="44" spans="1:10" s="3" customFormat="1" ht="15.75" customHeight="1" x14ac:dyDescent="0.25">
      <c r="A44" s="245"/>
      <c r="B44" s="325" t="s">
        <v>0</v>
      </c>
      <c r="C44" s="326"/>
      <c r="D44" s="250"/>
      <c r="E44" s="41"/>
      <c r="F44" s="41"/>
      <c r="G44" s="39"/>
      <c r="H44" s="41"/>
      <c r="I44" s="41"/>
      <c r="J44" s="39"/>
    </row>
    <row r="45" spans="1:10" s="3" customFormat="1" ht="15.75" customHeight="1" x14ac:dyDescent="0.2">
      <c r="A45" s="139"/>
      <c r="B45" s="731" t="s">
        <v>439</v>
      </c>
      <c r="C45" s="731" t="s">
        <v>440</v>
      </c>
      <c r="D45" s="248" t="s">
        <v>3</v>
      </c>
      <c r="E45" s="41"/>
      <c r="F45" s="41"/>
      <c r="G45" s="39"/>
      <c r="H45" s="41"/>
      <c r="I45" s="41"/>
      <c r="J45" s="39"/>
    </row>
    <row r="46" spans="1:10" s="3" customFormat="1" ht="15.75" customHeight="1" x14ac:dyDescent="0.2">
      <c r="A46" s="754"/>
      <c r="B46" s="45"/>
      <c r="C46" s="249"/>
      <c r="D46" s="17" t="s">
        <v>4</v>
      </c>
      <c r="E46" s="39"/>
      <c r="F46" s="39"/>
      <c r="G46" s="39"/>
      <c r="H46" s="39"/>
      <c r="I46" s="39"/>
      <c r="J46" s="39"/>
    </row>
    <row r="47" spans="1:10" s="417" customFormat="1" ht="15.75" customHeight="1" x14ac:dyDescent="0.2">
      <c r="A47" s="14" t="s">
        <v>23</v>
      </c>
      <c r="B47" s="234">
        <f>'Fremtind Livsforsikring'!B47+'Danica Pensjonsforsikring'!B47+'DNB Livsforsikring'!B47+'Eika Forsikring AS'!B47+'Frende Livsforsikring'!B47+'Frende Skadeforsikring'!B47+'Gjensidige Forsikring'!B47+'Gjensidige Pensjon'!B47+'Handelsbanken Liv'!B47+'If Skadeforsikring NUF'!B47+KLP!B47+'DNB Bedriftspensjon AS'!B47+'KLP Skadeforsikring AS'!B47+'Landkreditt Forsikring'!B47+Insr!B47+'Nordea Liv '!B47+'Oslo Pensjonsforsikring'!B47+'Protector Forsikring'!B47+'SHB Liv'!B47+'Sparebank 1'!B47+'Storebrand Livsforsikring'!B47+'Telenor Forsikring'!B47+'Tryg Forsikring'!B47+'WaterCircle F'!B47+'Codan Forsikring'!B47+'Euro Accident'!B47</f>
        <v>3652256.7442264454</v>
      </c>
      <c r="C47" s="234">
        <f>'Fremtind Livsforsikring'!C47+'Danica Pensjonsforsikring'!C47+'DNB Livsforsikring'!C47+'Eika Forsikring AS'!C47+'Frende Livsforsikring'!C47+'Frende Skadeforsikring'!C47+'Gjensidige Forsikring'!C47+'Gjensidige Pensjon'!C47+'Handelsbanken Liv'!C47+'If Skadeforsikring NUF'!C47+KLP!C47+'DNB Bedriftspensjon AS'!C47+'KLP Skadeforsikring AS'!C47+'Landkreditt Forsikring'!C47+Insr!C47+'Nordea Liv '!C47+'Oslo Pensjonsforsikring'!C47+'Protector Forsikring'!C47+'SHB Liv'!C47+'Sparebank 1'!C47+'Storebrand Livsforsikring'!C47+'Telenor Forsikring'!C47+'Tryg Forsikring'!C47+'WaterCircle F'!C47+'Codan Forsikring'!C47+'Euro Accident'!C47</f>
        <v>3965357.7194741955</v>
      </c>
      <c r="D47" s="23">
        <f t="shared" ref="D47:D58" si="22">IF(B47=0, "    ---- ", IF(ABS(ROUND(100/B47*C47-100,1))&lt;999,ROUND(100/B47*C47-100,1),IF(ROUND(100/B47*C47-100,1)&gt;999,999,-999)))</f>
        <v>8.6</v>
      </c>
      <c r="E47" s="418"/>
      <c r="F47" s="419"/>
      <c r="G47" s="31"/>
      <c r="H47" s="420"/>
      <c r="I47" s="420"/>
      <c r="J47" s="31"/>
    </row>
    <row r="48" spans="1:10" s="3" customFormat="1" ht="15.75" customHeight="1" x14ac:dyDescent="0.2">
      <c r="A48" s="37" t="s">
        <v>375</v>
      </c>
      <c r="B48" s="43">
        <f>'Fremtind Livsforsikring'!B48+'Danica Pensjonsforsikring'!B48+'DNB Livsforsikring'!B48+'Eika Forsikring AS'!B48+'Frende Livsforsikring'!B48+'Frende Skadeforsikring'!B48+'Gjensidige Forsikring'!B48+'Gjensidige Pensjon'!B48+'Handelsbanken Liv'!B48+'If Skadeforsikring NUF'!B48+KLP!B48+'DNB Bedriftspensjon AS'!B48+'KLP Skadeforsikring AS'!B48+'Landkreditt Forsikring'!B48+Insr!B48+'Nordea Liv '!B48+'Oslo Pensjonsforsikring'!B48+'Protector Forsikring'!B48+'SHB Liv'!B48+'Sparebank 1'!B48+'Storebrand Livsforsikring'!B48+'Telenor Forsikring'!B48+'Tryg Forsikring'!B48+'WaterCircle F'!B48+'Codan Forsikring'!B48+'Euro Accident'!B48</f>
        <v>2068391.1992964461</v>
      </c>
      <c r="C48" s="43">
        <f>'Fremtind Livsforsikring'!C48+'Danica Pensjonsforsikring'!C48+'DNB Livsforsikring'!C48+'Eika Forsikring AS'!C48+'Frende Livsforsikring'!C48+'Frende Skadeforsikring'!C48+'Gjensidige Forsikring'!C48+'Gjensidige Pensjon'!C48+'Handelsbanken Liv'!C48+'If Skadeforsikring NUF'!C48+KLP!C48+'DNB Bedriftspensjon AS'!C48+'KLP Skadeforsikring AS'!C48+'Landkreditt Forsikring'!C48+Insr!C48+'Nordea Liv '!C48+'Oslo Pensjonsforsikring'!C48+'Protector Forsikring'!C48+'SHB Liv'!C48+'Sparebank 1'!C48+'Storebrand Livsforsikring'!C48+'Telenor Forsikring'!C48+'Tryg Forsikring'!C48+'WaterCircle F'!C48+'Codan Forsikring'!C48+'Euro Accident'!C48</f>
        <v>2275759.7333641946</v>
      </c>
      <c r="D48" s="23">
        <f t="shared" si="22"/>
        <v>10</v>
      </c>
      <c r="E48" s="34"/>
      <c r="F48" s="5"/>
      <c r="G48" s="33"/>
      <c r="H48" s="32"/>
      <c r="I48" s="32"/>
      <c r="J48" s="31"/>
    </row>
    <row r="49" spans="1:10" s="3" customFormat="1" ht="15.75" customHeight="1" x14ac:dyDescent="0.2">
      <c r="A49" s="37" t="s">
        <v>376</v>
      </c>
      <c r="B49" s="189">
        <f>'Fremtind Livsforsikring'!B49+'Danica Pensjonsforsikring'!B49+'DNB Livsforsikring'!B49+'Eika Forsikring AS'!B49+'Frende Livsforsikring'!B49+'Frende Skadeforsikring'!B49+'Gjensidige Forsikring'!B49+'Gjensidige Pensjon'!B49+'Handelsbanken Liv'!B49+'If Skadeforsikring NUF'!B49+KLP!B49+'DNB Bedriftspensjon AS'!B49+'KLP Skadeforsikring AS'!B49+'Landkreditt Forsikring'!B49+Insr!B49+'Nordea Liv '!B49+'Oslo Pensjonsforsikring'!B49+'Protector Forsikring'!B49+'SHB Liv'!B49+'Sparebank 1'!B49+'Storebrand Livsforsikring'!B49+'Telenor Forsikring'!B49+'Tryg Forsikring'!B49+'WaterCircle F'!B49+'Codan Forsikring'!B49+'Euro Accident'!B49</f>
        <v>1583865.5449300001</v>
      </c>
      <c r="C49" s="189">
        <f>'Fremtind Livsforsikring'!C49+'Danica Pensjonsforsikring'!C49+'DNB Livsforsikring'!C49+'Eika Forsikring AS'!C49+'Frende Livsforsikring'!C49+'Frende Skadeforsikring'!C49+'Gjensidige Forsikring'!C49+'Gjensidige Pensjon'!C49+'Handelsbanken Liv'!C49+'If Skadeforsikring NUF'!C49+KLP!C49+'DNB Bedriftspensjon AS'!C49+'KLP Skadeforsikring AS'!C49+'Landkreditt Forsikring'!C49+Insr!C49+'Nordea Liv '!C49+'Oslo Pensjonsforsikring'!C49+'Protector Forsikring'!C49+'SHB Liv'!C49+'Sparebank 1'!C49+'Storebrand Livsforsikring'!C49+'Telenor Forsikring'!C49+'Tryg Forsikring'!C49+'WaterCircle F'!C49+'Codan Forsikring'!C49+'Euro Accident'!C49</f>
        <v>1689597.9861100002</v>
      </c>
      <c r="D49" s="23">
        <f t="shared" si="22"/>
        <v>6.7</v>
      </c>
      <c r="E49" s="34"/>
      <c r="F49" s="5"/>
      <c r="G49" s="33"/>
      <c r="H49" s="36"/>
      <c r="I49" s="36"/>
      <c r="J49" s="31"/>
    </row>
    <row r="50" spans="1:10" s="3" customFormat="1" ht="15.75" customHeight="1" x14ac:dyDescent="0.2">
      <c r="A50" s="294" t="s">
        <v>6</v>
      </c>
      <c r="B50" s="740"/>
      <c r="C50" s="740"/>
      <c r="D50" s="26"/>
      <c r="E50" s="34"/>
      <c r="F50" s="5"/>
      <c r="G50" s="33"/>
      <c r="H50" s="32"/>
      <c r="I50" s="32"/>
      <c r="J50" s="31"/>
    </row>
    <row r="51" spans="1:10" s="3" customFormat="1" ht="15.75" customHeight="1" x14ac:dyDescent="0.2">
      <c r="A51" s="294" t="s">
        <v>7</v>
      </c>
      <c r="B51" s="740"/>
      <c r="C51" s="740"/>
      <c r="D51" s="26"/>
      <c r="E51" s="34"/>
      <c r="F51" s="5"/>
      <c r="G51" s="33"/>
      <c r="H51" s="32"/>
      <c r="I51" s="32"/>
      <c r="J51" s="31"/>
    </row>
    <row r="52" spans="1:10" s="3" customFormat="1" ht="15.75" customHeight="1" x14ac:dyDescent="0.2">
      <c r="A52" s="294" t="s">
        <v>8</v>
      </c>
      <c r="B52" s="740"/>
      <c r="C52" s="740"/>
      <c r="D52" s="26"/>
      <c r="E52" s="34"/>
      <c r="F52" s="5"/>
      <c r="G52" s="33"/>
      <c r="H52" s="32"/>
      <c r="I52" s="32"/>
      <c r="J52" s="31"/>
    </row>
    <row r="53" spans="1:10" s="417" customFormat="1" ht="15.75" customHeight="1" x14ac:dyDescent="0.2">
      <c r="A53" s="38" t="s">
        <v>377</v>
      </c>
      <c r="B53" s="234">
        <f>'Fremtind Livsforsikring'!B53+'Danica Pensjonsforsikring'!B53+'DNB Livsforsikring'!B53+'Eika Forsikring AS'!B53+'Frende Livsforsikring'!B53+'Frende Skadeforsikring'!B53+'Gjensidige Forsikring'!B53+'Gjensidige Pensjon'!B53+'Handelsbanken Liv'!B53+'If Skadeforsikring NUF'!B53+KLP!B53+'DNB Bedriftspensjon AS'!B53+'KLP Skadeforsikring AS'!B53+'Landkreditt Forsikring'!B53+Insr!B53+'Nordea Liv '!B53+'Oslo Pensjonsforsikring'!B53+'Protector Forsikring'!B53+'SHB Liv'!B53+'Sparebank 1'!B53+'Storebrand Livsforsikring'!B53+'Telenor Forsikring'!B53+'Tryg Forsikring'!B53+'WaterCircle F'!B53+'Codan Forsikring'!B53+'Euro Accident'!B53</f>
        <v>131019.867</v>
      </c>
      <c r="C53" s="234">
        <f>'Fremtind Livsforsikring'!C53+'Danica Pensjonsforsikring'!C53+'DNB Livsforsikring'!C53+'Eika Forsikring AS'!C53+'Frende Livsforsikring'!C53+'Frende Skadeforsikring'!C53+'Gjensidige Forsikring'!C53+'Gjensidige Pensjon'!C53+'Handelsbanken Liv'!C53+'If Skadeforsikring NUF'!C53+KLP!C53+'DNB Bedriftspensjon AS'!C53+'KLP Skadeforsikring AS'!C53+'Landkreditt Forsikring'!C53+Insr!C53+'Nordea Liv '!C53+'Oslo Pensjonsforsikring'!C53+'Protector Forsikring'!C53+'SHB Liv'!C53+'Sparebank 1'!C53+'Storebrand Livsforsikring'!C53+'Telenor Forsikring'!C53+'Tryg Forsikring'!C53+'WaterCircle F'!C53+'Codan Forsikring'!C53+'Euro Accident'!C53</f>
        <v>235110.696</v>
      </c>
      <c r="D53" s="23">
        <f t="shared" si="22"/>
        <v>79.400000000000006</v>
      </c>
      <c r="E53" s="418"/>
      <c r="F53" s="419"/>
      <c r="G53" s="31"/>
      <c r="H53" s="172"/>
      <c r="I53" s="172"/>
      <c r="J53" s="31"/>
    </row>
    <row r="54" spans="1:10" s="3" customFormat="1" ht="15.75" customHeight="1" x14ac:dyDescent="0.2">
      <c r="A54" s="37" t="s">
        <v>375</v>
      </c>
      <c r="B54" s="43">
        <f>'Fremtind Livsforsikring'!B54+'Danica Pensjonsforsikring'!B54+'DNB Livsforsikring'!B54+'Eika Forsikring AS'!B54+'Frende Livsforsikring'!B54+'Frende Skadeforsikring'!B54+'Gjensidige Forsikring'!B54+'Gjensidige Pensjon'!B54+'Handelsbanken Liv'!B54+'If Skadeforsikring NUF'!B54+KLP!B54+'DNB Bedriftspensjon AS'!B54+'KLP Skadeforsikring AS'!B54+'Landkreditt Forsikring'!B54+Insr!B54+'Nordea Liv '!B54+'Oslo Pensjonsforsikring'!B54+'Protector Forsikring'!B54+'SHB Liv'!B54+'Sparebank 1'!B54+'Storebrand Livsforsikring'!B54+'Telenor Forsikring'!B54+'Tryg Forsikring'!B54+'WaterCircle F'!B54+'Codan Forsikring'!B54+'Euro Accident'!B54</f>
        <v>131019.867</v>
      </c>
      <c r="C54" s="43">
        <f>'Fremtind Livsforsikring'!C54+'Danica Pensjonsforsikring'!C54+'DNB Livsforsikring'!C54+'Eika Forsikring AS'!C54+'Frende Livsforsikring'!C54+'Frende Skadeforsikring'!C54+'Gjensidige Forsikring'!C54+'Gjensidige Pensjon'!C54+'Handelsbanken Liv'!C54+'If Skadeforsikring NUF'!C54+KLP!C54+'DNB Bedriftspensjon AS'!C54+'KLP Skadeforsikring AS'!C54+'Landkreditt Forsikring'!C54+Insr!C54+'Nordea Liv '!C54+'Oslo Pensjonsforsikring'!C54+'Protector Forsikring'!C54+'SHB Liv'!C54+'Sparebank 1'!C54+'Storebrand Livsforsikring'!C54+'Telenor Forsikring'!C54+'Tryg Forsikring'!C54+'WaterCircle F'!C54+'Codan Forsikring'!C54+'Euro Accident'!C54</f>
        <v>229249.864</v>
      </c>
      <c r="D54" s="23">
        <f t="shared" si="22"/>
        <v>75</v>
      </c>
      <c r="E54" s="34"/>
      <c r="F54" s="5"/>
      <c r="G54" s="33"/>
      <c r="H54" s="32"/>
      <c r="I54" s="32"/>
      <c r="J54" s="31"/>
    </row>
    <row r="55" spans="1:10" s="3" customFormat="1" ht="15.75" customHeight="1" x14ac:dyDescent="0.2">
      <c r="A55" s="37" t="s">
        <v>376</v>
      </c>
      <c r="B55" s="43">
        <f>'Fremtind Livsforsikring'!B55+'Danica Pensjonsforsikring'!B55+'DNB Livsforsikring'!B55+'Eika Forsikring AS'!B55+'Frende Livsforsikring'!B55+'Frende Skadeforsikring'!B55+'Gjensidige Forsikring'!B55+'Gjensidige Pensjon'!B55+'Handelsbanken Liv'!B55+'If Skadeforsikring NUF'!B55+KLP!B55+'DNB Bedriftspensjon AS'!B55+'KLP Skadeforsikring AS'!B55+'Landkreditt Forsikring'!B55+Insr!B55+'Nordea Liv '!B55+'Oslo Pensjonsforsikring'!B55+'Protector Forsikring'!B55+'SHB Liv'!B55+'Sparebank 1'!B55+'Storebrand Livsforsikring'!B55+'Telenor Forsikring'!B55+'Tryg Forsikring'!B55+'WaterCircle F'!B55+'Codan Forsikring'!B55+'Euro Accident'!B55</f>
        <v>0</v>
      </c>
      <c r="C55" s="43">
        <f>'Fremtind Livsforsikring'!C55+'Danica Pensjonsforsikring'!C55+'DNB Livsforsikring'!C55+'Eika Forsikring AS'!C55+'Frende Livsforsikring'!C55+'Frende Skadeforsikring'!C55+'Gjensidige Forsikring'!C55+'Gjensidige Pensjon'!C55+'Handelsbanken Liv'!C55+'If Skadeforsikring NUF'!C55+KLP!C55+'DNB Bedriftspensjon AS'!C55+'KLP Skadeforsikring AS'!C55+'Landkreditt Forsikring'!C55+Insr!C55+'Nordea Liv '!C55+'Oslo Pensjonsforsikring'!C55+'Protector Forsikring'!C55+'SHB Liv'!C55+'Sparebank 1'!C55+'Storebrand Livsforsikring'!C55+'Telenor Forsikring'!C55+'Tryg Forsikring'!C55+'WaterCircle F'!C55+'Codan Forsikring'!C55+'Euro Accident'!C55</f>
        <v>5860.8320000000003</v>
      </c>
      <c r="D55" s="23" t="str">
        <f t="shared" si="22"/>
        <v xml:space="preserve">    ---- </v>
      </c>
      <c r="E55" s="34"/>
      <c r="F55" s="5"/>
      <c r="G55" s="33"/>
      <c r="H55" s="32"/>
      <c r="I55" s="32"/>
      <c r="J55" s="31"/>
    </row>
    <row r="56" spans="1:10" s="417" customFormat="1" ht="15.75" customHeight="1" x14ac:dyDescent="0.2">
      <c r="A56" s="38" t="s">
        <v>378</v>
      </c>
      <c r="B56" s="234">
        <f>'Fremtind Livsforsikring'!B56+'Danica Pensjonsforsikring'!B56+'DNB Livsforsikring'!B56+'Eika Forsikring AS'!B56+'Frende Livsforsikring'!B56+'Frende Skadeforsikring'!B56+'Gjensidige Forsikring'!B56+'Gjensidige Pensjon'!B56+'Handelsbanken Liv'!B56+'If Skadeforsikring NUF'!B56+KLP!B56+'DNB Bedriftspensjon AS'!B56+'KLP Skadeforsikring AS'!B56+'Landkreditt Forsikring'!B56+Insr!B56+'Nordea Liv '!B56+'Oslo Pensjonsforsikring'!B56+'Protector Forsikring'!B56+'SHB Liv'!B56+'Sparebank 1'!B56+'Storebrand Livsforsikring'!B56+'Telenor Forsikring'!B56+'Tryg Forsikring'!B56+'WaterCircle F'!B56+'Codan Forsikring'!B56+'Euro Accident'!B56</f>
        <v>111355.41099999999</v>
      </c>
      <c r="C56" s="234">
        <f>'Fremtind Livsforsikring'!C56+'Danica Pensjonsforsikring'!C56+'DNB Livsforsikring'!C56+'Eika Forsikring AS'!C56+'Frende Livsforsikring'!C56+'Frende Skadeforsikring'!C56+'Gjensidige Forsikring'!C56+'Gjensidige Pensjon'!C56+'Handelsbanken Liv'!C56+'If Skadeforsikring NUF'!C56+KLP!C56+'DNB Bedriftspensjon AS'!C56+'KLP Skadeforsikring AS'!C56+'Landkreditt Forsikring'!C56+Insr!C56+'Nordea Liv '!C56+'Oslo Pensjonsforsikring'!C56+'Protector Forsikring'!C56+'SHB Liv'!C56+'Sparebank 1'!C56+'Storebrand Livsforsikring'!C56+'Telenor Forsikring'!C56+'Tryg Forsikring'!C56+'WaterCircle F'!C56+'Codan Forsikring'!C56+'Euro Accident'!C56</f>
        <v>93364.087</v>
      </c>
      <c r="D56" s="23">
        <f t="shared" si="22"/>
        <v>-16.2</v>
      </c>
      <c r="E56" s="418"/>
      <c r="F56" s="419"/>
      <c r="G56" s="31"/>
      <c r="H56" s="172"/>
      <c r="I56" s="172"/>
      <c r="J56" s="31"/>
    </row>
    <row r="57" spans="1:10" s="3" customFormat="1" ht="15.75" customHeight="1" x14ac:dyDescent="0.2">
      <c r="A57" s="37" t="s">
        <v>375</v>
      </c>
      <c r="B57" s="43">
        <f>'Fremtind Livsforsikring'!B57+'Danica Pensjonsforsikring'!B57+'DNB Livsforsikring'!B57+'Eika Forsikring AS'!B57+'Frende Livsforsikring'!B57+'Frende Skadeforsikring'!B57+'Gjensidige Forsikring'!B57+'Gjensidige Pensjon'!B57+'Handelsbanken Liv'!B57+'If Skadeforsikring NUF'!B57+KLP!B57+'DNB Bedriftspensjon AS'!B57+'KLP Skadeforsikring AS'!B57+'Landkreditt Forsikring'!B57+Insr!B57+'Nordea Liv '!B57+'Oslo Pensjonsforsikring'!B57+'Protector Forsikring'!B57+'SHB Liv'!B57+'Sparebank 1'!B57+'Storebrand Livsforsikring'!B57+'Telenor Forsikring'!B57+'Tryg Forsikring'!B57+'WaterCircle F'!B57+'Codan Forsikring'!B57+'Euro Accident'!B57</f>
        <v>111352.011</v>
      </c>
      <c r="C57" s="43">
        <f>'Fremtind Livsforsikring'!C57+'Danica Pensjonsforsikring'!C57+'DNB Livsforsikring'!C57+'Eika Forsikring AS'!C57+'Frende Livsforsikring'!C57+'Frende Skadeforsikring'!C57+'Gjensidige Forsikring'!C57+'Gjensidige Pensjon'!C57+'Handelsbanken Liv'!C57+'If Skadeforsikring NUF'!C57+KLP!C57+'DNB Bedriftspensjon AS'!C57+'KLP Skadeforsikring AS'!C57+'Landkreditt Forsikring'!C57+Insr!C57+'Nordea Liv '!C57+'Oslo Pensjonsforsikring'!C57+'Protector Forsikring'!C57+'SHB Liv'!C57+'Sparebank 1'!C57+'Storebrand Livsforsikring'!C57+'Telenor Forsikring'!C57+'Tryg Forsikring'!C57+'WaterCircle F'!C57+'Codan Forsikring'!C57+'Euro Accident'!C57</f>
        <v>93364.087</v>
      </c>
      <c r="D57" s="23">
        <f t="shared" si="22"/>
        <v>-16.2</v>
      </c>
      <c r="E57" s="34"/>
      <c r="F57" s="5"/>
      <c r="G57" s="33"/>
      <c r="H57" s="32"/>
      <c r="I57" s="32"/>
      <c r="J57" s="31"/>
    </row>
    <row r="58" spans="1:10" s="3" customFormat="1" ht="15.75" customHeight="1" x14ac:dyDescent="0.2">
      <c r="A58" s="37" t="s">
        <v>376</v>
      </c>
      <c r="B58" s="44">
        <f>'Fremtind Livsforsikring'!B58+'Danica Pensjonsforsikring'!B58+'DNB Livsforsikring'!B58+'Eika Forsikring AS'!B58+'Frende Livsforsikring'!B58+'Frende Skadeforsikring'!B58+'Gjensidige Forsikring'!B58+'Gjensidige Pensjon'!B58+'Handelsbanken Liv'!B58+'If Skadeforsikring NUF'!B58+KLP!B58+'DNB Bedriftspensjon AS'!B58+'KLP Skadeforsikring AS'!B58+'Landkreditt Forsikring'!B58+Insr!B58+'Nordea Liv '!B58+'Oslo Pensjonsforsikring'!B58+'Protector Forsikring'!B58+'SHB Liv'!B58+'Sparebank 1'!B58+'Storebrand Livsforsikring'!B58+'Telenor Forsikring'!B58+'Tryg Forsikring'!B58+'WaterCircle F'!B58+'Codan Forsikring'!B58+'Euro Accident'!B58</f>
        <v>3.4</v>
      </c>
      <c r="C58" s="44">
        <f>'Fremtind Livsforsikring'!C58+'Danica Pensjonsforsikring'!C58+'DNB Livsforsikring'!C58+'Eika Forsikring AS'!C58+'Frende Livsforsikring'!C58+'Frende Skadeforsikring'!C58+'Gjensidige Forsikring'!C58+'Gjensidige Pensjon'!C58+'Handelsbanken Liv'!C58+'If Skadeforsikring NUF'!C58+KLP!C58+'DNB Bedriftspensjon AS'!C58+'KLP Skadeforsikring AS'!C58+'Landkreditt Forsikring'!C58+Insr!C58+'Nordea Liv '!C58+'Oslo Pensjonsforsikring'!C58+'Protector Forsikring'!C58+'SHB Liv'!C58+'Sparebank 1'!C58+'Storebrand Livsforsikring'!C58+'Telenor Forsikring'!C58+'Tryg Forsikring'!C58+'WaterCircle F'!C58+'Codan Forsikring'!C58+'Euro Accident'!C58</f>
        <v>0</v>
      </c>
      <c r="D58" s="35">
        <f t="shared" si="22"/>
        <v>-100</v>
      </c>
      <c r="E58" s="34"/>
      <c r="F58" s="5"/>
      <c r="G58" s="33"/>
      <c r="H58" s="32"/>
      <c r="I58" s="32"/>
      <c r="J58" s="31"/>
    </row>
    <row r="59" spans="1:10" s="3" customFormat="1" ht="15.75" customHeight="1" x14ac:dyDescent="0.25">
      <c r="A59" s="163"/>
      <c r="B59" s="29"/>
      <c r="C59" s="29"/>
      <c r="D59" s="29"/>
      <c r="E59" s="30"/>
      <c r="F59" s="30"/>
      <c r="G59" s="30"/>
      <c r="H59" s="30"/>
      <c r="I59" s="30"/>
      <c r="J59" s="30"/>
    </row>
    <row r="60" spans="1:10" ht="15.75" customHeight="1" x14ac:dyDescent="0.2">
      <c r="A60" s="154"/>
    </row>
    <row r="61" spans="1:10" ht="15.75" customHeight="1" x14ac:dyDescent="0.25">
      <c r="A61" s="146" t="s">
        <v>273</v>
      </c>
      <c r="C61" s="25"/>
      <c r="D61" s="24"/>
      <c r="E61" s="25"/>
      <c r="F61" s="25"/>
      <c r="G61" s="24"/>
      <c r="H61" s="25"/>
      <c r="I61" s="25"/>
      <c r="J61" s="24"/>
    </row>
    <row r="62" spans="1:10" ht="20.100000000000001" customHeight="1" x14ac:dyDescent="0.25">
      <c r="A62" s="148"/>
      <c r="B62" s="772"/>
      <c r="C62" s="772"/>
      <c r="D62" s="772"/>
      <c r="E62" s="772"/>
      <c r="F62" s="772"/>
      <c r="G62" s="772"/>
      <c r="H62" s="772"/>
      <c r="I62" s="772"/>
      <c r="J62" s="772"/>
    </row>
    <row r="63" spans="1:10" ht="15.75" customHeight="1" x14ac:dyDescent="0.2">
      <c r="A63" s="143"/>
      <c r="B63" s="773" t="s">
        <v>0</v>
      </c>
      <c r="C63" s="774"/>
      <c r="D63" s="774"/>
      <c r="E63" s="773" t="s">
        <v>1</v>
      </c>
      <c r="F63" s="774"/>
      <c r="G63" s="775"/>
      <c r="H63" s="774" t="s">
        <v>2</v>
      </c>
      <c r="I63" s="774"/>
      <c r="J63" s="775"/>
    </row>
    <row r="64" spans="1:10" ht="15.75" customHeight="1" x14ac:dyDescent="0.2">
      <c r="A64" s="139"/>
      <c r="B64" s="731" t="s">
        <v>439</v>
      </c>
      <c r="C64" s="731" t="s">
        <v>440</v>
      </c>
      <c r="D64" s="19" t="s">
        <v>3</v>
      </c>
      <c r="E64" s="731" t="s">
        <v>439</v>
      </c>
      <c r="F64" s="731" t="s">
        <v>440</v>
      </c>
      <c r="G64" s="19" t="s">
        <v>3</v>
      </c>
      <c r="H64" s="731" t="s">
        <v>439</v>
      </c>
      <c r="I64" s="731" t="s">
        <v>440</v>
      </c>
      <c r="J64" s="19" t="s">
        <v>3</v>
      </c>
    </row>
    <row r="65" spans="1:10" ht="15.75" customHeight="1" x14ac:dyDescent="0.2">
      <c r="A65" s="754"/>
      <c r="B65" s="15"/>
      <c r="C65" s="15"/>
      <c r="D65" s="17" t="s">
        <v>4</v>
      </c>
      <c r="E65" s="16"/>
      <c r="F65" s="16"/>
      <c r="G65" s="15" t="s">
        <v>4</v>
      </c>
      <c r="H65" s="16"/>
      <c r="I65" s="16"/>
      <c r="J65" s="15" t="s">
        <v>4</v>
      </c>
    </row>
    <row r="66" spans="1:10" s="42" customFormat="1" ht="15.75" customHeight="1" x14ac:dyDescent="0.2">
      <c r="A66" s="14" t="s">
        <v>23</v>
      </c>
      <c r="B66" s="327">
        <f>'Fremtind Livsforsikring'!B66+'Danica Pensjonsforsikring'!B66+'DNB Livsforsikring'!B66+'Eika Forsikring AS'!B66+'Frende Livsforsikring'!B66+'Frende Skadeforsikring'!B66+'Gjensidige Forsikring'!B66+'Gjensidige Pensjon'!B66+'Handelsbanken Liv'!B66+'If Skadeforsikring NUF'!B66+KLP!B66+'DNB Bedriftspensjon AS'!B66+'KLP Skadeforsikring AS'!B66+'Landkreditt Forsikring'!B66+Insr!B66+'Nordea Liv '!B66+'Oslo Pensjonsforsikring'!B66+'Protector Forsikring'!B66+'SHB Liv'!B66+'Sparebank 1'!B66+'Storebrand Livsforsikring'!B66+'Telenor Forsikring'!B66+'Tryg Forsikring'!B66+'WaterCircle F'!B66+'Codan Forsikring'!B66+'Euro Accident'!B66</f>
        <v>4701885.101259999</v>
      </c>
      <c r="C66" s="327">
        <f>'Fremtind Livsforsikring'!C66+'Danica Pensjonsforsikring'!C66+'DNB Livsforsikring'!C66+'Eika Forsikring AS'!C66+'Frende Livsforsikring'!C66+'Frende Skadeforsikring'!C66+'Gjensidige Forsikring'!C66+'Gjensidige Pensjon'!C66+'Handelsbanken Liv'!C66+'If Skadeforsikring NUF'!C66+KLP!C66+'DNB Bedriftspensjon AS'!C66+'KLP Skadeforsikring AS'!C66+'Landkreditt Forsikring'!C66+Insr!C66+'Nordea Liv '!C66+'Oslo Pensjonsforsikring'!C66+'Protector Forsikring'!C66+'SHB Liv'!C66+'Sparebank 1'!C66+'Storebrand Livsforsikring'!C66+'Telenor Forsikring'!C66+'Tryg Forsikring'!C66+'WaterCircle F'!C66+'Codan Forsikring'!C66+'Euro Accident'!C66</f>
        <v>4679283.7213499993</v>
      </c>
      <c r="D66" s="23">
        <f t="shared" ref="D66:D112" si="23">IF(B66=0, "    ---- ", IF(ABS(ROUND(100/B66*C66-100,1))&lt;999,ROUND(100/B66*C66-100,1),IF(ROUND(100/B66*C66-100,1)&gt;999,999,-999)))</f>
        <v>-0.5</v>
      </c>
      <c r="E66" s="234">
        <f>'Fremtind Livsforsikring'!F66+'Danica Pensjonsforsikring'!F66+'DNB Livsforsikring'!F66+'Eika Forsikring AS'!F66+'Frende Livsforsikring'!F66+'Frende Skadeforsikring'!F66+'Gjensidige Forsikring'!F66+'Gjensidige Pensjon'!F66+'Handelsbanken Liv'!F66+'If Skadeforsikring NUF'!F66+KLP!F66+'DNB Bedriftspensjon AS'!F66+'KLP Skadeforsikring AS'!F66+'Landkreditt Forsikring'!F66+Insr!F66+'Nordea Liv '!F66+'Oslo Pensjonsforsikring'!F66+'Protector Forsikring'!F66+'SHB Liv'!F66+'Sparebank 1'!F66+'Storebrand Livsforsikring'!F66+'Telenor Forsikring'!F66+'Tryg Forsikring'!F66+'WaterCircle F'!F66+'Codan Forsikring'!F66+'Euro Accident'!F66</f>
        <v>17335926.498360001</v>
      </c>
      <c r="F66" s="234">
        <f>'Fremtind Livsforsikring'!G66+'Danica Pensjonsforsikring'!G66+'DNB Livsforsikring'!G66+'Eika Forsikring AS'!G66+'Frende Livsforsikring'!G66+'Frende Skadeforsikring'!G66+'Gjensidige Forsikring'!G66+'Gjensidige Pensjon'!G66+'Handelsbanken Liv'!G66+'If Skadeforsikring NUF'!G66+KLP!G66+'DNB Bedriftspensjon AS'!G66+'KLP Skadeforsikring AS'!G66+'Landkreditt Forsikring'!G66+Insr!G66+'Nordea Liv '!G66+'Oslo Pensjonsforsikring'!G66+'Protector Forsikring'!G66+'SHB Liv'!G66+'Sparebank 1'!G66+'Storebrand Livsforsikring'!G66+'Telenor Forsikring'!G66+'Tryg Forsikring'!G66+'WaterCircle F'!G66+'Codan Forsikring'!G66+'Euro Accident'!G66</f>
        <v>18616390.894129999</v>
      </c>
      <c r="G66" s="170">
        <f t="shared" ref="G66" si="24">IF(E66=0, "    ---- ", IF(ABS(ROUND(100/E66*F66-100,1))&lt;999,ROUND(100/E66*F66-100,1),IF(ROUND(100/E66*F66-100,1)&gt;999,999,-999)))</f>
        <v>7.4</v>
      </c>
      <c r="H66" s="327">
        <f t="shared" ref="H66:H86" si="25">SUM(B66,E66)</f>
        <v>22037811.59962</v>
      </c>
      <c r="I66" s="327">
        <f t="shared" ref="I66:I86" si="26">SUM(C66,F66)</f>
        <v>23295674.615479998</v>
      </c>
      <c r="J66" s="23">
        <f t="shared" ref="J66:J112" si="27">IF(H66=0, "    ---- ", IF(ABS(ROUND(100/H66*I66-100,1))&lt;999,ROUND(100/H66*I66-100,1),IF(ROUND(100/H66*I66-100,1)&gt;999,999,-999)))</f>
        <v>5.7</v>
      </c>
    </row>
    <row r="67" spans="1:10" ht="15.75" customHeight="1" x14ac:dyDescent="0.25">
      <c r="A67" s="20" t="s">
        <v>9</v>
      </c>
      <c r="B67" s="232">
        <f>'Fremtind Livsforsikring'!B67+'Danica Pensjonsforsikring'!B67+'DNB Livsforsikring'!B67+'Eika Forsikring AS'!B67+'Frende Livsforsikring'!B67+'Frende Skadeforsikring'!B67+'Gjensidige Forsikring'!B67+'Gjensidige Pensjon'!B67+'Handelsbanken Liv'!B67+'If Skadeforsikring NUF'!B67+KLP!B67+'DNB Bedriftspensjon AS'!B67+'KLP Skadeforsikring AS'!B67+'Landkreditt Forsikring'!B67+Insr!B67+'Nordea Liv '!B67+'Oslo Pensjonsforsikring'!B67+'Protector Forsikring'!B67+'SHB Liv'!B67+'Sparebank 1'!B67+'Storebrand Livsforsikring'!B67+'Telenor Forsikring'!B67+'Tryg Forsikring'!B67+'WaterCircle F'!B67+'Codan Forsikring'!B67+'Euro Accident'!B67</f>
        <v>3465274.60337485</v>
      </c>
      <c r="C67" s="232">
        <f>'Fremtind Livsforsikring'!C67+'Danica Pensjonsforsikring'!C67+'DNB Livsforsikring'!C67+'Eika Forsikring AS'!C67+'Frende Livsforsikring'!C67+'Frende Skadeforsikring'!C67+'Gjensidige Forsikring'!C67+'Gjensidige Pensjon'!C67+'Handelsbanken Liv'!C67+'If Skadeforsikring NUF'!C67+KLP!C67+'DNB Bedriftspensjon AS'!C67+'KLP Skadeforsikring AS'!C67+'Landkreditt Forsikring'!C67+Insr!C67+'Nordea Liv '!C67+'Oslo Pensjonsforsikring'!C67+'Protector Forsikring'!C67+'SHB Liv'!C67+'Sparebank 1'!C67+'Storebrand Livsforsikring'!C67+'Telenor Forsikring'!C67+'Tryg Forsikring'!C67+'WaterCircle F'!C67+'Codan Forsikring'!C67+'Euro Accident'!C67</f>
        <v>3416855.9413520144</v>
      </c>
      <c r="D67" s="239">
        <f t="shared" si="23"/>
        <v>-1.4</v>
      </c>
      <c r="E67" s="43">
        <f>'Fremtind Livsforsikring'!F67+'Danica Pensjonsforsikring'!F67+'DNB Livsforsikring'!F67+'Eika Forsikring AS'!F67+'Frende Livsforsikring'!F67+'Frende Skadeforsikring'!F67+'Gjensidige Forsikring'!F67+'Gjensidige Pensjon'!F67+'Handelsbanken Liv'!F67+'If Skadeforsikring NUF'!F67+KLP!F67+'DNB Bedriftspensjon AS'!F67+'KLP Skadeforsikring AS'!F67+'Landkreditt Forsikring'!F67+Insr!F67+'Nordea Liv '!F67+'Oslo Pensjonsforsikring'!F67+'Protector Forsikring'!F67+'SHB Liv'!F67+'Sparebank 1'!F67+'Storebrand Livsforsikring'!F67+'Telenor Forsikring'!F67+'Tryg Forsikring'!F67+'WaterCircle F'!F67+'Codan Forsikring'!F67+'Euro Accident'!F67</f>
        <v>0</v>
      </c>
      <c r="F67" s="43">
        <f>'Fremtind Livsforsikring'!G67+'Danica Pensjonsforsikring'!G67+'DNB Livsforsikring'!G67+'Eika Forsikring AS'!G67+'Frende Livsforsikring'!G67+'Frende Skadeforsikring'!G67+'Gjensidige Forsikring'!G67+'Gjensidige Pensjon'!G67+'Handelsbanken Liv'!G67+'If Skadeforsikring NUF'!G67+KLP!G67+'DNB Bedriftspensjon AS'!G67+'KLP Skadeforsikring AS'!G67+'Landkreditt Forsikring'!G67+Insr!G67+'Nordea Liv '!G67+'Oslo Pensjonsforsikring'!G67+'Protector Forsikring'!G67+'SHB Liv'!G67+'Sparebank 1'!G67+'Storebrand Livsforsikring'!G67+'Telenor Forsikring'!G67+'Tryg Forsikring'!G67+'WaterCircle F'!G67+'Codan Forsikring'!G67+'Euro Accident'!G67</f>
        <v>0</v>
      </c>
      <c r="G67" s="732"/>
      <c r="H67" s="235">
        <f t="shared" si="25"/>
        <v>3465274.60337485</v>
      </c>
      <c r="I67" s="235">
        <f t="shared" si="26"/>
        <v>3416855.9413520144</v>
      </c>
      <c r="J67" s="22">
        <f t="shared" si="27"/>
        <v>-1.4</v>
      </c>
    </row>
    <row r="68" spans="1:10" ht="15.75" customHeight="1" x14ac:dyDescent="0.25">
      <c r="A68" s="20" t="s">
        <v>10</v>
      </c>
      <c r="B68" s="232">
        <f>'Fremtind Livsforsikring'!B68+'Danica Pensjonsforsikring'!B68+'DNB Livsforsikring'!B68+'Eika Forsikring AS'!B68+'Frende Livsforsikring'!B68+'Frende Skadeforsikring'!B68+'Gjensidige Forsikring'!B68+'Gjensidige Pensjon'!B68+'Handelsbanken Liv'!B68+'If Skadeforsikring NUF'!B68+KLP!B68+'DNB Bedriftspensjon AS'!B68+'KLP Skadeforsikring AS'!B68+'Landkreditt Forsikring'!B68+Insr!B68+'Nordea Liv '!B68+'Oslo Pensjonsforsikring'!B68+'Protector Forsikring'!B68+'SHB Liv'!B68+'Sparebank 1'!B68+'Storebrand Livsforsikring'!B68+'Telenor Forsikring'!B68+'Tryg Forsikring'!B68+'WaterCircle F'!B68+'Codan Forsikring'!B68+'Euro Accident'!B68</f>
        <v>105589.40124000001</v>
      </c>
      <c r="C68" s="232">
        <f>'Fremtind Livsforsikring'!C68+'Danica Pensjonsforsikring'!C68+'DNB Livsforsikring'!C68+'Eika Forsikring AS'!C68+'Frende Livsforsikring'!C68+'Frende Skadeforsikring'!C68+'Gjensidige Forsikring'!C68+'Gjensidige Pensjon'!C68+'Handelsbanken Liv'!C68+'If Skadeforsikring NUF'!C68+KLP!C68+'DNB Bedriftspensjon AS'!C68+'KLP Skadeforsikring AS'!C68+'Landkreditt Forsikring'!C68+Insr!C68+'Nordea Liv '!C68+'Oslo Pensjonsforsikring'!C68+'Protector Forsikring'!C68+'SHB Liv'!C68+'Sparebank 1'!C68+'Storebrand Livsforsikring'!C68+'Telenor Forsikring'!C68+'Tryg Forsikring'!C68+'WaterCircle F'!C68+'Codan Forsikring'!C68+'Euro Accident'!C68</f>
        <v>24512.352129999999</v>
      </c>
      <c r="D68" s="239">
        <f t="shared" si="23"/>
        <v>-76.8</v>
      </c>
      <c r="E68" s="43">
        <f>'Fremtind Livsforsikring'!F68+'Danica Pensjonsforsikring'!F68+'DNB Livsforsikring'!F68+'Eika Forsikring AS'!F68+'Frende Livsforsikring'!F68+'Frende Skadeforsikring'!F68+'Gjensidige Forsikring'!F68+'Gjensidige Pensjon'!F68+'Handelsbanken Liv'!F68+'If Skadeforsikring NUF'!F68+KLP!F68+'DNB Bedriftspensjon AS'!F68+'KLP Skadeforsikring AS'!F68+'Landkreditt Forsikring'!F68+Insr!F68+'Nordea Liv '!F68+'Oslo Pensjonsforsikring'!F68+'Protector Forsikring'!F68+'SHB Liv'!F68+'Sparebank 1'!F68+'Storebrand Livsforsikring'!F68+'Telenor Forsikring'!F68+'Tryg Forsikring'!F68+'WaterCircle F'!F68+'Codan Forsikring'!F68+'Euro Accident'!F68</f>
        <v>16653441.134599999</v>
      </c>
      <c r="F68" s="43">
        <f>'Fremtind Livsforsikring'!G68+'Danica Pensjonsforsikring'!G68+'DNB Livsforsikring'!G68+'Eika Forsikring AS'!G68+'Frende Livsforsikring'!G68+'Frende Skadeforsikring'!G68+'Gjensidige Forsikring'!G68+'Gjensidige Pensjon'!G68+'Handelsbanken Liv'!G68+'If Skadeforsikring NUF'!G68+KLP!G68+'DNB Bedriftspensjon AS'!G68+'KLP Skadeforsikring AS'!G68+'Landkreditt Forsikring'!G68+Insr!G68+'Nordea Liv '!G68+'Oslo Pensjonsforsikring'!G68+'Protector Forsikring'!G68+'SHB Liv'!G68+'Sparebank 1'!G68+'Storebrand Livsforsikring'!G68+'Telenor Forsikring'!G68+'Tryg Forsikring'!G68+'WaterCircle F'!G68+'Codan Forsikring'!G68+'Euro Accident'!G68</f>
        <v>17877320.361480001</v>
      </c>
      <c r="G68" s="239">
        <f t="shared" ref="G68" si="28">IF(E68=0, "    ---- ", IF(ABS(ROUND(100/E68*F68-100,1))&lt;999,ROUND(100/E68*F68-100,1),IF(ROUND(100/E68*F68-100,1)&gt;999,999,-999)))</f>
        <v>7.3</v>
      </c>
      <c r="H68" s="235">
        <f t="shared" si="25"/>
        <v>16759030.535839999</v>
      </c>
      <c r="I68" s="235">
        <f t="shared" si="26"/>
        <v>17901832.713610001</v>
      </c>
      <c r="J68" s="22">
        <f t="shared" si="27"/>
        <v>6.8</v>
      </c>
    </row>
    <row r="69" spans="1:10" ht="15.75" customHeight="1" x14ac:dyDescent="0.2">
      <c r="A69" s="294" t="s">
        <v>379</v>
      </c>
      <c r="B69" s="734">
        <f>'Fremtind Livsforsikring'!B69+'Danica Pensjonsforsikring'!B69+'DNB Livsforsikring'!B69+'Eika Forsikring AS'!B69+'Frende Livsforsikring'!B69+'Frende Skadeforsikring'!B69+'Gjensidige Forsikring'!B69+'Gjensidige Pensjon'!B69+'Handelsbanken Liv'!B69+'If Skadeforsikring NUF'!B69+KLP!B69+'DNB Bedriftspensjon AS'!B69+'KLP Skadeforsikring AS'!B69+'Landkreditt Forsikring'!B69+Insr!B69+'Nordea Liv '!B69+'Oslo Pensjonsforsikring'!B69+'Protector Forsikring'!B69+'SHB Liv'!B69+'Sparebank 1'!B69+'Storebrand Livsforsikring'!B69+'Telenor Forsikring'!B69+'Tryg Forsikring'!B69+'WaterCircle F'!B69+'Codan Forsikring'!B69+'Euro Accident'!B69</f>
        <v>0</v>
      </c>
      <c r="C69" s="734">
        <f>'Fremtind Livsforsikring'!C69+'Danica Pensjonsforsikring'!C69+'DNB Livsforsikring'!C69+'Eika Forsikring AS'!C69+'Frende Livsforsikring'!C69+'Frende Skadeforsikring'!C69+'Gjensidige Forsikring'!C69+'Gjensidige Pensjon'!C69+'Handelsbanken Liv'!C69+'If Skadeforsikring NUF'!C69+KLP!C69+'DNB Bedriftspensjon AS'!C69+'KLP Skadeforsikring AS'!C69+'Landkreditt Forsikring'!C69+Insr!C69+'Nordea Liv '!C69+'Oslo Pensjonsforsikring'!C69+'Protector Forsikring'!C69+'SHB Liv'!C69+'Sparebank 1'!C69+'Storebrand Livsforsikring'!C69+'Telenor Forsikring'!C69+'Tryg Forsikring'!C69+'WaterCircle F'!C69+'Codan Forsikring'!C69+'Euro Accident'!C69</f>
        <v>0</v>
      </c>
      <c r="D69" s="26"/>
      <c r="E69" s="734">
        <f>'Fremtind Livsforsikring'!E69+'Danica Pensjonsforsikring'!E69+'DNB Livsforsikring'!E69+'Eika Forsikring AS'!E69+'Frende Livsforsikring'!E69+'Frende Skadeforsikring'!E69+'Gjensidige Forsikring'!E69+'Gjensidige Pensjon'!E69+'Handelsbanken Liv'!E69+'If Skadeforsikring NUF'!E69+KLP!E69+'DNB Bedriftspensjon AS'!E69+'KLP Skadeforsikring AS'!E69+'Landkreditt Forsikring'!E69+Insr!E69+'Nordea Liv '!E69+'Oslo Pensjonsforsikring'!E69+'Protector Forsikring'!E69+'SHB Liv'!E69+'Sparebank 1'!E69+'Storebrand Livsforsikring'!E69+'Telenor Forsikring'!E69+'Tryg Forsikring'!E69+'WaterCircle F'!E69+'Codan Forsikring'!E69+'Euro Accident'!E69</f>
        <v>0</v>
      </c>
      <c r="F69" s="734">
        <f>'Fremtind Livsforsikring'!F69+'Danica Pensjonsforsikring'!F69+'DNB Livsforsikring'!F69+'Eika Forsikring AS'!F69+'Frende Livsforsikring'!F69+'Frende Skadeforsikring'!F69+'Gjensidige Forsikring'!F69+'Gjensidige Pensjon'!F69+'Handelsbanken Liv'!F69+'If Skadeforsikring NUF'!F69+KLP!F69+'DNB Bedriftspensjon AS'!F69+'KLP Skadeforsikring AS'!F69+'Landkreditt Forsikring'!F69+Insr!F69+'Nordea Liv '!F69+'Oslo Pensjonsforsikring'!F69+'Protector Forsikring'!F69+'SHB Liv'!F69+'Sparebank 1'!F69+'Storebrand Livsforsikring'!F69+'Telenor Forsikring'!F69+'Tryg Forsikring'!F69+'WaterCircle F'!F69+'Codan Forsikring'!F69+'Euro Accident'!F69</f>
        <v>0</v>
      </c>
      <c r="G69" s="165"/>
      <c r="H69" s="734">
        <f>'Fremtind Livsforsikring'!H69+'Danica Pensjonsforsikring'!H69+'DNB Livsforsikring'!H69+'Eika Forsikring AS'!H69+'Frende Livsforsikring'!H69+'Frende Skadeforsikring'!H69+'Gjensidige Forsikring'!H69+'Gjensidige Pensjon'!H69+'Handelsbanken Liv'!H69+'If Skadeforsikring NUF'!H69+KLP!H69+'DNB Bedriftspensjon AS'!H69+'KLP Skadeforsikring AS'!H69+'Landkreditt Forsikring'!H69+Insr!H69+'Nordea Liv '!H69+'Oslo Pensjonsforsikring'!H69+'Protector Forsikring'!H69+'SHB Liv'!H69+'Sparebank 1'!H69+'Storebrand Livsforsikring'!H69+'Telenor Forsikring'!H69+'Tryg Forsikring'!H69+'WaterCircle F'!H69+'Codan Forsikring'!H69+'Euro Accident'!H69</f>
        <v>0</v>
      </c>
      <c r="I69" s="734">
        <f>'Fremtind Livsforsikring'!I69+'Danica Pensjonsforsikring'!I69+'DNB Livsforsikring'!I69+'Eika Forsikring AS'!I69+'Frende Livsforsikring'!I69+'Frende Skadeforsikring'!I69+'Gjensidige Forsikring'!I69+'Gjensidige Pensjon'!I69+'Handelsbanken Liv'!I69+'If Skadeforsikring NUF'!I69+KLP!I69+'DNB Bedriftspensjon AS'!I69+'KLP Skadeforsikring AS'!I69+'Landkreditt Forsikring'!I69+Insr!I69+'Nordea Liv '!I69+'Oslo Pensjonsforsikring'!I69+'Protector Forsikring'!I69+'SHB Liv'!I69+'Sparebank 1'!I69+'Storebrand Livsforsikring'!I69+'Telenor Forsikring'!I69+'Tryg Forsikring'!I69+'WaterCircle F'!I69+'Codan Forsikring'!I69+'Euro Accident'!I69</f>
        <v>0</v>
      </c>
      <c r="J69" s="22"/>
    </row>
    <row r="70" spans="1:10" ht="15.75" customHeight="1" x14ac:dyDescent="0.2">
      <c r="A70" s="294" t="s">
        <v>12</v>
      </c>
      <c r="B70" s="233">
        <f>'Fremtind Livsforsikring'!B70+'Danica Pensjonsforsikring'!B70+'DNB Livsforsikring'!B70+'Eika Forsikring AS'!B70+'Frende Livsforsikring'!B70+'Frende Skadeforsikring'!B70+'Gjensidige Forsikring'!B70+'Gjensidige Pensjon'!B70+'Handelsbanken Liv'!B70+'If Skadeforsikring NUF'!B70+KLP!B70+'DNB Bedriftspensjon AS'!B70+'KLP Skadeforsikring AS'!B70+'Landkreditt Forsikring'!B70+Insr!B70+'Nordea Liv '!B70+'Oslo Pensjonsforsikring'!B70+'Protector Forsikring'!B70+'SHB Liv'!B70+'Sparebank 1'!B70+'Storebrand Livsforsikring'!B70+'Telenor Forsikring'!B70+'Tryg Forsikring'!B70+'WaterCircle F'!B70+'Codan Forsikring'!B70+'Euro Accident'!B70</f>
        <v>0</v>
      </c>
      <c r="C70" s="233">
        <f>'Fremtind Livsforsikring'!C70+'Danica Pensjonsforsikring'!C70+'DNB Livsforsikring'!C70+'Eika Forsikring AS'!C70+'Frende Livsforsikring'!C70+'Frende Skadeforsikring'!C70+'Gjensidige Forsikring'!C70+'Gjensidige Pensjon'!C70+'Handelsbanken Liv'!C70+'If Skadeforsikring NUF'!C70+KLP!C70+'DNB Bedriftspensjon AS'!C70+'KLP Skadeforsikring AS'!C70+'Landkreditt Forsikring'!C70+Insr!C70+'Nordea Liv '!C70+'Oslo Pensjonsforsikring'!C70+'Protector Forsikring'!C70+'SHB Liv'!C70+'Sparebank 1'!C70+'Storebrand Livsforsikring'!C70+'Telenor Forsikring'!C70+'Tryg Forsikring'!C70+'WaterCircle F'!C70+'Codan Forsikring'!C70+'Euro Accident'!C70</f>
        <v>0</v>
      </c>
      <c r="D70" s="26"/>
      <c r="E70" s="734">
        <f>'Fremtind Livsforsikring'!E70+'Danica Pensjonsforsikring'!E70+'DNB Livsforsikring'!E70+'Eika Forsikring AS'!E70+'Frende Livsforsikring'!E70+'Frende Skadeforsikring'!E70+'Gjensidige Forsikring'!E70+'Gjensidige Pensjon'!E70+'Handelsbanken Liv'!E70+'If Skadeforsikring NUF'!E70+KLP!E70+'DNB Bedriftspensjon AS'!E70+'KLP Skadeforsikring AS'!E70+'Landkreditt Forsikring'!E70+Insr!E70+'Nordea Liv '!E70+'Oslo Pensjonsforsikring'!E70+'Protector Forsikring'!E70+'SHB Liv'!E70+'Sparebank 1'!E70+'Storebrand Livsforsikring'!E70+'Telenor Forsikring'!E70+'Tryg Forsikring'!E70+'WaterCircle F'!E70+'Codan Forsikring'!E70+'Euro Accident'!E70</f>
        <v>0</v>
      </c>
      <c r="F70" s="734">
        <f>'Fremtind Livsforsikring'!F70+'Danica Pensjonsforsikring'!F70+'DNB Livsforsikring'!F70+'Eika Forsikring AS'!F70+'Frende Livsforsikring'!F70+'Frende Skadeforsikring'!F70+'Gjensidige Forsikring'!F70+'Gjensidige Pensjon'!F70+'Handelsbanken Liv'!F70+'If Skadeforsikring NUF'!F70+KLP!F70+'DNB Bedriftspensjon AS'!F70+'KLP Skadeforsikring AS'!F70+'Landkreditt Forsikring'!F70+Insr!F70+'Nordea Liv '!F70+'Oslo Pensjonsforsikring'!F70+'Protector Forsikring'!F70+'SHB Liv'!F70+'Sparebank 1'!F70+'Storebrand Livsforsikring'!F70+'Telenor Forsikring'!F70+'Tryg Forsikring'!F70+'WaterCircle F'!F70+'Codan Forsikring'!F70+'Euro Accident'!F70</f>
        <v>0</v>
      </c>
      <c r="G70" s="165"/>
      <c r="H70" s="734">
        <f>'Fremtind Livsforsikring'!H70+'Danica Pensjonsforsikring'!H70+'DNB Livsforsikring'!H70+'Eika Forsikring AS'!H70+'Frende Livsforsikring'!H70+'Frende Skadeforsikring'!H70+'Gjensidige Forsikring'!H70+'Gjensidige Pensjon'!H70+'Handelsbanken Liv'!H70+'If Skadeforsikring NUF'!H70+KLP!H70+'DNB Bedriftspensjon AS'!H70+'KLP Skadeforsikring AS'!H70+'Landkreditt Forsikring'!H70+Insr!H70+'Nordea Liv '!H70+'Oslo Pensjonsforsikring'!H70+'Protector Forsikring'!H70+'SHB Liv'!H70+'Sparebank 1'!H70+'Storebrand Livsforsikring'!H70+'Telenor Forsikring'!H70+'Tryg Forsikring'!H70+'WaterCircle F'!H70+'Codan Forsikring'!H70+'Euro Accident'!H70</f>
        <v>0</v>
      </c>
      <c r="I70" s="734">
        <f>'Fremtind Livsforsikring'!I70+'Danica Pensjonsforsikring'!I70+'DNB Livsforsikring'!I70+'Eika Forsikring AS'!I70+'Frende Livsforsikring'!I70+'Frende Skadeforsikring'!I70+'Gjensidige Forsikring'!I70+'Gjensidige Pensjon'!I70+'Handelsbanken Liv'!I70+'If Skadeforsikring NUF'!I70+KLP!I70+'DNB Bedriftspensjon AS'!I70+'KLP Skadeforsikring AS'!I70+'Landkreditt Forsikring'!I70+Insr!I70+'Nordea Liv '!I70+'Oslo Pensjonsforsikring'!I70+'Protector Forsikring'!I70+'SHB Liv'!I70+'Sparebank 1'!I70+'Storebrand Livsforsikring'!I70+'Telenor Forsikring'!I70+'Tryg Forsikring'!I70+'WaterCircle F'!I70+'Codan Forsikring'!I70+'Euro Accident'!I70</f>
        <v>0</v>
      </c>
      <c r="J70" s="22"/>
    </row>
    <row r="71" spans="1:10" ht="15.75" customHeight="1" x14ac:dyDescent="0.2">
      <c r="A71" s="294" t="s">
        <v>13</v>
      </c>
      <c r="B71" s="233">
        <f>'Fremtind Livsforsikring'!B71+'Danica Pensjonsforsikring'!B71+'DNB Livsforsikring'!B71+'Eika Forsikring AS'!B71+'Frende Livsforsikring'!B71+'Frende Skadeforsikring'!B71+'Gjensidige Forsikring'!B71+'Gjensidige Pensjon'!B71+'Handelsbanken Liv'!B71+'If Skadeforsikring NUF'!B71+KLP!B71+'DNB Bedriftspensjon AS'!B71+'KLP Skadeforsikring AS'!B71+'Landkreditt Forsikring'!B71+Insr!B71+'Nordea Liv '!B71+'Oslo Pensjonsforsikring'!B71+'Protector Forsikring'!B71+'SHB Liv'!B71+'Sparebank 1'!B71+'Storebrand Livsforsikring'!B71+'Telenor Forsikring'!B71+'Tryg Forsikring'!B71+'WaterCircle F'!B71+'Codan Forsikring'!B71+'Euro Accident'!B71</f>
        <v>0</v>
      </c>
      <c r="C71" s="233">
        <f>'Fremtind Livsforsikring'!C71+'Danica Pensjonsforsikring'!C71+'DNB Livsforsikring'!C71+'Eika Forsikring AS'!C71+'Frende Livsforsikring'!C71+'Frende Skadeforsikring'!C71+'Gjensidige Forsikring'!C71+'Gjensidige Pensjon'!C71+'Handelsbanken Liv'!C71+'If Skadeforsikring NUF'!C71+KLP!C71+'DNB Bedriftspensjon AS'!C71+'KLP Skadeforsikring AS'!C71+'Landkreditt Forsikring'!C71+Insr!C71+'Nordea Liv '!C71+'Oslo Pensjonsforsikring'!C71+'Protector Forsikring'!C71+'SHB Liv'!C71+'Sparebank 1'!C71+'Storebrand Livsforsikring'!C71+'Telenor Forsikring'!C71+'Tryg Forsikring'!C71+'WaterCircle F'!C71+'Codan Forsikring'!C71+'Euro Accident'!C71</f>
        <v>0</v>
      </c>
      <c r="D71" s="26"/>
      <c r="E71" s="734">
        <f>'Fremtind Livsforsikring'!E71+'Danica Pensjonsforsikring'!E71+'DNB Livsforsikring'!E71+'Eika Forsikring AS'!E71+'Frende Livsforsikring'!E71+'Frende Skadeforsikring'!E71+'Gjensidige Forsikring'!E71+'Gjensidige Pensjon'!E71+'Handelsbanken Liv'!E71+'If Skadeforsikring NUF'!E71+KLP!E71+'DNB Bedriftspensjon AS'!E71+'KLP Skadeforsikring AS'!E71+'Landkreditt Forsikring'!E71+Insr!E71+'Nordea Liv '!E71+'Oslo Pensjonsforsikring'!E71+'Protector Forsikring'!E71+'SHB Liv'!E71+'Sparebank 1'!E71+'Storebrand Livsforsikring'!E71+'Telenor Forsikring'!E71+'Tryg Forsikring'!E71+'WaterCircle F'!E71+'Codan Forsikring'!E71+'Euro Accident'!E71</f>
        <v>0</v>
      </c>
      <c r="F71" s="734">
        <f>'Fremtind Livsforsikring'!F71+'Danica Pensjonsforsikring'!F71+'DNB Livsforsikring'!F71+'Eika Forsikring AS'!F71+'Frende Livsforsikring'!F71+'Frende Skadeforsikring'!F71+'Gjensidige Forsikring'!F71+'Gjensidige Pensjon'!F71+'Handelsbanken Liv'!F71+'If Skadeforsikring NUF'!F71+KLP!F71+'DNB Bedriftspensjon AS'!F71+'KLP Skadeforsikring AS'!F71+'Landkreditt Forsikring'!F71+Insr!F71+'Nordea Liv '!F71+'Oslo Pensjonsforsikring'!F71+'Protector Forsikring'!F71+'SHB Liv'!F71+'Sparebank 1'!F71+'Storebrand Livsforsikring'!F71+'Telenor Forsikring'!F71+'Tryg Forsikring'!F71+'WaterCircle F'!F71+'Codan Forsikring'!F71+'Euro Accident'!F71</f>
        <v>0</v>
      </c>
      <c r="G71" s="165"/>
      <c r="H71" s="734">
        <f>'Fremtind Livsforsikring'!H71+'Danica Pensjonsforsikring'!H71+'DNB Livsforsikring'!H71+'Eika Forsikring AS'!H71+'Frende Livsforsikring'!H71+'Frende Skadeforsikring'!H71+'Gjensidige Forsikring'!H71+'Gjensidige Pensjon'!H71+'Handelsbanken Liv'!H71+'If Skadeforsikring NUF'!H71+KLP!H71+'DNB Bedriftspensjon AS'!H71+'KLP Skadeforsikring AS'!H71+'Landkreditt Forsikring'!H71+Insr!H71+'Nordea Liv '!H71+'Oslo Pensjonsforsikring'!H71+'Protector Forsikring'!H71+'SHB Liv'!H71+'Sparebank 1'!H71+'Storebrand Livsforsikring'!H71+'Telenor Forsikring'!H71+'Tryg Forsikring'!H71+'WaterCircle F'!H71+'Codan Forsikring'!H71+'Euro Accident'!H71</f>
        <v>0</v>
      </c>
      <c r="I71" s="734">
        <f>'Fremtind Livsforsikring'!I71+'Danica Pensjonsforsikring'!I71+'DNB Livsforsikring'!I71+'Eika Forsikring AS'!I71+'Frende Livsforsikring'!I71+'Frende Skadeforsikring'!I71+'Gjensidige Forsikring'!I71+'Gjensidige Pensjon'!I71+'Handelsbanken Liv'!I71+'If Skadeforsikring NUF'!I71+KLP!I71+'DNB Bedriftspensjon AS'!I71+'KLP Skadeforsikring AS'!I71+'Landkreditt Forsikring'!I71+Insr!I71+'Nordea Liv '!I71+'Oslo Pensjonsforsikring'!I71+'Protector Forsikring'!I71+'SHB Liv'!I71+'Sparebank 1'!I71+'Storebrand Livsforsikring'!I71+'Telenor Forsikring'!I71+'Tryg Forsikring'!I71+'WaterCircle F'!I71+'Codan Forsikring'!I71+'Euro Accident'!I71</f>
        <v>0</v>
      </c>
      <c r="J71" s="22"/>
    </row>
    <row r="72" spans="1:10" ht="15.75" customHeight="1" x14ac:dyDescent="0.2">
      <c r="A72" s="294" t="s">
        <v>380</v>
      </c>
      <c r="B72" s="734">
        <f>'Fremtind Livsforsikring'!B72+'Danica Pensjonsforsikring'!B72+'DNB Livsforsikring'!B72+'Eika Forsikring AS'!B72+'Frende Livsforsikring'!B72+'Frende Skadeforsikring'!B72+'Gjensidige Forsikring'!B72+'Gjensidige Pensjon'!B72+'Handelsbanken Liv'!B72+'If Skadeforsikring NUF'!B72+KLP!B72+'DNB Bedriftspensjon AS'!B72+'KLP Skadeforsikring AS'!B72+'Landkreditt Forsikring'!B72+Insr!B72+'Nordea Liv '!B72+'Oslo Pensjonsforsikring'!B72+'Protector Forsikring'!B72+'SHB Liv'!B72+'Sparebank 1'!B72+'Storebrand Livsforsikring'!B72+'Telenor Forsikring'!B72+'Tryg Forsikring'!B72+'WaterCircle F'!B72+'Codan Forsikring'!B72+'Euro Accident'!B72</f>
        <v>0</v>
      </c>
      <c r="C72" s="734">
        <f>'Fremtind Livsforsikring'!C72+'Danica Pensjonsforsikring'!C72+'DNB Livsforsikring'!C72+'Eika Forsikring AS'!C72+'Frende Livsforsikring'!C72+'Frende Skadeforsikring'!C72+'Gjensidige Forsikring'!C72+'Gjensidige Pensjon'!C72+'Handelsbanken Liv'!C72+'If Skadeforsikring NUF'!C72+KLP!C72+'DNB Bedriftspensjon AS'!C72+'KLP Skadeforsikring AS'!C72+'Landkreditt Forsikring'!C72+Insr!C72+'Nordea Liv '!C72+'Oslo Pensjonsforsikring'!C72+'Protector Forsikring'!C72+'SHB Liv'!C72+'Sparebank 1'!C72+'Storebrand Livsforsikring'!C72+'Telenor Forsikring'!C72+'Tryg Forsikring'!C72+'WaterCircle F'!C72+'Codan Forsikring'!C72+'Euro Accident'!C72</f>
        <v>0</v>
      </c>
      <c r="D72" s="26"/>
      <c r="E72" s="734">
        <f>'Fremtind Livsforsikring'!E72+'Danica Pensjonsforsikring'!E72+'DNB Livsforsikring'!E72+'Eika Forsikring AS'!E72+'Frende Livsforsikring'!E72+'Frende Skadeforsikring'!E72+'Gjensidige Forsikring'!E72+'Gjensidige Pensjon'!E72+'Handelsbanken Liv'!E72+'If Skadeforsikring NUF'!E72+KLP!E72+'DNB Bedriftspensjon AS'!E72+'KLP Skadeforsikring AS'!E72+'Landkreditt Forsikring'!E72+Insr!E72+'Nordea Liv '!E72+'Oslo Pensjonsforsikring'!E72+'Protector Forsikring'!E72+'SHB Liv'!E72+'Sparebank 1'!E72+'Storebrand Livsforsikring'!E72+'Telenor Forsikring'!E72+'Tryg Forsikring'!E72+'WaterCircle F'!E72+'Codan Forsikring'!E72+'Euro Accident'!E72</f>
        <v>0</v>
      </c>
      <c r="F72" s="734">
        <f>'Fremtind Livsforsikring'!F72+'Danica Pensjonsforsikring'!F72+'DNB Livsforsikring'!F72+'Eika Forsikring AS'!F72+'Frende Livsforsikring'!F72+'Frende Skadeforsikring'!F72+'Gjensidige Forsikring'!F72+'Gjensidige Pensjon'!F72+'Handelsbanken Liv'!F72+'If Skadeforsikring NUF'!F72+KLP!F72+'DNB Bedriftspensjon AS'!F72+'KLP Skadeforsikring AS'!F72+'Landkreditt Forsikring'!F72+Insr!F72+'Nordea Liv '!F72+'Oslo Pensjonsforsikring'!F72+'Protector Forsikring'!F72+'SHB Liv'!F72+'Sparebank 1'!F72+'Storebrand Livsforsikring'!F72+'Telenor Forsikring'!F72+'Tryg Forsikring'!F72+'WaterCircle F'!F72+'Codan Forsikring'!F72+'Euro Accident'!F72</f>
        <v>0</v>
      </c>
      <c r="G72" s="165"/>
      <c r="H72" s="734">
        <f>'Fremtind Livsforsikring'!H72+'Danica Pensjonsforsikring'!H72+'DNB Livsforsikring'!H72+'Eika Forsikring AS'!H72+'Frende Livsforsikring'!H72+'Frende Skadeforsikring'!H72+'Gjensidige Forsikring'!H72+'Gjensidige Pensjon'!H72+'Handelsbanken Liv'!H72+'If Skadeforsikring NUF'!H72+KLP!H72+'DNB Bedriftspensjon AS'!H72+'KLP Skadeforsikring AS'!H72+'Landkreditt Forsikring'!H72+Insr!H72+'Nordea Liv '!H72+'Oslo Pensjonsforsikring'!H72+'Protector Forsikring'!H72+'SHB Liv'!H72+'Sparebank 1'!H72+'Storebrand Livsforsikring'!H72+'Telenor Forsikring'!H72+'Tryg Forsikring'!H72+'WaterCircle F'!H72+'Codan Forsikring'!H72+'Euro Accident'!H72</f>
        <v>0</v>
      </c>
      <c r="I72" s="734">
        <f>'Fremtind Livsforsikring'!I72+'Danica Pensjonsforsikring'!I72+'DNB Livsforsikring'!I72+'Eika Forsikring AS'!I72+'Frende Livsforsikring'!I72+'Frende Skadeforsikring'!I72+'Gjensidige Forsikring'!I72+'Gjensidige Pensjon'!I72+'Handelsbanken Liv'!I72+'If Skadeforsikring NUF'!I72+KLP!I72+'DNB Bedriftspensjon AS'!I72+'KLP Skadeforsikring AS'!I72+'Landkreditt Forsikring'!I72+Insr!I72+'Nordea Liv '!I72+'Oslo Pensjonsforsikring'!I72+'Protector Forsikring'!I72+'SHB Liv'!I72+'Sparebank 1'!I72+'Storebrand Livsforsikring'!I72+'Telenor Forsikring'!I72+'Tryg Forsikring'!I72+'WaterCircle F'!I72+'Codan Forsikring'!I72+'Euro Accident'!I72</f>
        <v>0</v>
      </c>
      <c r="J72" s="23"/>
    </row>
    <row r="73" spans="1:10" ht="15.75" customHeight="1" x14ac:dyDescent="0.2">
      <c r="A73" s="294" t="s">
        <v>12</v>
      </c>
      <c r="B73" s="233">
        <f>'Fremtind Livsforsikring'!B73+'Danica Pensjonsforsikring'!B73+'DNB Livsforsikring'!B73+'Eika Forsikring AS'!B73+'Frende Livsforsikring'!B73+'Frende Skadeforsikring'!B73+'Gjensidige Forsikring'!B73+'Gjensidige Pensjon'!B73+'Handelsbanken Liv'!B73+'If Skadeforsikring NUF'!B73+KLP!B73+'DNB Bedriftspensjon AS'!B73+'KLP Skadeforsikring AS'!B73+'Landkreditt Forsikring'!B73+Insr!B73+'Nordea Liv '!B73+'Oslo Pensjonsforsikring'!B73+'Protector Forsikring'!B73+'SHB Liv'!B73+'Sparebank 1'!B73+'Storebrand Livsforsikring'!B73+'Telenor Forsikring'!B73+'Tryg Forsikring'!B73+'WaterCircle F'!B73+'Codan Forsikring'!B73+'Euro Accident'!B73</f>
        <v>0</v>
      </c>
      <c r="C73" s="233">
        <f>'Fremtind Livsforsikring'!C73+'Danica Pensjonsforsikring'!C73+'DNB Livsforsikring'!C73+'Eika Forsikring AS'!C73+'Frende Livsforsikring'!C73+'Frende Skadeforsikring'!C73+'Gjensidige Forsikring'!C73+'Gjensidige Pensjon'!C73+'Handelsbanken Liv'!C73+'If Skadeforsikring NUF'!C73+KLP!C73+'DNB Bedriftspensjon AS'!C73+'KLP Skadeforsikring AS'!C73+'Landkreditt Forsikring'!C73+Insr!C73+'Nordea Liv '!C73+'Oslo Pensjonsforsikring'!C73+'Protector Forsikring'!C73+'SHB Liv'!C73+'Sparebank 1'!C73+'Storebrand Livsforsikring'!C73+'Telenor Forsikring'!C73+'Tryg Forsikring'!C73+'WaterCircle F'!C73+'Codan Forsikring'!C73+'Euro Accident'!C73</f>
        <v>0</v>
      </c>
      <c r="D73" s="26"/>
      <c r="E73" s="734">
        <f>'Fremtind Livsforsikring'!E73+'Danica Pensjonsforsikring'!E73+'DNB Livsforsikring'!E73+'Eika Forsikring AS'!E73+'Frende Livsforsikring'!E73+'Frende Skadeforsikring'!E73+'Gjensidige Forsikring'!E73+'Gjensidige Pensjon'!E73+'Handelsbanken Liv'!E73+'If Skadeforsikring NUF'!E73+KLP!E73+'DNB Bedriftspensjon AS'!E73+'KLP Skadeforsikring AS'!E73+'Landkreditt Forsikring'!E73+Insr!E73+'Nordea Liv '!E73+'Oslo Pensjonsforsikring'!E73+'Protector Forsikring'!E73+'SHB Liv'!E73+'Sparebank 1'!E73+'Storebrand Livsforsikring'!E73+'Telenor Forsikring'!E73+'Tryg Forsikring'!E73+'WaterCircle F'!E73+'Codan Forsikring'!E73+'Euro Accident'!E73</f>
        <v>0</v>
      </c>
      <c r="F73" s="734">
        <f>'Fremtind Livsforsikring'!F73+'Danica Pensjonsforsikring'!F73+'DNB Livsforsikring'!F73+'Eika Forsikring AS'!F73+'Frende Livsforsikring'!F73+'Frende Skadeforsikring'!F73+'Gjensidige Forsikring'!F73+'Gjensidige Pensjon'!F73+'Handelsbanken Liv'!F73+'If Skadeforsikring NUF'!F73+KLP!F73+'DNB Bedriftspensjon AS'!F73+'KLP Skadeforsikring AS'!F73+'Landkreditt Forsikring'!F73+Insr!F73+'Nordea Liv '!F73+'Oslo Pensjonsforsikring'!F73+'Protector Forsikring'!F73+'SHB Liv'!F73+'Sparebank 1'!F73+'Storebrand Livsforsikring'!F73+'Telenor Forsikring'!F73+'Tryg Forsikring'!F73+'WaterCircle F'!F73+'Codan Forsikring'!F73+'Euro Accident'!F73</f>
        <v>0</v>
      </c>
      <c r="G73" s="165"/>
      <c r="H73" s="734">
        <f>'Fremtind Livsforsikring'!H73+'Danica Pensjonsforsikring'!H73+'DNB Livsforsikring'!H73+'Eika Forsikring AS'!H73+'Frende Livsforsikring'!H73+'Frende Skadeforsikring'!H73+'Gjensidige Forsikring'!H73+'Gjensidige Pensjon'!H73+'Handelsbanken Liv'!H73+'If Skadeforsikring NUF'!H73+KLP!H73+'DNB Bedriftspensjon AS'!H73+'KLP Skadeforsikring AS'!H73+'Landkreditt Forsikring'!H73+Insr!H73+'Nordea Liv '!H73+'Oslo Pensjonsforsikring'!H73+'Protector Forsikring'!H73+'SHB Liv'!H73+'Sparebank 1'!H73+'Storebrand Livsforsikring'!H73+'Telenor Forsikring'!H73+'Tryg Forsikring'!H73+'WaterCircle F'!H73+'Codan Forsikring'!H73+'Euro Accident'!H73</f>
        <v>0</v>
      </c>
      <c r="I73" s="734">
        <f>'Fremtind Livsforsikring'!I73+'Danica Pensjonsforsikring'!I73+'DNB Livsforsikring'!I73+'Eika Forsikring AS'!I73+'Frende Livsforsikring'!I73+'Frende Skadeforsikring'!I73+'Gjensidige Forsikring'!I73+'Gjensidige Pensjon'!I73+'Handelsbanken Liv'!I73+'If Skadeforsikring NUF'!I73+KLP!I73+'DNB Bedriftspensjon AS'!I73+'KLP Skadeforsikring AS'!I73+'Landkreditt Forsikring'!I73+Insr!I73+'Nordea Liv '!I73+'Oslo Pensjonsforsikring'!I73+'Protector Forsikring'!I73+'SHB Liv'!I73+'Sparebank 1'!I73+'Storebrand Livsforsikring'!I73+'Telenor Forsikring'!I73+'Tryg Forsikring'!I73+'WaterCircle F'!I73+'Codan Forsikring'!I73+'Euro Accident'!I73</f>
        <v>0</v>
      </c>
      <c r="J73" s="22"/>
    </row>
    <row r="74" spans="1:10" s="3" customFormat="1" ht="15.75" customHeight="1" x14ac:dyDescent="0.2">
      <c r="A74" s="294" t="s">
        <v>13</v>
      </c>
      <c r="B74" s="233">
        <f>'Fremtind Livsforsikring'!B74+'Danica Pensjonsforsikring'!B74+'DNB Livsforsikring'!B74+'Eika Forsikring AS'!B74+'Frende Livsforsikring'!B74+'Frende Skadeforsikring'!B74+'Gjensidige Forsikring'!B74+'Gjensidige Pensjon'!B74+'Handelsbanken Liv'!B74+'If Skadeforsikring NUF'!B74+KLP!B74+'DNB Bedriftspensjon AS'!B74+'KLP Skadeforsikring AS'!B74+'Landkreditt Forsikring'!B74+Insr!B74+'Nordea Liv '!B74+'Oslo Pensjonsforsikring'!B74+'Protector Forsikring'!B74+'SHB Liv'!B74+'Sparebank 1'!B74+'Storebrand Livsforsikring'!B74+'Telenor Forsikring'!B74+'Tryg Forsikring'!B74+'WaterCircle F'!B74+'Codan Forsikring'!B74+'Euro Accident'!B74</f>
        <v>0</v>
      </c>
      <c r="C74" s="233">
        <f>'Fremtind Livsforsikring'!C74+'Danica Pensjonsforsikring'!C74+'DNB Livsforsikring'!C74+'Eika Forsikring AS'!C74+'Frende Livsforsikring'!C74+'Frende Skadeforsikring'!C74+'Gjensidige Forsikring'!C74+'Gjensidige Pensjon'!C74+'Handelsbanken Liv'!C74+'If Skadeforsikring NUF'!C74+KLP!C74+'DNB Bedriftspensjon AS'!C74+'KLP Skadeforsikring AS'!C74+'Landkreditt Forsikring'!C74+Insr!C74+'Nordea Liv '!C74+'Oslo Pensjonsforsikring'!C74+'Protector Forsikring'!C74+'SHB Liv'!C74+'Sparebank 1'!C74+'Storebrand Livsforsikring'!C74+'Telenor Forsikring'!C74+'Tryg Forsikring'!C74+'WaterCircle F'!C74+'Codan Forsikring'!C74+'Euro Accident'!C74</f>
        <v>0</v>
      </c>
      <c r="D74" s="26"/>
      <c r="E74" s="734">
        <f>'Fremtind Livsforsikring'!E74+'Danica Pensjonsforsikring'!E74+'DNB Livsforsikring'!E74+'Eika Forsikring AS'!E74+'Frende Livsforsikring'!E74+'Frende Skadeforsikring'!E74+'Gjensidige Forsikring'!E74+'Gjensidige Pensjon'!E74+'Handelsbanken Liv'!E74+'If Skadeforsikring NUF'!E74+KLP!E74+'DNB Bedriftspensjon AS'!E74+'KLP Skadeforsikring AS'!E74+'Landkreditt Forsikring'!E74+Insr!E74+'Nordea Liv '!E74+'Oslo Pensjonsforsikring'!E74+'Protector Forsikring'!E74+'SHB Liv'!E74+'Sparebank 1'!E74+'Storebrand Livsforsikring'!E74+'Telenor Forsikring'!E74+'Tryg Forsikring'!E74+'WaterCircle F'!E74+'Codan Forsikring'!E74+'Euro Accident'!E74</f>
        <v>0</v>
      </c>
      <c r="F74" s="734">
        <f>'Fremtind Livsforsikring'!F74+'Danica Pensjonsforsikring'!F74+'DNB Livsforsikring'!F74+'Eika Forsikring AS'!F74+'Frende Livsforsikring'!F74+'Frende Skadeforsikring'!F74+'Gjensidige Forsikring'!F74+'Gjensidige Pensjon'!F74+'Handelsbanken Liv'!F74+'If Skadeforsikring NUF'!F74+KLP!F74+'DNB Bedriftspensjon AS'!F74+'KLP Skadeforsikring AS'!F74+'Landkreditt Forsikring'!F74+Insr!F74+'Nordea Liv '!F74+'Oslo Pensjonsforsikring'!F74+'Protector Forsikring'!F74+'SHB Liv'!F74+'Sparebank 1'!F74+'Storebrand Livsforsikring'!F74+'Telenor Forsikring'!F74+'Tryg Forsikring'!F74+'WaterCircle F'!F74+'Codan Forsikring'!F74+'Euro Accident'!F74</f>
        <v>0</v>
      </c>
      <c r="G74" s="165"/>
      <c r="H74" s="734">
        <f>'Fremtind Livsforsikring'!H74+'Danica Pensjonsforsikring'!H74+'DNB Livsforsikring'!H74+'Eika Forsikring AS'!H74+'Frende Livsforsikring'!H74+'Frende Skadeforsikring'!H74+'Gjensidige Forsikring'!H74+'Gjensidige Pensjon'!H74+'Handelsbanken Liv'!H74+'If Skadeforsikring NUF'!H74+KLP!H74+'DNB Bedriftspensjon AS'!H74+'KLP Skadeforsikring AS'!H74+'Landkreditt Forsikring'!H74+Insr!H74+'Nordea Liv '!H74+'Oslo Pensjonsforsikring'!H74+'Protector Forsikring'!H74+'SHB Liv'!H74+'Sparebank 1'!H74+'Storebrand Livsforsikring'!H74+'Telenor Forsikring'!H74+'Tryg Forsikring'!H74+'WaterCircle F'!H74+'Codan Forsikring'!H74+'Euro Accident'!H74</f>
        <v>0</v>
      </c>
      <c r="I74" s="734">
        <f>'Fremtind Livsforsikring'!I74+'Danica Pensjonsforsikring'!I74+'DNB Livsforsikring'!I74+'Eika Forsikring AS'!I74+'Frende Livsforsikring'!I74+'Frende Skadeforsikring'!I74+'Gjensidige Forsikring'!I74+'Gjensidige Pensjon'!I74+'Handelsbanken Liv'!I74+'If Skadeforsikring NUF'!I74+KLP!I74+'DNB Bedriftspensjon AS'!I74+'KLP Skadeforsikring AS'!I74+'Landkreditt Forsikring'!I74+Insr!I74+'Nordea Liv '!I74+'Oslo Pensjonsforsikring'!I74+'Protector Forsikring'!I74+'SHB Liv'!I74+'Sparebank 1'!I74+'Storebrand Livsforsikring'!I74+'Telenor Forsikring'!I74+'Tryg Forsikring'!I74+'WaterCircle F'!I74+'Codan Forsikring'!I74+'Euro Accident'!I74</f>
        <v>0</v>
      </c>
      <c r="J74" s="22"/>
    </row>
    <row r="75" spans="1:10" s="3" customFormat="1" ht="15.75" customHeight="1" x14ac:dyDescent="0.25">
      <c r="A75" s="20" t="s">
        <v>349</v>
      </c>
      <c r="B75" s="43">
        <f>'Fremtind Livsforsikring'!B75+'Danica Pensjonsforsikring'!B75+'DNB Livsforsikring'!B75+'Eika Forsikring AS'!B75+'Frende Livsforsikring'!B75+'Frende Skadeforsikring'!B75+'Gjensidige Forsikring'!B75+'Gjensidige Pensjon'!B75+'Handelsbanken Liv'!B75+'If Skadeforsikring NUF'!B75+KLP!B75+'DNB Bedriftspensjon AS'!B75+'KLP Skadeforsikring AS'!B75+'Landkreditt Forsikring'!B75+Insr!B75+'Nordea Liv '!B75+'Oslo Pensjonsforsikring'!B75+'Protector Forsikring'!B75+'SHB Liv'!B75+'Sparebank 1'!B75+'Storebrand Livsforsikring'!B75+'Telenor Forsikring'!B75+'Tryg Forsikring'!B75+'WaterCircle F'!B75+'Codan Forsikring'!B75+'Euro Accident'!B75</f>
        <v>228334.05906</v>
      </c>
      <c r="C75" s="43">
        <f>'Fremtind Livsforsikring'!C75+'Danica Pensjonsforsikring'!C75+'DNB Livsforsikring'!C75+'Eika Forsikring AS'!C75+'Frende Livsforsikring'!C75+'Frende Skadeforsikring'!C75+'Gjensidige Forsikring'!C75+'Gjensidige Pensjon'!C75+'Handelsbanken Liv'!C75+'If Skadeforsikring NUF'!C75+KLP!C75+'DNB Bedriftspensjon AS'!C75+'KLP Skadeforsikring AS'!C75+'Landkreditt Forsikring'!C75+Insr!C75+'Nordea Liv '!C75+'Oslo Pensjonsforsikring'!C75+'Protector Forsikring'!C75+'SHB Liv'!C75+'Sparebank 1'!C75+'Storebrand Livsforsikring'!C75+'Telenor Forsikring'!C75+'Tryg Forsikring'!C75+'WaterCircle F'!C75+'Codan Forsikring'!C75+'Euro Accident'!C75</f>
        <v>275353.79006000003</v>
      </c>
      <c r="D75" s="22">
        <f t="shared" si="23"/>
        <v>20.6</v>
      </c>
      <c r="E75" s="43">
        <f>'Fremtind Livsforsikring'!F75+'Danica Pensjonsforsikring'!F75+'DNB Livsforsikring'!F75+'Eika Forsikring AS'!F75+'Frende Livsforsikring'!F75+'Frende Skadeforsikring'!F75+'Gjensidige Forsikring'!F75+'Gjensidige Pensjon'!F75+'Handelsbanken Liv'!F75+'If Skadeforsikring NUF'!F75+KLP!F75+'DNB Bedriftspensjon AS'!F75+'KLP Skadeforsikring AS'!F75+'Landkreditt Forsikring'!F75+Insr!F75+'Nordea Liv '!F75+'Oslo Pensjonsforsikring'!F75+'Protector Forsikring'!F75+'SHB Liv'!F75+'Sparebank 1'!F75+'Storebrand Livsforsikring'!F75+'Telenor Forsikring'!F75+'Tryg Forsikring'!F75+'WaterCircle F'!F75+'Codan Forsikring'!F75+'Euro Accident'!F75</f>
        <v>682485.36375999998</v>
      </c>
      <c r="F75" s="43">
        <f>'Fremtind Livsforsikring'!G75+'Danica Pensjonsforsikring'!G75+'DNB Livsforsikring'!G75+'Eika Forsikring AS'!G75+'Frende Livsforsikring'!G75+'Frende Skadeforsikring'!G75+'Gjensidige Forsikring'!G75+'Gjensidige Pensjon'!G75+'Handelsbanken Liv'!G75+'If Skadeforsikring NUF'!G75+KLP!G75+'DNB Bedriftspensjon AS'!G75+'KLP Skadeforsikring AS'!G75+'Landkreditt Forsikring'!G75+Insr!G75+'Nordea Liv '!G75+'Oslo Pensjonsforsikring'!G75+'Protector Forsikring'!G75+'SHB Liv'!G75+'Sparebank 1'!G75+'Storebrand Livsforsikring'!G75+'Telenor Forsikring'!G75+'Tryg Forsikring'!G75+'WaterCircle F'!G75+'Codan Forsikring'!G75+'Euro Accident'!G75</f>
        <v>739070.53264999995</v>
      </c>
      <c r="G75" s="239">
        <f t="shared" ref="G75" si="29">IF(E75=0, "    ---- ", IF(ABS(ROUND(100/E75*F75-100,1))&lt;999,ROUND(100/E75*F75-100,1),IF(ROUND(100/E75*F75-100,1)&gt;999,999,-999)))</f>
        <v>8.3000000000000007</v>
      </c>
      <c r="H75" s="235">
        <f t="shared" si="25"/>
        <v>910819.42281999998</v>
      </c>
      <c r="I75" s="235">
        <f t="shared" si="26"/>
        <v>1014424.32271</v>
      </c>
      <c r="J75" s="22">
        <f t="shared" si="27"/>
        <v>11.4</v>
      </c>
    </row>
    <row r="76" spans="1:10" s="3" customFormat="1" ht="15.75" customHeight="1" x14ac:dyDescent="0.2">
      <c r="A76" s="20" t="s">
        <v>348</v>
      </c>
      <c r="B76" s="43">
        <f>'Fremtind Livsforsikring'!B76+'Danica Pensjonsforsikring'!B76+'DNB Livsforsikring'!B76+'Eika Forsikring AS'!B76+'Frende Livsforsikring'!B76+'Frende Skadeforsikring'!B76+'Gjensidige Forsikring'!B76+'Gjensidige Pensjon'!B76+'Handelsbanken Liv'!B76+'If Skadeforsikring NUF'!B76+KLP!B76+'DNB Bedriftspensjon AS'!B76+'KLP Skadeforsikring AS'!B76+'Landkreditt Forsikring'!B76+Insr!B76+'Nordea Liv '!B76+'Oslo Pensjonsforsikring'!B76+'Protector Forsikring'!B76+'SHB Liv'!B76+'Sparebank 1'!B76+'Storebrand Livsforsikring'!B76+'Telenor Forsikring'!B76+'Tryg Forsikring'!B76+'WaterCircle F'!B76+'Codan Forsikring'!B76+'Euro Accident'!B76</f>
        <v>902687.03758514964</v>
      </c>
      <c r="C76" s="43">
        <f>'Fremtind Livsforsikring'!C76+'Danica Pensjonsforsikring'!C76+'DNB Livsforsikring'!C76+'Eika Forsikring AS'!C76+'Frende Livsforsikring'!C76+'Frende Skadeforsikring'!C76+'Gjensidige Forsikring'!C76+'Gjensidige Pensjon'!C76+'Handelsbanken Liv'!C76+'If Skadeforsikring NUF'!C76+KLP!C76+'DNB Bedriftspensjon AS'!C76+'KLP Skadeforsikring AS'!C76+'Landkreditt Forsikring'!C76+Insr!C76+'Nordea Liv '!C76+'Oslo Pensjonsforsikring'!C76+'Protector Forsikring'!C76+'SHB Liv'!C76+'Sparebank 1'!C76+'Storebrand Livsforsikring'!C76+'Telenor Forsikring'!C76+'Tryg Forsikring'!C76+'WaterCircle F'!C76+'Codan Forsikring'!C76+'Euro Accident'!C76</f>
        <v>962561.63780798507</v>
      </c>
      <c r="D76" s="22">
        <f t="shared" ref="D76" si="30">IF(B76=0, "    ---- ", IF(ABS(ROUND(100/B76*C76-100,1))&lt;999,ROUND(100/B76*C76-100,1),IF(ROUND(100/B76*C76-100,1)&gt;999,999,-999)))</f>
        <v>6.6</v>
      </c>
      <c r="E76" s="43">
        <f>'Fremtind Livsforsikring'!F76+'Danica Pensjonsforsikring'!F76+'DNB Livsforsikring'!F76+'Eika Forsikring AS'!F76+'Frende Livsforsikring'!F76+'Frende Skadeforsikring'!F76+'Gjensidige Forsikring'!F76+'Gjensidige Pensjon'!F76+'Handelsbanken Liv'!F76+'If Skadeforsikring NUF'!F76+KLP!F76+'DNB Bedriftspensjon AS'!F76+'KLP Skadeforsikring AS'!F76+'Landkreditt Forsikring'!F76+Insr!F76+'Nordea Liv '!F76+'Oslo Pensjonsforsikring'!F76+'Protector Forsikring'!F76+'SHB Liv'!F76+'Sparebank 1'!F76+'Storebrand Livsforsikring'!F76+'Telenor Forsikring'!F76+'Tryg Forsikring'!F76+'WaterCircle F'!F76+'Codan Forsikring'!F76+'Euro Accident'!F76</f>
        <v>0</v>
      </c>
      <c r="F76" s="43">
        <f>'Fremtind Livsforsikring'!G76+'Danica Pensjonsforsikring'!G76+'DNB Livsforsikring'!G76+'Eika Forsikring AS'!G76+'Frende Livsforsikring'!G76+'Frende Skadeforsikring'!G76+'Gjensidige Forsikring'!G76+'Gjensidige Pensjon'!G76+'Handelsbanken Liv'!G76+'If Skadeforsikring NUF'!G76+KLP!G76+'DNB Bedriftspensjon AS'!G76+'KLP Skadeforsikring AS'!G76+'Landkreditt Forsikring'!G76+Insr!G76+'Nordea Liv '!G76+'Oslo Pensjonsforsikring'!G76+'Protector Forsikring'!G76+'SHB Liv'!G76+'Sparebank 1'!G76+'Storebrand Livsforsikring'!G76+'Telenor Forsikring'!G76+'Tryg Forsikring'!G76+'WaterCircle F'!G76+'Codan Forsikring'!G76+'Euro Accident'!G76</f>
        <v>0</v>
      </c>
      <c r="G76" s="165"/>
      <c r="H76" s="235">
        <f t="shared" ref="H76" si="31">SUM(B76,E76)</f>
        <v>902687.03758514964</v>
      </c>
      <c r="I76" s="235">
        <f t="shared" ref="I76" si="32">SUM(C76,F76)</f>
        <v>962561.63780798507</v>
      </c>
      <c r="J76" s="22">
        <f t="shared" ref="J76" si="33">IF(H76=0, "    ---- ", IF(ABS(ROUND(100/H76*I76-100,1))&lt;999,ROUND(100/H76*I76-100,1),IF(ROUND(100/H76*I76-100,1)&gt;999,999,-999)))</f>
        <v>6.6</v>
      </c>
    </row>
    <row r="77" spans="1:10" ht="15.75" customHeight="1" x14ac:dyDescent="0.25">
      <c r="A77" s="20" t="s">
        <v>381</v>
      </c>
      <c r="B77" s="43">
        <f>'Fremtind Livsforsikring'!B77+'Danica Pensjonsforsikring'!B77+'DNB Livsforsikring'!B77+'Eika Forsikring AS'!B77+'Frende Livsforsikring'!B77+'Frende Skadeforsikring'!B77+'Gjensidige Forsikring'!B77+'Gjensidige Pensjon'!B77+'Handelsbanken Liv'!B77+'If Skadeforsikring NUF'!B77+KLP!B77+'DNB Bedriftspensjon AS'!B77+'KLP Skadeforsikring AS'!B77+'Landkreditt Forsikring'!B77+Insr!B77+'Nordea Liv '!B77+'Oslo Pensjonsforsikring'!B77+'Protector Forsikring'!B77+'SHB Liv'!B77+'Sparebank 1'!B77+'Storebrand Livsforsikring'!B77+'Telenor Forsikring'!B77+'Tryg Forsikring'!B77+'WaterCircle F'!B77+'Codan Forsikring'!B77+'Euro Accident'!B77</f>
        <v>3436016.3956148503</v>
      </c>
      <c r="C77" s="232">
        <f>'Fremtind Livsforsikring'!C77+'Danica Pensjonsforsikring'!C77+'DNB Livsforsikring'!C77+'Eika Forsikring AS'!C77+'Frende Livsforsikring'!C77+'Frende Skadeforsikring'!C77+'Gjensidige Forsikring'!C77+'Gjensidige Pensjon'!C77+'Handelsbanken Liv'!C77+'If Skadeforsikring NUF'!C77+KLP!C77+'DNB Bedriftspensjon AS'!C77+'KLP Skadeforsikring AS'!C77+'Landkreditt Forsikring'!C77+Insr!C77+'Nordea Liv '!C77+'Oslo Pensjonsforsikring'!C77+'Protector Forsikring'!C77+'SHB Liv'!C77+'Sparebank 1'!C77+'Storebrand Livsforsikring'!C77+'Telenor Forsikring'!C77+'Tryg Forsikring'!C77+'WaterCircle F'!C77+'Codan Forsikring'!C77+'Euro Accident'!C77</f>
        <v>3356915.9514820147</v>
      </c>
      <c r="D77" s="22">
        <f t="shared" si="23"/>
        <v>-2.2999999999999998</v>
      </c>
      <c r="E77" s="43">
        <f>'Fremtind Livsforsikring'!F77+'Danica Pensjonsforsikring'!F77+'DNB Livsforsikring'!F77+'Eika Forsikring AS'!F77+'Frende Livsforsikring'!F77+'Frende Skadeforsikring'!F77+'Gjensidige Forsikring'!F77+'Gjensidige Pensjon'!F77+'Handelsbanken Liv'!F77+'If Skadeforsikring NUF'!F77+KLP!F77+'DNB Bedriftspensjon AS'!F77+'KLP Skadeforsikring AS'!F77+'Landkreditt Forsikring'!F77+Insr!F77+'Nordea Liv '!F77+'Oslo Pensjonsforsikring'!F77+'Protector Forsikring'!F77+'SHB Liv'!F77+'Sparebank 1'!F77+'Storebrand Livsforsikring'!F77+'Telenor Forsikring'!F77+'Tryg Forsikring'!F77+'WaterCircle F'!F77+'Codan Forsikring'!F77+'Euro Accident'!F77</f>
        <v>16644732.400060002</v>
      </c>
      <c r="F77" s="43">
        <f>'Fremtind Livsforsikring'!G77+'Danica Pensjonsforsikring'!G77+'DNB Livsforsikring'!G77+'Eika Forsikring AS'!G77+'Frende Livsforsikring'!G77+'Frende Skadeforsikring'!G77+'Gjensidige Forsikring'!G77+'Gjensidige Pensjon'!G77+'Handelsbanken Liv'!G77+'If Skadeforsikring NUF'!G77+KLP!G77+'DNB Bedriftspensjon AS'!G77+'KLP Skadeforsikring AS'!G77+'Landkreditt Forsikring'!G77+Insr!G77+'Nordea Liv '!G77+'Oslo Pensjonsforsikring'!G77+'Protector Forsikring'!G77+'SHB Liv'!G77+'Sparebank 1'!G77+'Storebrand Livsforsikring'!G77+'Telenor Forsikring'!G77+'Tryg Forsikring'!G77+'WaterCircle F'!G77+'Codan Forsikring'!G77+'Euro Accident'!G77</f>
        <v>17871016.28664</v>
      </c>
      <c r="G77" s="239">
        <f t="shared" ref="G77" si="34">IF(E77=0, "    ---- ", IF(ABS(ROUND(100/E77*F77-100,1))&lt;999,ROUND(100/E77*F77-100,1),IF(ROUND(100/E77*F77-100,1)&gt;999,999,-999)))</f>
        <v>7.4</v>
      </c>
      <c r="H77" s="235">
        <f t="shared" si="25"/>
        <v>20080748.795674853</v>
      </c>
      <c r="I77" s="235">
        <f t="shared" si="26"/>
        <v>21227932.238122016</v>
      </c>
      <c r="J77" s="22">
        <f t="shared" si="27"/>
        <v>5.7</v>
      </c>
    </row>
    <row r="78" spans="1:10" ht="15.75" customHeight="1" x14ac:dyDescent="0.2">
      <c r="A78" s="20" t="s">
        <v>9</v>
      </c>
      <c r="B78" s="43">
        <f>'Fremtind Livsforsikring'!B78+'Danica Pensjonsforsikring'!B78+'DNB Livsforsikring'!B78+'Eika Forsikring AS'!B78+'Frende Livsforsikring'!B78+'Frende Skadeforsikring'!B78+'Gjensidige Forsikring'!B78+'Gjensidige Pensjon'!B78+'Handelsbanken Liv'!B78+'If Skadeforsikring NUF'!B78+KLP!B78+'DNB Bedriftspensjon AS'!B78+'KLP Skadeforsikring AS'!B78+'Landkreditt Forsikring'!B78+Insr!B78+'Nordea Liv '!B78+'Oslo Pensjonsforsikring'!B78+'Protector Forsikring'!B78+'SHB Liv'!B78+'Sparebank 1'!B78+'Storebrand Livsforsikring'!B78+'Telenor Forsikring'!B78+'Tryg Forsikring'!B78+'WaterCircle F'!B78+'Codan Forsikring'!B78+'Euro Accident'!B78</f>
        <v>3331817.9943748498</v>
      </c>
      <c r="C78" s="232">
        <f>'Fremtind Livsforsikring'!C78+'Danica Pensjonsforsikring'!C78+'DNB Livsforsikring'!C78+'Eika Forsikring AS'!C78+'Frende Livsforsikring'!C78+'Frende Skadeforsikring'!C78+'Gjensidige Forsikring'!C78+'Gjensidige Pensjon'!C78+'Handelsbanken Liv'!C78+'If Skadeforsikring NUF'!C78+KLP!C78+'DNB Bedriftspensjon AS'!C78+'KLP Skadeforsikring AS'!C78+'Landkreditt Forsikring'!C78+Insr!C78+'Nordea Liv '!C78+'Oslo Pensjonsforsikring'!C78+'Protector Forsikring'!C78+'SHB Liv'!C78+'Sparebank 1'!C78+'Storebrand Livsforsikring'!C78+'Telenor Forsikring'!C78+'Tryg Forsikring'!C78+'WaterCircle F'!C78+'Codan Forsikring'!C78+'Euro Accident'!C78</f>
        <v>3333641.4073520144</v>
      </c>
      <c r="D78" s="22">
        <f t="shared" si="23"/>
        <v>0.1</v>
      </c>
      <c r="E78" s="43">
        <f>'Fremtind Livsforsikring'!F78+'Danica Pensjonsforsikring'!F78+'DNB Livsforsikring'!F78+'Eika Forsikring AS'!F78+'Frende Livsforsikring'!F78+'Frende Skadeforsikring'!F78+'Gjensidige Forsikring'!F78+'Gjensidige Pensjon'!F78+'Handelsbanken Liv'!F78+'If Skadeforsikring NUF'!F78+KLP!F78+'DNB Bedriftspensjon AS'!F78+'KLP Skadeforsikring AS'!F78+'Landkreditt Forsikring'!F78+Insr!F78+'Nordea Liv '!F78+'Oslo Pensjonsforsikring'!F78+'Protector Forsikring'!F78+'SHB Liv'!F78+'Sparebank 1'!F78+'Storebrand Livsforsikring'!F78+'Telenor Forsikring'!F78+'Tryg Forsikring'!F78+'WaterCircle F'!F78+'Codan Forsikring'!F78+'Euro Accident'!F78</f>
        <v>0</v>
      </c>
      <c r="F78" s="43">
        <f>'Fremtind Livsforsikring'!G78+'Danica Pensjonsforsikring'!G78+'DNB Livsforsikring'!G78+'Eika Forsikring AS'!G78+'Frende Livsforsikring'!G78+'Frende Skadeforsikring'!G78+'Gjensidige Forsikring'!G78+'Gjensidige Pensjon'!G78+'Handelsbanken Liv'!G78+'If Skadeforsikring NUF'!G78+KLP!G78+'DNB Bedriftspensjon AS'!G78+'KLP Skadeforsikring AS'!G78+'Landkreditt Forsikring'!G78+Insr!G78+'Nordea Liv '!G78+'Oslo Pensjonsforsikring'!G78+'Protector Forsikring'!G78+'SHB Liv'!G78+'Sparebank 1'!G78+'Storebrand Livsforsikring'!G78+'Telenor Forsikring'!G78+'Tryg Forsikring'!G78+'WaterCircle F'!G78+'Codan Forsikring'!G78+'Euro Accident'!G78</f>
        <v>0</v>
      </c>
      <c r="G78" s="165"/>
      <c r="H78" s="235">
        <f t="shared" si="25"/>
        <v>3331817.9943748498</v>
      </c>
      <c r="I78" s="235">
        <f t="shared" si="26"/>
        <v>3333641.4073520144</v>
      </c>
      <c r="J78" s="22">
        <f t="shared" si="27"/>
        <v>0.1</v>
      </c>
    </row>
    <row r="79" spans="1:10" ht="15.75" customHeight="1" x14ac:dyDescent="0.25">
      <c r="A79" s="729" t="s">
        <v>423</v>
      </c>
      <c r="B79" s="43">
        <f>'Fremtind Livsforsikring'!B79+'Danica Pensjonsforsikring'!B79+'DNB Livsforsikring'!B79+'Eika Forsikring AS'!B79+'Frende Livsforsikring'!B79+'Frende Skadeforsikring'!B79+'Gjensidige Forsikring'!B79+'Gjensidige Pensjon'!B79+'Handelsbanken Liv'!B79+'If Skadeforsikring NUF'!B79+KLP!B79+'DNB Bedriftspensjon AS'!B79+'KLP Skadeforsikring AS'!B79+'Landkreditt Forsikring'!B79+Insr!B79+'Nordea Liv '!B79+'Oslo Pensjonsforsikring'!B79+'Protector Forsikring'!B79+'SHB Liv'!B79+'Sparebank 1'!B79+'Storebrand Livsforsikring'!B79+'Telenor Forsikring'!B79+'Tryg Forsikring'!B79+'WaterCircle F'!B79+'Codan Forsikring'!B79+'Euro Accident'!B79</f>
        <v>104198.40124000001</v>
      </c>
      <c r="C79" s="144">
        <f>'Fremtind Livsforsikring'!C79+'Danica Pensjonsforsikring'!C79+'DNB Livsforsikring'!C79+'Eika Forsikring AS'!C79+'Frende Livsforsikring'!C79+'Frende Skadeforsikring'!C79+'Gjensidige Forsikring'!C79+'Gjensidige Pensjon'!C79+'Handelsbanken Liv'!C79+'If Skadeforsikring NUF'!C79+KLP!C79+'DNB Bedriftspensjon AS'!C79+'KLP Skadeforsikring AS'!C79+'Landkreditt Forsikring'!C79+Insr!C79+'Nordea Liv '!C79+'Oslo Pensjonsforsikring'!C79+'Protector Forsikring'!C79+'SHB Liv'!C79+'Sparebank 1'!C79+'Storebrand Livsforsikring'!C79+'Telenor Forsikring'!C79+'Tryg Forsikring'!C79+'WaterCircle F'!C79+'Codan Forsikring'!C79+'Euro Accident'!C79</f>
        <v>23274.544129999998</v>
      </c>
      <c r="D79" s="22">
        <f t="shared" si="23"/>
        <v>-77.7</v>
      </c>
      <c r="E79" s="43">
        <f>'Fremtind Livsforsikring'!F79+'Danica Pensjonsforsikring'!F79+'DNB Livsforsikring'!F79+'Eika Forsikring AS'!F79+'Frende Livsforsikring'!F79+'Frende Skadeforsikring'!F79+'Gjensidige Forsikring'!F79+'Gjensidige Pensjon'!F79+'Handelsbanken Liv'!F79+'If Skadeforsikring NUF'!F79+KLP!F79+'DNB Bedriftspensjon AS'!F79+'KLP Skadeforsikring AS'!F79+'Landkreditt Forsikring'!F79+Insr!F79+'Nordea Liv '!F79+'Oslo Pensjonsforsikring'!F79+'Protector Forsikring'!F79+'SHB Liv'!F79+'Sparebank 1'!F79+'Storebrand Livsforsikring'!F79+'Telenor Forsikring'!F79+'Tryg Forsikring'!F79+'WaterCircle F'!F79+'Codan Forsikring'!F79+'Euro Accident'!F79</f>
        <v>16644732.400060002</v>
      </c>
      <c r="F79" s="43">
        <f>'Fremtind Livsforsikring'!G79+'Danica Pensjonsforsikring'!G79+'DNB Livsforsikring'!G79+'Eika Forsikring AS'!G79+'Frende Livsforsikring'!G79+'Frende Skadeforsikring'!G79+'Gjensidige Forsikring'!G79+'Gjensidige Pensjon'!G79+'Handelsbanken Liv'!G79+'If Skadeforsikring NUF'!G79+KLP!G79+'DNB Bedriftspensjon AS'!G79+'KLP Skadeforsikring AS'!G79+'Landkreditt Forsikring'!G79+Insr!G79+'Nordea Liv '!G79+'Oslo Pensjonsforsikring'!G79+'Protector Forsikring'!G79+'SHB Liv'!G79+'Sparebank 1'!G79+'Storebrand Livsforsikring'!G79+'Telenor Forsikring'!G79+'Tryg Forsikring'!G79+'WaterCircle F'!G79+'Codan Forsikring'!G79+'Euro Accident'!G79</f>
        <v>17871016.28664</v>
      </c>
      <c r="G79" s="239">
        <f t="shared" ref="G79" si="35">IF(E79=0, "    ---- ", IF(ABS(ROUND(100/E79*F79-100,1))&lt;999,ROUND(100/E79*F79-100,1),IF(ROUND(100/E79*F79-100,1)&gt;999,999,-999)))</f>
        <v>7.4</v>
      </c>
      <c r="H79" s="235">
        <f t="shared" si="25"/>
        <v>16748930.801300002</v>
      </c>
      <c r="I79" s="235">
        <f t="shared" si="26"/>
        <v>17894290.830770001</v>
      </c>
      <c r="J79" s="22">
        <f t="shared" si="27"/>
        <v>6.8</v>
      </c>
    </row>
    <row r="80" spans="1:10" ht="15.75" customHeight="1" x14ac:dyDescent="0.2">
      <c r="A80" s="294" t="s">
        <v>379</v>
      </c>
      <c r="B80" s="734">
        <f>'Fremtind Livsforsikring'!B80+'Danica Pensjonsforsikring'!B80+'DNB Livsforsikring'!B80+'Eika Forsikring AS'!B80+'Frende Livsforsikring'!B80+'Frende Skadeforsikring'!B80+'Gjensidige Forsikring'!B80+'Gjensidige Pensjon'!B80+'Handelsbanken Liv'!B80+'If Skadeforsikring NUF'!B80+KLP!B80+'DNB Bedriftspensjon AS'!B80+'KLP Skadeforsikring AS'!B80+'Landkreditt Forsikring'!B80+Insr!B80+'Nordea Liv '!B80+'Oslo Pensjonsforsikring'!B80+'Protector Forsikring'!B80+'SHB Liv'!B80+'Sparebank 1'!B80+'Storebrand Livsforsikring'!B80+'Telenor Forsikring'!B80+'Tryg Forsikring'!B80+'WaterCircle F'!B80+'Codan Forsikring'!B80+'Euro Accident'!B80</f>
        <v>0</v>
      </c>
      <c r="C80" s="734">
        <f>'Fremtind Livsforsikring'!C80+'Danica Pensjonsforsikring'!C80+'DNB Livsforsikring'!C80+'Eika Forsikring AS'!C80+'Frende Livsforsikring'!C80+'Frende Skadeforsikring'!C80+'Gjensidige Forsikring'!C80+'Gjensidige Pensjon'!C80+'Handelsbanken Liv'!C80+'If Skadeforsikring NUF'!C80+KLP!C80+'DNB Bedriftspensjon AS'!C80+'KLP Skadeforsikring AS'!C80+'Landkreditt Forsikring'!C80+Insr!C80+'Nordea Liv '!C80+'Oslo Pensjonsforsikring'!C80+'Protector Forsikring'!C80+'SHB Liv'!C80+'Sparebank 1'!C80+'Storebrand Livsforsikring'!C80+'Telenor Forsikring'!C80+'Tryg Forsikring'!C80+'WaterCircle F'!C80+'Codan Forsikring'!C80+'Euro Accident'!C80</f>
        <v>0</v>
      </c>
      <c r="D80" s="26"/>
      <c r="E80" s="734">
        <f>'Fremtind Livsforsikring'!E80+'Danica Pensjonsforsikring'!E80+'DNB Livsforsikring'!E80+'Eika Forsikring AS'!E80+'Frende Livsforsikring'!E80+'Frende Skadeforsikring'!E80+'Gjensidige Forsikring'!E80+'Gjensidige Pensjon'!E80+'Handelsbanken Liv'!E80+'If Skadeforsikring NUF'!E80+KLP!E80+'DNB Bedriftspensjon AS'!E80+'KLP Skadeforsikring AS'!E80+'Landkreditt Forsikring'!E80+Insr!E80+'Nordea Liv '!E80+'Oslo Pensjonsforsikring'!E80+'Protector Forsikring'!E80+'SHB Liv'!E80+'Sparebank 1'!E80+'Storebrand Livsforsikring'!E80+'Telenor Forsikring'!E80+'Tryg Forsikring'!E80+'WaterCircle F'!E80+'Codan Forsikring'!E80+'Euro Accident'!E80</f>
        <v>0</v>
      </c>
      <c r="F80" s="734">
        <f>'Fremtind Livsforsikring'!F80+'Danica Pensjonsforsikring'!F80+'DNB Livsforsikring'!F80+'Eika Forsikring AS'!F80+'Frende Livsforsikring'!F80+'Frende Skadeforsikring'!F80+'Gjensidige Forsikring'!F80+'Gjensidige Pensjon'!F80+'Handelsbanken Liv'!F80+'If Skadeforsikring NUF'!F80+KLP!F80+'DNB Bedriftspensjon AS'!F80+'KLP Skadeforsikring AS'!F80+'Landkreditt Forsikring'!F80+Insr!F80+'Nordea Liv '!F80+'Oslo Pensjonsforsikring'!F80+'Protector Forsikring'!F80+'SHB Liv'!F80+'Sparebank 1'!F80+'Storebrand Livsforsikring'!F80+'Telenor Forsikring'!F80+'Tryg Forsikring'!F80+'WaterCircle F'!F80+'Codan Forsikring'!F80+'Euro Accident'!F80</f>
        <v>0</v>
      </c>
      <c r="G80" s="165"/>
      <c r="H80" s="734">
        <f>'Fremtind Livsforsikring'!H80+'Danica Pensjonsforsikring'!H80+'DNB Livsforsikring'!H80+'Eika Forsikring AS'!H80+'Frende Livsforsikring'!H80+'Frende Skadeforsikring'!H80+'Gjensidige Forsikring'!H80+'Gjensidige Pensjon'!H80+'Handelsbanken Liv'!H80+'If Skadeforsikring NUF'!H80+KLP!H80+'DNB Bedriftspensjon AS'!H80+'KLP Skadeforsikring AS'!H80+'Landkreditt Forsikring'!H80+Insr!H80+'Nordea Liv '!H80+'Oslo Pensjonsforsikring'!H80+'Protector Forsikring'!H80+'SHB Liv'!H80+'Sparebank 1'!H80+'Storebrand Livsforsikring'!H80+'Telenor Forsikring'!H80+'Tryg Forsikring'!H80+'WaterCircle F'!H80+'Codan Forsikring'!H80+'Euro Accident'!H80</f>
        <v>0</v>
      </c>
      <c r="I80" s="734">
        <f>'Fremtind Livsforsikring'!I80+'Danica Pensjonsforsikring'!I80+'DNB Livsforsikring'!I80+'Eika Forsikring AS'!I80+'Frende Livsforsikring'!I80+'Frende Skadeforsikring'!I80+'Gjensidige Forsikring'!I80+'Gjensidige Pensjon'!I80+'Handelsbanken Liv'!I80+'If Skadeforsikring NUF'!I80+KLP!I80+'DNB Bedriftspensjon AS'!I80+'KLP Skadeforsikring AS'!I80+'Landkreditt Forsikring'!I80+Insr!I80+'Nordea Liv '!I80+'Oslo Pensjonsforsikring'!I80+'Protector Forsikring'!I80+'SHB Liv'!I80+'Sparebank 1'!I80+'Storebrand Livsforsikring'!I80+'Telenor Forsikring'!I80+'Tryg Forsikring'!I80+'WaterCircle F'!I80+'Codan Forsikring'!I80+'Euro Accident'!I80</f>
        <v>0</v>
      </c>
      <c r="J80" s="22"/>
    </row>
    <row r="81" spans="1:12" ht="15.75" customHeight="1" x14ac:dyDescent="0.2">
      <c r="A81" s="294" t="s">
        <v>12</v>
      </c>
      <c r="B81" s="233">
        <f>'Fremtind Livsforsikring'!B81+'Danica Pensjonsforsikring'!B81+'DNB Livsforsikring'!B81+'Eika Forsikring AS'!B81+'Frende Livsforsikring'!B81+'Frende Skadeforsikring'!B81+'Gjensidige Forsikring'!B81+'Gjensidige Pensjon'!B81+'Handelsbanken Liv'!B81+'If Skadeforsikring NUF'!B81+KLP!B81+'DNB Bedriftspensjon AS'!B81+'KLP Skadeforsikring AS'!B81+'Landkreditt Forsikring'!B81+Insr!B81+'Nordea Liv '!B81+'Oslo Pensjonsforsikring'!B81+'Protector Forsikring'!B81+'SHB Liv'!B81+'Sparebank 1'!B81+'Storebrand Livsforsikring'!B81+'Telenor Forsikring'!B81+'Tryg Forsikring'!B81+'WaterCircle F'!B81+'Codan Forsikring'!B81+'Euro Accident'!B81</f>
        <v>0</v>
      </c>
      <c r="C81" s="233">
        <f>'Fremtind Livsforsikring'!C81+'Danica Pensjonsforsikring'!C81+'DNB Livsforsikring'!C81+'Eika Forsikring AS'!C81+'Frende Livsforsikring'!C81+'Frende Skadeforsikring'!C81+'Gjensidige Forsikring'!C81+'Gjensidige Pensjon'!C81+'Handelsbanken Liv'!C81+'If Skadeforsikring NUF'!C81+KLP!C81+'DNB Bedriftspensjon AS'!C81+'KLP Skadeforsikring AS'!C81+'Landkreditt Forsikring'!C81+Insr!C81+'Nordea Liv '!C81+'Oslo Pensjonsforsikring'!C81+'Protector Forsikring'!C81+'SHB Liv'!C81+'Sparebank 1'!C81+'Storebrand Livsforsikring'!C81+'Telenor Forsikring'!C81+'Tryg Forsikring'!C81+'WaterCircle F'!C81+'Codan Forsikring'!C81+'Euro Accident'!C81</f>
        <v>0</v>
      </c>
      <c r="D81" s="26"/>
      <c r="E81" s="734">
        <f>'Fremtind Livsforsikring'!E81+'Danica Pensjonsforsikring'!E81+'DNB Livsforsikring'!E81+'Eika Forsikring AS'!E81+'Frende Livsforsikring'!E81+'Frende Skadeforsikring'!E81+'Gjensidige Forsikring'!E81+'Gjensidige Pensjon'!E81+'Handelsbanken Liv'!E81+'If Skadeforsikring NUF'!E81+KLP!E81+'DNB Bedriftspensjon AS'!E81+'KLP Skadeforsikring AS'!E81+'Landkreditt Forsikring'!E81+Insr!E81+'Nordea Liv '!E81+'Oslo Pensjonsforsikring'!E81+'Protector Forsikring'!E81+'SHB Liv'!E81+'Sparebank 1'!E81+'Storebrand Livsforsikring'!E81+'Telenor Forsikring'!E81+'Tryg Forsikring'!E81+'WaterCircle F'!E81+'Codan Forsikring'!E81+'Euro Accident'!E81</f>
        <v>0</v>
      </c>
      <c r="F81" s="734">
        <f>'Fremtind Livsforsikring'!F81+'Danica Pensjonsforsikring'!F81+'DNB Livsforsikring'!F81+'Eika Forsikring AS'!F81+'Frende Livsforsikring'!F81+'Frende Skadeforsikring'!F81+'Gjensidige Forsikring'!F81+'Gjensidige Pensjon'!F81+'Handelsbanken Liv'!F81+'If Skadeforsikring NUF'!F81+KLP!F81+'DNB Bedriftspensjon AS'!F81+'KLP Skadeforsikring AS'!F81+'Landkreditt Forsikring'!F81+Insr!F81+'Nordea Liv '!F81+'Oslo Pensjonsforsikring'!F81+'Protector Forsikring'!F81+'SHB Liv'!F81+'Sparebank 1'!F81+'Storebrand Livsforsikring'!F81+'Telenor Forsikring'!F81+'Tryg Forsikring'!F81+'WaterCircle F'!F81+'Codan Forsikring'!F81+'Euro Accident'!F81</f>
        <v>0</v>
      </c>
      <c r="G81" s="165"/>
      <c r="H81" s="734">
        <f>'Fremtind Livsforsikring'!H81+'Danica Pensjonsforsikring'!H81+'DNB Livsforsikring'!H81+'Eika Forsikring AS'!H81+'Frende Livsforsikring'!H81+'Frende Skadeforsikring'!H81+'Gjensidige Forsikring'!H81+'Gjensidige Pensjon'!H81+'Handelsbanken Liv'!H81+'If Skadeforsikring NUF'!H81+KLP!H81+'DNB Bedriftspensjon AS'!H81+'KLP Skadeforsikring AS'!H81+'Landkreditt Forsikring'!H81+Insr!H81+'Nordea Liv '!H81+'Oslo Pensjonsforsikring'!H81+'Protector Forsikring'!H81+'SHB Liv'!H81+'Sparebank 1'!H81+'Storebrand Livsforsikring'!H81+'Telenor Forsikring'!H81+'Tryg Forsikring'!H81+'WaterCircle F'!H81+'Codan Forsikring'!H81+'Euro Accident'!H81</f>
        <v>0</v>
      </c>
      <c r="I81" s="734">
        <f>'Fremtind Livsforsikring'!I81+'Danica Pensjonsforsikring'!I81+'DNB Livsforsikring'!I81+'Eika Forsikring AS'!I81+'Frende Livsforsikring'!I81+'Frende Skadeforsikring'!I81+'Gjensidige Forsikring'!I81+'Gjensidige Pensjon'!I81+'Handelsbanken Liv'!I81+'If Skadeforsikring NUF'!I81+KLP!I81+'DNB Bedriftspensjon AS'!I81+'KLP Skadeforsikring AS'!I81+'Landkreditt Forsikring'!I81+Insr!I81+'Nordea Liv '!I81+'Oslo Pensjonsforsikring'!I81+'Protector Forsikring'!I81+'SHB Liv'!I81+'Sparebank 1'!I81+'Storebrand Livsforsikring'!I81+'Telenor Forsikring'!I81+'Tryg Forsikring'!I81+'WaterCircle F'!I81+'Codan Forsikring'!I81+'Euro Accident'!I81</f>
        <v>0</v>
      </c>
      <c r="J81" s="22"/>
    </row>
    <row r="82" spans="1:12" ht="15.75" customHeight="1" x14ac:dyDescent="0.2">
      <c r="A82" s="294" t="s">
        <v>13</v>
      </c>
      <c r="B82" s="233">
        <f>'Fremtind Livsforsikring'!B82+'Danica Pensjonsforsikring'!B82+'DNB Livsforsikring'!B82+'Eika Forsikring AS'!B82+'Frende Livsforsikring'!B82+'Frende Skadeforsikring'!B82+'Gjensidige Forsikring'!B82+'Gjensidige Pensjon'!B82+'Handelsbanken Liv'!B82+'If Skadeforsikring NUF'!B82+KLP!B82+'DNB Bedriftspensjon AS'!B82+'KLP Skadeforsikring AS'!B82+'Landkreditt Forsikring'!B82+Insr!B82+'Nordea Liv '!B82+'Oslo Pensjonsforsikring'!B82+'Protector Forsikring'!B82+'SHB Liv'!B82+'Sparebank 1'!B82+'Storebrand Livsforsikring'!B82+'Telenor Forsikring'!B82+'Tryg Forsikring'!B82+'WaterCircle F'!B82+'Codan Forsikring'!B82+'Euro Accident'!B82</f>
        <v>0</v>
      </c>
      <c r="C82" s="233">
        <f>'Fremtind Livsforsikring'!C82+'Danica Pensjonsforsikring'!C82+'DNB Livsforsikring'!C82+'Eika Forsikring AS'!C82+'Frende Livsforsikring'!C82+'Frende Skadeforsikring'!C82+'Gjensidige Forsikring'!C82+'Gjensidige Pensjon'!C82+'Handelsbanken Liv'!C82+'If Skadeforsikring NUF'!C82+KLP!C82+'DNB Bedriftspensjon AS'!C82+'KLP Skadeforsikring AS'!C82+'Landkreditt Forsikring'!C82+Insr!C82+'Nordea Liv '!C82+'Oslo Pensjonsforsikring'!C82+'Protector Forsikring'!C82+'SHB Liv'!C82+'Sparebank 1'!C82+'Storebrand Livsforsikring'!C82+'Telenor Forsikring'!C82+'Tryg Forsikring'!C82+'WaterCircle F'!C82+'Codan Forsikring'!C82+'Euro Accident'!C82</f>
        <v>0</v>
      </c>
      <c r="D82" s="26"/>
      <c r="E82" s="734">
        <f>'Fremtind Livsforsikring'!E82+'Danica Pensjonsforsikring'!E82+'DNB Livsforsikring'!E82+'Eika Forsikring AS'!E82+'Frende Livsforsikring'!E82+'Frende Skadeforsikring'!E82+'Gjensidige Forsikring'!E82+'Gjensidige Pensjon'!E82+'Handelsbanken Liv'!E82+'If Skadeforsikring NUF'!E82+KLP!E82+'DNB Bedriftspensjon AS'!E82+'KLP Skadeforsikring AS'!E82+'Landkreditt Forsikring'!E82+Insr!E82+'Nordea Liv '!E82+'Oslo Pensjonsforsikring'!E82+'Protector Forsikring'!E82+'SHB Liv'!E82+'Sparebank 1'!E82+'Storebrand Livsforsikring'!E82+'Telenor Forsikring'!E82+'Tryg Forsikring'!E82+'WaterCircle F'!E82+'Codan Forsikring'!E82+'Euro Accident'!E82</f>
        <v>0</v>
      </c>
      <c r="F82" s="734">
        <f>'Fremtind Livsforsikring'!F82+'Danica Pensjonsforsikring'!F82+'DNB Livsforsikring'!F82+'Eika Forsikring AS'!F82+'Frende Livsforsikring'!F82+'Frende Skadeforsikring'!F82+'Gjensidige Forsikring'!F82+'Gjensidige Pensjon'!F82+'Handelsbanken Liv'!F82+'If Skadeforsikring NUF'!F82+KLP!F82+'DNB Bedriftspensjon AS'!F82+'KLP Skadeforsikring AS'!F82+'Landkreditt Forsikring'!F82+Insr!F82+'Nordea Liv '!F82+'Oslo Pensjonsforsikring'!F82+'Protector Forsikring'!F82+'SHB Liv'!F82+'Sparebank 1'!F82+'Storebrand Livsforsikring'!F82+'Telenor Forsikring'!F82+'Tryg Forsikring'!F82+'WaterCircle F'!F82+'Codan Forsikring'!F82+'Euro Accident'!F82</f>
        <v>0</v>
      </c>
      <c r="G82" s="165"/>
      <c r="H82" s="734">
        <f>'Fremtind Livsforsikring'!H82+'Danica Pensjonsforsikring'!H82+'DNB Livsforsikring'!H82+'Eika Forsikring AS'!H82+'Frende Livsforsikring'!H82+'Frende Skadeforsikring'!H82+'Gjensidige Forsikring'!H82+'Gjensidige Pensjon'!H82+'Handelsbanken Liv'!H82+'If Skadeforsikring NUF'!H82+KLP!H82+'DNB Bedriftspensjon AS'!H82+'KLP Skadeforsikring AS'!H82+'Landkreditt Forsikring'!H82+Insr!H82+'Nordea Liv '!H82+'Oslo Pensjonsforsikring'!H82+'Protector Forsikring'!H82+'SHB Liv'!H82+'Sparebank 1'!H82+'Storebrand Livsforsikring'!H82+'Telenor Forsikring'!H82+'Tryg Forsikring'!H82+'WaterCircle F'!H82+'Codan Forsikring'!H82+'Euro Accident'!H82</f>
        <v>0</v>
      </c>
      <c r="I82" s="734">
        <f>'Fremtind Livsforsikring'!I82+'Danica Pensjonsforsikring'!I82+'DNB Livsforsikring'!I82+'Eika Forsikring AS'!I82+'Frende Livsforsikring'!I82+'Frende Skadeforsikring'!I82+'Gjensidige Forsikring'!I82+'Gjensidige Pensjon'!I82+'Handelsbanken Liv'!I82+'If Skadeforsikring NUF'!I82+KLP!I82+'DNB Bedriftspensjon AS'!I82+'KLP Skadeforsikring AS'!I82+'Landkreditt Forsikring'!I82+Insr!I82+'Nordea Liv '!I82+'Oslo Pensjonsforsikring'!I82+'Protector Forsikring'!I82+'SHB Liv'!I82+'Sparebank 1'!I82+'Storebrand Livsforsikring'!I82+'Telenor Forsikring'!I82+'Tryg Forsikring'!I82+'WaterCircle F'!I82+'Codan Forsikring'!I82+'Euro Accident'!I82</f>
        <v>0</v>
      </c>
      <c r="J82" s="22"/>
    </row>
    <row r="83" spans="1:12" ht="15.75" customHeight="1" x14ac:dyDescent="0.2">
      <c r="A83" s="294" t="s">
        <v>380</v>
      </c>
      <c r="B83" s="734">
        <f>'Fremtind Livsforsikring'!B83+'Danica Pensjonsforsikring'!B83+'DNB Livsforsikring'!B83+'Eika Forsikring AS'!B83+'Frende Livsforsikring'!B83+'Frende Skadeforsikring'!B83+'Gjensidige Forsikring'!B83+'Gjensidige Pensjon'!B83+'Handelsbanken Liv'!B83+'If Skadeforsikring NUF'!B83+KLP!B83+'DNB Bedriftspensjon AS'!B83+'KLP Skadeforsikring AS'!B83+'Landkreditt Forsikring'!B83+Insr!B83+'Nordea Liv '!B83+'Oslo Pensjonsforsikring'!B83+'Protector Forsikring'!B83+'SHB Liv'!B83+'Sparebank 1'!B83+'Storebrand Livsforsikring'!B83+'Telenor Forsikring'!B83+'Tryg Forsikring'!B83+'WaterCircle F'!B83+'Codan Forsikring'!B83+'Euro Accident'!B83</f>
        <v>0</v>
      </c>
      <c r="C83" s="734">
        <f>'Fremtind Livsforsikring'!C83+'Danica Pensjonsforsikring'!C83+'DNB Livsforsikring'!C83+'Eika Forsikring AS'!C83+'Frende Livsforsikring'!C83+'Frende Skadeforsikring'!C83+'Gjensidige Forsikring'!C83+'Gjensidige Pensjon'!C83+'Handelsbanken Liv'!C83+'If Skadeforsikring NUF'!C83+KLP!C83+'DNB Bedriftspensjon AS'!C83+'KLP Skadeforsikring AS'!C83+'Landkreditt Forsikring'!C83+Insr!C83+'Nordea Liv '!C83+'Oslo Pensjonsforsikring'!C83+'Protector Forsikring'!C83+'SHB Liv'!C83+'Sparebank 1'!C83+'Storebrand Livsforsikring'!C83+'Telenor Forsikring'!C83+'Tryg Forsikring'!C83+'WaterCircle F'!C83+'Codan Forsikring'!C83+'Euro Accident'!C83</f>
        <v>0</v>
      </c>
      <c r="D83" s="26"/>
      <c r="E83" s="734">
        <f>'Fremtind Livsforsikring'!E83+'Danica Pensjonsforsikring'!E83+'DNB Livsforsikring'!E83+'Eika Forsikring AS'!E83+'Frende Livsforsikring'!E83+'Frende Skadeforsikring'!E83+'Gjensidige Forsikring'!E83+'Gjensidige Pensjon'!E83+'Handelsbanken Liv'!E83+'If Skadeforsikring NUF'!E83+KLP!E83+'DNB Bedriftspensjon AS'!E83+'KLP Skadeforsikring AS'!E83+'Landkreditt Forsikring'!E83+Insr!E83+'Nordea Liv '!E83+'Oslo Pensjonsforsikring'!E83+'Protector Forsikring'!E83+'SHB Liv'!E83+'Sparebank 1'!E83+'Storebrand Livsforsikring'!E83+'Telenor Forsikring'!E83+'Tryg Forsikring'!E83+'WaterCircle F'!E83+'Codan Forsikring'!E83+'Euro Accident'!E83</f>
        <v>0</v>
      </c>
      <c r="F83" s="734">
        <f>'Fremtind Livsforsikring'!F83+'Danica Pensjonsforsikring'!F83+'DNB Livsforsikring'!F83+'Eika Forsikring AS'!F83+'Frende Livsforsikring'!F83+'Frende Skadeforsikring'!F83+'Gjensidige Forsikring'!F83+'Gjensidige Pensjon'!F83+'Handelsbanken Liv'!F83+'If Skadeforsikring NUF'!F83+KLP!F83+'DNB Bedriftspensjon AS'!F83+'KLP Skadeforsikring AS'!F83+'Landkreditt Forsikring'!F83+Insr!F83+'Nordea Liv '!F83+'Oslo Pensjonsforsikring'!F83+'Protector Forsikring'!F83+'SHB Liv'!F83+'Sparebank 1'!F83+'Storebrand Livsforsikring'!F83+'Telenor Forsikring'!F83+'Tryg Forsikring'!F83+'WaterCircle F'!F83+'Codan Forsikring'!F83+'Euro Accident'!F83</f>
        <v>0</v>
      </c>
      <c r="G83" s="165"/>
      <c r="H83" s="734">
        <f>'Fremtind Livsforsikring'!H83+'Danica Pensjonsforsikring'!H83+'DNB Livsforsikring'!H83+'Eika Forsikring AS'!H83+'Frende Livsforsikring'!H83+'Frende Skadeforsikring'!H83+'Gjensidige Forsikring'!H83+'Gjensidige Pensjon'!H83+'Handelsbanken Liv'!H83+'If Skadeforsikring NUF'!H83+KLP!H83+'DNB Bedriftspensjon AS'!H83+'KLP Skadeforsikring AS'!H83+'Landkreditt Forsikring'!H83+Insr!H83+'Nordea Liv '!H83+'Oslo Pensjonsforsikring'!H83+'Protector Forsikring'!H83+'SHB Liv'!H83+'Sparebank 1'!H83+'Storebrand Livsforsikring'!H83+'Telenor Forsikring'!H83+'Tryg Forsikring'!H83+'WaterCircle F'!H83+'Codan Forsikring'!H83+'Euro Accident'!H83</f>
        <v>0</v>
      </c>
      <c r="I83" s="734">
        <f>'Fremtind Livsforsikring'!I83+'Danica Pensjonsforsikring'!I83+'DNB Livsforsikring'!I83+'Eika Forsikring AS'!I83+'Frende Livsforsikring'!I83+'Frende Skadeforsikring'!I83+'Gjensidige Forsikring'!I83+'Gjensidige Pensjon'!I83+'Handelsbanken Liv'!I83+'If Skadeforsikring NUF'!I83+KLP!I83+'DNB Bedriftspensjon AS'!I83+'KLP Skadeforsikring AS'!I83+'Landkreditt Forsikring'!I83+Insr!I83+'Nordea Liv '!I83+'Oslo Pensjonsforsikring'!I83+'Protector Forsikring'!I83+'SHB Liv'!I83+'Sparebank 1'!I83+'Storebrand Livsforsikring'!I83+'Telenor Forsikring'!I83+'Tryg Forsikring'!I83+'WaterCircle F'!I83+'Codan Forsikring'!I83+'Euro Accident'!I83</f>
        <v>0</v>
      </c>
      <c r="J83" s="23"/>
    </row>
    <row r="84" spans="1:12" ht="15.75" customHeight="1" x14ac:dyDescent="0.2">
      <c r="A84" s="294" t="s">
        <v>12</v>
      </c>
      <c r="B84" s="233">
        <f>'Fremtind Livsforsikring'!B84+'Danica Pensjonsforsikring'!B84+'DNB Livsforsikring'!B84+'Eika Forsikring AS'!B84+'Frende Livsforsikring'!B84+'Frende Skadeforsikring'!B84+'Gjensidige Forsikring'!B84+'Gjensidige Pensjon'!B84+'Handelsbanken Liv'!B84+'If Skadeforsikring NUF'!B84+KLP!B84+'DNB Bedriftspensjon AS'!B84+'KLP Skadeforsikring AS'!B84+'Landkreditt Forsikring'!B84+Insr!B84+'Nordea Liv '!B84+'Oslo Pensjonsforsikring'!B84+'Protector Forsikring'!B84+'SHB Liv'!B84+'Sparebank 1'!B84+'Storebrand Livsforsikring'!B84+'Telenor Forsikring'!B84+'Tryg Forsikring'!B84+'WaterCircle F'!B84+'Codan Forsikring'!B84+'Euro Accident'!B84</f>
        <v>0</v>
      </c>
      <c r="C84" s="233">
        <f>'Fremtind Livsforsikring'!C84+'Danica Pensjonsforsikring'!C84+'DNB Livsforsikring'!C84+'Eika Forsikring AS'!C84+'Frende Livsforsikring'!C84+'Frende Skadeforsikring'!C84+'Gjensidige Forsikring'!C84+'Gjensidige Pensjon'!C84+'Handelsbanken Liv'!C84+'If Skadeforsikring NUF'!C84+KLP!C84+'DNB Bedriftspensjon AS'!C84+'KLP Skadeforsikring AS'!C84+'Landkreditt Forsikring'!C84+Insr!C84+'Nordea Liv '!C84+'Oslo Pensjonsforsikring'!C84+'Protector Forsikring'!C84+'SHB Liv'!C84+'Sparebank 1'!C84+'Storebrand Livsforsikring'!C84+'Telenor Forsikring'!C84+'Tryg Forsikring'!C84+'WaterCircle F'!C84+'Codan Forsikring'!C84+'Euro Accident'!C84</f>
        <v>0</v>
      </c>
      <c r="D84" s="26"/>
      <c r="E84" s="734">
        <f>'Fremtind Livsforsikring'!E84+'Danica Pensjonsforsikring'!E84+'DNB Livsforsikring'!E84+'Eika Forsikring AS'!E84+'Frende Livsforsikring'!E84+'Frende Skadeforsikring'!E84+'Gjensidige Forsikring'!E84+'Gjensidige Pensjon'!E84+'Handelsbanken Liv'!E84+'If Skadeforsikring NUF'!E84+KLP!E84+'DNB Bedriftspensjon AS'!E84+'KLP Skadeforsikring AS'!E84+'Landkreditt Forsikring'!E84+Insr!E84+'Nordea Liv '!E84+'Oslo Pensjonsforsikring'!E84+'Protector Forsikring'!E84+'SHB Liv'!E84+'Sparebank 1'!E84+'Storebrand Livsforsikring'!E84+'Telenor Forsikring'!E84+'Tryg Forsikring'!E84+'WaterCircle F'!E84+'Codan Forsikring'!E84+'Euro Accident'!E84</f>
        <v>0</v>
      </c>
      <c r="F84" s="734">
        <f>'Fremtind Livsforsikring'!F84+'Danica Pensjonsforsikring'!F84+'DNB Livsforsikring'!F84+'Eika Forsikring AS'!F84+'Frende Livsforsikring'!F84+'Frende Skadeforsikring'!F84+'Gjensidige Forsikring'!F84+'Gjensidige Pensjon'!F84+'Handelsbanken Liv'!F84+'If Skadeforsikring NUF'!F84+KLP!F84+'DNB Bedriftspensjon AS'!F84+'KLP Skadeforsikring AS'!F84+'Landkreditt Forsikring'!F84+Insr!F84+'Nordea Liv '!F84+'Oslo Pensjonsforsikring'!F84+'Protector Forsikring'!F84+'SHB Liv'!F84+'Sparebank 1'!F84+'Storebrand Livsforsikring'!F84+'Telenor Forsikring'!F84+'Tryg Forsikring'!F84+'WaterCircle F'!F84+'Codan Forsikring'!F84+'Euro Accident'!F84</f>
        <v>0</v>
      </c>
      <c r="G84" s="165"/>
      <c r="H84" s="734">
        <f>'Fremtind Livsforsikring'!H84+'Danica Pensjonsforsikring'!H84+'DNB Livsforsikring'!H84+'Eika Forsikring AS'!H84+'Frende Livsforsikring'!H84+'Frende Skadeforsikring'!H84+'Gjensidige Forsikring'!H84+'Gjensidige Pensjon'!H84+'Handelsbanken Liv'!H84+'If Skadeforsikring NUF'!H84+KLP!H84+'DNB Bedriftspensjon AS'!H84+'KLP Skadeforsikring AS'!H84+'Landkreditt Forsikring'!H84+Insr!H84+'Nordea Liv '!H84+'Oslo Pensjonsforsikring'!H84+'Protector Forsikring'!H84+'SHB Liv'!H84+'Sparebank 1'!H84+'Storebrand Livsforsikring'!H84+'Telenor Forsikring'!H84+'Tryg Forsikring'!H84+'WaterCircle F'!H84+'Codan Forsikring'!H84+'Euro Accident'!H84</f>
        <v>0</v>
      </c>
      <c r="I84" s="734">
        <f>'Fremtind Livsforsikring'!I84+'Danica Pensjonsforsikring'!I84+'DNB Livsforsikring'!I84+'Eika Forsikring AS'!I84+'Frende Livsforsikring'!I84+'Frende Skadeforsikring'!I84+'Gjensidige Forsikring'!I84+'Gjensidige Pensjon'!I84+'Handelsbanken Liv'!I84+'If Skadeforsikring NUF'!I84+KLP!I84+'DNB Bedriftspensjon AS'!I84+'KLP Skadeforsikring AS'!I84+'Landkreditt Forsikring'!I84+Insr!I84+'Nordea Liv '!I84+'Oslo Pensjonsforsikring'!I84+'Protector Forsikring'!I84+'SHB Liv'!I84+'Sparebank 1'!I84+'Storebrand Livsforsikring'!I84+'Telenor Forsikring'!I84+'Tryg Forsikring'!I84+'WaterCircle F'!I84+'Codan Forsikring'!I84+'Euro Accident'!I84</f>
        <v>0</v>
      </c>
      <c r="J84" s="22"/>
    </row>
    <row r="85" spans="1:12" ht="15.75" customHeight="1" x14ac:dyDescent="0.2">
      <c r="A85" s="294" t="s">
        <v>13</v>
      </c>
      <c r="B85" s="233">
        <f>'Fremtind Livsforsikring'!B85+'Danica Pensjonsforsikring'!B85+'DNB Livsforsikring'!B85+'Eika Forsikring AS'!B85+'Frende Livsforsikring'!B85+'Frende Skadeforsikring'!B85+'Gjensidige Forsikring'!B85+'Gjensidige Pensjon'!B85+'Handelsbanken Liv'!B85+'If Skadeforsikring NUF'!B85+KLP!B85+'DNB Bedriftspensjon AS'!B85+'KLP Skadeforsikring AS'!B85+'Landkreditt Forsikring'!B85+Insr!B85+'Nordea Liv '!B85+'Oslo Pensjonsforsikring'!B85+'Protector Forsikring'!B85+'SHB Liv'!B85+'Sparebank 1'!B85+'Storebrand Livsforsikring'!B85+'Telenor Forsikring'!B85+'Tryg Forsikring'!B85+'WaterCircle F'!B85+'Codan Forsikring'!B85+'Euro Accident'!B85</f>
        <v>0</v>
      </c>
      <c r="C85" s="233">
        <f>'Fremtind Livsforsikring'!C85+'Danica Pensjonsforsikring'!C85+'DNB Livsforsikring'!C85+'Eika Forsikring AS'!C85+'Frende Livsforsikring'!C85+'Frende Skadeforsikring'!C85+'Gjensidige Forsikring'!C85+'Gjensidige Pensjon'!C85+'Handelsbanken Liv'!C85+'If Skadeforsikring NUF'!C85+KLP!C85+'DNB Bedriftspensjon AS'!C85+'KLP Skadeforsikring AS'!C85+'Landkreditt Forsikring'!C85+Insr!C85+'Nordea Liv '!C85+'Oslo Pensjonsforsikring'!C85+'Protector Forsikring'!C85+'SHB Liv'!C85+'Sparebank 1'!C85+'Storebrand Livsforsikring'!C85+'Telenor Forsikring'!C85+'Tryg Forsikring'!C85+'WaterCircle F'!C85+'Codan Forsikring'!C85+'Euro Accident'!C85</f>
        <v>0</v>
      </c>
      <c r="D85" s="26"/>
      <c r="E85" s="734">
        <f>'Fremtind Livsforsikring'!E85+'Danica Pensjonsforsikring'!E85+'DNB Livsforsikring'!E85+'Eika Forsikring AS'!E85+'Frende Livsforsikring'!E85+'Frende Skadeforsikring'!E85+'Gjensidige Forsikring'!E85+'Gjensidige Pensjon'!E85+'Handelsbanken Liv'!E85+'If Skadeforsikring NUF'!E85+KLP!E85+'DNB Bedriftspensjon AS'!E85+'KLP Skadeforsikring AS'!E85+'Landkreditt Forsikring'!E85+Insr!E85+'Nordea Liv '!E85+'Oslo Pensjonsforsikring'!E85+'Protector Forsikring'!E85+'SHB Liv'!E85+'Sparebank 1'!E85+'Storebrand Livsforsikring'!E85+'Telenor Forsikring'!E85+'Tryg Forsikring'!E85+'WaterCircle F'!E85+'Codan Forsikring'!E85+'Euro Accident'!E85</f>
        <v>0</v>
      </c>
      <c r="F85" s="734">
        <f>'Fremtind Livsforsikring'!F85+'Danica Pensjonsforsikring'!F85+'DNB Livsforsikring'!F85+'Eika Forsikring AS'!F85+'Frende Livsforsikring'!F85+'Frende Skadeforsikring'!F85+'Gjensidige Forsikring'!F85+'Gjensidige Pensjon'!F85+'Handelsbanken Liv'!F85+'If Skadeforsikring NUF'!F85+KLP!F85+'DNB Bedriftspensjon AS'!F85+'KLP Skadeforsikring AS'!F85+'Landkreditt Forsikring'!F85+Insr!F85+'Nordea Liv '!F85+'Oslo Pensjonsforsikring'!F85+'Protector Forsikring'!F85+'SHB Liv'!F85+'Sparebank 1'!F85+'Storebrand Livsforsikring'!F85+'Telenor Forsikring'!F85+'Tryg Forsikring'!F85+'WaterCircle F'!F85+'Codan Forsikring'!F85+'Euro Accident'!F85</f>
        <v>0</v>
      </c>
      <c r="G85" s="165"/>
      <c r="H85" s="734">
        <f>'Fremtind Livsforsikring'!H85+'Danica Pensjonsforsikring'!H85+'DNB Livsforsikring'!H85+'Eika Forsikring AS'!H85+'Frende Livsforsikring'!H85+'Frende Skadeforsikring'!H85+'Gjensidige Forsikring'!H85+'Gjensidige Pensjon'!H85+'Handelsbanken Liv'!H85+'If Skadeforsikring NUF'!H85+KLP!H85+'DNB Bedriftspensjon AS'!H85+'KLP Skadeforsikring AS'!H85+'Landkreditt Forsikring'!H85+Insr!H85+'Nordea Liv '!H85+'Oslo Pensjonsforsikring'!H85+'Protector Forsikring'!H85+'SHB Liv'!H85+'Sparebank 1'!H85+'Storebrand Livsforsikring'!H85+'Telenor Forsikring'!H85+'Tryg Forsikring'!H85+'WaterCircle F'!H85+'Codan Forsikring'!H85+'Euro Accident'!H85</f>
        <v>0</v>
      </c>
      <c r="I85" s="734">
        <f>'Fremtind Livsforsikring'!I85+'Danica Pensjonsforsikring'!I85+'DNB Livsforsikring'!I85+'Eika Forsikring AS'!I85+'Frende Livsforsikring'!I85+'Frende Skadeforsikring'!I85+'Gjensidige Forsikring'!I85+'Gjensidige Pensjon'!I85+'Handelsbanken Liv'!I85+'If Skadeforsikring NUF'!I85+KLP!I85+'DNB Bedriftspensjon AS'!I85+'KLP Skadeforsikring AS'!I85+'Landkreditt Forsikring'!I85+Insr!I85+'Nordea Liv '!I85+'Oslo Pensjonsforsikring'!I85+'Protector Forsikring'!I85+'SHB Liv'!I85+'Sparebank 1'!I85+'Storebrand Livsforsikring'!I85+'Telenor Forsikring'!I85+'Tryg Forsikring'!I85+'WaterCircle F'!I85+'Codan Forsikring'!I85+'Euro Accident'!I85</f>
        <v>0</v>
      </c>
      <c r="J85" s="22"/>
    </row>
    <row r="86" spans="1:12" ht="15.75" customHeight="1" x14ac:dyDescent="0.25">
      <c r="A86" s="20" t="s">
        <v>382</v>
      </c>
      <c r="B86" s="232">
        <f>'Fremtind Livsforsikring'!B86+'Danica Pensjonsforsikring'!B86+'DNB Livsforsikring'!B86+'Eika Forsikring AS'!B86+'Frende Livsforsikring'!B86+'Frende Skadeforsikring'!B86+'Gjensidige Forsikring'!B86+'Gjensidige Pensjon'!B86+'Handelsbanken Liv'!B86+'If Skadeforsikring NUF'!B86+KLP!B86+'DNB Bedriftspensjon AS'!B86+'KLP Skadeforsikring AS'!B86+'Landkreditt Forsikring'!B86+Insr!B86+'Nordea Liv '!B86+'Oslo Pensjonsforsikring'!B86+'Protector Forsikring'!B86+'SHB Liv'!B86+'Sparebank 1'!B86+'Storebrand Livsforsikring'!B86+'Telenor Forsikring'!B86+'Tryg Forsikring'!B86+'WaterCircle F'!B86+'Codan Forsikring'!B86+'Euro Accident'!B86</f>
        <v>134847.53999999998</v>
      </c>
      <c r="C86" s="232">
        <f>'Fremtind Livsforsikring'!C86+'Danica Pensjonsforsikring'!C86+'DNB Livsforsikring'!C86+'Eika Forsikring AS'!C86+'Frende Livsforsikring'!C86+'Frende Skadeforsikring'!C86+'Gjensidige Forsikring'!C86+'Gjensidige Pensjon'!C86+'Handelsbanken Liv'!C86+'If Skadeforsikring NUF'!C86+KLP!C86+'DNB Bedriftspensjon AS'!C86+'KLP Skadeforsikring AS'!C86+'Landkreditt Forsikring'!C86+Insr!C86+'Nordea Liv '!C86+'Oslo Pensjonsforsikring'!C86+'Protector Forsikring'!C86+'SHB Liv'!C86+'Sparebank 1'!C86+'Storebrand Livsforsikring'!C86+'Telenor Forsikring'!C86+'Tryg Forsikring'!C86+'WaterCircle F'!C86+'Codan Forsikring'!C86+'Euro Accident'!C86</f>
        <v>84452.225999999995</v>
      </c>
      <c r="D86" s="22">
        <f t="shared" si="23"/>
        <v>-37.4</v>
      </c>
      <c r="E86" s="43">
        <f>'Fremtind Livsforsikring'!F86+'Danica Pensjonsforsikring'!F86+'DNB Livsforsikring'!F86+'Eika Forsikring AS'!F86+'Frende Livsforsikring'!F86+'Frende Skadeforsikring'!F86+'Gjensidige Forsikring'!F86+'Gjensidige Pensjon'!F86+'Handelsbanken Liv'!F86+'If Skadeforsikring NUF'!F86+KLP!F86+'DNB Bedriftspensjon AS'!F86+'KLP Skadeforsikring AS'!F86+'Landkreditt Forsikring'!F86+Insr!F86+'Nordea Liv '!F86+'Oslo Pensjonsforsikring'!F86+'Protector Forsikring'!F86+'SHB Liv'!F86+'Sparebank 1'!F86+'Storebrand Livsforsikring'!F86+'Telenor Forsikring'!F86+'Tryg Forsikring'!F86+'WaterCircle F'!F86+'Codan Forsikring'!F86+'Euro Accident'!F86</f>
        <v>8708.7345399999995</v>
      </c>
      <c r="F86" s="43">
        <f>'Fremtind Livsforsikring'!G86+'Danica Pensjonsforsikring'!G86+'DNB Livsforsikring'!G86+'Eika Forsikring AS'!G86+'Frende Livsforsikring'!G86+'Frende Skadeforsikring'!G86+'Gjensidige Forsikring'!G86+'Gjensidige Pensjon'!G86+'Handelsbanken Liv'!G86+'If Skadeforsikring NUF'!G86+KLP!G86+'DNB Bedriftspensjon AS'!G86+'KLP Skadeforsikring AS'!G86+'Landkreditt Forsikring'!G86+Insr!G86+'Nordea Liv '!G86+'Oslo Pensjonsforsikring'!G86+'Protector Forsikring'!G86+'SHB Liv'!G86+'Sparebank 1'!G86+'Storebrand Livsforsikring'!G86+'Telenor Forsikring'!G86+'Tryg Forsikring'!G86+'WaterCircle F'!G86+'Codan Forsikring'!G86+'Euro Accident'!G86</f>
        <v>6304.0748400000002</v>
      </c>
      <c r="G86" s="239">
        <f t="shared" ref="G86:G89" si="36">IF(E86=0, "    ---- ", IF(ABS(ROUND(100/E86*F86-100,1))&lt;999,ROUND(100/E86*F86-100,1),IF(ROUND(100/E86*F86-100,1)&gt;999,999,-999)))</f>
        <v>-27.6</v>
      </c>
      <c r="H86" s="235">
        <f t="shared" si="25"/>
        <v>143556.27453999998</v>
      </c>
      <c r="I86" s="235">
        <f t="shared" si="26"/>
        <v>90756.300839999996</v>
      </c>
      <c r="J86" s="22">
        <f t="shared" si="27"/>
        <v>-36.799999999999997</v>
      </c>
    </row>
    <row r="87" spans="1:12" s="42" customFormat="1" ht="15.75" customHeight="1" x14ac:dyDescent="0.25">
      <c r="A87" s="13" t="s">
        <v>364</v>
      </c>
      <c r="B87" s="306">
        <f>'Fremtind Livsforsikring'!B87+'Danica Pensjonsforsikring'!B87+'DNB Livsforsikring'!B87+'Eika Forsikring AS'!B87+'Frende Livsforsikring'!B87+'Frende Skadeforsikring'!B87+'Gjensidige Forsikring'!B87+'Gjensidige Pensjon'!B87+'Handelsbanken Liv'!B87+'If Skadeforsikring NUF'!B87+KLP!B87+'DNB Bedriftspensjon AS'!B87+'KLP Skadeforsikring AS'!B87+'Landkreditt Forsikring'!B87+Insr!B87+'Nordea Liv '!B87+'Oslo Pensjonsforsikring'!B87+'Protector Forsikring'!B87+'SHB Liv'!B87+'Sparebank 1'!B87+'Storebrand Livsforsikring'!B87+'Telenor Forsikring'!B87+'Tryg Forsikring'!B87+'WaterCircle F'!B87+'Codan Forsikring'!B87+'Euro Accident'!B87</f>
        <v>392962991.43437672</v>
      </c>
      <c r="C87" s="306">
        <f>'Fremtind Livsforsikring'!C87+'Danica Pensjonsforsikring'!C87+'DNB Livsforsikring'!C87+'Eika Forsikring AS'!C87+'Frende Livsforsikring'!C87+'Frende Skadeforsikring'!C87+'Gjensidige Forsikring'!C87+'Gjensidige Pensjon'!C87+'Handelsbanken Liv'!C87+'If Skadeforsikring NUF'!C87+KLP!C87+'DNB Bedriftspensjon AS'!C87+'KLP Skadeforsikring AS'!C87+'Landkreditt Forsikring'!C87+Insr!C87+'Nordea Liv '!C87+'Oslo Pensjonsforsikring'!C87+'Protector Forsikring'!C87+'SHB Liv'!C87+'Sparebank 1'!C87+'Storebrand Livsforsikring'!C87+'Telenor Forsikring'!C87+'Tryg Forsikring'!C87+'WaterCircle F'!C87+'Codan Forsikring'!C87+'Euro Accident'!C87</f>
        <v>402578891.17085534</v>
      </c>
      <c r="D87" s="23">
        <f t="shared" si="23"/>
        <v>2.4</v>
      </c>
      <c r="E87" s="234">
        <f>'Fremtind Livsforsikring'!F87+'Danica Pensjonsforsikring'!F87+'DNB Livsforsikring'!F87+'Eika Forsikring AS'!F87+'Frende Livsforsikring'!F87+'Frende Skadeforsikring'!F87+'Gjensidige Forsikring'!F87+'Gjensidige Pensjon'!F87+'Handelsbanken Liv'!F87+'If Skadeforsikring NUF'!F87+KLP!F87+'DNB Bedriftspensjon AS'!F87+'KLP Skadeforsikring AS'!F87+'Landkreditt Forsikring'!F87+Insr!F87+'Nordea Liv '!F87+'Oslo Pensjonsforsikring'!F87+'Protector Forsikring'!F87+'SHB Liv'!F87+'Sparebank 1'!F87+'Storebrand Livsforsikring'!F87+'Telenor Forsikring'!F87+'Tryg Forsikring'!F87+'WaterCircle F'!F87+'Codan Forsikring'!F87+'Euro Accident'!F87</f>
        <v>317586869.18335998</v>
      </c>
      <c r="F87" s="234">
        <f>'Fremtind Livsforsikring'!G87+'Danica Pensjonsforsikring'!G87+'DNB Livsforsikring'!G87+'Eika Forsikring AS'!G87+'Frende Livsforsikring'!G87+'Frende Skadeforsikring'!G87+'Gjensidige Forsikring'!G87+'Gjensidige Pensjon'!G87+'Handelsbanken Liv'!G87+'If Skadeforsikring NUF'!G87+KLP!G87+'DNB Bedriftspensjon AS'!G87+'KLP Skadeforsikring AS'!G87+'Landkreditt Forsikring'!G87+Insr!G87+'Nordea Liv '!G87+'Oslo Pensjonsforsikring'!G87+'Protector Forsikring'!G87+'SHB Liv'!G87+'Sparebank 1'!G87+'Storebrand Livsforsikring'!G87+'Telenor Forsikring'!G87+'Tryg Forsikring'!G87+'WaterCircle F'!G87+'Codan Forsikring'!G87+'Euro Accident'!G87</f>
        <v>418410014.35985005</v>
      </c>
      <c r="G87" s="704">
        <f t="shared" si="36"/>
        <v>31.7</v>
      </c>
      <c r="H87" s="327">
        <f t="shared" ref="H87:H112" si="37">SUM(B87,E87)</f>
        <v>710549860.6177367</v>
      </c>
      <c r="I87" s="327">
        <f t="shared" ref="I87:I112" si="38">SUM(C87,F87)</f>
        <v>820988905.53070545</v>
      </c>
      <c r="J87" s="23">
        <f t="shared" si="27"/>
        <v>15.5</v>
      </c>
    </row>
    <row r="88" spans="1:12" ht="15.75" customHeight="1" x14ac:dyDescent="0.2">
      <c r="A88" s="20" t="s">
        <v>9</v>
      </c>
      <c r="B88" s="232">
        <f>'Fremtind Livsforsikring'!B88+'Danica Pensjonsforsikring'!B88+'DNB Livsforsikring'!B88+'Eika Forsikring AS'!B88+'Frende Livsforsikring'!B88+'Frende Skadeforsikring'!B88+'Gjensidige Forsikring'!B88+'Gjensidige Pensjon'!B88+'Handelsbanken Liv'!B88+'If Skadeforsikring NUF'!B88+KLP!B88+'DNB Bedriftspensjon AS'!B88+'KLP Skadeforsikring AS'!B88+'Landkreditt Forsikring'!B88+Insr!B88+'Nordea Liv '!B88+'Oslo Pensjonsforsikring'!B88+'Protector Forsikring'!B88+'SHB Liv'!B88+'Sparebank 1'!B88+'Storebrand Livsforsikring'!B88+'Telenor Forsikring'!B88+'Tryg Forsikring'!B88+'WaterCircle F'!B88+'Codan Forsikring'!B88+'Euro Accident'!B88</f>
        <v>381748471.1627332</v>
      </c>
      <c r="C88" s="232">
        <f>'Fremtind Livsforsikring'!C88+'Danica Pensjonsforsikring'!C88+'DNB Livsforsikring'!C88+'Eika Forsikring AS'!C88+'Frende Livsforsikring'!C88+'Frende Skadeforsikring'!C88+'Gjensidige Forsikring'!C88+'Gjensidige Pensjon'!C88+'Handelsbanken Liv'!C88+'If Skadeforsikring NUF'!C88+KLP!C88+'DNB Bedriftspensjon AS'!C88+'KLP Skadeforsikring AS'!C88+'Landkreditt Forsikring'!C88+Insr!C88+'Nordea Liv '!C88+'Oslo Pensjonsforsikring'!C88+'Protector Forsikring'!C88+'SHB Liv'!C88+'Sparebank 1'!C88+'Storebrand Livsforsikring'!C88+'Telenor Forsikring'!C88+'Tryg Forsikring'!C88+'WaterCircle F'!C88+'Codan Forsikring'!C88+'Euro Accident'!C88</f>
        <v>389755064.82474071</v>
      </c>
      <c r="D88" s="22">
        <f t="shared" si="23"/>
        <v>2.1</v>
      </c>
      <c r="E88" s="43">
        <f>'Fremtind Livsforsikring'!F88+'Danica Pensjonsforsikring'!F88+'DNB Livsforsikring'!F88+'Eika Forsikring AS'!F88+'Frende Livsforsikring'!F88+'Frende Skadeforsikring'!F88+'Gjensidige Forsikring'!F88+'Gjensidige Pensjon'!F88+'Handelsbanken Liv'!F88+'If Skadeforsikring NUF'!F88+KLP!F88+'DNB Bedriftspensjon AS'!F88+'KLP Skadeforsikring AS'!F88+'Landkreditt Forsikring'!F88+Insr!F88+'Nordea Liv '!F88+'Oslo Pensjonsforsikring'!F88+'Protector Forsikring'!F88+'SHB Liv'!F88+'Sparebank 1'!F88+'Storebrand Livsforsikring'!F88+'Telenor Forsikring'!F88+'Tryg Forsikring'!F88+'WaterCircle F'!F88+'Codan Forsikring'!F88+'Euro Accident'!F88</f>
        <v>0</v>
      </c>
      <c r="F88" s="43">
        <f>'Fremtind Livsforsikring'!G88+'Danica Pensjonsforsikring'!G88+'DNB Livsforsikring'!G88+'Eika Forsikring AS'!G88+'Frende Livsforsikring'!G88+'Frende Skadeforsikring'!G88+'Gjensidige Forsikring'!G88+'Gjensidige Pensjon'!G88+'Handelsbanken Liv'!G88+'If Skadeforsikring NUF'!G88+KLP!G88+'DNB Bedriftspensjon AS'!G88+'KLP Skadeforsikring AS'!G88+'Landkreditt Forsikring'!G88+Insr!G88+'Nordea Liv '!G88+'Oslo Pensjonsforsikring'!G88+'Protector Forsikring'!G88+'SHB Liv'!G88+'Sparebank 1'!G88+'Storebrand Livsforsikring'!G88+'Telenor Forsikring'!G88+'Tryg Forsikring'!G88+'WaterCircle F'!G88+'Codan Forsikring'!G88+'Euro Accident'!G88</f>
        <v>0</v>
      </c>
      <c r="G88" s="165"/>
      <c r="H88" s="235">
        <f t="shared" si="37"/>
        <v>381748471.1627332</v>
      </c>
      <c r="I88" s="235">
        <f t="shared" si="38"/>
        <v>389755064.82474071</v>
      </c>
      <c r="J88" s="22">
        <f t="shared" si="27"/>
        <v>2.1</v>
      </c>
      <c r="L88" s="710"/>
    </row>
    <row r="89" spans="1:12" ht="15.75" customHeight="1" x14ac:dyDescent="0.25">
      <c r="A89" s="20" t="s">
        <v>10</v>
      </c>
      <c r="B89" s="232">
        <f>'Fremtind Livsforsikring'!B89+'Danica Pensjonsforsikring'!B89+'DNB Livsforsikring'!B89+'Eika Forsikring AS'!B89+'Frende Livsforsikring'!B89+'Frende Skadeforsikring'!B89+'Gjensidige Forsikring'!B89+'Gjensidige Pensjon'!B89+'Handelsbanken Liv'!B89+'If Skadeforsikring NUF'!B89+KLP!B89+'DNB Bedriftspensjon AS'!B89+'KLP Skadeforsikring AS'!B89+'Landkreditt Forsikring'!B89+Insr!B89+'Nordea Liv '!B89+'Oslo Pensjonsforsikring'!B89+'Protector Forsikring'!B89+'SHB Liv'!B89+'Sparebank 1'!B89+'Storebrand Livsforsikring'!B89+'Telenor Forsikring'!B89+'Tryg Forsikring'!B89+'WaterCircle F'!B89+'Codan Forsikring'!B89+'Euro Accident'!B89</f>
        <v>3174025.9301235098</v>
      </c>
      <c r="C89" s="232">
        <f>'Fremtind Livsforsikring'!C89+'Danica Pensjonsforsikring'!C89+'DNB Livsforsikring'!C89+'Eika Forsikring AS'!C89+'Frende Livsforsikring'!C89+'Frende Skadeforsikring'!C89+'Gjensidige Forsikring'!C89+'Gjensidige Pensjon'!C89+'Handelsbanken Liv'!C89+'If Skadeforsikring NUF'!C89+KLP!C89+'DNB Bedriftspensjon AS'!C89+'KLP Skadeforsikring AS'!C89+'Landkreditt Forsikring'!C89+Insr!C89+'Nordea Liv '!C89+'Oslo Pensjonsforsikring'!C89+'Protector Forsikring'!C89+'SHB Liv'!C89+'Sparebank 1'!C89+'Storebrand Livsforsikring'!C89+'Telenor Forsikring'!C89+'Tryg Forsikring'!C89+'WaterCircle F'!C89+'Codan Forsikring'!C89+'Euro Accident'!C89</f>
        <v>3085371.1043245704</v>
      </c>
      <c r="D89" s="22">
        <f t="shared" si="23"/>
        <v>-2.8</v>
      </c>
      <c r="E89" s="43">
        <f>'Fremtind Livsforsikring'!F89+'Danica Pensjonsforsikring'!F89+'DNB Livsforsikring'!F89+'Eika Forsikring AS'!F89+'Frende Livsforsikring'!F89+'Frende Skadeforsikring'!F89+'Gjensidige Forsikring'!F89+'Gjensidige Pensjon'!F89+'Handelsbanken Liv'!F89+'If Skadeforsikring NUF'!F89+KLP!F89+'DNB Bedriftspensjon AS'!F89+'KLP Skadeforsikring AS'!F89+'Landkreditt Forsikring'!F89+Insr!F89+'Nordea Liv '!F89+'Oslo Pensjonsforsikring'!F89+'Protector Forsikring'!F89+'SHB Liv'!F89+'Sparebank 1'!F89+'Storebrand Livsforsikring'!F89+'Telenor Forsikring'!F89+'Tryg Forsikring'!F89+'WaterCircle F'!F89+'Codan Forsikring'!F89+'Euro Accident'!F89</f>
        <v>315390839.35684997</v>
      </c>
      <c r="F89" s="43">
        <f>'Fremtind Livsforsikring'!G89+'Danica Pensjonsforsikring'!G89+'DNB Livsforsikring'!G89+'Eika Forsikring AS'!G89+'Frende Livsforsikring'!G89+'Frende Skadeforsikring'!G89+'Gjensidige Forsikring'!G89+'Gjensidige Pensjon'!G89+'Handelsbanken Liv'!G89+'If Skadeforsikring NUF'!G89+KLP!G89+'DNB Bedriftspensjon AS'!G89+'KLP Skadeforsikring AS'!G89+'Landkreditt Forsikring'!G89+Insr!G89+'Nordea Liv '!G89+'Oslo Pensjonsforsikring'!G89+'Protector Forsikring'!G89+'SHB Liv'!G89+'Sparebank 1'!G89+'Storebrand Livsforsikring'!G89+'Telenor Forsikring'!G89+'Tryg Forsikring'!G89+'WaterCircle F'!G89+'Codan Forsikring'!G89+'Euro Accident'!G89</f>
        <v>414322429.19332004</v>
      </c>
      <c r="G89" s="239">
        <f t="shared" si="36"/>
        <v>31.4</v>
      </c>
      <c r="H89" s="235">
        <f t="shared" si="37"/>
        <v>318564865.28697348</v>
      </c>
      <c r="I89" s="235">
        <f t="shared" si="38"/>
        <v>417407800.29764462</v>
      </c>
      <c r="J89" s="22">
        <f t="shared" si="27"/>
        <v>31</v>
      </c>
    </row>
    <row r="90" spans="1:12" ht="15.75" customHeight="1" x14ac:dyDescent="0.2">
      <c r="A90" s="294" t="s">
        <v>379</v>
      </c>
      <c r="B90" s="734">
        <f>'Fremtind Livsforsikring'!B90+'Danica Pensjonsforsikring'!B90+'DNB Livsforsikring'!B90+'Eika Forsikring AS'!B90+'Frende Livsforsikring'!B90+'Frende Skadeforsikring'!B90+'Gjensidige Forsikring'!B90+'Gjensidige Pensjon'!B90+'Handelsbanken Liv'!B90+'If Skadeforsikring NUF'!B90+KLP!B90+'DNB Bedriftspensjon AS'!B90+'KLP Skadeforsikring AS'!B90+'Landkreditt Forsikring'!B90+Insr!B90+'Nordea Liv '!B90+'Oslo Pensjonsforsikring'!B90+'Protector Forsikring'!B90+'SHB Liv'!B90+'Sparebank 1'!B90+'Storebrand Livsforsikring'!B90+'Telenor Forsikring'!B90+'Tryg Forsikring'!B90+'WaterCircle F'!B90+'Codan Forsikring'!B90+'Euro Accident'!B90</f>
        <v>0</v>
      </c>
      <c r="C90" s="734">
        <f>'Fremtind Livsforsikring'!C90+'Danica Pensjonsforsikring'!C90+'DNB Livsforsikring'!C90+'Eika Forsikring AS'!C90+'Frende Livsforsikring'!C90+'Frende Skadeforsikring'!C90+'Gjensidige Forsikring'!C90+'Gjensidige Pensjon'!C90+'Handelsbanken Liv'!C90+'If Skadeforsikring NUF'!C90+KLP!C90+'DNB Bedriftspensjon AS'!C90+'KLP Skadeforsikring AS'!C90+'Landkreditt Forsikring'!C90+Insr!C90+'Nordea Liv '!C90+'Oslo Pensjonsforsikring'!C90+'Protector Forsikring'!C90+'SHB Liv'!C90+'Sparebank 1'!C90+'Storebrand Livsforsikring'!C90+'Telenor Forsikring'!C90+'Tryg Forsikring'!C90+'WaterCircle F'!C90+'Codan Forsikring'!C90+'Euro Accident'!C90</f>
        <v>0</v>
      </c>
      <c r="D90" s="26"/>
      <c r="E90" s="734">
        <f>'Fremtind Livsforsikring'!E90+'Danica Pensjonsforsikring'!E90+'DNB Livsforsikring'!E90+'Eika Forsikring AS'!E90+'Frende Livsforsikring'!E90+'Frende Skadeforsikring'!E90+'Gjensidige Forsikring'!E90+'Gjensidige Pensjon'!E90+'Handelsbanken Liv'!E90+'If Skadeforsikring NUF'!E90+KLP!E90+'DNB Bedriftspensjon AS'!E90+'KLP Skadeforsikring AS'!E90+'Landkreditt Forsikring'!E90+Insr!E90+'Nordea Liv '!E90+'Oslo Pensjonsforsikring'!E90+'Protector Forsikring'!E90+'SHB Liv'!E90+'Sparebank 1'!E90+'Storebrand Livsforsikring'!E90+'Telenor Forsikring'!E90+'Tryg Forsikring'!E90+'WaterCircle F'!E90+'Codan Forsikring'!E90+'Euro Accident'!E90</f>
        <v>0</v>
      </c>
      <c r="F90" s="734">
        <f>'Fremtind Livsforsikring'!F90+'Danica Pensjonsforsikring'!F90+'DNB Livsforsikring'!F90+'Eika Forsikring AS'!F90+'Frende Livsforsikring'!F90+'Frende Skadeforsikring'!F90+'Gjensidige Forsikring'!F90+'Gjensidige Pensjon'!F90+'Handelsbanken Liv'!F90+'If Skadeforsikring NUF'!F90+KLP!F90+'DNB Bedriftspensjon AS'!F90+'KLP Skadeforsikring AS'!F90+'Landkreditt Forsikring'!F90+Insr!F90+'Nordea Liv '!F90+'Oslo Pensjonsforsikring'!F90+'Protector Forsikring'!F90+'SHB Liv'!F90+'Sparebank 1'!F90+'Storebrand Livsforsikring'!F90+'Telenor Forsikring'!F90+'Tryg Forsikring'!F90+'WaterCircle F'!F90+'Codan Forsikring'!F90+'Euro Accident'!F90</f>
        <v>0</v>
      </c>
      <c r="G90" s="165"/>
      <c r="H90" s="734">
        <f>'Fremtind Livsforsikring'!H90+'Danica Pensjonsforsikring'!H90+'DNB Livsforsikring'!H90+'Eika Forsikring AS'!H90+'Frende Livsforsikring'!H90+'Frende Skadeforsikring'!H90+'Gjensidige Forsikring'!H90+'Gjensidige Pensjon'!H90+'Handelsbanken Liv'!H90+'If Skadeforsikring NUF'!H90+KLP!H90+'DNB Bedriftspensjon AS'!H90+'KLP Skadeforsikring AS'!H90+'Landkreditt Forsikring'!H90+Insr!H90+'Nordea Liv '!H90+'Oslo Pensjonsforsikring'!H90+'Protector Forsikring'!H90+'SHB Liv'!H90+'Sparebank 1'!H90+'Storebrand Livsforsikring'!H90+'Telenor Forsikring'!H90+'Tryg Forsikring'!H90+'WaterCircle F'!H90+'Codan Forsikring'!H90+'Euro Accident'!H90</f>
        <v>0</v>
      </c>
      <c r="I90" s="734">
        <f>'Fremtind Livsforsikring'!I90+'Danica Pensjonsforsikring'!I90+'DNB Livsforsikring'!I90+'Eika Forsikring AS'!I90+'Frende Livsforsikring'!I90+'Frende Skadeforsikring'!I90+'Gjensidige Forsikring'!I90+'Gjensidige Pensjon'!I90+'Handelsbanken Liv'!I90+'If Skadeforsikring NUF'!I90+KLP!I90+'DNB Bedriftspensjon AS'!I90+'KLP Skadeforsikring AS'!I90+'Landkreditt Forsikring'!I90+Insr!I90+'Nordea Liv '!I90+'Oslo Pensjonsforsikring'!I90+'Protector Forsikring'!I90+'SHB Liv'!I90+'Sparebank 1'!I90+'Storebrand Livsforsikring'!I90+'Telenor Forsikring'!I90+'Tryg Forsikring'!I90+'WaterCircle F'!I90+'Codan Forsikring'!I90+'Euro Accident'!I90</f>
        <v>0</v>
      </c>
      <c r="J90" s="22"/>
    </row>
    <row r="91" spans="1:12" ht="15.75" customHeight="1" x14ac:dyDescent="0.2">
      <c r="A91" s="294" t="s">
        <v>12</v>
      </c>
      <c r="B91" s="233">
        <f>'Fremtind Livsforsikring'!B91+'Danica Pensjonsforsikring'!B91+'DNB Livsforsikring'!B91+'Eika Forsikring AS'!B91+'Frende Livsforsikring'!B91+'Frende Skadeforsikring'!B91+'Gjensidige Forsikring'!B91+'Gjensidige Pensjon'!B91+'Handelsbanken Liv'!B91+'If Skadeforsikring NUF'!B91+KLP!B91+'DNB Bedriftspensjon AS'!B91+'KLP Skadeforsikring AS'!B91+'Landkreditt Forsikring'!B91+Insr!B91+'Nordea Liv '!B91+'Oslo Pensjonsforsikring'!B91+'Protector Forsikring'!B91+'SHB Liv'!B91+'Sparebank 1'!B91+'Storebrand Livsforsikring'!B91+'Telenor Forsikring'!B91+'Tryg Forsikring'!B91+'WaterCircle F'!B91+'Codan Forsikring'!B91+'Euro Accident'!B91</f>
        <v>0</v>
      </c>
      <c r="C91" s="233">
        <f>'Fremtind Livsforsikring'!C91+'Danica Pensjonsforsikring'!C91+'DNB Livsforsikring'!C91+'Eika Forsikring AS'!C91+'Frende Livsforsikring'!C91+'Frende Skadeforsikring'!C91+'Gjensidige Forsikring'!C91+'Gjensidige Pensjon'!C91+'Handelsbanken Liv'!C91+'If Skadeforsikring NUF'!C91+KLP!C91+'DNB Bedriftspensjon AS'!C91+'KLP Skadeforsikring AS'!C91+'Landkreditt Forsikring'!C91+Insr!C91+'Nordea Liv '!C91+'Oslo Pensjonsforsikring'!C91+'Protector Forsikring'!C91+'SHB Liv'!C91+'Sparebank 1'!C91+'Storebrand Livsforsikring'!C91+'Telenor Forsikring'!C91+'Tryg Forsikring'!C91+'WaterCircle F'!C91+'Codan Forsikring'!C91+'Euro Accident'!C91</f>
        <v>0</v>
      </c>
      <c r="D91" s="26"/>
      <c r="E91" s="734">
        <f>'Fremtind Livsforsikring'!E91+'Danica Pensjonsforsikring'!E91+'DNB Livsforsikring'!E91+'Eika Forsikring AS'!E91+'Frende Livsforsikring'!E91+'Frende Skadeforsikring'!E91+'Gjensidige Forsikring'!E91+'Gjensidige Pensjon'!E91+'Handelsbanken Liv'!E91+'If Skadeforsikring NUF'!E91+KLP!E91+'DNB Bedriftspensjon AS'!E91+'KLP Skadeforsikring AS'!E91+'Landkreditt Forsikring'!E91+Insr!E91+'Nordea Liv '!E91+'Oslo Pensjonsforsikring'!E91+'Protector Forsikring'!E91+'SHB Liv'!E91+'Sparebank 1'!E91+'Storebrand Livsforsikring'!E91+'Telenor Forsikring'!E91+'Tryg Forsikring'!E91+'WaterCircle F'!E91+'Codan Forsikring'!E91+'Euro Accident'!E91</f>
        <v>0</v>
      </c>
      <c r="F91" s="734">
        <f>'Fremtind Livsforsikring'!F91+'Danica Pensjonsforsikring'!F91+'DNB Livsforsikring'!F91+'Eika Forsikring AS'!F91+'Frende Livsforsikring'!F91+'Frende Skadeforsikring'!F91+'Gjensidige Forsikring'!F91+'Gjensidige Pensjon'!F91+'Handelsbanken Liv'!F91+'If Skadeforsikring NUF'!F91+KLP!F91+'DNB Bedriftspensjon AS'!F91+'KLP Skadeforsikring AS'!F91+'Landkreditt Forsikring'!F91+Insr!F91+'Nordea Liv '!F91+'Oslo Pensjonsforsikring'!F91+'Protector Forsikring'!F91+'SHB Liv'!F91+'Sparebank 1'!F91+'Storebrand Livsforsikring'!F91+'Telenor Forsikring'!F91+'Tryg Forsikring'!F91+'WaterCircle F'!F91+'Codan Forsikring'!F91+'Euro Accident'!F91</f>
        <v>0</v>
      </c>
      <c r="G91" s="165"/>
      <c r="H91" s="734">
        <f>'Fremtind Livsforsikring'!H91+'Danica Pensjonsforsikring'!H91+'DNB Livsforsikring'!H91+'Eika Forsikring AS'!H91+'Frende Livsforsikring'!H91+'Frende Skadeforsikring'!H91+'Gjensidige Forsikring'!H91+'Gjensidige Pensjon'!H91+'Handelsbanken Liv'!H91+'If Skadeforsikring NUF'!H91+KLP!H91+'DNB Bedriftspensjon AS'!H91+'KLP Skadeforsikring AS'!H91+'Landkreditt Forsikring'!H91+Insr!H91+'Nordea Liv '!H91+'Oslo Pensjonsforsikring'!H91+'Protector Forsikring'!H91+'SHB Liv'!H91+'Sparebank 1'!H91+'Storebrand Livsforsikring'!H91+'Telenor Forsikring'!H91+'Tryg Forsikring'!H91+'WaterCircle F'!H91+'Codan Forsikring'!H91+'Euro Accident'!H91</f>
        <v>0</v>
      </c>
      <c r="I91" s="734">
        <f>'Fremtind Livsforsikring'!I91+'Danica Pensjonsforsikring'!I91+'DNB Livsforsikring'!I91+'Eika Forsikring AS'!I91+'Frende Livsforsikring'!I91+'Frende Skadeforsikring'!I91+'Gjensidige Forsikring'!I91+'Gjensidige Pensjon'!I91+'Handelsbanken Liv'!I91+'If Skadeforsikring NUF'!I91+KLP!I91+'DNB Bedriftspensjon AS'!I91+'KLP Skadeforsikring AS'!I91+'Landkreditt Forsikring'!I91+Insr!I91+'Nordea Liv '!I91+'Oslo Pensjonsforsikring'!I91+'Protector Forsikring'!I91+'SHB Liv'!I91+'Sparebank 1'!I91+'Storebrand Livsforsikring'!I91+'Telenor Forsikring'!I91+'Tryg Forsikring'!I91+'WaterCircle F'!I91+'Codan Forsikring'!I91+'Euro Accident'!I91</f>
        <v>0</v>
      </c>
      <c r="J91" s="22"/>
    </row>
    <row r="92" spans="1:12" ht="15.75" customHeight="1" x14ac:dyDescent="0.2">
      <c r="A92" s="294" t="s">
        <v>13</v>
      </c>
      <c r="B92" s="233">
        <f>'Fremtind Livsforsikring'!B92+'Danica Pensjonsforsikring'!B92+'DNB Livsforsikring'!B92+'Eika Forsikring AS'!B92+'Frende Livsforsikring'!B92+'Frende Skadeforsikring'!B92+'Gjensidige Forsikring'!B92+'Gjensidige Pensjon'!B92+'Handelsbanken Liv'!B92+'If Skadeforsikring NUF'!B92+KLP!B92+'DNB Bedriftspensjon AS'!B92+'KLP Skadeforsikring AS'!B92+'Landkreditt Forsikring'!B92+Insr!B92+'Nordea Liv '!B92+'Oslo Pensjonsforsikring'!B92+'Protector Forsikring'!B92+'SHB Liv'!B92+'Sparebank 1'!B92+'Storebrand Livsforsikring'!B92+'Telenor Forsikring'!B92+'Tryg Forsikring'!B92+'WaterCircle F'!B92+'Codan Forsikring'!B92+'Euro Accident'!B92</f>
        <v>0</v>
      </c>
      <c r="C92" s="233">
        <f>'Fremtind Livsforsikring'!C92+'Danica Pensjonsforsikring'!C92+'DNB Livsforsikring'!C92+'Eika Forsikring AS'!C92+'Frende Livsforsikring'!C92+'Frende Skadeforsikring'!C92+'Gjensidige Forsikring'!C92+'Gjensidige Pensjon'!C92+'Handelsbanken Liv'!C92+'If Skadeforsikring NUF'!C92+KLP!C92+'DNB Bedriftspensjon AS'!C92+'KLP Skadeforsikring AS'!C92+'Landkreditt Forsikring'!C92+Insr!C92+'Nordea Liv '!C92+'Oslo Pensjonsforsikring'!C92+'Protector Forsikring'!C92+'SHB Liv'!C92+'Sparebank 1'!C92+'Storebrand Livsforsikring'!C92+'Telenor Forsikring'!C92+'Tryg Forsikring'!C92+'WaterCircle F'!C92+'Codan Forsikring'!C92+'Euro Accident'!C92</f>
        <v>0</v>
      </c>
      <c r="D92" s="26"/>
      <c r="E92" s="734">
        <f>'Fremtind Livsforsikring'!E92+'Danica Pensjonsforsikring'!E92+'DNB Livsforsikring'!E92+'Eika Forsikring AS'!E92+'Frende Livsforsikring'!E92+'Frende Skadeforsikring'!E92+'Gjensidige Forsikring'!E92+'Gjensidige Pensjon'!E92+'Handelsbanken Liv'!E92+'If Skadeforsikring NUF'!E92+KLP!E92+'DNB Bedriftspensjon AS'!E92+'KLP Skadeforsikring AS'!E92+'Landkreditt Forsikring'!E92+Insr!E92+'Nordea Liv '!E92+'Oslo Pensjonsforsikring'!E92+'Protector Forsikring'!E92+'SHB Liv'!E92+'Sparebank 1'!E92+'Storebrand Livsforsikring'!E92+'Telenor Forsikring'!E92+'Tryg Forsikring'!E92+'WaterCircle F'!E92+'Codan Forsikring'!E92+'Euro Accident'!E92</f>
        <v>0</v>
      </c>
      <c r="F92" s="734">
        <f>'Fremtind Livsforsikring'!F92+'Danica Pensjonsforsikring'!F92+'DNB Livsforsikring'!F92+'Eika Forsikring AS'!F92+'Frende Livsforsikring'!F92+'Frende Skadeforsikring'!F92+'Gjensidige Forsikring'!F92+'Gjensidige Pensjon'!F92+'Handelsbanken Liv'!F92+'If Skadeforsikring NUF'!F92+KLP!F92+'DNB Bedriftspensjon AS'!F92+'KLP Skadeforsikring AS'!F92+'Landkreditt Forsikring'!F92+Insr!F92+'Nordea Liv '!F92+'Oslo Pensjonsforsikring'!F92+'Protector Forsikring'!F92+'SHB Liv'!F92+'Sparebank 1'!F92+'Storebrand Livsforsikring'!F92+'Telenor Forsikring'!F92+'Tryg Forsikring'!F92+'WaterCircle F'!F92+'Codan Forsikring'!F92+'Euro Accident'!F92</f>
        <v>0</v>
      </c>
      <c r="G92" s="165"/>
      <c r="H92" s="734">
        <f>'Fremtind Livsforsikring'!H92+'Danica Pensjonsforsikring'!H92+'DNB Livsforsikring'!H92+'Eika Forsikring AS'!H92+'Frende Livsforsikring'!H92+'Frende Skadeforsikring'!H92+'Gjensidige Forsikring'!H92+'Gjensidige Pensjon'!H92+'Handelsbanken Liv'!H92+'If Skadeforsikring NUF'!H92+KLP!H92+'DNB Bedriftspensjon AS'!H92+'KLP Skadeforsikring AS'!H92+'Landkreditt Forsikring'!H92+Insr!H92+'Nordea Liv '!H92+'Oslo Pensjonsforsikring'!H92+'Protector Forsikring'!H92+'SHB Liv'!H92+'Sparebank 1'!H92+'Storebrand Livsforsikring'!H92+'Telenor Forsikring'!H92+'Tryg Forsikring'!H92+'WaterCircle F'!H92+'Codan Forsikring'!H92+'Euro Accident'!H92</f>
        <v>0</v>
      </c>
      <c r="I92" s="734">
        <f>'Fremtind Livsforsikring'!I92+'Danica Pensjonsforsikring'!I92+'DNB Livsforsikring'!I92+'Eika Forsikring AS'!I92+'Frende Livsforsikring'!I92+'Frende Skadeforsikring'!I92+'Gjensidige Forsikring'!I92+'Gjensidige Pensjon'!I92+'Handelsbanken Liv'!I92+'If Skadeforsikring NUF'!I92+KLP!I92+'DNB Bedriftspensjon AS'!I92+'KLP Skadeforsikring AS'!I92+'Landkreditt Forsikring'!I92+Insr!I92+'Nordea Liv '!I92+'Oslo Pensjonsforsikring'!I92+'Protector Forsikring'!I92+'SHB Liv'!I92+'Sparebank 1'!I92+'Storebrand Livsforsikring'!I92+'Telenor Forsikring'!I92+'Tryg Forsikring'!I92+'WaterCircle F'!I92+'Codan Forsikring'!I92+'Euro Accident'!I92</f>
        <v>0</v>
      </c>
      <c r="J92" s="22"/>
      <c r="L92" s="710"/>
    </row>
    <row r="93" spans="1:12" ht="15.75" customHeight="1" x14ac:dyDescent="0.2">
      <c r="A93" s="294" t="s">
        <v>380</v>
      </c>
      <c r="B93" s="734">
        <f>'Fremtind Livsforsikring'!B93+'Danica Pensjonsforsikring'!B93+'DNB Livsforsikring'!B93+'Eika Forsikring AS'!B93+'Frende Livsforsikring'!B93+'Frende Skadeforsikring'!B93+'Gjensidige Forsikring'!B93+'Gjensidige Pensjon'!B93+'Handelsbanken Liv'!B93+'If Skadeforsikring NUF'!B93+KLP!B93+'DNB Bedriftspensjon AS'!B93+'KLP Skadeforsikring AS'!B93+'Landkreditt Forsikring'!B93+Insr!B93+'Nordea Liv '!B93+'Oslo Pensjonsforsikring'!B93+'Protector Forsikring'!B93+'SHB Liv'!B93+'Sparebank 1'!B93+'Storebrand Livsforsikring'!B93+'Telenor Forsikring'!B93+'Tryg Forsikring'!B93+'WaterCircle F'!B93+'Codan Forsikring'!B93+'Euro Accident'!B93</f>
        <v>0</v>
      </c>
      <c r="C93" s="734">
        <f>'Fremtind Livsforsikring'!C93+'Danica Pensjonsforsikring'!C93+'DNB Livsforsikring'!C93+'Eika Forsikring AS'!C93+'Frende Livsforsikring'!C93+'Frende Skadeforsikring'!C93+'Gjensidige Forsikring'!C93+'Gjensidige Pensjon'!C93+'Handelsbanken Liv'!C93+'If Skadeforsikring NUF'!C93+KLP!C93+'DNB Bedriftspensjon AS'!C93+'KLP Skadeforsikring AS'!C93+'Landkreditt Forsikring'!C93+Insr!C93+'Nordea Liv '!C93+'Oslo Pensjonsforsikring'!C93+'Protector Forsikring'!C93+'SHB Liv'!C93+'Sparebank 1'!C93+'Storebrand Livsforsikring'!C93+'Telenor Forsikring'!C93+'Tryg Forsikring'!C93+'WaterCircle F'!C93+'Codan Forsikring'!C93+'Euro Accident'!C93</f>
        <v>0</v>
      </c>
      <c r="D93" s="26"/>
      <c r="E93" s="734">
        <f>'Fremtind Livsforsikring'!E93+'Danica Pensjonsforsikring'!E93+'DNB Livsforsikring'!E93+'Eika Forsikring AS'!E93+'Frende Livsforsikring'!E93+'Frende Skadeforsikring'!E93+'Gjensidige Forsikring'!E93+'Gjensidige Pensjon'!E93+'Handelsbanken Liv'!E93+'If Skadeforsikring NUF'!E93+KLP!E93+'DNB Bedriftspensjon AS'!E93+'KLP Skadeforsikring AS'!E93+'Landkreditt Forsikring'!E93+Insr!E93+'Nordea Liv '!E93+'Oslo Pensjonsforsikring'!E93+'Protector Forsikring'!E93+'SHB Liv'!E93+'Sparebank 1'!E93+'Storebrand Livsforsikring'!E93+'Telenor Forsikring'!E93+'Tryg Forsikring'!E93+'WaterCircle F'!E93+'Codan Forsikring'!E93+'Euro Accident'!E93</f>
        <v>0</v>
      </c>
      <c r="F93" s="734">
        <f>'Fremtind Livsforsikring'!F93+'Danica Pensjonsforsikring'!F93+'DNB Livsforsikring'!F93+'Eika Forsikring AS'!F93+'Frende Livsforsikring'!F93+'Frende Skadeforsikring'!F93+'Gjensidige Forsikring'!F93+'Gjensidige Pensjon'!F93+'Handelsbanken Liv'!F93+'If Skadeforsikring NUF'!F93+KLP!F93+'DNB Bedriftspensjon AS'!F93+'KLP Skadeforsikring AS'!F93+'Landkreditt Forsikring'!F93+Insr!F93+'Nordea Liv '!F93+'Oslo Pensjonsforsikring'!F93+'Protector Forsikring'!F93+'SHB Liv'!F93+'Sparebank 1'!F93+'Storebrand Livsforsikring'!F93+'Telenor Forsikring'!F93+'Tryg Forsikring'!F93+'WaterCircle F'!F93+'Codan Forsikring'!F93+'Euro Accident'!F93</f>
        <v>0</v>
      </c>
      <c r="G93" s="165"/>
      <c r="H93" s="734">
        <f>'Fremtind Livsforsikring'!H93+'Danica Pensjonsforsikring'!H93+'DNB Livsforsikring'!H93+'Eika Forsikring AS'!H93+'Frende Livsforsikring'!H93+'Frende Skadeforsikring'!H93+'Gjensidige Forsikring'!H93+'Gjensidige Pensjon'!H93+'Handelsbanken Liv'!H93+'If Skadeforsikring NUF'!H93+KLP!H93+'DNB Bedriftspensjon AS'!H93+'KLP Skadeforsikring AS'!H93+'Landkreditt Forsikring'!H93+Insr!H93+'Nordea Liv '!H93+'Oslo Pensjonsforsikring'!H93+'Protector Forsikring'!H93+'SHB Liv'!H93+'Sparebank 1'!H93+'Storebrand Livsforsikring'!H93+'Telenor Forsikring'!H93+'Tryg Forsikring'!H93+'WaterCircle F'!H93+'Codan Forsikring'!H93+'Euro Accident'!H93</f>
        <v>0</v>
      </c>
      <c r="I93" s="734">
        <f>'Fremtind Livsforsikring'!I93+'Danica Pensjonsforsikring'!I93+'DNB Livsforsikring'!I93+'Eika Forsikring AS'!I93+'Frende Livsforsikring'!I93+'Frende Skadeforsikring'!I93+'Gjensidige Forsikring'!I93+'Gjensidige Pensjon'!I93+'Handelsbanken Liv'!I93+'If Skadeforsikring NUF'!I93+KLP!I93+'DNB Bedriftspensjon AS'!I93+'KLP Skadeforsikring AS'!I93+'Landkreditt Forsikring'!I93+Insr!I93+'Nordea Liv '!I93+'Oslo Pensjonsforsikring'!I93+'Protector Forsikring'!I93+'SHB Liv'!I93+'Sparebank 1'!I93+'Storebrand Livsforsikring'!I93+'Telenor Forsikring'!I93+'Tryg Forsikring'!I93+'WaterCircle F'!I93+'Codan Forsikring'!I93+'Euro Accident'!I93</f>
        <v>0</v>
      </c>
      <c r="J93" s="22"/>
    </row>
    <row r="94" spans="1:12" ht="15.75" customHeight="1" x14ac:dyDescent="0.2">
      <c r="A94" s="294" t="s">
        <v>12</v>
      </c>
      <c r="B94" s="233">
        <f>'Fremtind Livsforsikring'!B94+'Danica Pensjonsforsikring'!B94+'DNB Livsforsikring'!B94+'Eika Forsikring AS'!B94+'Frende Livsforsikring'!B94+'Frende Skadeforsikring'!B94+'Gjensidige Forsikring'!B94+'Gjensidige Pensjon'!B94+'Handelsbanken Liv'!B94+'If Skadeforsikring NUF'!B94+KLP!B94+'DNB Bedriftspensjon AS'!B94+'KLP Skadeforsikring AS'!B94+'Landkreditt Forsikring'!B94+Insr!B94+'Nordea Liv '!B94+'Oslo Pensjonsforsikring'!B94+'Protector Forsikring'!B94+'SHB Liv'!B94+'Sparebank 1'!B94+'Storebrand Livsforsikring'!B94+'Telenor Forsikring'!B94+'Tryg Forsikring'!B94+'WaterCircle F'!B94+'Codan Forsikring'!B94+'Euro Accident'!B94</f>
        <v>0</v>
      </c>
      <c r="C94" s="233">
        <f>'Fremtind Livsforsikring'!C94+'Danica Pensjonsforsikring'!C94+'DNB Livsforsikring'!C94+'Eika Forsikring AS'!C94+'Frende Livsforsikring'!C94+'Frende Skadeforsikring'!C94+'Gjensidige Forsikring'!C94+'Gjensidige Pensjon'!C94+'Handelsbanken Liv'!C94+'If Skadeforsikring NUF'!C94+KLP!C94+'DNB Bedriftspensjon AS'!C94+'KLP Skadeforsikring AS'!C94+'Landkreditt Forsikring'!C94+Insr!C94+'Nordea Liv '!C94+'Oslo Pensjonsforsikring'!C94+'Protector Forsikring'!C94+'SHB Liv'!C94+'Sparebank 1'!C94+'Storebrand Livsforsikring'!C94+'Telenor Forsikring'!C94+'Tryg Forsikring'!C94+'WaterCircle F'!C94+'Codan Forsikring'!C94+'Euro Accident'!C94</f>
        <v>0</v>
      </c>
      <c r="D94" s="26"/>
      <c r="E94" s="734">
        <f>'Fremtind Livsforsikring'!E94+'Danica Pensjonsforsikring'!E94+'DNB Livsforsikring'!E94+'Eika Forsikring AS'!E94+'Frende Livsforsikring'!E94+'Frende Skadeforsikring'!E94+'Gjensidige Forsikring'!E94+'Gjensidige Pensjon'!E94+'Handelsbanken Liv'!E94+'If Skadeforsikring NUF'!E94+KLP!E94+'DNB Bedriftspensjon AS'!E94+'KLP Skadeforsikring AS'!E94+'Landkreditt Forsikring'!E94+Insr!E94+'Nordea Liv '!E94+'Oslo Pensjonsforsikring'!E94+'Protector Forsikring'!E94+'SHB Liv'!E94+'Sparebank 1'!E94+'Storebrand Livsforsikring'!E94+'Telenor Forsikring'!E94+'Tryg Forsikring'!E94+'WaterCircle F'!E94+'Codan Forsikring'!E94+'Euro Accident'!E94</f>
        <v>0</v>
      </c>
      <c r="F94" s="734">
        <f>'Fremtind Livsforsikring'!F94+'Danica Pensjonsforsikring'!F94+'DNB Livsforsikring'!F94+'Eika Forsikring AS'!F94+'Frende Livsforsikring'!F94+'Frende Skadeforsikring'!F94+'Gjensidige Forsikring'!F94+'Gjensidige Pensjon'!F94+'Handelsbanken Liv'!F94+'If Skadeforsikring NUF'!F94+KLP!F94+'DNB Bedriftspensjon AS'!F94+'KLP Skadeforsikring AS'!F94+'Landkreditt Forsikring'!F94+Insr!F94+'Nordea Liv '!F94+'Oslo Pensjonsforsikring'!F94+'Protector Forsikring'!F94+'SHB Liv'!F94+'Sparebank 1'!F94+'Storebrand Livsforsikring'!F94+'Telenor Forsikring'!F94+'Tryg Forsikring'!F94+'WaterCircle F'!F94+'Codan Forsikring'!F94+'Euro Accident'!F94</f>
        <v>0</v>
      </c>
      <c r="G94" s="165"/>
      <c r="H94" s="734">
        <f>'Fremtind Livsforsikring'!H94+'Danica Pensjonsforsikring'!H94+'DNB Livsforsikring'!H94+'Eika Forsikring AS'!H94+'Frende Livsforsikring'!H94+'Frende Skadeforsikring'!H94+'Gjensidige Forsikring'!H94+'Gjensidige Pensjon'!H94+'Handelsbanken Liv'!H94+'If Skadeforsikring NUF'!H94+KLP!H94+'DNB Bedriftspensjon AS'!H94+'KLP Skadeforsikring AS'!H94+'Landkreditt Forsikring'!H94+Insr!H94+'Nordea Liv '!H94+'Oslo Pensjonsforsikring'!H94+'Protector Forsikring'!H94+'SHB Liv'!H94+'Sparebank 1'!H94+'Storebrand Livsforsikring'!H94+'Telenor Forsikring'!H94+'Tryg Forsikring'!H94+'WaterCircle F'!H94+'Codan Forsikring'!H94+'Euro Accident'!H94</f>
        <v>0</v>
      </c>
      <c r="I94" s="734">
        <f>'Fremtind Livsforsikring'!I94+'Danica Pensjonsforsikring'!I94+'DNB Livsforsikring'!I94+'Eika Forsikring AS'!I94+'Frende Livsforsikring'!I94+'Frende Skadeforsikring'!I94+'Gjensidige Forsikring'!I94+'Gjensidige Pensjon'!I94+'Handelsbanken Liv'!I94+'If Skadeforsikring NUF'!I94+KLP!I94+'DNB Bedriftspensjon AS'!I94+'KLP Skadeforsikring AS'!I94+'Landkreditt Forsikring'!I94+Insr!I94+'Nordea Liv '!I94+'Oslo Pensjonsforsikring'!I94+'Protector Forsikring'!I94+'SHB Liv'!I94+'Sparebank 1'!I94+'Storebrand Livsforsikring'!I94+'Telenor Forsikring'!I94+'Tryg Forsikring'!I94+'WaterCircle F'!I94+'Codan Forsikring'!I94+'Euro Accident'!I94</f>
        <v>0</v>
      </c>
      <c r="J94" s="22"/>
    </row>
    <row r="95" spans="1:12" ht="15.75" customHeight="1" x14ac:dyDescent="0.2">
      <c r="A95" s="294" t="s">
        <v>13</v>
      </c>
      <c r="B95" s="233">
        <f>'Fremtind Livsforsikring'!B95+'Danica Pensjonsforsikring'!B95+'DNB Livsforsikring'!B95+'Eika Forsikring AS'!B95+'Frende Livsforsikring'!B95+'Frende Skadeforsikring'!B95+'Gjensidige Forsikring'!B95+'Gjensidige Pensjon'!B95+'Handelsbanken Liv'!B95+'If Skadeforsikring NUF'!B95+KLP!B95+'DNB Bedriftspensjon AS'!B95+'KLP Skadeforsikring AS'!B95+'Landkreditt Forsikring'!B95+Insr!B95+'Nordea Liv '!B95+'Oslo Pensjonsforsikring'!B95+'Protector Forsikring'!B95+'SHB Liv'!B95+'Sparebank 1'!B95+'Storebrand Livsforsikring'!B95+'Telenor Forsikring'!B95+'Tryg Forsikring'!B95+'WaterCircle F'!B95+'Codan Forsikring'!B95+'Euro Accident'!B95</f>
        <v>0</v>
      </c>
      <c r="C95" s="233">
        <f>'Fremtind Livsforsikring'!C95+'Danica Pensjonsforsikring'!C95+'DNB Livsforsikring'!C95+'Eika Forsikring AS'!C95+'Frende Livsforsikring'!C95+'Frende Skadeforsikring'!C95+'Gjensidige Forsikring'!C95+'Gjensidige Pensjon'!C95+'Handelsbanken Liv'!C95+'If Skadeforsikring NUF'!C95+KLP!C95+'DNB Bedriftspensjon AS'!C95+'KLP Skadeforsikring AS'!C95+'Landkreditt Forsikring'!C95+Insr!C95+'Nordea Liv '!C95+'Oslo Pensjonsforsikring'!C95+'Protector Forsikring'!C95+'SHB Liv'!C95+'Sparebank 1'!C95+'Storebrand Livsforsikring'!C95+'Telenor Forsikring'!C95+'Tryg Forsikring'!C95+'WaterCircle F'!C95+'Codan Forsikring'!C95+'Euro Accident'!C95</f>
        <v>0</v>
      </c>
      <c r="D95" s="26"/>
      <c r="E95" s="734">
        <f>'Fremtind Livsforsikring'!E95+'Danica Pensjonsforsikring'!E95+'DNB Livsforsikring'!E95+'Eika Forsikring AS'!E95+'Frende Livsforsikring'!E95+'Frende Skadeforsikring'!E95+'Gjensidige Forsikring'!E95+'Gjensidige Pensjon'!E95+'Handelsbanken Liv'!E95+'If Skadeforsikring NUF'!E95+KLP!E95+'DNB Bedriftspensjon AS'!E95+'KLP Skadeforsikring AS'!E95+'Landkreditt Forsikring'!E95+Insr!E95+'Nordea Liv '!E95+'Oslo Pensjonsforsikring'!E95+'Protector Forsikring'!E95+'SHB Liv'!E95+'Sparebank 1'!E95+'Storebrand Livsforsikring'!E95+'Telenor Forsikring'!E95+'Tryg Forsikring'!E95+'WaterCircle F'!E95+'Codan Forsikring'!E95+'Euro Accident'!E95</f>
        <v>0</v>
      </c>
      <c r="F95" s="734">
        <f>'Fremtind Livsforsikring'!F95+'Danica Pensjonsforsikring'!F95+'DNB Livsforsikring'!F95+'Eika Forsikring AS'!F95+'Frende Livsforsikring'!F95+'Frende Skadeforsikring'!F95+'Gjensidige Forsikring'!F95+'Gjensidige Pensjon'!F95+'Handelsbanken Liv'!F95+'If Skadeforsikring NUF'!F95+KLP!F95+'DNB Bedriftspensjon AS'!F95+'KLP Skadeforsikring AS'!F95+'Landkreditt Forsikring'!F95+Insr!F95+'Nordea Liv '!F95+'Oslo Pensjonsforsikring'!F95+'Protector Forsikring'!F95+'SHB Liv'!F95+'Sparebank 1'!F95+'Storebrand Livsforsikring'!F95+'Telenor Forsikring'!F95+'Tryg Forsikring'!F95+'WaterCircle F'!F95+'Codan Forsikring'!F95+'Euro Accident'!F95</f>
        <v>0</v>
      </c>
      <c r="G95" s="165"/>
      <c r="H95" s="734">
        <f>'Fremtind Livsforsikring'!H95+'Danica Pensjonsforsikring'!H95+'DNB Livsforsikring'!H95+'Eika Forsikring AS'!H95+'Frende Livsforsikring'!H95+'Frende Skadeforsikring'!H95+'Gjensidige Forsikring'!H95+'Gjensidige Pensjon'!H95+'Handelsbanken Liv'!H95+'If Skadeforsikring NUF'!H95+KLP!H95+'DNB Bedriftspensjon AS'!H95+'KLP Skadeforsikring AS'!H95+'Landkreditt Forsikring'!H95+Insr!H95+'Nordea Liv '!H95+'Oslo Pensjonsforsikring'!H95+'Protector Forsikring'!H95+'SHB Liv'!H95+'Sparebank 1'!H95+'Storebrand Livsforsikring'!H95+'Telenor Forsikring'!H95+'Tryg Forsikring'!H95+'WaterCircle F'!H95+'Codan Forsikring'!H95+'Euro Accident'!H95</f>
        <v>0</v>
      </c>
      <c r="I95" s="734">
        <f>'Fremtind Livsforsikring'!I95+'Danica Pensjonsforsikring'!I95+'DNB Livsforsikring'!I95+'Eika Forsikring AS'!I95+'Frende Livsforsikring'!I95+'Frende Skadeforsikring'!I95+'Gjensidige Forsikring'!I95+'Gjensidige Pensjon'!I95+'Handelsbanken Liv'!I95+'If Skadeforsikring NUF'!I95+KLP!I95+'DNB Bedriftspensjon AS'!I95+'KLP Skadeforsikring AS'!I95+'Landkreditt Forsikring'!I95+Insr!I95+'Nordea Liv '!I95+'Oslo Pensjonsforsikring'!I95+'Protector Forsikring'!I95+'SHB Liv'!I95+'Sparebank 1'!I95+'Storebrand Livsforsikring'!I95+'Telenor Forsikring'!I95+'Tryg Forsikring'!I95+'WaterCircle F'!I95+'Codan Forsikring'!I95+'Euro Accident'!I95</f>
        <v>0</v>
      </c>
      <c r="J95" s="22"/>
    </row>
    <row r="96" spans="1:12" ht="15.75" customHeight="1" x14ac:dyDescent="0.25">
      <c r="A96" s="20" t="s">
        <v>349</v>
      </c>
      <c r="B96" s="232">
        <f>'Fremtind Livsforsikring'!B96+'Danica Pensjonsforsikring'!B96+'DNB Livsforsikring'!B96+'Eika Forsikring AS'!B96+'Frende Livsforsikring'!B96+'Frende Skadeforsikring'!B96+'Gjensidige Forsikring'!B96+'Gjensidige Pensjon'!B96+'Handelsbanken Liv'!B96+'If Skadeforsikring NUF'!B96+KLP!B96+'DNB Bedriftspensjon AS'!B96+'KLP Skadeforsikring AS'!B96+'Landkreditt Forsikring'!B96+Insr!B96+'Nordea Liv '!B96+'Oslo Pensjonsforsikring'!B96+'Protector Forsikring'!B96+'SHB Liv'!B96+'Sparebank 1'!B96+'Storebrand Livsforsikring'!B96+'Telenor Forsikring'!B96+'Tryg Forsikring'!B96+'WaterCircle F'!B96+'Codan Forsikring'!B96+'Euro Accident'!B96</f>
        <v>1683130.4755699998</v>
      </c>
      <c r="C96" s="232">
        <f>'Fremtind Livsforsikring'!C96+'Danica Pensjonsforsikring'!C96+'DNB Livsforsikring'!C96+'Eika Forsikring AS'!C96+'Frende Livsforsikring'!C96+'Frende Skadeforsikring'!C96+'Gjensidige Forsikring'!C96+'Gjensidige Pensjon'!C96+'Handelsbanken Liv'!C96+'If Skadeforsikring NUF'!C96+KLP!C96+'DNB Bedriftspensjon AS'!C96+'KLP Skadeforsikring AS'!C96+'Landkreditt Forsikring'!C96+Insr!C96+'Nordea Liv '!C96+'Oslo Pensjonsforsikring'!C96+'Protector Forsikring'!C96+'SHB Liv'!C96+'Sparebank 1'!C96+'Storebrand Livsforsikring'!C96+'Telenor Forsikring'!C96+'Tryg Forsikring'!C96+'WaterCircle F'!C96+'Codan Forsikring'!C96+'Euro Accident'!C96</f>
        <v>2319961.8083600001</v>
      </c>
      <c r="D96" s="22">
        <f t="shared" si="23"/>
        <v>37.799999999999997</v>
      </c>
      <c r="E96" s="43">
        <f>'Fremtind Livsforsikring'!F96+'Danica Pensjonsforsikring'!F96+'DNB Livsforsikring'!F96+'Eika Forsikring AS'!F96+'Frende Livsforsikring'!F96+'Frende Skadeforsikring'!F96+'Gjensidige Forsikring'!F96+'Gjensidige Pensjon'!F96+'Handelsbanken Liv'!F96+'If Skadeforsikring NUF'!F96+KLP!F96+'DNB Bedriftspensjon AS'!F96+'KLP Skadeforsikring AS'!F96+'Landkreditt Forsikring'!F96+Insr!F96+'Nordea Liv '!F96+'Oslo Pensjonsforsikring'!F96+'Protector Forsikring'!F96+'SHB Liv'!F96+'Sparebank 1'!F96+'Storebrand Livsforsikring'!F96+'Telenor Forsikring'!F96+'Tryg Forsikring'!F96+'WaterCircle F'!F96+'Codan Forsikring'!F96+'Euro Accident'!F96</f>
        <v>2196029.82651</v>
      </c>
      <c r="F96" s="43">
        <f>'Fremtind Livsforsikring'!G96+'Danica Pensjonsforsikring'!G96+'DNB Livsforsikring'!G96+'Eika Forsikring AS'!G96+'Frende Livsforsikring'!G96+'Frende Skadeforsikring'!G96+'Gjensidige Forsikring'!G96+'Gjensidige Pensjon'!G96+'Handelsbanken Liv'!G96+'If Skadeforsikring NUF'!G96+KLP!G96+'DNB Bedriftspensjon AS'!G96+'KLP Skadeforsikring AS'!G96+'Landkreditt Forsikring'!G96+Insr!G96+'Nordea Liv '!G96+'Oslo Pensjonsforsikring'!G96+'Protector Forsikring'!G96+'SHB Liv'!G96+'Sparebank 1'!G96+'Storebrand Livsforsikring'!G96+'Telenor Forsikring'!G96+'Tryg Forsikring'!G96+'WaterCircle F'!G96+'Codan Forsikring'!G96+'Euro Accident'!G96</f>
        <v>4087585.16653</v>
      </c>
      <c r="G96" s="239">
        <f t="shared" ref="G96" si="39">IF(E96=0, "    ---- ", IF(ABS(ROUND(100/E96*F96-100,1))&lt;999,ROUND(100/E96*F96-100,1),IF(ROUND(100/E96*F96-100,1)&gt;999,999,-999)))</f>
        <v>86.1</v>
      </c>
      <c r="H96" s="235">
        <f t="shared" si="37"/>
        <v>3879160.3020799998</v>
      </c>
      <c r="I96" s="235">
        <f t="shared" si="38"/>
        <v>6407546.9748900002</v>
      </c>
      <c r="J96" s="22">
        <f t="shared" si="27"/>
        <v>65.2</v>
      </c>
    </row>
    <row r="97" spans="1:10" ht="15.75" customHeight="1" x14ac:dyDescent="0.2">
      <c r="A97" s="20" t="s">
        <v>348</v>
      </c>
      <c r="B97" s="232">
        <f>'Fremtind Livsforsikring'!B97+'Danica Pensjonsforsikring'!B97+'DNB Livsforsikring'!B97+'Eika Forsikring AS'!B97+'Frende Livsforsikring'!B97+'Frende Skadeforsikring'!B97+'Gjensidige Forsikring'!B97+'Gjensidige Pensjon'!B97+'Handelsbanken Liv'!B97+'If Skadeforsikring NUF'!B97+KLP!B97+'DNB Bedriftspensjon AS'!B97+'KLP Skadeforsikring AS'!B97+'Landkreditt Forsikring'!B97+Insr!B97+'Nordea Liv '!B97+'Oslo Pensjonsforsikring'!B97+'Protector Forsikring'!B97+'SHB Liv'!B97+'Sparebank 1'!B97+'Storebrand Livsforsikring'!B97+'Telenor Forsikring'!B97+'Tryg Forsikring'!B97+'WaterCircle F'!B97+'Codan Forsikring'!B97+'Euro Accident'!B97</f>
        <v>6357363.8659500005</v>
      </c>
      <c r="C97" s="232">
        <f>'Fremtind Livsforsikring'!C97+'Danica Pensjonsforsikring'!C97+'DNB Livsforsikring'!C97+'Eika Forsikring AS'!C97+'Frende Livsforsikring'!C97+'Frende Skadeforsikring'!C97+'Gjensidige Forsikring'!C97+'Gjensidige Pensjon'!C97+'Handelsbanken Liv'!C97+'If Skadeforsikring NUF'!C97+KLP!C97+'DNB Bedriftspensjon AS'!C97+'KLP Skadeforsikring AS'!C97+'Landkreditt Forsikring'!C97+Insr!C97+'Nordea Liv '!C97+'Oslo Pensjonsforsikring'!C97+'Protector Forsikring'!C97+'SHB Liv'!C97+'Sparebank 1'!C97+'Storebrand Livsforsikring'!C97+'Telenor Forsikring'!C97+'Tryg Forsikring'!C97+'WaterCircle F'!C97+'Codan Forsikring'!C97+'Euro Accident'!C97</f>
        <v>7418493.4334300002</v>
      </c>
      <c r="D97" s="22">
        <f t="shared" ref="D97" si="40">IF(B97=0, "    ---- ", IF(ABS(ROUND(100/B97*C97-100,1))&lt;999,ROUND(100/B97*C97-100,1),IF(ROUND(100/B97*C97-100,1)&gt;999,999,-999)))</f>
        <v>16.7</v>
      </c>
      <c r="E97" s="43">
        <f>'Fremtind Livsforsikring'!F97+'Danica Pensjonsforsikring'!F97+'DNB Livsforsikring'!F97+'Eika Forsikring AS'!F97+'Frende Livsforsikring'!F97+'Frende Skadeforsikring'!F97+'Gjensidige Forsikring'!F97+'Gjensidige Pensjon'!F97+'Handelsbanken Liv'!F97+'If Skadeforsikring NUF'!F97+KLP!F97+'DNB Bedriftspensjon AS'!F97+'KLP Skadeforsikring AS'!F97+'Landkreditt Forsikring'!F97+Insr!F97+'Nordea Liv '!F97+'Oslo Pensjonsforsikring'!F97+'Protector Forsikring'!F97+'SHB Liv'!F97+'Sparebank 1'!F97+'Storebrand Livsforsikring'!F97+'Telenor Forsikring'!F97+'Tryg Forsikring'!F97+'WaterCircle F'!F97+'Codan Forsikring'!F97+'Euro Accident'!F97</f>
        <v>0</v>
      </c>
      <c r="F97" s="43">
        <f>'Fremtind Livsforsikring'!G97+'Danica Pensjonsforsikring'!G97+'DNB Livsforsikring'!G97+'Eika Forsikring AS'!G97+'Frende Livsforsikring'!G97+'Frende Skadeforsikring'!G97+'Gjensidige Forsikring'!G97+'Gjensidige Pensjon'!G97+'Handelsbanken Liv'!G97+'If Skadeforsikring NUF'!G97+KLP!G97+'DNB Bedriftspensjon AS'!G97+'KLP Skadeforsikring AS'!G97+'Landkreditt Forsikring'!G97+Insr!G97+'Nordea Liv '!G97+'Oslo Pensjonsforsikring'!G97+'Protector Forsikring'!G97+'SHB Liv'!G97+'Sparebank 1'!G97+'Storebrand Livsforsikring'!G97+'Telenor Forsikring'!G97+'Tryg Forsikring'!G97+'WaterCircle F'!G97+'Codan Forsikring'!G97+'Euro Accident'!G97</f>
        <v>0</v>
      </c>
      <c r="G97" s="165"/>
      <c r="H97" s="235">
        <f t="shared" ref="H97" si="41">SUM(B97,E97)</f>
        <v>6357363.8659500005</v>
      </c>
      <c r="I97" s="235">
        <f t="shared" ref="I97" si="42">SUM(C97,F97)</f>
        <v>7418493.4334300002</v>
      </c>
      <c r="J97" s="22">
        <f t="shared" ref="J97" si="43">IF(H97=0, "    ---- ", IF(ABS(ROUND(100/H97*I97-100,1))&lt;999,ROUND(100/H97*I97-100,1),IF(ROUND(100/H97*I97-100,1)&gt;999,999,-999)))</f>
        <v>16.7</v>
      </c>
    </row>
    <row r="98" spans="1:10" ht="15.75" customHeight="1" x14ac:dyDescent="0.25">
      <c r="A98" s="20" t="s">
        <v>381</v>
      </c>
      <c r="B98" s="232">
        <f>'Fremtind Livsforsikring'!B98+'Danica Pensjonsforsikring'!B98+'DNB Livsforsikring'!B98+'Eika Forsikring AS'!B98+'Frende Livsforsikring'!B98+'Frende Skadeforsikring'!B98+'Gjensidige Forsikring'!B98+'Gjensidige Pensjon'!B98+'Handelsbanken Liv'!B98+'If Skadeforsikring NUF'!B98+KLP!B98+'DNB Bedriftspensjon AS'!B98+'KLP Skadeforsikring AS'!B98+'Landkreditt Forsikring'!B98+Insr!B98+'Nordea Liv '!B98+'Oslo Pensjonsforsikring'!B98+'Protector Forsikring'!B98+'SHB Liv'!B98+'Sparebank 1'!B98+'Storebrand Livsforsikring'!B98+'Telenor Forsikring'!B98+'Tryg Forsikring'!B98+'WaterCircle F'!B98+'Codan Forsikring'!B98+'Euro Accident'!B98</f>
        <v>380494228.53785676</v>
      </c>
      <c r="C98" s="232">
        <f>'Fremtind Livsforsikring'!C98+'Danica Pensjonsforsikring'!C98+'DNB Livsforsikring'!C98+'Eika Forsikring AS'!C98+'Frende Livsforsikring'!C98+'Frende Skadeforsikring'!C98+'Gjensidige Forsikring'!C98+'Gjensidige Pensjon'!C98+'Handelsbanken Liv'!C98+'If Skadeforsikring NUF'!C98+KLP!C98+'DNB Bedriftspensjon AS'!C98+'KLP Skadeforsikring AS'!C98+'Landkreditt Forsikring'!C98+Insr!C98+'Nordea Liv '!C98+'Oslo Pensjonsforsikring'!C98+'Protector Forsikring'!C98+'SHB Liv'!C98+'Sparebank 1'!C98+'Storebrand Livsforsikring'!C98+'Telenor Forsikring'!C98+'Tryg Forsikring'!C98+'WaterCircle F'!C98+'Codan Forsikring'!C98+'Euro Accident'!C98</f>
        <v>388414461.16306531</v>
      </c>
      <c r="D98" s="22">
        <f t="shared" si="23"/>
        <v>2.1</v>
      </c>
      <c r="E98" s="43">
        <f>'Fremtind Livsforsikring'!F98+'Danica Pensjonsforsikring'!F98+'DNB Livsforsikring'!F98+'Eika Forsikring AS'!F98+'Frende Livsforsikring'!F98+'Frende Skadeforsikring'!F98+'Gjensidige Forsikring'!F98+'Gjensidige Pensjon'!F98+'Handelsbanken Liv'!F98+'If Skadeforsikring NUF'!F98+KLP!F98+'DNB Bedriftspensjon AS'!F98+'KLP Skadeforsikring AS'!F98+'Landkreditt Forsikring'!F98+Insr!F98+'Nordea Liv '!F98+'Oslo Pensjonsforsikring'!F98+'Protector Forsikring'!F98+'SHB Liv'!F98+'Sparebank 1'!F98+'Storebrand Livsforsikring'!F98+'Telenor Forsikring'!F98+'Tryg Forsikring'!F98+'WaterCircle F'!F98+'Codan Forsikring'!F98+'Euro Accident'!F98</f>
        <v>314510938.95236003</v>
      </c>
      <c r="F98" s="43">
        <f>'Fremtind Livsforsikring'!G98+'Danica Pensjonsforsikring'!G98+'DNB Livsforsikring'!G98+'Eika Forsikring AS'!G98+'Frende Livsforsikring'!G98+'Frende Skadeforsikring'!G98+'Gjensidige Forsikring'!G98+'Gjensidige Pensjon'!G98+'Handelsbanken Liv'!G98+'If Skadeforsikring NUF'!G98+KLP!G98+'DNB Bedriftspensjon AS'!G98+'KLP Skadeforsikring AS'!G98+'Landkreditt Forsikring'!G98+Insr!G98+'Nordea Liv '!G98+'Oslo Pensjonsforsikring'!G98+'Protector Forsikring'!G98+'SHB Liv'!G98+'Sparebank 1'!G98+'Storebrand Livsforsikring'!G98+'Telenor Forsikring'!G98+'Tryg Forsikring'!G98+'WaterCircle F'!G98+'Codan Forsikring'!G98+'Euro Accident'!G98</f>
        <v>413206264.82173002</v>
      </c>
      <c r="G98" s="239">
        <f t="shared" ref="G98" si="44">IF(E98=0, "    ---- ", IF(ABS(ROUND(100/E98*F98-100,1))&lt;999,ROUND(100/E98*F98-100,1),IF(ROUND(100/E98*F98-100,1)&gt;999,999,-999)))</f>
        <v>31.4</v>
      </c>
      <c r="H98" s="235">
        <f t="shared" si="37"/>
        <v>695005167.49021673</v>
      </c>
      <c r="I98" s="235">
        <f t="shared" si="38"/>
        <v>801620725.98479533</v>
      </c>
      <c r="J98" s="22">
        <f t="shared" si="27"/>
        <v>15.3</v>
      </c>
    </row>
    <row r="99" spans="1:10" ht="15.75" customHeight="1" x14ac:dyDescent="0.2">
      <c r="A99" s="20" t="s">
        <v>9</v>
      </c>
      <c r="B99" s="232">
        <f>'Fremtind Livsforsikring'!B99+'Danica Pensjonsforsikring'!B99+'DNB Livsforsikring'!B99+'Eika Forsikring AS'!B99+'Frende Livsforsikring'!B99+'Frende Skadeforsikring'!B99+'Gjensidige Forsikring'!B99+'Gjensidige Pensjon'!B99+'Handelsbanken Liv'!B99+'If Skadeforsikring NUF'!B99+KLP!B99+'DNB Bedriftspensjon AS'!B99+'KLP Skadeforsikring AS'!B99+'Landkreditt Forsikring'!B99+Insr!B99+'Nordea Liv '!B99+'Oslo Pensjonsforsikring'!B99+'Protector Forsikring'!B99+'SHB Liv'!B99+'Sparebank 1'!B99+'Storebrand Livsforsikring'!B99+'Telenor Forsikring'!B99+'Tryg Forsikring'!B99+'WaterCircle F'!B99+'Codan Forsikring'!B99+'Euro Accident'!B99</f>
        <v>377320202.60773325</v>
      </c>
      <c r="C99" s="232">
        <f>'Fremtind Livsforsikring'!C99+'Danica Pensjonsforsikring'!C99+'DNB Livsforsikring'!C99+'Eika Forsikring AS'!C99+'Frende Livsforsikring'!C99+'Frende Skadeforsikring'!C99+'Gjensidige Forsikring'!C99+'Gjensidige Pensjon'!C99+'Handelsbanken Liv'!C99+'If Skadeforsikring NUF'!C99+KLP!C99+'DNB Bedriftspensjon AS'!C99+'KLP Skadeforsikring AS'!C99+'Landkreditt Forsikring'!C99+Insr!C99+'Nordea Liv '!C99+'Oslo Pensjonsforsikring'!C99+'Protector Forsikring'!C99+'SHB Liv'!C99+'Sparebank 1'!C99+'Storebrand Livsforsikring'!C99+'Telenor Forsikring'!C99+'Tryg Forsikring'!C99+'WaterCircle F'!C99+'Codan Forsikring'!C99+'Euro Accident'!C99</f>
        <v>385329090.05874074</v>
      </c>
      <c r="D99" s="22">
        <f t="shared" si="23"/>
        <v>2.1</v>
      </c>
      <c r="E99" s="43">
        <f>'Fremtind Livsforsikring'!F99+'Danica Pensjonsforsikring'!F99+'DNB Livsforsikring'!F99+'Eika Forsikring AS'!F99+'Frende Livsforsikring'!F99+'Frende Skadeforsikring'!F99+'Gjensidige Forsikring'!F99+'Gjensidige Pensjon'!F99+'Handelsbanken Liv'!F99+'If Skadeforsikring NUF'!F99+KLP!F99+'DNB Bedriftspensjon AS'!F99+'KLP Skadeforsikring AS'!F99+'Landkreditt Forsikring'!F99+Insr!F99+'Nordea Liv '!F99+'Oslo Pensjonsforsikring'!F99+'Protector Forsikring'!F99+'SHB Liv'!F99+'Sparebank 1'!F99+'Storebrand Livsforsikring'!F99+'Telenor Forsikring'!F99+'Tryg Forsikring'!F99+'WaterCircle F'!F99+'Codan Forsikring'!F99+'Euro Accident'!F99</f>
        <v>0</v>
      </c>
      <c r="F99" s="43">
        <f>'Fremtind Livsforsikring'!G99+'Danica Pensjonsforsikring'!G99+'DNB Livsforsikring'!G99+'Eika Forsikring AS'!G99+'Frende Livsforsikring'!G99+'Frende Skadeforsikring'!G99+'Gjensidige Forsikring'!G99+'Gjensidige Pensjon'!G99+'Handelsbanken Liv'!G99+'If Skadeforsikring NUF'!G99+KLP!G99+'DNB Bedriftspensjon AS'!G99+'KLP Skadeforsikring AS'!G99+'Landkreditt Forsikring'!G99+Insr!G99+'Nordea Liv '!G99+'Oslo Pensjonsforsikring'!G99+'Protector Forsikring'!G99+'SHB Liv'!G99+'Sparebank 1'!G99+'Storebrand Livsforsikring'!G99+'Telenor Forsikring'!G99+'Tryg Forsikring'!G99+'WaterCircle F'!G99+'Codan Forsikring'!G99+'Euro Accident'!G99</f>
        <v>0</v>
      </c>
      <c r="G99" s="165"/>
      <c r="H99" s="235">
        <f t="shared" si="37"/>
        <v>377320202.60773325</v>
      </c>
      <c r="I99" s="235">
        <f t="shared" si="38"/>
        <v>385329090.05874074</v>
      </c>
      <c r="J99" s="22">
        <f t="shared" si="27"/>
        <v>2.1</v>
      </c>
    </row>
    <row r="100" spans="1:10" ht="15.75" customHeight="1" x14ac:dyDescent="0.25">
      <c r="A100" s="729" t="s">
        <v>424</v>
      </c>
      <c r="B100" s="232">
        <f>'Fremtind Livsforsikring'!B100+'Danica Pensjonsforsikring'!B100+'DNB Livsforsikring'!B100+'Eika Forsikring AS'!B100+'Frende Livsforsikring'!B100+'Frende Skadeforsikring'!B100+'Gjensidige Forsikring'!B100+'Gjensidige Pensjon'!B100+'Handelsbanken Liv'!B100+'If Skadeforsikring NUF'!B100+KLP!B100+'DNB Bedriftspensjon AS'!B100+'KLP Skadeforsikring AS'!B100+'Landkreditt Forsikring'!B100+Insr!B100+'Nordea Liv '!B100+'Oslo Pensjonsforsikring'!B100+'Protector Forsikring'!B100+'SHB Liv'!B100+'Sparebank 1'!B100+'Storebrand Livsforsikring'!B100+'Telenor Forsikring'!B100+'Tryg Forsikring'!B100+'WaterCircle F'!B100+'Codan Forsikring'!B100+'Euro Accident'!B100</f>
        <v>3174025.9301235098</v>
      </c>
      <c r="C100" s="232">
        <f>'Fremtind Livsforsikring'!C100+'Danica Pensjonsforsikring'!C100+'DNB Livsforsikring'!C100+'Eika Forsikring AS'!C100+'Frende Livsforsikring'!C100+'Frende Skadeforsikring'!C100+'Gjensidige Forsikring'!C100+'Gjensidige Pensjon'!C100+'Handelsbanken Liv'!C100+'If Skadeforsikring NUF'!C100+KLP!C100+'DNB Bedriftspensjon AS'!C100+'KLP Skadeforsikring AS'!C100+'Landkreditt Forsikring'!C100+Insr!C100+'Nordea Liv '!C100+'Oslo Pensjonsforsikring'!C100+'Protector Forsikring'!C100+'SHB Liv'!C100+'Sparebank 1'!C100+'Storebrand Livsforsikring'!C100+'Telenor Forsikring'!C100+'Tryg Forsikring'!C100+'WaterCircle F'!C100+'Codan Forsikring'!C100+'Euro Accident'!C100</f>
        <v>3085371.1043245704</v>
      </c>
      <c r="D100" s="22">
        <f t="shared" si="23"/>
        <v>-2.8</v>
      </c>
      <c r="E100" s="43">
        <f>'Fremtind Livsforsikring'!F100+'Danica Pensjonsforsikring'!F100+'DNB Livsforsikring'!F100+'Eika Forsikring AS'!F100+'Frende Livsforsikring'!F100+'Frende Skadeforsikring'!F100+'Gjensidige Forsikring'!F100+'Gjensidige Pensjon'!F100+'Handelsbanken Liv'!F100+'If Skadeforsikring NUF'!F100+KLP!F100+'DNB Bedriftspensjon AS'!F100+'KLP Skadeforsikring AS'!F100+'Landkreditt Forsikring'!F100+Insr!F100+'Nordea Liv '!F100+'Oslo Pensjonsforsikring'!F100+'Protector Forsikring'!F100+'SHB Liv'!F100+'Sparebank 1'!F100+'Storebrand Livsforsikring'!F100+'Telenor Forsikring'!F100+'Tryg Forsikring'!F100+'WaterCircle F'!F100+'Codan Forsikring'!F100+'Euro Accident'!F100</f>
        <v>314510938.95236003</v>
      </c>
      <c r="F100" s="43">
        <f>'Fremtind Livsforsikring'!G100+'Danica Pensjonsforsikring'!G100+'DNB Livsforsikring'!G100+'Eika Forsikring AS'!G100+'Frende Livsforsikring'!G100+'Frende Skadeforsikring'!G100+'Gjensidige Forsikring'!G100+'Gjensidige Pensjon'!G100+'Handelsbanken Liv'!G100+'If Skadeforsikring NUF'!G100+KLP!G100+'DNB Bedriftspensjon AS'!G100+'KLP Skadeforsikring AS'!G100+'Landkreditt Forsikring'!G100+Insr!G100+'Nordea Liv '!G100+'Oslo Pensjonsforsikring'!G100+'Protector Forsikring'!G100+'SHB Liv'!G100+'Sparebank 1'!G100+'Storebrand Livsforsikring'!G100+'Telenor Forsikring'!G100+'Tryg Forsikring'!G100+'WaterCircle F'!G100+'Codan Forsikring'!G100+'Euro Accident'!G100</f>
        <v>413206264.82173002</v>
      </c>
      <c r="G100" s="239">
        <f t="shared" ref="G100:G101" si="45">IF(E100=0, "    ---- ", IF(ABS(ROUND(100/E100*F100-100,1))&lt;999,ROUND(100/E100*F100-100,1),IF(ROUND(100/E100*F100-100,1)&gt;999,999,-999)))</f>
        <v>31.4</v>
      </c>
      <c r="H100" s="235">
        <f t="shared" si="37"/>
        <v>317684964.88248354</v>
      </c>
      <c r="I100" s="235">
        <f t="shared" si="38"/>
        <v>416291635.9260546</v>
      </c>
      <c r="J100" s="22">
        <f t="shared" si="27"/>
        <v>31</v>
      </c>
    </row>
    <row r="101" spans="1:10" ht="15.75" customHeight="1" x14ac:dyDescent="0.25">
      <c r="A101" s="729" t="s">
        <v>426</v>
      </c>
      <c r="B101" s="232">
        <f>'Fremtind Livsforsikring'!B101+'Danica Pensjonsforsikring'!B101+'DNB Livsforsikring'!B101+'Eika Forsikring AS'!B101+'Frende Livsforsikring'!B101+'Frende Skadeforsikring'!B101+'Gjensidige Forsikring'!B101+'Gjensidige Pensjon'!B101+'Handelsbanken Liv'!B101+'If Skadeforsikring NUF'!B101+KLP!B101+'DNB Bedriftspensjon AS'!B101+'KLP Skadeforsikring AS'!B101+'Landkreditt Forsikring'!B101+Insr!B101+'Nordea Liv '!B101+'Oslo Pensjonsforsikring'!B101+'Protector Forsikring'!B101+'SHB Liv'!B101+'Sparebank 1'!B101+'Storebrand Livsforsikring'!B101+'Telenor Forsikring'!B101+'Tryg Forsikring'!B101+'WaterCircle F'!B101+'Codan Forsikring'!B101+'Euro Accident'!B101</f>
        <v>0</v>
      </c>
      <c r="C101" s="232">
        <f>'Fremtind Livsforsikring'!C101+'Danica Pensjonsforsikring'!C101+'DNB Livsforsikring'!C101+'Eika Forsikring AS'!C101+'Frende Livsforsikring'!C101+'Frende Skadeforsikring'!C101+'Gjensidige Forsikring'!C101+'Gjensidige Pensjon'!C101+'Handelsbanken Liv'!C101+'If Skadeforsikring NUF'!C101+KLP!C101+'DNB Bedriftspensjon AS'!C101+'KLP Skadeforsikring AS'!C101+'Landkreditt Forsikring'!C101+Insr!C101+'Nordea Liv '!C101+'Oslo Pensjonsforsikring'!C101+'Protector Forsikring'!C101+'SHB Liv'!C101+'Sparebank 1'!C101+'Storebrand Livsforsikring'!C101+'Telenor Forsikring'!C101+'Tryg Forsikring'!C101+'WaterCircle F'!C101+'Codan Forsikring'!C101+'Euro Accident'!C101</f>
        <v>0</v>
      </c>
      <c r="D101" s="22"/>
      <c r="E101" s="43">
        <f>'Fremtind Livsforsikring'!F101+'Danica Pensjonsforsikring'!F101+'DNB Livsforsikring'!F101+'Eika Forsikring AS'!F101+'Frende Livsforsikring'!F101+'Frende Skadeforsikring'!F101+'Gjensidige Forsikring'!F101+'Gjensidige Pensjon'!F101+'Handelsbanken Liv'!F101+'If Skadeforsikring NUF'!F101+KLP!F101+'DNB Bedriftspensjon AS'!F101+'KLP Skadeforsikring AS'!F101+'Landkreditt Forsikring'!F101+Insr!F101+'Nordea Liv '!F101+'Oslo Pensjonsforsikring'!F101+'Protector Forsikring'!F101+'SHB Liv'!F101+'Sparebank 1'!F101+'Storebrand Livsforsikring'!F101+'Telenor Forsikring'!F101+'Tryg Forsikring'!F101+'WaterCircle F'!F101+'Codan Forsikring'!F101+'Euro Accident'!F101</f>
        <v>0</v>
      </c>
      <c r="F101" s="43">
        <f>'Fremtind Livsforsikring'!G101+'Danica Pensjonsforsikring'!G101+'DNB Livsforsikring'!G101+'Eika Forsikring AS'!G101+'Frende Livsforsikring'!G101+'Frende Skadeforsikring'!G101+'Gjensidige Forsikring'!G101+'Gjensidige Pensjon'!G101+'Handelsbanken Liv'!G101+'If Skadeforsikring NUF'!G101+KLP!G101+'DNB Bedriftspensjon AS'!G101+'KLP Skadeforsikring AS'!G101+'Landkreditt Forsikring'!G101+Insr!G101+'Nordea Liv '!G101+'Oslo Pensjonsforsikring'!G101+'Protector Forsikring'!G101+'SHB Liv'!G101+'Sparebank 1'!G101+'Storebrand Livsforsikring'!G101+'Telenor Forsikring'!G101+'Tryg Forsikring'!G101+'WaterCircle F'!G101+'Codan Forsikring'!G101+'Euro Accident'!G101</f>
        <v>4363903.6890000002</v>
      </c>
      <c r="G101" s="239" t="str">
        <f t="shared" si="45"/>
        <v xml:space="preserve">    ---- </v>
      </c>
      <c r="H101" s="235">
        <f t="shared" ref="H101" si="46">SUM(B101,E101)</f>
        <v>0</v>
      </c>
      <c r="I101" s="235">
        <f t="shared" ref="I101" si="47">SUM(C101,F101)</f>
        <v>4363903.6890000002</v>
      </c>
      <c r="J101" s="22" t="str">
        <f t="shared" ref="J101" si="48">IF(H101=0, "    ---- ", IF(ABS(ROUND(100/H101*I101-100,1))&lt;999,ROUND(100/H101*I101-100,1),IF(ROUND(100/H101*I101-100,1)&gt;999,999,-999)))</f>
        <v xml:space="preserve">    ---- </v>
      </c>
    </row>
    <row r="102" spans="1:10" ht="15.75" customHeight="1" x14ac:dyDescent="0.2">
      <c r="A102" s="294" t="s">
        <v>379</v>
      </c>
      <c r="B102" s="734">
        <f>'Fremtind Livsforsikring'!B102+'Danica Pensjonsforsikring'!B102+'DNB Livsforsikring'!B102+'Eika Forsikring AS'!B102+'Frende Livsforsikring'!B102+'Frende Skadeforsikring'!B102+'Gjensidige Forsikring'!B102+'Gjensidige Pensjon'!B102+'Handelsbanken Liv'!B102+'If Skadeforsikring NUF'!B102+KLP!B102+'DNB Bedriftspensjon AS'!B102+'KLP Skadeforsikring AS'!B102+'Landkreditt Forsikring'!B102+Insr!B102+'Nordea Liv '!B102+'Oslo Pensjonsforsikring'!B102+'Protector Forsikring'!B102+'SHB Liv'!B102+'Sparebank 1'!B102+'Storebrand Livsforsikring'!B102+'Telenor Forsikring'!B102+'Tryg Forsikring'!B102+'WaterCircle F'!B102+'Codan Forsikring'!B102+'Euro Accident'!B102</f>
        <v>0</v>
      </c>
      <c r="C102" s="734">
        <f>'Fremtind Livsforsikring'!C102+'Danica Pensjonsforsikring'!C102+'DNB Livsforsikring'!C102+'Eika Forsikring AS'!C102+'Frende Livsforsikring'!C102+'Frende Skadeforsikring'!C102+'Gjensidige Forsikring'!C102+'Gjensidige Pensjon'!C102+'Handelsbanken Liv'!C102+'If Skadeforsikring NUF'!C102+KLP!C102+'DNB Bedriftspensjon AS'!C102+'KLP Skadeforsikring AS'!C102+'Landkreditt Forsikring'!C102+Insr!C102+'Nordea Liv '!C102+'Oslo Pensjonsforsikring'!C102+'Protector Forsikring'!C102+'SHB Liv'!C102+'Sparebank 1'!C102+'Storebrand Livsforsikring'!C102+'Telenor Forsikring'!C102+'Tryg Forsikring'!C102+'WaterCircle F'!C102+'Codan Forsikring'!C102+'Euro Accident'!C102</f>
        <v>0</v>
      </c>
      <c r="D102" s="26"/>
      <c r="E102" s="734">
        <f>'Fremtind Livsforsikring'!E102+'Danica Pensjonsforsikring'!E102+'DNB Livsforsikring'!E102+'Eika Forsikring AS'!E102+'Frende Livsforsikring'!E102+'Frende Skadeforsikring'!E102+'Gjensidige Forsikring'!E102+'Gjensidige Pensjon'!E102+'Handelsbanken Liv'!E102+'If Skadeforsikring NUF'!E102+KLP!E102+'DNB Bedriftspensjon AS'!E102+'KLP Skadeforsikring AS'!E102+'Landkreditt Forsikring'!E102+Insr!E102+'Nordea Liv '!E102+'Oslo Pensjonsforsikring'!E102+'Protector Forsikring'!E102+'SHB Liv'!E102+'Sparebank 1'!E102+'Storebrand Livsforsikring'!E102+'Telenor Forsikring'!E102+'Tryg Forsikring'!E102+'WaterCircle F'!E102+'Codan Forsikring'!E102+'Euro Accident'!E102</f>
        <v>0</v>
      </c>
      <c r="F102" s="734">
        <f>'Fremtind Livsforsikring'!F102+'Danica Pensjonsforsikring'!F102+'DNB Livsforsikring'!F102+'Eika Forsikring AS'!F102+'Frende Livsforsikring'!F102+'Frende Skadeforsikring'!F102+'Gjensidige Forsikring'!F102+'Gjensidige Pensjon'!F102+'Handelsbanken Liv'!F102+'If Skadeforsikring NUF'!F102+KLP!F102+'DNB Bedriftspensjon AS'!F102+'KLP Skadeforsikring AS'!F102+'Landkreditt Forsikring'!F102+Insr!F102+'Nordea Liv '!F102+'Oslo Pensjonsforsikring'!F102+'Protector Forsikring'!F102+'SHB Liv'!F102+'Sparebank 1'!F102+'Storebrand Livsforsikring'!F102+'Telenor Forsikring'!F102+'Tryg Forsikring'!F102+'WaterCircle F'!F102+'Codan Forsikring'!F102+'Euro Accident'!F102</f>
        <v>0</v>
      </c>
      <c r="G102" s="165"/>
      <c r="H102" s="734">
        <f>'Fremtind Livsforsikring'!H102+'Danica Pensjonsforsikring'!H102+'DNB Livsforsikring'!H102+'Eika Forsikring AS'!H102+'Frende Livsforsikring'!H102+'Frende Skadeforsikring'!H102+'Gjensidige Forsikring'!H102+'Gjensidige Pensjon'!H102+'Handelsbanken Liv'!H102+'If Skadeforsikring NUF'!H102+KLP!H102+'DNB Bedriftspensjon AS'!H102+'KLP Skadeforsikring AS'!H102+'Landkreditt Forsikring'!H102+Insr!H102+'Nordea Liv '!H102+'Oslo Pensjonsforsikring'!H102+'Protector Forsikring'!H102+'SHB Liv'!H102+'Sparebank 1'!H102+'Storebrand Livsforsikring'!H102+'Telenor Forsikring'!H102+'Tryg Forsikring'!H102+'WaterCircle F'!H102+'Codan Forsikring'!H102+'Euro Accident'!H102</f>
        <v>0</v>
      </c>
      <c r="I102" s="734">
        <f>'Fremtind Livsforsikring'!I102+'Danica Pensjonsforsikring'!I102+'DNB Livsforsikring'!I102+'Eika Forsikring AS'!I102+'Frende Livsforsikring'!I102+'Frende Skadeforsikring'!I102+'Gjensidige Forsikring'!I102+'Gjensidige Pensjon'!I102+'Handelsbanken Liv'!I102+'If Skadeforsikring NUF'!I102+KLP!I102+'DNB Bedriftspensjon AS'!I102+'KLP Skadeforsikring AS'!I102+'Landkreditt Forsikring'!I102+Insr!I102+'Nordea Liv '!I102+'Oslo Pensjonsforsikring'!I102+'Protector Forsikring'!I102+'SHB Liv'!I102+'Sparebank 1'!I102+'Storebrand Livsforsikring'!I102+'Telenor Forsikring'!I102+'Tryg Forsikring'!I102+'WaterCircle F'!I102+'Codan Forsikring'!I102+'Euro Accident'!I102</f>
        <v>0</v>
      </c>
      <c r="J102" s="22"/>
    </row>
    <row r="103" spans="1:10" ht="15.75" customHeight="1" x14ac:dyDescent="0.2">
      <c r="A103" s="294" t="s">
        <v>12</v>
      </c>
      <c r="B103" s="233">
        <f>'Fremtind Livsforsikring'!B103+'Danica Pensjonsforsikring'!B103+'DNB Livsforsikring'!B103+'Eika Forsikring AS'!B103+'Frende Livsforsikring'!B103+'Frende Skadeforsikring'!B103+'Gjensidige Forsikring'!B103+'Gjensidige Pensjon'!B103+'Handelsbanken Liv'!B103+'If Skadeforsikring NUF'!B103+KLP!B103+'DNB Bedriftspensjon AS'!B103+'KLP Skadeforsikring AS'!B103+'Landkreditt Forsikring'!B103+Insr!B103+'Nordea Liv '!B103+'Oslo Pensjonsforsikring'!B103+'Protector Forsikring'!B103+'SHB Liv'!B103+'Sparebank 1'!B103+'Storebrand Livsforsikring'!B103+'Telenor Forsikring'!B103+'Tryg Forsikring'!B103+'WaterCircle F'!B103+'Codan Forsikring'!B103+'Euro Accident'!B103</f>
        <v>0</v>
      </c>
      <c r="C103" s="233">
        <f>'Fremtind Livsforsikring'!C103+'Danica Pensjonsforsikring'!C103+'DNB Livsforsikring'!C103+'Eika Forsikring AS'!C103+'Frende Livsforsikring'!C103+'Frende Skadeforsikring'!C103+'Gjensidige Forsikring'!C103+'Gjensidige Pensjon'!C103+'Handelsbanken Liv'!C103+'If Skadeforsikring NUF'!C103+KLP!C103+'DNB Bedriftspensjon AS'!C103+'KLP Skadeforsikring AS'!C103+'Landkreditt Forsikring'!C103+Insr!C103+'Nordea Liv '!C103+'Oslo Pensjonsforsikring'!C103+'Protector Forsikring'!C103+'SHB Liv'!C103+'Sparebank 1'!C103+'Storebrand Livsforsikring'!C103+'Telenor Forsikring'!C103+'Tryg Forsikring'!C103+'WaterCircle F'!C103+'Codan Forsikring'!C103+'Euro Accident'!C103</f>
        <v>0</v>
      </c>
      <c r="D103" s="26"/>
      <c r="E103" s="734">
        <f>'Fremtind Livsforsikring'!E103+'Danica Pensjonsforsikring'!E103+'DNB Livsforsikring'!E103+'Eika Forsikring AS'!E103+'Frende Livsforsikring'!E103+'Frende Skadeforsikring'!E103+'Gjensidige Forsikring'!E103+'Gjensidige Pensjon'!E103+'Handelsbanken Liv'!E103+'If Skadeforsikring NUF'!E103+KLP!E103+'DNB Bedriftspensjon AS'!E103+'KLP Skadeforsikring AS'!E103+'Landkreditt Forsikring'!E103+Insr!E103+'Nordea Liv '!E103+'Oslo Pensjonsforsikring'!E103+'Protector Forsikring'!E103+'SHB Liv'!E103+'Sparebank 1'!E103+'Storebrand Livsforsikring'!E103+'Telenor Forsikring'!E103+'Tryg Forsikring'!E103+'WaterCircle F'!E103+'Codan Forsikring'!E103+'Euro Accident'!E103</f>
        <v>0</v>
      </c>
      <c r="F103" s="734">
        <f>'Fremtind Livsforsikring'!F103+'Danica Pensjonsforsikring'!F103+'DNB Livsforsikring'!F103+'Eika Forsikring AS'!F103+'Frende Livsforsikring'!F103+'Frende Skadeforsikring'!F103+'Gjensidige Forsikring'!F103+'Gjensidige Pensjon'!F103+'Handelsbanken Liv'!F103+'If Skadeforsikring NUF'!F103+KLP!F103+'DNB Bedriftspensjon AS'!F103+'KLP Skadeforsikring AS'!F103+'Landkreditt Forsikring'!F103+Insr!F103+'Nordea Liv '!F103+'Oslo Pensjonsforsikring'!F103+'Protector Forsikring'!F103+'SHB Liv'!F103+'Sparebank 1'!F103+'Storebrand Livsforsikring'!F103+'Telenor Forsikring'!F103+'Tryg Forsikring'!F103+'WaterCircle F'!F103+'Codan Forsikring'!F103+'Euro Accident'!F103</f>
        <v>0</v>
      </c>
      <c r="G103" s="165"/>
      <c r="H103" s="734">
        <f>'Fremtind Livsforsikring'!H103+'Danica Pensjonsforsikring'!H103+'DNB Livsforsikring'!H103+'Eika Forsikring AS'!H103+'Frende Livsforsikring'!H103+'Frende Skadeforsikring'!H103+'Gjensidige Forsikring'!H103+'Gjensidige Pensjon'!H103+'Handelsbanken Liv'!H103+'If Skadeforsikring NUF'!H103+KLP!H103+'DNB Bedriftspensjon AS'!H103+'KLP Skadeforsikring AS'!H103+'Landkreditt Forsikring'!H103+Insr!H103+'Nordea Liv '!H103+'Oslo Pensjonsforsikring'!H103+'Protector Forsikring'!H103+'SHB Liv'!H103+'Sparebank 1'!H103+'Storebrand Livsforsikring'!H103+'Telenor Forsikring'!H103+'Tryg Forsikring'!H103+'WaterCircle F'!H103+'Codan Forsikring'!H103+'Euro Accident'!H103</f>
        <v>0</v>
      </c>
      <c r="I103" s="734">
        <f>'Fremtind Livsforsikring'!I103+'Danica Pensjonsforsikring'!I103+'DNB Livsforsikring'!I103+'Eika Forsikring AS'!I103+'Frende Livsforsikring'!I103+'Frende Skadeforsikring'!I103+'Gjensidige Forsikring'!I103+'Gjensidige Pensjon'!I103+'Handelsbanken Liv'!I103+'If Skadeforsikring NUF'!I103+KLP!I103+'DNB Bedriftspensjon AS'!I103+'KLP Skadeforsikring AS'!I103+'Landkreditt Forsikring'!I103+Insr!I103+'Nordea Liv '!I103+'Oslo Pensjonsforsikring'!I103+'Protector Forsikring'!I103+'SHB Liv'!I103+'Sparebank 1'!I103+'Storebrand Livsforsikring'!I103+'Telenor Forsikring'!I103+'Tryg Forsikring'!I103+'WaterCircle F'!I103+'Codan Forsikring'!I103+'Euro Accident'!I103</f>
        <v>0</v>
      </c>
      <c r="J103" s="22"/>
    </row>
    <row r="104" spans="1:10" ht="15.75" customHeight="1" x14ac:dyDescent="0.2">
      <c r="A104" s="294" t="s">
        <v>13</v>
      </c>
      <c r="B104" s="233">
        <f>'Fremtind Livsforsikring'!B104+'Danica Pensjonsforsikring'!B104+'DNB Livsforsikring'!B104+'Eika Forsikring AS'!B104+'Frende Livsforsikring'!B104+'Frende Skadeforsikring'!B104+'Gjensidige Forsikring'!B104+'Gjensidige Pensjon'!B104+'Handelsbanken Liv'!B104+'If Skadeforsikring NUF'!B104+KLP!B104+'DNB Bedriftspensjon AS'!B104+'KLP Skadeforsikring AS'!B104+'Landkreditt Forsikring'!B104+Insr!B104+'Nordea Liv '!B104+'Oslo Pensjonsforsikring'!B104+'Protector Forsikring'!B104+'SHB Liv'!B104+'Sparebank 1'!B104+'Storebrand Livsforsikring'!B104+'Telenor Forsikring'!B104+'Tryg Forsikring'!B104+'WaterCircle F'!B104+'Codan Forsikring'!B104+'Euro Accident'!B104</f>
        <v>0</v>
      </c>
      <c r="C104" s="233">
        <f>'Fremtind Livsforsikring'!C104+'Danica Pensjonsforsikring'!C104+'DNB Livsforsikring'!C104+'Eika Forsikring AS'!C104+'Frende Livsforsikring'!C104+'Frende Skadeforsikring'!C104+'Gjensidige Forsikring'!C104+'Gjensidige Pensjon'!C104+'Handelsbanken Liv'!C104+'If Skadeforsikring NUF'!C104+KLP!C104+'DNB Bedriftspensjon AS'!C104+'KLP Skadeforsikring AS'!C104+'Landkreditt Forsikring'!C104+Insr!C104+'Nordea Liv '!C104+'Oslo Pensjonsforsikring'!C104+'Protector Forsikring'!C104+'SHB Liv'!C104+'Sparebank 1'!C104+'Storebrand Livsforsikring'!C104+'Telenor Forsikring'!C104+'Tryg Forsikring'!C104+'WaterCircle F'!C104+'Codan Forsikring'!C104+'Euro Accident'!C104</f>
        <v>0</v>
      </c>
      <c r="D104" s="26"/>
      <c r="E104" s="734">
        <f>'Fremtind Livsforsikring'!E104+'Danica Pensjonsforsikring'!E104+'DNB Livsforsikring'!E104+'Eika Forsikring AS'!E104+'Frende Livsforsikring'!E104+'Frende Skadeforsikring'!E104+'Gjensidige Forsikring'!E104+'Gjensidige Pensjon'!E104+'Handelsbanken Liv'!E104+'If Skadeforsikring NUF'!E104+KLP!E104+'DNB Bedriftspensjon AS'!E104+'KLP Skadeforsikring AS'!E104+'Landkreditt Forsikring'!E104+Insr!E104+'Nordea Liv '!E104+'Oslo Pensjonsforsikring'!E104+'Protector Forsikring'!E104+'SHB Liv'!E104+'Sparebank 1'!E104+'Storebrand Livsforsikring'!E104+'Telenor Forsikring'!E104+'Tryg Forsikring'!E104+'WaterCircle F'!E104+'Codan Forsikring'!E104+'Euro Accident'!E104</f>
        <v>0</v>
      </c>
      <c r="F104" s="734">
        <f>'Fremtind Livsforsikring'!F104+'Danica Pensjonsforsikring'!F104+'DNB Livsforsikring'!F104+'Eika Forsikring AS'!F104+'Frende Livsforsikring'!F104+'Frende Skadeforsikring'!F104+'Gjensidige Forsikring'!F104+'Gjensidige Pensjon'!F104+'Handelsbanken Liv'!F104+'If Skadeforsikring NUF'!F104+KLP!F104+'DNB Bedriftspensjon AS'!F104+'KLP Skadeforsikring AS'!F104+'Landkreditt Forsikring'!F104+Insr!F104+'Nordea Liv '!F104+'Oslo Pensjonsforsikring'!F104+'Protector Forsikring'!F104+'SHB Liv'!F104+'Sparebank 1'!F104+'Storebrand Livsforsikring'!F104+'Telenor Forsikring'!F104+'Tryg Forsikring'!F104+'WaterCircle F'!F104+'Codan Forsikring'!F104+'Euro Accident'!F104</f>
        <v>0</v>
      </c>
      <c r="G104" s="165"/>
      <c r="H104" s="734">
        <f>'Fremtind Livsforsikring'!H104+'Danica Pensjonsforsikring'!H104+'DNB Livsforsikring'!H104+'Eika Forsikring AS'!H104+'Frende Livsforsikring'!H104+'Frende Skadeforsikring'!H104+'Gjensidige Forsikring'!H104+'Gjensidige Pensjon'!H104+'Handelsbanken Liv'!H104+'If Skadeforsikring NUF'!H104+KLP!H104+'DNB Bedriftspensjon AS'!H104+'KLP Skadeforsikring AS'!H104+'Landkreditt Forsikring'!H104+Insr!H104+'Nordea Liv '!H104+'Oslo Pensjonsforsikring'!H104+'Protector Forsikring'!H104+'SHB Liv'!H104+'Sparebank 1'!H104+'Storebrand Livsforsikring'!H104+'Telenor Forsikring'!H104+'Tryg Forsikring'!H104+'WaterCircle F'!H104+'Codan Forsikring'!H104+'Euro Accident'!H104</f>
        <v>0</v>
      </c>
      <c r="I104" s="734">
        <f>'Fremtind Livsforsikring'!I104+'Danica Pensjonsforsikring'!I104+'DNB Livsforsikring'!I104+'Eika Forsikring AS'!I104+'Frende Livsforsikring'!I104+'Frende Skadeforsikring'!I104+'Gjensidige Forsikring'!I104+'Gjensidige Pensjon'!I104+'Handelsbanken Liv'!I104+'If Skadeforsikring NUF'!I104+KLP!I104+'DNB Bedriftspensjon AS'!I104+'KLP Skadeforsikring AS'!I104+'Landkreditt Forsikring'!I104+Insr!I104+'Nordea Liv '!I104+'Oslo Pensjonsforsikring'!I104+'Protector Forsikring'!I104+'SHB Liv'!I104+'Sparebank 1'!I104+'Storebrand Livsforsikring'!I104+'Telenor Forsikring'!I104+'Tryg Forsikring'!I104+'WaterCircle F'!I104+'Codan Forsikring'!I104+'Euro Accident'!I104</f>
        <v>0</v>
      </c>
      <c r="J104" s="22"/>
    </row>
    <row r="105" spans="1:10" ht="15.75" customHeight="1" x14ac:dyDescent="0.2">
      <c r="A105" s="294" t="s">
        <v>380</v>
      </c>
      <c r="B105" s="734">
        <f>'Fremtind Livsforsikring'!B105+'Danica Pensjonsforsikring'!B105+'DNB Livsforsikring'!B105+'Eika Forsikring AS'!B105+'Frende Livsforsikring'!B105+'Frende Skadeforsikring'!B105+'Gjensidige Forsikring'!B105+'Gjensidige Pensjon'!B105+'Handelsbanken Liv'!B105+'If Skadeforsikring NUF'!B105+KLP!B105+'DNB Bedriftspensjon AS'!B105+'KLP Skadeforsikring AS'!B105+'Landkreditt Forsikring'!B105+Insr!B105+'Nordea Liv '!B105+'Oslo Pensjonsforsikring'!B105+'Protector Forsikring'!B105+'SHB Liv'!B105+'Sparebank 1'!B105+'Storebrand Livsforsikring'!B105+'Telenor Forsikring'!B105+'Tryg Forsikring'!B105+'WaterCircle F'!B105+'Codan Forsikring'!B105+'Euro Accident'!B105</f>
        <v>0</v>
      </c>
      <c r="C105" s="734">
        <f>'Fremtind Livsforsikring'!C105+'Danica Pensjonsforsikring'!C105+'DNB Livsforsikring'!C105+'Eika Forsikring AS'!C105+'Frende Livsforsikring'!C105+'Frende Skadeforsikring'!C105+'Gjensidige Forsikring'!C105+'Gjensidige Pensjon'!C105+'Handelsbanken Liv'!C105+'If Skadeforsikring NUF'!C105+KLP!C105+'DNB Bedriftspensjon AS'!C105+'KLP Skadeforsikring AS'!C105+'Landkreditt Forsikring'!C105+Insr!C105+'Nordea Liv '!C105+'Oslo Pensjonsforsikring'!C105+'Protector Forsikring'!C105+'SHB Liv'!C105+'Sparebank 1'!C105+'Storebrand Livsforsikring'!C105+'Telenor Forsikring'!C105+'Tryg Forsikring'!C105+'WaterCircle F'!C105+'Codan Forsikring'!C105+'Euro Accident'!C105</f>
        <v>0</v>
      </c>
      <c r="D105" s="26"/>
      <c r="E105" s="734">
        <f>'Fremtind Livsforsikring'!E105+'Danica Pensjonsforsikring'!E105+'DNB Livsforsikring'!E105+'Eika Forsikring AS'!E105+'Frende Livsforsikring'!E105+'Frende Skadeforsikring'!E105+'Gjensidige Forsikring'!E105+'Gjensidige Pensjon'!E105+'Handelsbanken Liv'!E105+'If Skadeforsikring NUF'!E105+KLP!E105+'DNB Bedriftspensjon AS'!E105+'KLP Skadeforsikring AS'!E105+'Landkreditt Forsikring'!E105+Insr!E105+'Nordea Liv '!E105+'Oslo Pensjonsforsikring'!E105+'Protector Forsikring'!E105+'SHB Liv'!E105+'Sparebank 1'!E105+'Storebrand Livsforsikring'!E105+'Telenor Forsikring'!E105+'Tryg Forsikring'!E105+'WaterCircle F'!E105+'Codan Forsikring'!E105+'Euro Accident'!E105</f>
        <v>0</v>
      </c>
      <c r="F105" s="734">
        <f>'Fremtind Livsforsikring'!F105+'Danica Pensjonsforsikring'!F105+'DNB Livsforsikring'!F105+'Eika Forsikring AS'!F105+'Frende Livsforsikring'!F105+'Frende Skadeforsikring'!F105+'Gjensidige Forsikring'!F105+'Gjensidige Pensjon'!F105+'Handelsbanken Liv'!F105+'If Skadeforsikring NUF'!F105+KLP!F105+'DNB Bedriftspensjon AS'!F105+'KLP Skadeforsikring AS'!F105+'Landkreditt Forsikring'!F105+Insr!F105+'Nordea Liv '!F105+'Oslo Pensjonsforsikring'!F105+'Protector Forsikring'!F105+'SHB Liv'!F105+'Sparebank 1'!F105+'Storebrand Livsforsikring'!F105+'Telenor Forsikring'!F105+'Tryg Forsikring'!F105+'WaterCircle F'!F105+'Codan Forsikring'!F105+'Euro Accident'!F105</f>
        <v>0</v>
      </c>
      <c r="G105" s="165"/>
      <c r="H105" s="734">
        <f>'Fremtind Livsforsikring'!H105+'Danica Pensjonsforsikring'!H105+'DNB Livsforsikring'!H105+'Eika Forsikring AS'!H105+'Frende Livsforsikring'!H105+'Frende Skadeforsikring'!H105+'Gjensidige Forsikring'!H105+'Gjensidige Pensjon'!H105+'Handelsbanken Liv'!H105+'If Skadeforsikring NUF'!H105+KLP!H105+'DNB Bedriftspensjon AS'!H105+'KLP Skadeforsikring AS'!H105+'Landkreditt Forsikring'!H105+Insr!H105+'Nordea Liv '!H105+'Oslo Pensjonsforsikring'!H105+'Protector Forsikring'!H105+'SHB Liv'!H105+'Sparebank 1'!H105+'Storebrand Livsforsikring'!H105+'Telenor Forsikring'!H105+'Tryg Forsikring'!H105+'WaterCircle F'!H105+'Codan Forsikring'!H105+'Euro Accident'!H105</f>
        <v>0</v>
      </c>
      <c r="I105" s="734">
        <f>'Fremtind Livsforsikring'!I105+'Danica Pensjonsforsikring'!I105+'DNB Livsforsikring'!I105+'Eika Forsikring AS'!I105+'Frende Livsforsikring'!I105+'Frende Skadeforsikring'!I105+'Gjensidige Forsikring'!I105+'Gjensidige Pensjon'!I105+'Handelsbanken Liv'!I105+'If Skadeforsikring NUF'!I105+KLP!I105+'DNB Bedriftspensjon AS'!I105+'KLP Skadeforsikring AS'!I105+'Landkreditt Forsikring'!I105+Insr!I105+'Nordea Liv '!I105+'Oslo Pensjonsforsikring'!I105+'Protector Forsikring'!I105+'SHB Liv'!I105+'Sparebank 1'!I105+'Storebrand Livsforsikring'!I105+'Telenor Forsikring'!I105+'Tryg Forsikring'!I105+'WaterCircle F'!I105+'Codan Forsikring'!I105+'Euro Accident'!I105</f>
        <v>0</v>
      </c>
      <c r="J105" s="22"/>
    </row>
    <row r="106" spans="1:10" ht="15.75" customHeight="1" x14ac:dyDescent="0.2">
      <c r="A106" s="294" t="s">
        <v>12</v>
      </c>
      <c r="B106" s="233">
        <f>'Fremtind Livsforsikring'!B106+'Danica Pensjonsforsikring'!B106+'DNB Livsforsikring'!B106+'Eika Forsikring AS'!B106+'Frende Livsforsikring'!B106+'Frende Skadeforsikring'!B106+'Gjensidige Forsikring'!B106+'Gjensidige Pensjon'!B106+'Handelsbanken Liv'!B106+'If Skadeforsikring NUF'!B106+KLP!B106+'DNB Bedriftspensjon AS'!B106+'KLP Skadeforsikring AS'!B106+'Landkreditt Forsikring'!B106+Insr!B106+'Nordea Liv '!B106+'Oslo Pensjonsforsikring'!B106+'Protector Forsikring'!B106+'SHB Liv'!B106+'Sparebank 1'!B106+'Storebrand Livsforsikring'!B106+'Telenor Forsikring'!B106+'Tryg Forsikring'!B106+'WaterCircle F'!B106+'Codan Forsikring'!B106+'Euro Accident'!B106</f>
        <v>0</v>
      </c>
      <c r="C106" s="233">
        <f>'Fremtind Livsforsikring'!C106+'Danica Pensjonsforsikring'!C106+'DNB Livsforsikring'!C106+'Eika Forsikring AS'!C106+'Frende Livsforsikring'!C106+'Frende Skadeforsikring'!C106+'Gjensidige Forsikring'!C106+'Gjensidige Pensjon'!C106+'Handelsbanken Liv'!C106+'If Skadeforsikring NUF'!C106+KLP!C106+'DNB Bedriftspensjon AS'!C106+'KLP Skadeforsikring AS'!C106+'Landkreditt Forsikring'!C106+Insr!C106+'Nordea Liv '!C106+'Oslo Pensjonsforsikring'!C106+'Protector Forsikring'!C106+'SHB Liv'!C106+'Sparebank 1'!C106+'Storebrand Livsforsikring'!C106+'Telenor Forsikring'!C106+'Tryg Forsikring'!C106+'WaterCircle F'!C106+'Codan Forsikring'!C106+'Euro Accident'!C106</f>
        <v>0</v>
      </c>
      <c r="D106" s="26"/>
      <c r="E106" s="734">
        <f>'Fremtind Livsforsikring'!E106+'Danica Pensjonsforsikring'!E106+'DNB Livsforsikring'!E106+'Eika Forsikring AS'!E106+'Frende Livsforsikring'!E106+'Frende Skadeforsikring'!E106+'Gjensidige Forsikring'!E106+'Gjensidige Pensjon'!E106+'Handelsbanken Liv'!E106+'If Skadeforsikring NUF'!E106+KLP!E106+'DNB Bedriftspensjon AS'!E106+'KLP Skadeforsikring AS'!E106+'Landkreditt Forsikring'!E106+Insr!E106+'Nordea Liv '!E106+'Oslo Pensjonsforsikring'!E106+'Protector Forsikring'!E106+'SHB Liv'!E106+'Sparebank 1'!E106+'Storebrand Livsforsikring'!E106+'Telenor Forsikring'!E106+'Tryg Forsikring'!E106+'WaterCircle F'!E106+'Codan Forsikring'!E106+'Euro Accident'!E106</f>
        <v>0</v>
      </c>
      <c r="F106" s="734">
        <f>'Fremtind Livsforsikring'!F106+'Danica Pensjonsforsikring'!F106+'DNB Livsforsikring'!F106+'Eika Forsikring AS'!F106+'Frende Livsforsikring'!F106+'Frende Skadeforsikring'!F106+'Gjensidige Forsikring'!F106+'Gjensidige Pensjon'!F106+'Handelsbanken Liv'!F106+'If Skadeforsikring NUF'!F106+KLP!F106+'DNB Bedriftspensjon AS'!F106+'KLP Skadeforsikring AS'!F106+'Landkreditt Forsikring'!F106+Insr!F106+'Nordea Liv '!F106+'Oslo Pensjonsforsikring'!F106+'Protector Forsikring'!F106+'SHB Liv'!F106+'Sparebank 1'!F106+'Storebrand Livsforsikring'!F106+'Telenor Forsikring'!F106+'Tryg Forsikring'!F106+'WaterCircle F'!F106+'Codan Forsikring'!F106+'Euro Accident'!F106</f>
        <v>0</v>
      </c>
      <c r="G106" s="165"/>
      <c r="H106" s="734">
        <f>'Fremtind Livsforsikring'!H106+'Danica Pensjonsforsikring'!H106+'DNB Livsforsikring'!H106+'Eika Forsikring AS'!H106+'Frende Livsforsikring'!H106+'Frende Skadeforsikring'!H106+'Gjensidige Forsikring'!H106+'Gjensidige Pensjon'!H106+'Handelsbanken Liv'!H106+'If Skadeforsikring NUF'!H106+KLP!H106+'DNB Bedriftspensjon AS'!H106+'KLP Skadeforsikring AS'!H106+'Landkreditt Forsikring'!H106+Insr!H106+'Nordea Liv '!H106+'Oslo Pensjonsforsikring'!H106+'Protector Forsikring'!H106+'SHB Liv'!H106+'Sparebank 1'!H106+'Storebrand Livsforsikring'!H106+'Telenor Forsikring'!H106+'Tryg Forsikring'!H106+'WaterCircle F'!H106+'Codan Forsikring'!H106+'Euro Accident'!H106</f>
        <v>0</v>
      </c>
      <c r="I106" s="734">
        <f>'Fremtind Livsforsikring'!I106+'Danica Pensjonsforsikring'!I106+'DNB Livsforsikring'!I106+'Eika Forsikring AS'!I106+'Frende Livsforsikring'!I106+'Frende Skadeforsikring'!I106+'Gjensidige Forsikring'!I106+'Gjensidige Pensjon'!I106+'Handelsbanken Liv'!I106+'If Skadeforsikring NUF'!I106+KLP!I106+'DNB Bedriftspensjon AS'!I106+'KLP Skadeforsikring AS'!I106+'Landkreditt Forsikring'!I106+Insr!I106+'Nordea Liv '!I106+'Oslo Pensjonsforsikring'!I106+'Protector Forsikring'!I106+'SHB Liv'!I106+'Sparebank 1'!I106+'Storebrand Livsforsikring'!I106+'Telenor Forsikring'!I106+'Tryg Forsikring'!I106+'WaterCircle F'!I106+'Codan Forsikring'!I106+'Euro Accident'!I106</f>
        <v>0</v>
      </c>
      <c r="J106" s="22"/>
    </row>
    <row r="107" spans="1:10" ht="15.75" customHeight="1" x14ac:dyDescent="0.2">
      <c r="A107" s="294" t="s">
        <v>13</v>
      </c>
      <c r="B107" s="233">
        <f>'Fremtind Livsforsikring'!B107+'Danica Pensjonsforsikring'!B107+'DNB Livsforsikring'!B107+'Eika Forsikring AS'!B107+'Frende Livsforsikring'!B107+'Frende Skadeforsikring'!B107+'Gjensidige Forsikring'!B107+'Gjensidige Pensjon'!B107+'Handelsbanken Liv'!B107+'If Skadeforsikring NUF'!B107+KLP!B107+'DNB Bedriftspensjon AS'!B107+'KLP Skadeforsikring AS'!B107+'Landkreditt Forsikring'!B107+Insr!B107+'Nordea Liv '!B107+'Oslo Pensjonsforsikring'!B107+'Protector Forsikring'!B107+'SHB Liv'!B107+'Sparebank 1'!B107+'Storebrand Livsforsikring'!B107+'Telenor Forsikring'!B107+'Tryg Forsikring'!B107+'WaterCircle F'!B107+'Codan Forsikring'!B107+'Euro Accident'!B107</f>
        <v>0</v>
      </c>
      <c r="C107" s="233">
        <f>'Fremtind Livsforsikring'!C107+'Danica Pensjonsforsikring'!C107+'DNB Livsforsikring'!C107+'Eika Forsikring AS'!C107+'Frende Livsforsikring'!C107+'Frende Skadeforsikring'!C107+'Gjensidige Forsikring'!C107+'Gjensidige Pensjon'!C107+'Handelsbanken Liv'!C107+'If Skadeforsikring NUF'!C107+KLP!C107+'DNB Bedriftspensjon AS'!C107+'KLP Skadeforsikring AS'!C107+'Landkreditt Forsikring'!C107+Insr!C107+'Nordea Liv '!C107+'Oslo Pensjonsforsikring'!C107+'Protector Forsikring'!C107+'SHB Liv'!C107+'Sparebank 1'!C107+'Storebrand Livsforsikring'!C107+'Telenor Forsikring'!C107+'Tryg Forsikring'!C107+'WaterCircle F'!C107+'Codan Forsikring'!C107+'Euro Accident'!C107</f>
        <v>0</v>
      </c>
      <c r="D107" s="26"/>
      <c r="E107" s="734">
        <f>'Fremtind Livsforsikring'!E107+'Danica Pensjonsforsikring'!E107+'DNB Livsforsikring'!E107+'Eika Forsikring AS'!E107+'Frende Livsforsikring'!E107+'Frende Skadeforsikring'!E107+'Gjensidige Forsikring'!E107+'Gjensidige Pensjon'!E107+'Handelsbanken Liv'!E107+'If Skadeforsikring NUF'!E107+KLP!E107+'DNB Bedriftspensjon AS'!E107+'KLP Skadeforsikring AS'!E107+'Landkreditt Forsikring'!E107+Insr!E107+'Nordea Liv '!E107+'Oslo Pensjonsforsikring'!E107+'Protector Forsikring'!E107+'SHB Liv'!E107+'Sparebank 1'!E107+'Storebrand Livsforsikring'!E107+'Telenor Forsikring'!E107+'Tryg Forsikring'!E107+'WaterCircle F'!E107+'Codan Forsikring'!E107+'Euro Accident'!E107</f>
        <v>0</v>
      </c>
      <c r="F107" s="734">
        <f>'Fremtind Livsforsikring'!F107+'Danica Pensjonsforsikring'!F107+'DNB Livsforsikring'!F107+'Eika Forsikring AS'!F107+'Frende Livsforsikring'!F107+'Frende Skadeforsikring'!F107+'Gjensidige Forsikring'!F107+'Gjensidige Pensjon'!F107+'Handelsbanken Liv'!F107+'If Skadeforsikring NUF'!F107+KLP!F107+'DNB Bedriftspensjon AS'!F107+'KLP Skadeforsikring AS'!F107+'Landkreditt Forsikring'!F107+Insr!F107+'Nordea Liv '!F107+'Oslo Pensjonsforsikring'!F107+'Protector Forsikring'!F107+'SHB Liv'!F107+'Sparebank 1'!F107+'Storebrand Livsforsikring'!F107+'Telenor Forsikring'!F107+'Tryg Forsikring'!F107+'WaterCircle F'!F107+'Codan Forsikring'!F107+'Euro Accident'!F107</f>
        <v>0</v>
      </c>
      <c r="G107" s="165"/>
      <c r="H107" s="734">
        <f>'Fremtind Livsforsikring'!H107+'Danica Pensjonsforsikring'!H107+'DNB Livsforsikring'!H107+'Eika Forsikring AS'!H107+'Frende Livsforsikring'!H107+'Frende Skadeforsikring'!H107+'Gjensidige Forsikring'!H107+'Gjensidige Pensjon'!H107+'Handelsbanken Liv'!H107+'If Skadeforsikring NUF'!H107+KLP!H107+'DNB Bedriftspensjon AS'!H107+'KLP Skadeforsikring AS'!H107+'Landkreditt Forsikring'!H107+Insr!H107+'Nordea Liv '!H107+'Oslo Pensjonsforsikring'!H107+'Protector Forsikring'!H107+'SHB Liv'!H107+'Sparebank 1'!H107+'Storebrand Livsforsikring'!H107+'Telenor Forsikring'!H107+'Tryg Forsikring'!H107+'WaterCircle F'!H107+'Codan Forsikring'!H107+'Euro Accident'!H107</f>
        <v>0</v>
      </c>
      <c r="I107" s="734">
        <f>'Fremtind Livsforsikring'!I107+'Danica Pensjonsforsikring'!I107+'DNB Livsforsikring'!I107+'Eika Forsikring AS'!I107+'Frende Livsforsikring'!I107+'Frende Skadeforsikring'!I107+'Gjensidige Forsikring'!I107+'Gjensidige Pensjon'!I107+'Handelsbanken Liv'!I107+'If Skadeforsikring NUF'!I107+KLP!I107+'DNB Bedriftspensjon AS'!I107+'KLP Skadeforsikring AS'!I107+'Landkreditt Forsikring'!I107+Insr!I107+'Nordea Liv '!I107+'Oslo Pensjonsforsikring'!I107+'Protector Forsikring'!I107+'SHB Liv'!I107+'Sparebank 1'!I107+'Storebrand Livsforsikring'!I107+'Telenor Forsikring'!I107+'Tryg Forsikring'!I107+'WaterCircle F'!I107+'Codan Forsikring'!I107+'Euro Accident'!I107</f>
        <v>0</v>
      </c>
      <c r="J107" s="22"/>
    </row>
    <row r="108" spans="1:10" ht="15.75" customHeight="1" x14ac:dyDescent="0.25">
      <c r="A108" s="20" t="s">
        <v>382</v>
      </c>
      <c r="B108" s="232">
        <f>'Fremtind Livsforsikring'!B108+'Danica Pensjonsforsikring'!B108+'DNB Livsforsikring'!B108+'Eika Forsikring AS'!B108+'Frende Livsforsikring'!B108+'Frende Skadeforsikring'!B108+'Gjensidige Forsikring'!B108+'Gjensidige Pensjon'!B108+'Handelsbanken Liv'!B108+'If Skadeforsikring NUF'!B108+KLP!B108+'DNB Bedriftspensjon AS'!B108+'KLP Skadeforsikring AS'!B108+'Landkreditt Forsikring'!B108+Insr!B108+'Nordea Liv '!B108+'Oslo Pensjonsforsikring'!B108+'Protector Forsikring'!B108+'SHB Liv'!B108+'Sparebank 1'!B108+'Storebrand Livsforsikring'!B108+'Telenor Forsikring'!B108+'Tryg Forsikring'!B108+'WaterCircle F'!B108+'Codan Forsikring'!B108+'Euro Accident'!B108</f>
        <v>4428268.1069999998</v>
      </c>
      <c r="C108" s="232">
        <f>'Fremtind Livsforsikring'!C108+'Danica Pensjonsforsikring'!C108+'DNB Livsforsikring'!C108+'Eika Forsikring AS'!C108+'Frende Livsforsikring'!C108+'Frende Skadeforsikring'!C108+'Gjensidige Forsikring'!C108+'Gjensidige Pensjon'!C108+'Handelsbanken Liv'!C108+'If Skadeforsikring NUF'!C108+KLP!C108+'DNB Bedriftspensjon AS'!C108+'KLP Skadeforsikring AS'!C108+'Landkreditt Forsikring'!C108+Insr!C108+'Nordea Liv '!C108+'Oslo Pensjonsforsikring'!C108+'Protector Forsikring'!C108+'SHB Liv'!C108+'Sparebank 1'!C108+'Storebrand Livsforsikring'!C108+'Telenor Forsikring'!C108+'Tryg Forsikring'!C108+'WaterCircle F'!C108+'Codan Forsikring'!C108+'Euro Accident'!C108</f>
        <v>4425974.7659999998</v>
      </c>
      <c r="D108" s="22">
        <f t="shared" si="23"/>
        <v>-0.1</v>
      </c>
      <c r="E108" s="43">
        <f>'Fremtind Livsforsikring'!F108+'Danica Pensjonsforsikring'!F108+'DNB Livsforsikring'!F108+'Eika Forsikring AS'!F108+'Frende Livsforsikring'!F108+'Frende Skadeforsikring'!F108+'Gjensidige Forsikring'!F108+'Gjensidige Pensjon'!F108+'Handelsbanken Liv'!F108+'If Skadeforsikring NUF'!F108+KLP!F108+'DNB Bedriftspensjon AS'!F108+'KLP Skadeforsikring AS'!F108+'Landkreditt Forsikring'!F108+Insr!F108+'Nordea Liv '!F108+'Oslo Pensjonsforsikring'!F108+'Protector Forsikring'!F108+'SHB Liv'!F108+'Sparebank 1'!F108+'Storebrand Livsforsikring'!F108+'Telenor Forsikring'!F108+'Tryg Forsikring'!F108+'WaterCircle F'!F108+'Codan Forsikring'!F108+'Euro Accident'!F108</f>
        <v>879900.40448999987</v>
      </c>
      <c r="F108" s="43">
        <f>'Fremtind Livsforsikring'!G108+'Danica Pensjonsforsikring'!G108+'DNB Livsforsikring'!G108+'Eika Forsikring AS'!G108+'Frende Livsforsikring'!G108+'Frende Skadeforsikring'!G108+'Gjensidige Forsikring'!G108+'Gjensidige Pensjon'!G108+'Handelsbanken Liv'!G108+'If Skadeforsikring NUF'!G108+KLP!G108+'DNB Bedriftspensjon AS'!G108+'KLP Skadeforsikring AS'!G108+'Landkreditt Forsikring'!G108+Insr!G108+'Nordea Liv '!G108+'Oslo Pensjonsforsikring'!G108+'Protector Forsikring'!G108+'SHB Liv'!G108+'Sparebank 1'!G108+'Storebrand Livsforsikring'!G108+'Telenor Forsikring'!G108+'Tryg Forsikring'!G108+'WaterCircle F'!G108+'Codan Forsikring'!G108+'Euro Accident'!G108</f>
        <v>1116163.90359</v>
      </c>
      <c r="G108" s="239">
        <f t="shared" ref="G108:G110" si="49">IF(E108=0, "    ---- ", IF(ABS(ROUND(100/E108*F108-100,1))&lt;999,ROUND(100/E108*F108-100,1),IF(ROUND(100/E108*F108-100,1)&gt;999,999,-999)))</f>
        <v>26.9</v>
      </c>
      <c r="H108" s="235">
        <f t="shared" si="37"/>
        <v>5308168.5114899995</v>
      </c>
      <c r="I108" s="235">
        <f t="shared" si="38"/>
        <v>5542138.6695900001</v>
      </c>
      <c r="J108" s="22">
        <f t="shared" si="27"/>
        <v>4.4000000000000004</v>
      </c>
    </row>
    <row r="109" spans="1:10" ht="15.75" customHeight="1" x14ac:dyDescent="0.25">
      <c r="A109" s="20" t="s">
        <v>383</v>
      </c>
      <c r="B109" s="232">
        <f>'Fremtind Livsforsikring'!B109+'Danica Pensjonsforsikring'!B109+'DNB Livsforsikring'!B109+'Eika Forsikring AS'!B109+'Frende Livsforsikring'!B109+'Frende Skadeforsikring'!B109+'Gjensidige Forsikring'!B109+'Gjensidige Pensjon'!B109+'Handelsbanken Liv'!B109+'If Skadeforsikring NUF'!B109+KLP!B109+'DNB Bedriftspensjon AS'!B109+'KLP Skadeforsikring AS'!B109+'Landkreditt Forsikring'!B109+Insr!B109+'Nordea Liv '!B109+'Oslo Pensjonsforsikring'!B109+'Protector Forsikring'!B109+'SHB Liv'!B109+'Sparebank 1'!B109+'Storebrand Livsforsikring'!B109+'Telenor Forsikring'!B109+'Tryg Forsikring'!B109+'WaterCircle F'!B109+'Codan Forsikring'!B109+'Euro Accident'!B109</f>
        <v>324048944.3175804</v>
      </c>
      <c r="C109" s="232">
        <f>'Fremtind Livsforsikring'!C109+'Danica Pensjonsforsikring'!C109+'DNB Livsforsikring'!C109+'Eika Forsikring AS'!C109+'Frende Livsforsikring'!C109+'Frende Skadeforsikring'!C109+'Gjensidige Forsikring'!C109+'Gjensidige Pensjon'!C109+'Handelsbanken Liv'!C109+'If Skadeforsikring NUF'!C109+KLP!C109+'DNB Bedriftspensjon AS'!C109+'KLP Skadeforsikring AS'!C109+'Landkreditt Forsikring'!C109+Insr!C109+'Nordea Liv '!C109+'Oslo Pensjonsforsikring'!C109+'Protector Forsikring'!C109+'SHB Liv'!C109+'Sparebank 1'!C109+'Storebrand Livsforsikring'!C109+'Telenor Forsikring'!C109+'Tryg Forsikring'!C109+'WaterCircle F'!C109+'Codan Forsikring'!C109+'Euro Accident'!C109</f>
        <v>334670828.53918898</v>
      </c>
      <c r="D109" s="22">
        <f t="shared" si="23"/>
        <v>3.3</v>
      </c>
      <c r="E109" s="43">
        <f>'Fremtind Livsforsikring'!F109+'Danica Pensjonsforsikring'!F109+'DNB Livsforsikring'!F109+'Eika Forsikring AS'!F109+'Frende Livsforsikring'!F109+'Frende Skadeforsikring'!F109+'Gjensidige Forsikring'!F109+'Gjensidige Pensjon'!F109+'Handelsbanken Liv'!F109+'If Skadeforsikring NUF'!F109+KLP!F109+'DNB Bedriftspensjon AS'!F109+'KLP Skadeforsikring AS'!F109+'Landkreditt Forsikring'!F109+Insr!F109+'Nordea Liv '!F109+'Oslo Pensjonsforsikring'!F109+'Protector Forsikring'!F109+'SHB Liv'!F109+'Sparebank 1'!F109+'Storebrand Livsforsikring'!F109+'Telenor Forsikring'!F109+'Tryg Forsikring'!F109+'WaterCircle F'!F109+'Codan Forsikring'!F109+'Euro Accident'!F109</f>
        <v>16562163.789000001</v>
      </c>
      <c r="F109" s="43">
        <f>'Fremtind Livsforsikring'!G109+'Danica Pensjonsforsikring'!G109+'DNB Livsforsikring'!G109+'Eika Forsikring AS'!G109+'Frende Livsforsikring'!G109+'Frende Skadeforsikring'!G109+'Gjensidige Forsikring'!G109+'Gjensidige Pensjon'!G109+'Handelsbanken Liv'!G109+'If Skadeforsikring NUF'!G109+KLP!G109+'DNB Bedriftspensjon AS'!G109+'KLP Skadeforsikring AS'!G109+'Landkreditt Forsikring'!G109+Insr!G109+'Nordea Liv '!G109+'Oslo Pensjonsforsikring'!G109+'Protector Forsikring'!G109+'SHB Liv'!G109+'Sparebank 1'!G109+'Storebrand Livsforsikring'!G109+'Telenor Forsikring'!G109+'Tryg Forsikring'!G109+'WaterCircle F'!G109+'Codan Forsikring'!G109+'Euro Accident'!G109</f>
        <v>20264708.644000001</v>
      </c>
      <c r="G109" s="239">
        <f t="shared" si="49"/>
        <v>22.4</v>
      </c>
      <c r="H109" s="235">
        <f t="shared" si="37"/>
        <v>340611108.10658038</v>
      </c>
      <c r="I109" s="235">
        <f t="shared" si="38"/>
        <v>354935537.18318897</v>
      </c>
      <c r="J109" s="22">
        <f t="shared" si="27"/>
        <v>4.2</v>
      </c>
    </row>
    <row r="110" spans="1:10" ht="15.75" customHeight="1" x14ac:dyDescent="0.25">
      <c r="A110" s="729" t="s">
        <v>442</v>
      </c>
      <c r="B110" s="232">
        <f>'Fremtind Livsforsikring'!B110+'Danica Pensjonsforsikring'!B110+'DNB Livsforsikring'!B110+'Eika Forsikring AS'!B110+'Frende Livsforsikring'!B110+'Frende Skadeforsikring'!B110+'Gjensidige Forsikring'!B110+'Gjensidige Pensjon'!B110+'Handelsbanken Liv'!B110+'If Skadeforsikring NUF'!B110+KLP!B110+'DNB Bedriftspensjon AS'!B110+'KLP Skadeforsikring AS'!B110+'Landkreditt Forsikring'!B110+Insr!B110+'Nordea Liv '!B110+'Oslo Pensjonsforsikring'!B110+'Protector Forsikring'!B110+'SHB Liv'!B110+'Sparebank 1'!B110+'Storebrand Livsforsikring'!B110+'Telenor Forsikring'!B110+'Tryg Forsikring'!B110+'WaterCircle F'!B110+'Codan Forsikring'!B110+'Euro Accident'!B110</f>
        <v>1062800.0170769519</v>
      </c>
      <c r="C110" s="232">
        <f>'Fremtind Livsforsikring'!C110+'Danica Pensjonsforsikring'!C110+'DNB Livsforsikring'!C110+'Eika Forsikring AS'!C110+'Frende Livsforsikring'!C110+'Frende Skadeforsikring'!C110+'Gjensidige Forsikring'!C110+'Gjensidige Pensjon'!C110+'Handelsbanken Liv'!C110+'If Skadeforsikring NUF'!C110+KLP!C110+'DNB Bedriftspensjon AS'!C110+'KLP Skadeforsikring AS'!C110+'Landkreditt Forsikring'!C110+Insr!C110+'Nordea Liv '!C110+'Oslo Pensjonsforsikring'!C110+'Protector Forsikring'!C110+'SHB Liv'!C110+'Sparebank 1'!C110+'Storebrand Livsforsikring'!C110+'Telenor Forsikring'!C110+'Tryg Forsikring'!C110+'WaterCircle F'!C110+'Codan Forsikring'!C110+'Euro Accident'!C110</f>
        <v>1585864.0536375849</v>
      </c>
      <c r="D110" s="22">
        <f t="shared" si="23"/>
        <v>49.2</v>
      </c>
      <c r="E110" s="43">
        <f>'Fremtind Livsforsikring'!F110+'Danica Pensjonsforsikring'!F110+'DNB Livsforsikring'!F110+'Eika Forsikring AS'!F110+'Frende Livsforsikring'!F110+'Frende Skadeforsikring'!F110+'Gjensidige Forsikring'!F110+'Gjensidige Pensjon'!F110+'Handelsbanken Liv'!F110+'If Skadeforsikring NUF'!F110+KLP!F110+'DNB Bedriftspensjon AS'!F110+'KLP Skadeforsikring AS'!F110+'Landkreditt Forsikring'!F110+Insr!F110+'Nordea Liv '!F110+'Oslo Pensjonsforsikring'!F110+'Protector Forsikring'!F110+'SHB Liv'!F110+'Sparebank 1'!F110+'Storebrand Livsforsikring'!F110+'Telenor Forsikring'!F110+'Tryg Forsikring'!F110+'WaterCircle F'!F110+'Codan Forsikring'!F110+'Euro Accident'!F110</f>
        <v>109813924.35413599</v>
      </c>
      <c r="F110" s="730">
        <f>'Fremtind Livsforsikring'!G110+'Danica Pensjonsforsikring'!G110+'DNB Livsforsikring'!G110+'Eika Forsikring AS'!G110+'Frende Livsforsikring'!G110+'Frende Skadeforsikring'!G110+'Gjensidige Forsikring'!G110+'Gjensidige Pensjon'!G110+'Handelsbanken Liv'!G110+'If Skadeforsikring NUF'!G110+KLP!G110+'DNB Bedriftspensjon AS'!G110+'KLP Skadeforsikring AS'!G110+'Landkreditt Forsikring'!G110+Insr!G110+'Nordea Liv '!G110+'Oslo Pensjonsforsikring'!G110+'Protector Forsikring'!G110+'SHB Liv'!G110+'Sparebank 1'!G110+'Storebrand Livsforsikring'!G110+'Telenor Forsikring'!G110+'Tryg Forsikring'!G110+'WaterCircle F'!G110+'Codan Forsikring'!G110+'Euro Accident'!G110</f>
        <v>148197479.30925599</v>
      </c>
      <c r="G110" s="239">
        <f t="shared" si="49"/>
        <v>35</v>
      </c>
      <c r="H110" s="235">
        <f t="shared" si="37"/>
        <v>110876724.37121294</v>
      </c>
      <c r="I110" s="235">
        <f t="shared" si="38"/>
        <v>149783343.36289358</v>
      </c>
      <c r="J110" s="22">
        <f t="shared" si="27"/>
        <v>35.1</v>
      </c>
    </row>
    <row r="111" spans="1:10" ht="15.75" customHeight="1" x14ac:dyDescent="0.2">
      <c r="A111" s="20" t="s">
        <v>385</v>
      </c>
      <c r="B111" s="232">
        <f>'Fremtind Livsforsikring'!B111+'Danica Pensjonsforsikring'!B111+'DNB Livsforsikring'!B111+'Eika Forsikring AS'!B111+'Frende Livsforsikring'!B111+'Frende Skadeforsikring'!B111+'Gjensidige Forsikring'!B111+'Gjensidige Pensjon'!B111+'Handelsbanken Liv'!B111+'If Skadeforsikring NUF'!B111+KLP!B111+'DNB Bedriftspensjon AS'!B111+'KLP Skadeforsikring AS'!B111+'Landkreditt Forsikring'!B111+Insr!B111+'Nordea Liv '!B111+'Oslo Pensjonsforsikring'!B111+'Protector Forsikring'!B111+'SHB Liv'!B111+'Sparebank 1'!B111+'Storebrand Livsforsikring'!B111+'Telenor Forsikring'!B111+'Tryg Forsikring'!B111+'WaterCircle F'!B111+'Codan Forsikring'!B111+'Euro Accident'!B111</f>
        <v>371478.00978999998</v>
      </c>
      <c r="C111" s="232">
        <f>'Fremtind Livsforsikring'!C111+'Danica Pensjonsforsikring'!C111+'DNB Livsforsikring'!C111+'Eika Forsikring AS'!C111+'Frende Livsforsikring'!C111+'Frende Skadeforsikring'!C111+'Gjensidige Forsikring'!C111+'Gjensidige Pensjon'!C111+'Handelsbanken Liv'!C111+'If Skadeforsikring NUF'!C111+KLP!C111+'DNB Bedriftspensjon AS'!C111+'KLP Skadeforsikring AS'!C111+'Landkreditt Forsikring'!C111+Insr!C111+'Nordea Liv '!C111+'Oslo Pensjonsforsikring'!C111+'Protector Forsikring'!C111+'SHB Liv'!C111+'Sparebank 1'!C111+'Storebrand Livsforsikring'!C111+'Telenor Forsikring'!C111+'Tryg Forsikring'!C111+'WaterCircle F'!C111+'Codan Forsikring'!C111+'Euro Accident'!C111</f>
        <v>602244.70062000002</v>
      </c>
      <c r="D111" s="22">
        <f t="shared" si="23"/>
        <v>62.1</v>
      </c>
      <c r="E111" s="43">
        <f>'Fremtind Livsforsikring'!F111+'Danica Pensjonsforsikring'!F111+'DNB Livsforsikring'!F111+'Eika Forsikring AS'!F111+'Frende Livsforsikring'!F111+'Frende Skadeforsikring'!F111+'Gjensidige Forsikring'!F111+'Gjensidige Pensjon'!F111+'Handelsbanken Liv'!F111+'If Skadeforsikring NUF'!F111+KLP!F111+'DNB Bedriftspensjon AS'!F111+'KLP Skadeforsikring AS'!F111+'Landkreditt Forsikring'!F111+Insr!F111+'Nordea Liv '!F111+'Oslo Pensjonsforsikring'!F111+'Protector Forsikring'!F111+'SHB Liv'!F111+'Sparebank 1'!F111+'Storebrand Livsforsikring'!F111+'Telenor Forsikring'!F111+'Tryg Forsikring'!F111+'WaterCircle F'!F111+'Codan Forsikring'!F111+'Euro Accident'!F111</f>
        <v>0</v>
      </c>
      <c r="F111" s="43">
        <f>'Fremtind Livsforsikring'!G111+'Danica Pensjonsforsikring'!G111+'DNB Livsforsikring'!G111+'Eika Forsikring AS'!G111+'Frende Livsforsikring'!G111+'Frende Skadeforsikring'!G111+'Gjensidige Forsikring'!G111+'Gjensidige Pensjon'!G111+'Handelsbanken Liv'!G111+'If Skadeforsikring NUF'!G111+KLP!G111+'DNB Bedriftspensjon AS'!G111+'KLP Skadeforsikring AS'!G111+'Landkreditt Forsikring'!G111+Insr!G111+'Nordea Liv '!G111+'Oslo Pensjonsforsikring'!G111+'Protector Forsikring'!G111+'SHB Liv'!G111+'Sparebank 1'!G111+'Storebrand Livsforsikring'!G111+'Telenor Forsikring'!G111+'Tryg Forsikring'!G111+'WaterCircle F'!G111+'Codan Forsikring'!G111+'Euro Accident'!G111</f>
        <v>0</v>
      </c>
      <c r="G111" s="165"/>
      <c r="H111" s="235">
        <f t="shared" si="37"/>
        <v>371478.00978999998</v>
      </c>
      <c r="I111" s="235">
        <f t="shared" si="38"/>
        <v>602244.70062000002</v>
      </c>
      <c r="J111" s="22">
        <f t="shared" si="27"/>
        <v>62.1</v>
      </c>
    </row>
    <row r="112" spans="1:10" s="42" customFormat="1" ht="15.75" customHeight="1" x14ac:dyDescent="0.25">
      <c r="A112" s="13" t="s">
        <v>365</v>
      </c>
      <c r="B112" s="306">
        <f>'Fremtind Livsforsikring'!B112+'Danica Pensjonsforsikring'!B112+'DNB Livsforsikring'!B112+'Eika Forsikring AS'!B112+'Frende Livsforsikring'!B112+'Frende Skadeforsikring'!B112+'Gjensidige Forsikring'!B112+'Gjensidige Pensjon'!B112+'Handelsbanken Liv'!B112+'If Skadeforsikring NUF'!B112+KLP!B112+'DNB Bedriftspensjon AS'!B112+'KLP Skadeforsikring AS'!B112+'Landkreditt Forsikring'!B112+Insr!B112+'Nordea Liv '!B112+'Oslo Pensjonsforsikring'!B112+'Protector Forsikring'!B112+'SHB Liv'!B112+'Sparebank 1'!B112+'Storebrand Livsforsikring'!B112+'Telenor Forsikring'!B112+'Tryg Forsikring'!B112+'WaterCircle F'!B112+'Codan Forsikring'!B112+'Euro Accident'!B112</f>
        <v>532961.16861000005</v>
      </c>
      <c r="C112" s="306">
        <f>'Fremtind Livsforsikring'!C112+'Danica Pensjonsforsikring'!C112+'DNB Livsforsikring'!C112+'Eika Forsikring AS'!C112+'Frende Livsforsikring'!C112+'Frende Skadeforsikring'!C112+'Gjensidige Forsikring'!C112+'Gjensidige Pensjon'!C112+'Handelsbanken Liv'!C112+'If Skadeforsikring NUF'!C112+KLP!C112+'DNB Bedriftspensjon AS'!C112+'KLP Skadeforsikring AS'!C112+'Landkreditt Forsikring'!C112+Insr!C112+'Nordea Liv '!C112+'Oslo Pensjonsforsikring'!C112+'Protector Forsikring'!C112+'SHB Liv'!C112+'Sparebank 1'!C112+'Storebrand Livsforsikring'!C112+'Telenor Forsikring'!C112+'Tryg Forsikring'!C112+'WaterCircle F'!C112+'Codan Forsikring'!C112+'Euro Accident'!C112</f>
        <v>259773.9768</v>
      </c>
      <c r="D112" s="23">
        <f t="shared" si="23"/>
        <v>-51.3</v>
      </c>
      <c r="E112" s="234">
        <f>'Fremtind Livsforsikring'!F112+'Danica Pensjonsforsikring'!F112+'DNB Livsforsikring'!F112+'Eika Forsikring AS'!F112+'Frende Livsforsikring'!F112+'Frende Skadeforsikring'!F112+'Gjensidige Forsikring'!F112+'Gjensidige Pensjon'!F112+'Handelsbanken Liv'!F112+'If Skadeforsikring NUF'!F112+KLP!F112+'DNB Bedriftspensjon AS'!F112+'KLP Skadeforsikring AS'!F112+'Landkreditt Forsikring'!F112+Insr!F112+'Nordea Liv '!F112+'Oslo Pensjonsforsikring'!F112+'Protector Forsikring'!F112+'SHB Liv'!F112+'Sparebank 1'!F112+'Storebrand Livsforsikring'!F112+'Telenor Forsikring'!F112+'Tryg Forsikring'!F112+'WaterCircle F'!F112+'Codan Forsikring'!F112+'Euro Accident'!F112</f>
        <v>11816895.368489999</v>
      </c>
      <c r="F112" s="234">
        <f>'Fremtind Livsforsikring'!G112+'Danica Pensjonsforsikring'!G112+'DNB Livsforsikring'!G112+'Eika Forsikring AS'!G112+'Frende Livsforsikring'!G112+'Frende Skadeforsikring'!G112+'Gjensidige Forsikring'!G112+'Gjensidige Pensjon'!G112+'Handelsbanken Liv'!G112+'If Skadeforsikring NUF'!G112+KLP!G112+'DNB Bedriftspensjon AS'!G112+'KLP Skadeforsikring AS'!G112+'Landkreditt Forsikring'!G112+Insr!G112+'Nordea Liv '!G112+'Oslo Pensjonsforsikring'!G112+'Protector Forsikring'!G112+'SHB Liv'!G112+'Sparebank 1'!G112+'Storebrand Livsforsikring'!G112+'Telenor Forsikring'!G112+'Tryg Forsikring'!G112+'WaterCircle F'!G112+'Codan Forsikring'!G112+'Euro Accident'!G112</f>
        <v>29226126.996290002</v>
      </c>
      <c r="G112" s="704">
        <f t="shared" ref="G112:G126" si="50">IF(E112=0, "    ---- ", IF(ABS(ROUND(100/E112*F112-100,1))&lt;999,ROUND(100/E112*F112-100,1),IF(ROUND(100/E112*F112-100,1)&gt;999,999,-999)))</f>
        <v>147.30000000000001</v>
      </c>
      <c r="H112" s="327">
        <f t="shared" si="37"/>
        <v>12349856.537099998</v>
      </c>
      <c r="I112" s="327">
        <f t="shared" si="38"/>
        <v>29485900.97309</v>
      </c>
      <c r="J112" s="23">
        <f t="shared" si="27"/>
        <v>138.80000000000001</v>
      </c>
    </row>
    <row r="113" spans="1:10" ht="15.75" customHeight="1" x14ac:dyDescent="0.25">
      <c r="A113" s="20" t="s">
        <v>9</v>
      </c>
      <c r="B113" s="232">
        <f>'Fremtind Livsforsikring'!B113+'Danica Pensjonsforsikring'!B113+'DNB Livsforsikring'!B113+'Eika Forsikring AS'!B113+'Frende Livsforsikring'!B113+'Frende Skadeforsikring'!B113+'Gjensidige Forsikring'!B113+'Gjensidige Pensjon'!B113+'Handelsbanken Liv'!B113+'If Skadeforsikring NUF'!B113+KLP!B113+'DNB Bedriftspensjon AS'!B113+'KLP Skadeforsikring AS'!B113+'Landkreditt Forsikring'!B113+Insr!B113+'Nordea Liv '!B113+'Oslo Pensjonsforsikring'!B113+'Protector Forsikring'!B113+'SHB Liv'!B113+'Sparebank 1'!B113+'Storebrand Livsforsikring'!B113+'Telenor Forsikring'!B113+'Tryg Forsikring'!B113+'WaterCircle F'!B113+'Codan Forsikring'!B113+'Euro Accident'!B113</f>
        <v>181678.85397999999</v>
      </c>
      <c r="C113" s="232">
        <f>'Fremtind Livsforsikring'!C113+'Danica Pensjonsforsikring'!C113+'DNB Livsforsikring'!C113+'Eika Forsikring AS'!C113+'Frende Livsforsikring'!C113+'Frende Skadeforsikring'!C113+'Gjensidige Forsikring'!C113+'Gjensidige Pensjon'!C113+'Handelsbanken Liv'!C113+'If Skadeforsikring NUF'!C113+KLP!C113+'DNB Bedriftspensjon AS'!C113+'KLP Skadeforsikring AS'!C113+'Landkreditt Forsikring'!C113+Insr!C113+'Nordea Liv '!C113+'Oslo Pensjonsforsikring'!C113+'Protector Forsikring'!C113+'SHB Liv'!C113+'Sparebank 1'!C113+'Storebrand Livsforsikring'!C113+'Telenor Forsikring'!C113+'Tryg Forsikring'!C113+'WaterCircle F'!C113+'Codan Forsikring'!C113+'Euro Accident'!C113</f>
        <v>166303.35594000001</v>
      </c>
      <c r="D113" s="22">
        <f t="shared" ref="D113:D127" si="51">IF(B113=0, "    ---- ", IF(ABS(ROUND(100/B113*C113-100,1))&lt;999,ROUND(100/B113*C113-100,1),IF(ROUND(100/B113*C113-100,1)&gt;999,999,-999)))</f>
        <v>-8.5</v>
      </c>
      <c r="E113" s="43">
        <f>'Fremtind Livsforsikring'!F113+'Danica Pensjonsforsikring'!F113+'DNB Livsforsikring'!F113+'Eika Forsikring AS'!F113+'Frende Livsforsikring'!F113+'Frende Skadeforsikring'!F113+'Gjensidige Forsikring'!F113+'Gjensidige Pensjon'!F113+'Handelsbanken Liv'!F113+'If Skadeforsikring NUF'!F113+KLP!F113+'DNB Bedriftspensjon AS'!F113+'KLP Skadeforsikring AS'!F113+'Landkreditt Forsikring'!F113+Insr!F113+'Nordea Liv '!F113+'Oslo Pensjonsforsikring'!F113+'Protector Forsikring'!F113+'SHB Liv'!F113+'Sparebank 1'!F113+'Storebrand Livsforsikring'!F113+'Telenor Forsikring'!F113+'Tryg Forsikring'!F113+'WaterCircle F'!F113+'Codan Forsikring'!F113+'Euro Accident'!F113</f>
        <v>2688.8789999999999</v>
      </c>
      <c r="F113" s="43">
        <f>'Fremtind Livsforsikring'!G113+'Danica Pensjonsforsikring'!G113+'DNB Livsforsikring'!G113+'Eika Forsikring AS'!G113+'Frende Livsforsikring'!G113+'Frende Skadeforsikring'!G113+'Gjensidige Forsikring'!G113+'Gjensidige Pensjon'!G113+'Handelsbanken Liv'!G113+'If Skadeforsikring NUF'!G113+KLP!G113+'DNB Bedriftspensjon AS'!G113+'KLP Skadeforsikring AS'!G113+'Landkreditt Forsikring'!G113+Insr!G113+'Nordea Liv '!G113+'Oslo Pensjonsforsikring'!G113+'Protector Forsikring'!G113+'SHB Liv'!G113+'Sparebank 1'!G113+'Storebrand Livsforsikring'!G113+'Telenor Forsikring'!G113+'Tryg Forsikring'!G113+'WaterCircle F'!G113+'Codan Forsikring'!G113+'Euro Accident'!G113</f>
        <v>10574.945</v>
      </c>
      <c r="G113" s="239">
        <f t="shared" si="50"/>
        <v>293.3</v>
      </c>
      <c r="H113" s="235">
        <f t="shared" ref="H113:H127" si="52">SUM(B113,E113)</f>
        <v>184367.73297999997</v>
      </c>
      <c r="I113" s="235">
        <f t="shared" ref="I113:I127" si="53">SUM(C113,F113)</f>
        <v>176878.30094000002</v>
      </c>
      <c r="J113" s="22">
        <f t="shared" ref="J113:J127" si="54">IF(H113=0, "    ---- ", IF(ABS(ROUND(100/H113*I113-100,1))&lt;999,ROUND(100/H113*I113-100,1),IF(ROUND(100/H113*I113-100,1)&gt;999,999,-999)))</f>
        <v>-4.0999999999999996</v>
      </c>
    </row>
    <row r="114" spans="1:10" ht="15.75" customHeight="1" x14ac:dyDescent="0.25">
      <c r="A114" s="20" t="s">
        <v>10</v>
      </c>
      <c r="B114" s="232">
        <f>'Fremtind Livsforsikring'!B114+'Danica Pensjonsforsikring'!B114+'DNB Livsforsikring'!B114+'Eika Forsikring AS'!B114+'Frende Livsforsikring'!B114+'Frende Skadeforsikring'!B114+'Gjensidige Forsikring'!B114+'Gjensidige Pensjon'!B114+'Handelsbanken Liv'!B114+'If Skadeforsikring NUF'!B114+KLP!B114+'DNB Bedriftspensjon AS'!B114+'KLP Skadeforsikring AS'!B114+'Landkreditt Forsikring'!B114+Insr!B114+'Nordea Liv '!B114+'Oslo Pensjonsforsikring'!B114+'Protector Forsikring'!B114+'SHB Liv'!B114+'Sparebank 1'!B114+'Storebrand Livsforsikring'!B114+'Telenor Forsikring'!B114+'Tryg Forsikring'!B114+'WaterCircle F'!B114+'Codan Forsikring'!B114+'Euro Accident'!B114</f>
        <v>4255.6072700000004</v>
      </c>
      <c r="C114" s="232">
        <f>'Fremtind Livsforsikring'!C114+'Danica Pensjonsforsikring'!C114+'DNB Livsforsikring'!C114+'Eika Forsikring AS'!C114+'Frende Livsforsikring'!C114+'Frende Skadeforsikring'!C114+'Gjensidige Forsikring'!C114+'Gjensidige Pensjon'!C114+'Handelsbanken Liv'!C114+'If Skadeforsikring NUF'!C114+KLP!C114+'DNB Bedriftspensjon AS'!C114+'KLP Skadeforsikring AS'!C114+'Landkreditt Forsikring'!C114+Insr!C114+'Nordea Liv '!C114+'Oslo Pensjonsforsikring'!C114+'Protector Forsikring'!C114+'SHB Liv'!C114+'Sparebank 1'!C114+'Storebrand Livsforsikring'!C114+'Telenor Forsikring'!C114+'Tryg Forsikring'!C114+'WaterCircle F'!C114+'Codan Forsikring'!C114+'Euro Accident'!C114</f>
        <v>202.16847000000001</v>
      </c>
      <c r="D114" s="22">
        <f t="shared" si="51"/>
        <v>-95.2</v>
      </c>
      <c r="E114" s="43">
        <f>'Fremtind Livsforsikring'!F114+'Danica Pensjonsforsikring'!F114+'DNB Livsforsikring'!F114+'Eika Forsikring AS'!F114+'Frende Livsforsikring'!F114+'Frende Skadeforsikring'!F114+'Gjensidige Forsikring'!F114+'Gjensidige Pensjon'!F114+'Handelsbanken Liv'!F114+'If Skadeforsikring NUF'!F114+KLP!F114+'DNB Bedriftspensjon AS'!F114+'KLP Skadeforsikring AS'!F114+'Landkreditt Forsikring'!F114+Insr!F114+'Nordea Liv '!F114+'Oslo Pensjonsforsikring'!F114+'Protector Forsikring'!F114+'SHB Liv'!F114+'Sparebank 1'!F114+'Storebrand Livsforsikring'!F114+'Telenor Forsikring'!F114+'Tryg Forsikring'!F114+'WaterCircle F'!F114+'Codan Forsikring'!F114+'Euro Accident'!F114</f>
        <v>11745520.632490002</v>
      </c>
      <c r="F114" s="43">
        <f>'Fremtind Livsforsikring'!G114+'Danica Pensjonsforsikring'!G114+'DNB Livsforsikring'!G114+'Eika Forsikring AS'!G114+'Frende Livsforsikring'!G114+'Frende Skadeforsikring'!G114+'Gjensidige Forsikring'!G114+'Gjensidige Pensjon'!G114+'Handelsbanken Liv'!G114+'If Skadeforsikring NUF'!G114+KLP!G114+'DNB Bedriftspensjon AS'!G114+'KLP Skadeforsikring AS'!G114+'Landkreditt Forsikring'!G114+Insr!G114+'Nordea Liv '!G114+'Oslo Pensjonsforsikring'!G114+'Protector Forsikring'!G114+'SHB Liv'!G114+'Sparebank 1'!G114+'Storebrand Livsforsikring'!G114+'Telenor Forsikring'!G114+'Tryg Forsikring'!G114+'WaterCircle F'!G114+'Codan Forsikring'!G114+'Euro Accident'!G114</f>
        <v>29215552.051290002</v>
      </c>
      <c r="G114" s="239">
        <f t="shared" si="50"/>
        <v>148.69999999999999</v>
      </c>
      <c r="H114" s="235">
        <f t="shared" si="52"/>
        <v>11749776.239760002</v>
      </c>
      <c r="I114" s="235">
        <f t="shared" si="53"/>
        <v>29215754.219760001</v>
      </c>
      <c r="J114" s="23">
        <f t="shared" si="54"/>
        <v>148.6</v>
      </c>
    </row>
    <row r="115" spans="1:10" ht="15.75" customHeight="1" x14ac:dyDescent="0.25">
      <c r="A115" s="20" t="s">
        <v>26</v>
      </c>
      <c r="B115" s="232">
        <f>'Fremtind Livsforsikring'!B115+'Danica Pensjonsforsikring'!B115+'DNB Livsforsikring'!B115+'Eika Forsikring AS'!B115+'Frende Livsforsikring'!B115+'Frende Skadeforsikring'!B115+'Gjensidige Forsikring'!B115+'Gjensidige Pensjon'!B115+'Handelsbanken Liv'!B115+'If Skadeforsikring NUF'!B115+KLP!B115+'DNB Bedriftspensjon AS'!B115+'KLP Skadeforsikring AS'!B115+'Landkreditt Forsikring'!B115+Insr!B115+'Nordea Liv '!B115+'Oslo Pensjonsforsikring'!B115+'Protector Forsikring'!B115+'SHB Liv'!B115+'Sparebank 1'!B115+'Storebrand Livsforsikring'!B115+'Telenor Forsikring'!B115+'Tryg Forsikring'!B115+'WaterCircle F'!B115+'Codan Forsikring'!B115+'Euro Accident'!B115</f>
        <v>347026.70736</v>
      </c>
      <c r="C115" s="232">
        <f>'Fremtind Livsforsikring'!C115+'Danica Pensjonsforsikring'!C115+'DNB Livsforsikring'!C115+'Eika Forsikring AS'!C115+'Frende Livsforsikring'!C115+'Frende Skadeforsikring'!C115+'Gjensidige Forsikring'!C115+'Gjensidige Pensjon'!C115+'Handelsbanken Liv'!C115+'If Skadeforsikring NUF'!C115+KLP!C115+'DNB Bedriftspensjon AS'!C115+'KLP Skadeforsikring AS'!C115+'Landkreditt Forsikring'!C115+Insr!C115+'Nordea Liv '!C115+'Oslo Pensjonsforsikring'!C115+'Protector Forsikring'!C115+'SHB Liv'!C115+'Sparebank 1'!C115+'Storebrand Livsforsikring'!C115+'Telenor Forsikring'!C115+'Tryg Forsikring'!C115+'WaterCircle F'!C115+'Codan Forsikring'!C115+'Euro Accident'!C115</f>
        <v>93268.452390000006</v>
      </c>
      <c r="D115" s="22">
        <f t="shared" si="51"/>
        <v>-73.099999999999994</v>
      </c>
      <c r="E115" s="43">
        <f>'Fremtind Livsforsikring'!F115+'Danica Pensjonsforsikring'!F115+'DNB Livsforsikring'!F115+'Eika Forsikring AS'!F115+'Frende Livsforsikring'!F115+'Frende Skadeforsikring'!F115+'Gjensidige Forsikring'!F115+'Gjensidige Pensjon'!F115+'Handelsbanken Liv'!F115+'If Skadeforsikring NUF'!F115+KLP!F115+'DNB Bedriftspensjon AS'!F115+'KLP Skadeforsikring AS'!F115+'Landkreditt Forsikring'!F115+Insr!F115+'Nordea Liv '!F115+'Oslo Pensjonsforsikring'!F115+'Protector Forsikring'!F115+'SHB Liv'!F115+'Sparebank 1'!F115+'Storebrand Livsforsikring'!F115+'Telenor Forsikring'!F115+'Tryg Forsikring'!F115+'WaterCircle F'!F115+'Codan Forsikring'!F115+'Euro Accident'!F115</f>
        <v>68685.857000000004</v>
      </c>
      <c r="F115" s="43">
        <f>'Fremtind Livsforsikring'!G115+'Danica Pensjonsforsikring'!G115+'DNB Livsforsikring'!G115+'Eika Forsikring AS'!G115+'Frende Livsforsikring'!G115+'Frende Skadeforsikring'!G115+'Gjensidige Forsikring'!G115+'Gjensidige Pensjon'!G115+'Handelsbanken Liv'!G115+'If Skadeforsikring NUF'!G115+KLP!G115+'DNB Bedriftspensjon AS'!G115+'KLP Skadeforsikring AS'!G115+'Landkreditt Forsikring'!G115+Insr!G115+'Nordea Liv '!G115+'Oslo Pensjonsforsikring'!G115+'Protector Forsikring'!G115+'SHB Liv'!G115+'Sparebank 1'!G115+'Storebrand Livsforsikring'!G115+'Telenor Forsikring'!G115+'Tryg Forsikring'!G115+'WaterCircle F'!G115+'Codan Forsikring'!G115+'Euro Accident'!G115</f>
        <v>0</v>
      </c>
      <c r="G115" s="239">
        <f t="shared" si="50"/>
        <v>-100</v>
      </c>
      <c r="H115" s="235">
        <f t="shared" si="52"/>
        <v>415712.56436000002</v>
      </c>
      <c r="I115" s="235">
        <f t="shared" si="53"/>
        <v>93268.452390000006</v>
      </c>
      <c r="J115" s="23">
        <f t="shared" si="54"/>
        <v>-77.599999999999994</v>
      </c>
    </row>
    <row r="116" spans="1:10" ht="15.75" customHeight="1" x14ac:dyDescent="0.25">
      <c r="A116" s="294" t="s">
        <v>15</v>
      </c>
      <c r="B116" s="43"/>
      <c r="C116" s="43"/>
      <c r="D116" s="26"/>
      <c r="E116" s="43">
        <f>'Fremtind Livsforsikring'!F116+'Danica Pensjonsforsikring'!F116+'DNB Livsforsikring'!F116+'Eika Forsikring AS'!F116+'Frende Livsforsikring'!F116+'Frende Skadeforsikring'!F116+'Gjensidige Forsikring'!F116+'Gjensidige Pensjon'!F116+'Handelsbanken Liv'!F116+'If Skadeforsikring NUF'!F116+KLP!F116+'DNB Bedriftspensjon AS'!F116+'KLP Skadeforsikring AS'!F116+'Landkreditt Forsikring'!F116+Insr!F116+'Nordea Liv '!F116+'Oslo Pensjonsforsikring'!F116+'Protector Forsikring'!F116+'SHB Liv'!F116+'Sparebank 1'!F116+'Storebrand Livsforsikring'!F116+'Telenor Forsikring'!F116+'Tryg Forsikring'!F116+'WaterCircle F'!F116+'Codan Forsikring'!F116+'Euro Accident'!F116</f>
        <v>0</v>
      </c>
      <c r="F116" s="43">
        <f>'Fremtind Livsforsikring'!G116+'Danica Pensjonsforsikring'!G116+'DNB Livsforsikring'!G116+'Eika Forsikring AS'!G116+'Frende Livsforsikring'!G116+'Frende Skadeforsikring'!G116+'Gjensidige Forsikring'!G116+'Gjensidige Pensjon'!G116+'Handelsbanken Liv'!G116+'If Skadeforsikring NUF'!G116+KLP!G116+'DNB Bedriftspensjon AS'!G116+'KLP Skadeforsikring AS'!G116+'Landkreditt Forsikring'!G116+Insr!G116+'Nordea Liv '!G116+'Oslo Pensjonsforsikring'!G116+'Protector Forsikring'!G116+'SHB Liv'!G116+'Sparebank 1'!G116+'Storebrand Livsforsikring'!G116+'Telenor Forsikring'!G116+'Tryg Forsikring'!G116+'WaterCircle F'!G116+'Codan Forsikring'!G116+'Euro Accident'!G116</f>
        <v>0</v>
      </c>
      <c r="G116" s="239"/>
      <c r="H116" s="235"/>
      <c r="I116" s="235"/>
      <c r="J116" s="22"/>
    </row>
    <row r="117" spans="1:10" ht="15.75" customHeight="1" x14ac:dyDescent="0.25">
      <c r="A117" s="20" t="s">
        <v>386</v>
      </c>
      <c r="B117" s="232">
        <f>'Fremtind Livsforsikring'!B117+'Danica Pensjonsforsikring'!B117+'DNB Livsforsikring'!B117+'Eika Forsikring AS'!B117+'Frende Livsforsikring'!B117+'Frende Skadeforsikring'!B117+'Gjensidige Forsikring'!B117+'Gjensidige Pensjon'!B117+'Handelsbanken Liv'!B117+'If Skadeforsikring NUF'!B117+KLP!B117+'DNB Bedriftspensjon AS'!B117+'KLP Skadeforsikring AS'!B117+'Landkreditt Forsikring'!B117+Insr!B117+'Nordea Liv '!B117+'Oslo Pensjonsforsikring'!B117+'Protector Forsikring'!B117+'SHB Liv'!B117+'Sparebank 1'!B117+'Storebrand Livsforsikring'!B117+'Telenor Forsikring'!B117+'Tryg Forsikring'!B117+'WaterCircle F'!B117+'Codan Forsikring'!B117+'Euro Accident'!B117</f>
        <v>46631.421000000002</v>
      </c>
      <c r="C117" s="232">
        <f>'Fremtind Livsforsikring'!C117+'Danica Pensjonsforsikring'!C117+'DNB Livsforsikring'!C117+'Eika Forsikring AS'!C117+'Frende Livsforsikring'!C117+'Frende Skadeforsikring'!C117+'Gjensidige Forsikring'!C117+'Gjensidige Pensjon'!C117+'Handelsbanken Liv'!C117+'If Skadeforsikring NUF'!C117+KLP!C117+'DNB Bedriftspensjon AS'!C117+'KLP Skadeforsikring AS'!C117+'Landkreditt Forsikring'!C117+Insr!C117+'Nordea Liv '!C117+'Oslo Pensjonsforsikring'!C117+'Protector Forsikring'!C117+'SHB Liv'!C117+'Sparebank 1'!C117+'Storebrand Livsforsikring'!C117+'Telenor Forsikring'!C117+'Tryg Forsikring'!C117+'WaterCircle F'!C117+'Codan Forsikring'!C117+'Euro Accident'!C117</f>
        <v>65722.102790000004</v>
      </c>
      <c r="D117" s="22">
        <f t="shared" si="51"/>
        <v>40.9</v>
      </c>
      <c r="E117" s="43">
        <f>'Fremtind Livsforsikring'!F117+'Danica Pensjonsforsikring'!F117+'DNB Livsforsikring'!F117+'Eika Forsikring AS'!F117+'Frende Livsforsikring'!F117+'Frende Skadeforsikring'!F117+'Gjensidige Forsikring'!F117+'Gjensidige Pensjon'!F117+'Handelsbanken Liv'!F117+'If Skadeforsikring NUF'!F117+KLP!F117+'DNB Bedriftspensjon AS'!F117+'KLP Skadeforsikring AS'!F117+'Landkreditt Forsikring'!F117+Insr!F117+'Nordea Liv '!F117+'Oslo Pensjonsforsikring'!F117+'Protector Forsikring'!F117+'SHB Liv'!F117+'Sparebank 1'!F117+'Storebrand Livsforsikring'!F117+'Telenor Forsikring'!F117+'Tryg Forsikring'!F117+'WaterCircle F'!F117+'Codan Forsikring'!F117+'Euro Accident'!F117</f>
        <v>2688.8789999999999</v>
      </c>
      <c r="F117" s="43">
        <f>'Fremtind Livsforsikring'!G117+'Danica Pensjonsforsikring'!G117+'DNB Livsforsikring'!G117+'Eika Forsikring AS'!G117+'Frende Livsforsikring'!G117+'Frende Skadeforsikring'!G117+'Gjensidige Forsikring'!G117+'Gjensidige Pensjon'!G117+'Handelsbanken Liv'!G117+'If Skadeforsikring NUF'!G117+KLP!G117+'DNB Bedriftspensjon AS'!G117+'KLP Skadeforsikring AS'!G117+'Landkreditt Forsikring'!G117+Insr!G117+'Nordea Liv '!G117+'Oslo Pensjonsforsikring'!G117+'Protector Forsikring'!G117+'SHB Liv'!G117+'Sparebank 1'!G117+'Storebrand Livsforsikring'!G117+'Telenor Forsikring'!G117+'Tryg Forsikring'!G117+'WaterCircle F'!G117+'Codan Forsikring'!G117+'Euro Accident'!G117</f>
        <v>10574.945</v>
      </c>
      <c r="G117" s="239">
        <f t="shared" si="50"/>
        <v>293.3</v>
      </c>
      <c r="H117" s="235">
        <f t="shared" si="52"/>
        <v>49320.3</v>
      </c>
      <c r="I117" s="235">
        <f t="shared" si="53"/>
        <v>76297.047790000011</v>
      </c>
      <c r="J117" s="22">
        <f t="shared" si="54"/>
        <v>54.7</v>
      </c>
    </row>
    <row r="118" spans="1:10" ht="15.75" customHeight="1" x14ac:dyDescent="0.25">
      <c r="A118" s="20" t="s">
        <v>387</v>
      </c>
      <c r="B118" s="232">
        <f>'Fremtind Livsforsikring'!B118+'Danica Pensjonsforsikring'!B118+'DNB Livsforsikring'!B118+'Eika Forsikring AS'!B118+'Frende Livsforsikring'!B118+'Frende Skadeforsikring'!B118+'Gjensidige Forsikring'!B118+'Gjensidige Pensjon'!B118+'Handelsbanken Liv'!B118+'If Skadeforsikring NUF'!B118+KLP!B118+'DNB Bedriftspensjon AS'!B118+'KLP Skadeforsikring AS'!B118+'Landkreditt Forsikring'!B118+Insr!B118+'Nordea Liv '!B118+'Oslo Pensjonsforsikring'!B118+'Protector Forsikring'!B118+'SHB Liv'!B118+'Sparebank 1'!B118+'Storebrand Livsforsikring'!B118+'Telenor Forsikring'!B118+'Tryg Forsikring'!B118+'WaterCircle F'!B118+'Codan Forsikring'!B118+'Euro Accident'!B118</f>
        <v>0</v>
      </c>
      <c r="C118" s="232">
        <f>'Fremtind Livsforsikring'!C118+'Danica Pensjonsforsikring'!C118+'DNB Livsforsikring'!C118+'Eika Forsikring AS'!C118+'Frende Livsforsikring'!C118+'Frende Skadeforsikring'!C118+'Gjensidige Forsikring'!C118+'Gjensidige Pensjon'!C118+'Handelsbanken Liv'!C118+'If Skadeforsikring NUF'!C118+KLP!C118+'DNB Bedriftspensjon AS'!C118+'KLP Skadeforsikring AS'!C118+'Landkreditt Forsikring'!C118+Insr!C118+'Nordea Liv '!C118+'Oslo Pensjonsforsikring'!C118+'Protector Forsikring'!C118+'SHB Liv'!C118+'Sparebank 1'!C118+'Storebrand Livsforsikring'!C118+'Telenor Forsikring'!C118+'Tryg Forsikring'!C118+'WaterCircle F'!C118+'Codan Forsikring'!C118+'Euro Accident'!C118</f>
        <v>0</v>
      </c>
      <c r="D118" s="22"/>
      <c r="E118" s="43">
        <f>'Fremtind Livsforsikring'!F118+'Danica Pensjonsforsikring'!F118+'DNB Livsforsikring'!F118+'Eika Forsikring AS'!F118+'Frende Livsforsikring'!F118+'Frende Skadeforsikring'!F118+'Gjensidige Forsikring'!F118+'Gjensidige Pensjon'!F118+'Handelsbanken Liv'!F118+'If Skadeforsikring NUF'!F118+KLP!F118+'DNB Bedriftspensjon AS'!F118+'KLP Skadeforsikring AS'!F118+'Landkreditt Forsikring'!F118+Insr!F118+'Nordea Liv '!F118+'Oslo Pensjonsforsikring'!F118+'Protector Forsikring'!F118+'SHB Liv'!F118+'Sparebank 1'!F118+'Storebrand Livsforsikring'!F118+'Telenor Forsikring'!F118+'Tryg Forsikring'!F118+'WaterCircle F'!F118+'Codan Forsikring'!F118+'Euro Accident'!F118</f>
        <v>1810350.4270799998</v>
      </c>
      <c r="F118" s="43">
        <f>'Fremtind Livsforsikring'!G118+'Danica Pensjonsforsikring'!G118+'DNB Livsforsikring'!G118+'Eika Forsikring AS'!G118+'Frende Livsforsikring'!G118+'Frende Skadeforsikring'!G118+'Gjensidige Forsikring'!G118+'Gjensidige Pensjon'!G118+'Handelsbanken Liv'!G118+'If Skadeforsikring NUF'!G118+KLP!G118+'DNB Bedriftspensjon AS'!G118+'KLP Skadeforsikring AS'!G118+'Landkreditt Forsikring'!G118+Insr!G118+'Nordea Liv '!G118+'Oslo Pensjonsforsikring'!G118+'Protector Forsikring'!G118+'SHB Liv'!G118+'Sparebank 1'!G118+'Storebrand Livsforsikring'!G118+'Telenor Forsikring'!G118+'Tryg Forsikring'!G118+'WaterCircle F'!G118+'Codan Forsikring'!G118+'Euro Accident'!G118</f>
        <v>1358267.3754200002</v>
      </c>
      <c r="G118" s="239">
        <f t="shared" si="50"/>
        <v>-25</v>
      </c>
      <c r="H118" s="235">
        <f t="shared" si="52"/>
        <v>1810350.4270799998</v>
      </c>
      <c r="I118" s="235">
        <f t="shared" si="53"/>
        <v>1358267.3754200002</v>
      </c>
      <c r="J118" s="22">
        <f t="shared" si="54"/>
        <v>-25</v>
      </c>
    </row>
    <row r="119" spans="1:10" ht="15.75" customHeight="1" x14ac:dyDescent="0.25">
      <c r="A119" s="20" t="s">
        <v>385</v>
      </c>
      <c r="B119" s="232">
        <f>'Fremtind Livsforsikring'!B119+'Danica Pensjonsforsikring'!B119+'DNB Livsforsikring'!B119+'Eika Forsikring AS'!B119+'Frende Livsforsikring'!B119+'Frende Skadeforsikring'!B119+'Gjensidige Forsikring'!B119+'Gjensidige Pensjon'!B119+'Handelsbanken Liv'!B119+'If Skadeforsikring NUF'!B119+KLP!B119+'DNB Bedriftspensjon AS'!B119+'KLP Skadeforsikring AS'!B119+'Landkreditt Forsikring'!B119+Insr!B119+'Nordea Liv '!B119+'Oslo Pensjonsforsikring'!B119+'Protector Forsikring'!B119+'SHB Liv'!B119+'Sparebank 1'!B119+'Storebrand Livsforsikring'!B119+'Telenor Forsikring'!B119+'Tryg Forsikring'!B119+'WaterCircle F'!B119+'Codan Forsikring'!B119+'Euro Accident'!B119</f>
        <v>0</v>
      </c>
      <c r="C119" s="232">
        <f>'Fremtind Livsforsikring'!C119+'Danica Pensjonsforsikring'!C119+'DNB Livsforsikring'!C119+'Eika Forsikring AS'!C119+'Frende Livsforsikring'!C119+'Frende Skadeforsikring'!C119+'Gjensidige Forsikring'!C119+'Gjensidige Pensjon'!C119+'Handelsbanken Liv'!C119+'If Skadeforsikring NUF'!C119+KLP!C119+'DNB Bedriftspensjon AS'!C119+'KLP Skadeforsikring AS'!C119+'Landkreditt Forsikring'!C119+Insr!C119+'Nordea Liv '!C119+'Oslo Pensjonsforsikring'!C119+'Protector Forsikring'!C119+'SHB Liv'!C119+'Sparebank 1'!C119+'Storebrand Livsforsikring'!C119+'Telenor Forsikring'!C119+'Tryg Forsikring'!C119+'WaterCircle F'!C119+'Codan Forsikring'!C119+'Euro Accident'!C119</f>
        <v>0</v>
      </c>
      <c r="D119" s="22"/>
      <c r="E119" s="43">
        <f>'Fremtind Livsforsikring'!F119+'Danica Pensjonsforsikring'!F119+'DNB Livsforsikring'!F119+'Eika Forsikring AS'!F119+'Frende Livsforsikring'!F119+'Frende Skadeforsikring'!F119+'Gjensidige Forsikring'!F119+'Gjensidige Pensjon'!F119+'Handelsbanken Liv'!F119+'If Skadeforsikring NUF'!F119+KLP!F119+'DNB Bedriftspensjon AS'!F119+'KLP Skadeforsikring AS'!F119+'Landkreditt Forsikring'!F119+Insr!F119+'Nordea Liv '!F119+'Oslo Pensjonsforsikring'!F119+'Protector Forsikring'!F119+'SHB Liv'!F119+'Sparebank 1'!F119+'Storebrand Livsforsikring'!F119+'Telenor Forsikring'!F119+'Tryg Forsikring'!F119+'WaterCircle F'!F119+'Codan Forsikring'!F119+'Euro Accident'!F119</f>
        <v>0</v>
      </c>
      <c r="F119" s="43">
        <f>'Fremtind Livsforsikring'!G119+'Danica Pensjonsforsikring'!G119+'DNB Livsforsikring'!G119+'Eika Forsikring AS'!G119+'Frende Livsforsikring'!G119+'Frende Skadeforsikring'!G119+'Gjensidige Forsikring'!G119+'Gjensidige Pensjon'!G119+'Handelsbanken Liv'!G119+'If Skadeforsikring NUF'!G119+KLP!G119+'DNB Bedriftspensjon AS'!G119+'KLP Skadeforsikring AS'!G119+'Landkreditt Forsikring'!G119+Insr!G119+'Nordea Liv '!G119+'Oslo Pensjonsforsikring'!G119+'Protector Forsikring'!G119+'SHB Liv'!G119+'Sparebank 1'!G119+'Storebrand Livsforsikring'!G119+'Telenor Forsikring'!G119+'Tryg Forsikring'!G119+'WaterCircle F'!G119+'Codan Forsikring'!G119+'Euro Accident'!G119</f>
        <v>0</v>
      </c>
      <c r="G119" s="239"/>
      <c r="H119" s="235">
        <f t="shared" si="52"/>
        <v>0</v>
      </c>
      <c r="I119" s="235">
        <f t="shared" si="53"/>
        <v>0</v>
      </c>
      <c r="J119" s="22"/>
    </row>
    <row r="120" spans="1:10" s="42" customFormat="1" ht="15.75" customHeight="1" x14ac:dyDescent="0.25">
      <c r="A120" s="13" t="s">
        <v>366</v>
      </c>
      <c r="B120" s="327">
        <f>'Fremtind Livsforsikring'!B120+'Danica Pensjonsforsikring'!B120+'DNB Livsforsikring'!B120+'Eika Forsikring AS'!B120+'Frende Livsforsikring'!B120+'Frende Skadeforsikring'!B120+'Gjensidige Forsikring'!B120+'Gjensidige Pensjon'!B120+'Handelsbanken Liv'!B120+'If Skadeforsikring NUF'!B120+KLP!B120+'DNB Bedriftspensjon AS'!B120+'KLP Skadeforsikring AS'!B120+'Landkreditt Forsikring'!B120+Insr!B120+'Nordea Liv '!B120+'Oslo Pensjonsforsikring'!B120+'Protector Forsikring'!B120+'SHB Liv'!B120+'Sparebank 1'!B120+'Storebrand Livsforsikring'!B120+'Telenor Forsikring'!B120+'Tryg Forsikring'!B120+'WaterCircle F'!B120+'Codan Forsikring'!B120+'Euro Accident'!B120</f>
        <v>594965.51118999999</v>
      </c>
      <c r="C120" s="327">
        <f>'Fremtind Livsforsikring'!C120+'Danica Pensjonsforsikring'!C120+'DNB Livsforsikring'!C120+'Eika Forsikring AS'!C120+'Frende Livsforsikring'!C120+'Frende Skadeforsikring'!C120+'Gjensidige Forsikring'!C120+'Gjensidige Pensjon'!C120+'Handelsbanken Liv'!C120+'If Skadeforsikring NUF'!C120+KLP!C120+'DNB Bedriftspensjon AS'!C120+'KLP Skadeforsikring AS'!C120+'Landkreditt Forsikring'!C120+Insr!C120+'Nordea Liv '!C120+'Oslo Pensjonsforsikring'!C120+'Protector Forsikring'!C120+'SHB Liv'!C120+'Sparebank 1'!C120+'Storebrand Livsforsikring'!C120+'Telenor Forsikring'!C120+'Tryg Forsikring'!C120+'WaterCircle F'!C120+'Codan Forsikring'!C120+'Euro Accident'!C120</f>
        <v>356144.94210999983</v>
      </c>
      <c r="D120" s="23">
        <f t="shared" si="51"/>
        <v>-40.1</v>
      </c>
      <c r="E120" s="234">
        <f>'Fremtind Livsforsikring'!F120+'Danica Pensjonsforsikring'!F120+'DNB Livsforsikring'!F120+'Eika Forsikring AS'!F120+'Frende Livsforsikring'!F120+'Frende Skadeforsikring'!F120+'Gjensidige Forsikring'!F120+'Gjensidige Pensjon'!F120+'Handelsbanken Liv'!F120+'If Skadeforsikring NUF'!F120+KLP!F120+'DNB Bedriftspensjon AS'!F120+'KLP Skadeforsikring AS'!F120+'Landkreditt Forsikring'!F120+Insr!F120+'Nordea Liv '!F120+'Oslo Pensjonsforsikring'!F120+'Protector Forsikring'!F120+'SHB Liv'!F120+'Sparebank 1'!F120+'Storebrand Livsforsikring'!F120+'Telenor Forsikring'!F120+'Tryg Forsikring'!F120+'WaterCircle F'!F120+'Codan Forsikring'!F120+'Euro Accident'!F120</f>
        <v>11565070.293479998</v>
      </c>
      <c r="F120" s="234">
        <f>'Fremtind Livsforsikring'!G120+'Danica Pensjonsforsikring'!G120+'DNB Livsforsikring'!G120+'Eika Forsikring AS'!G120+'Frende Livsforsikring'!G120+'Frende Skadeforsikring'!G120+'Gjensidige Forsikring'!G120+'Gjensidige Pensjon'!G120+'Handelsbanken Liv'!G120+'If Skadeforsikring NUF'!G120+KLP!G120+'DNB Bedriftspensjon AS'!G120+'KLP Skadeforsikring AS'!G120+'Landkreditt Forsikring'!G120+Insr!G120+'Nordea Liv '!G120+'Oslo Pensjonsforsikring'!G120+'Protector Forsikring'!G120+'SHB Liv'!G120+'Sparebank 1'!G120+'Storebrand Livsforsikring'!G120+'Telenor Forsikring'!G120+'Tryg Forsikring'!G120+'WaterCircle F'!G120+'Codan Forsikring'!G120+'Euro Accident'!G120</f>
        <v>33783529.177040003</v>
      </c>
      <c r="G120" s="239">
        <f t="shared" si="50"/>
        <v>192.1</v>
      </c>
      <c r="H120" s="327">
        <f t="shared" si="52"/>
        <v>12160035.804669999</v>
      </c>
      <c r="I120" s="327">
        <f t="shared" si="53"/>
        <v>34139674.119150005</v>
      </c>
      <c r="J120" s="23">
        <f t="shared" si="54"/>
        <v>180.8</v>
      </c>
    </row>
    <row r="121" spans="1:10" ht="15.75" customHeight="1" x14ac:dyDescent="0.25">
      <c r="A121" s="20" t="s">
        <v>9</v>
      </c>
      <c r="B121" s="235">
        <f>'Fremtind Livsforsikring'!B121+'Danica Pensjonsforsikring'!B121+'DNB Livsforsikring'!B121+'Eika Forsikring AS'!B121+'Frende Livsforsikring'!B121+'Frende Skadeforsikring'!B121+'Gjensidige Forsikring'!B121+'Gjensidige Pensjon'!B121+'Handelsbanken Liv'!B121+'If Skadeforsikring NUF'!B121+KLP!B121+'DNB Bedriftspensjon AS'!B121+'KLP Skadeforsikring AS'!B121+'Landkreditt Forsikring'!B121+Insr!B121+'Nordea Liv '!B121+'Oslo Pensjonsforsikring'!B121+'Protector Forsikring'!B121+'SHB Liv'!B121+'Sparebank 1'!B121+'Storebrand Livsforsikring'!B121+'Telenor Forsikring'!B121+'Tryg Forsikring'!B121+'WaterCircle F'!B121+'Codan Forsikring'!B121+'Euro Accident'!B121</f>
        <v>469189.96194000001</v>
      </c>
      <c r="C121" s="235">
        <f>'Fremtind Livsforsikring'!C121+'Danica Pensjonsforsikring'!C121+'DNB Livsforsikring'!C121+'Eika Forsikring AS'!C121+'Frende Livsforsikring'!C121+'Frende Skadeforsikring'!C121+'Gjensidige Forsikring'!C121+'Gjensidige Pensjon'!C121+'Handelsbanken Liv'!C121+'If Skadeforsikring NUF'!C121+KLP!C121+'DNB Bedriftspensjon AS'!C121+'KLP Skadeforsikring AS'!C121+'Landkreditt Forsikring'!C121+Insr!C121+'Nordea Liv '!C121+'Oslo Pensjonsforsikring'!C121+'Protector Forsikring'!C121+'SHB Liv'!C121+'Sparebank 1'!C121+'Storebrand Livsforsikring'!C121+'Telenor Forsikring'!C121+'Tryg Forsikring'!C121+'WaterCircle F'!C121+'Codan Forsikring'!C121+'Euro Accident'!C121</f>
        <v>256161.33494999984</v>
      </c>
      <c r="D121" s="22">
        <f t="shared" si="51"/>
        <v>-45.4</v>
      </c>
      <c r="E121" s="43">
        <f>'Fremtind Livsforsikring'!F121+'Danica Pensjonsforsikring'!F121+'DNB Livsforsikring'!F121+'Eika Forsikring AS'!F121+'Frende Livsforsikring'!F121+'Frende Skadeforsikring'!F121+'Gjensidige Forsikring'!F121+'Gjensidige Pensjon'!F121+'Handelsbanken Liv'!F121+'If Skadeforsikring NUF'!F121+KLP!F121+'DNB Bedriftspensjon AS'!F121+'KLP Skadeforsikring AS'!F121+'Landkreditt Forsikring'!F121+Insr!F121+'Nordea Liv '!F121+'Oslo Pensjonsforsikring'!F121+'Protector Forsikring'!F121+'SHB Liv'!F121+'Sparebank 1'!F121+'Storebrand Livsforsikring'!F121+'Telenor Forsikring'!F121+'Tryg Forsikring'!F121+'WaterCircle F'!F121+'Codan Forsikring'!F121+'Euro Accident'!F121</f>
        <v>0</v>
      </c>
      <c r="F121" s="43">
        <f>'Fremtind Livsforsikring'!G121+'Danica Pensjonsforsikring'!G121+'DNB Livsforsikring'!G121+'Eika Forsikring AS'!G121+'Frende Livsforsikring'!G121+'Frende Skadeforsikring'!G121+'Gjensidige Forsikring'!G121+'Gjensidige Pensjon'!G121+'Handelsbanken Liv'!G121+'If Skadeforsikring NUF'!G121+KLP!G121+'DNB Bedriftspensjon AS'!G121+'KLP Skadeforsikring AS'!G121+'Landkreditt Forsikring'!G121+Insr!G121+'Nordea Liv '!G121+'Oslo Pensjonsforsikring'!G121+'Protector Forsikring'!G121+'SHB Liv'!G121+'Sparebank 1'!G121+'Storebrand Livsforsikring'!G121+'Telenor Forsikring'!G121+'Tryg Forsikring'!G121+'WaterCircle F'!G121+'Codan Forsikring'!G121+'Euro Accident'!G121</f>
        <v>0</v>
      </c>
      <c r="G121" s="239"/>
      <c r="H121" s="235">
        <f t="shared" si="52"/>
        <v>469189.96194000001</v>
      </c>
      <c r="I121" s="235">
        <f t="shared" si="53"/>
        <v>256161.33494999984</v>
      </c>
      <c r="J121" s="22">
        <f t="shared" si="54"/>
        <v>-45.4</v>
      </c>
    </row>
    <row r="122" spans="1:10" ht="15.75" customHeight="1" x14ac:dyDescent="0.25">
      <c r="A122" s="20" t="s">
        <v>10</v>
      </c>
      <c r="B122" s="235">
        <f>'Fremtind Livsforsikring'!B122+'Danica Pensjonsforsikring'!B122+'DNB Livsforsikring'!B122+'Eika Forsikring AS'!B122+'Frende Livsforsikring'!B122+'Frende Skadeforsikring'!B122+'Gjensidige Forsikring'!B122+'Gjensidige Pensjon'!B122+'Handelsbanken Liv'!B122+'If Skadeforsikring NUF'!B122+KLP!B122+'DNB Bedriftspensjon AS'!B122+'KLP Skadeforsikring AS'!B122+'Landkreditt Forsikring'!B122+Insr!B122+'Nordea Liv '!B122+'Oslo Pensjonsforsikring'!B122+'Protector Forsikring'!B122+'SHB Liv'!B122+'Sparebank 1'!B122+'Storebrand Livsforsikring'!B122+'Telenor Forsikring'!B122+'Tryg Forsikring'!B122+'WaterCircle F'!B122+'Codan Forsikring'!B122+'Euro Accident'!B122</f>
        <v>4676.8951099999995</v>
      </c>
      <c r="C122" s="235">
        <f>'Fremtind Livsforsikring'!C122+'Danica Pensjonsforsikring'!C122+'DNB Livsforsikring'!C122+'Eika Forsikring AS'!C122+'Frende Livsforsikring'!C122+'Frende Skadeforsikring'!C122+'Gjensidige Forsikring'!C122+'Gjensidige Pensjon'!C122+'Handelsbanken Liv'!C122+'If Skadeforsikring NUF'!C122+KLP!C122+'DNB Bedriftspensjon AS'!C122+'KLP Skadeforsikring AS'!C122+'Landkreditt Forsikring'!C122+Insr!C122+'Nordea Liv '!C122+'Oslo Pensjonsforsikring'!C122+'Protector Forsikring'!C122+'SHB Liv'!C122+'Sparebank 1'!C122+'Storebrand Livsforsikring'!C122+'Telenor Forsikring'!C122+'Tryg Forsikring'!C122+'WaterCircle F'!C122+'Codan Forsikring'!C122+'Euro Accident'!C122</f>
        <v>6625.8154999999997</v>
      </c>
      <c r="D122" s="22">
        <f t="shared" si="51"/>
        <v>41.7</v>
      </c>
      <c r="E122" s="43">
        <f>'Fremtind Livsforsikring'!F122+'Danica Pensjonsforsikring'!F122+'DNB Livsforsikring'!F122+'Eika Forsikring AS'!F122+'Frende Livsforsikring'!F122+'Frende Skadeforsikring'!F122+'Gjensidige Forsikring'!F122+'Gjensidige Pensjon'!F122+'Handelsbanken Liv'!F122+'If Skadeforsikring NUF'!F122+KLP!F122+'DNB Bedriftspensjon AS'!F122+'KLP Skadeforsikring AS'!F122+'Landkreditt Forsikring'!F122+Insr!F122+'Nordea Liv '!F122+'Oslo Pensjonsforsikring'!F122+'Protector Forsikring'!F122+'SHB Liv'!F122+'Sparebank 1'!F122+'Storebrand Livsforsikring'!F122+'Telenor Forsikring'!F122+'Tryg Forsikring'!F122+'WaterCircle F'!F122+'Codan Forsikring'!F122+'Euro Accident'!F122</f>
        <v>11565070.293479998</v>
      </c>
      <c r="F122" s="43">
        <f>'Fremtind Livsforsikring'!G122+'Danica Pensjonsforsikring'!G122+'DNB Livsforsikring'!G122+'Eika Forsikring AS'!G122+'Frende Livsforsikring'!G122+'Frende Skadeforsikring'!G122+'Gjensidige Forsikring'!G122+'Gjensidige Pensjon'!G122+'Handelsbanken Liv'!G122+'If Skadeforsikring NUF'!G122+KLP!G122+'DNB Bedriftspensjon AS'!G122+'KLP Skadeforsikring AS'!G122+'Landkreditt Forsikring'!G122+Insr!G122+'Nordea Liv '!G122+'Oslo Pensjonsforsikring'!G122+'Protector Forsikring'!G122+'SHB Liv'!G122+'Sparebank 1'!G122+'Storebrand Livsforsikring'!G122+'Telenor Forsikring'!G122+'Tryg Forsikring'!G122+'WaterCircle F'!G122+'Codan Forsikring'!G122+'Euro Accident'!G122</f>
        <v>33783529.177040003</v>
      </c>
      <c r="G122" s="239">
        <f t="shared" si="50"/>
        <v>192.1</v>
      </c>
      <c r="H122" s="235">
        <f t="shared" si="52"/>
        <v>11569747.188589998</v>
      </c>
      <c r="I122" s="235">
        <f t="shared" si="53"/>
        <v>33790154.992540002</v>
      </c>
      <c r="J122" s="22">
        <f t="shared" si="54"/>
        <v>192.1</v>
      </c>
    </row>
    <row r="123" spans="1:10" ht="15.75" customHeight="1" x14ac:dyDescent="0.25">
      <c r="A123" s="20" t="s">
        <v>26</v>
      </c>
      <c r="B123" s="235">
        <f>'Fremtind Livsforsikring'!B123+'Danica Pensjonsforsikring'!B123+'DNB Livsforsikring'!B123+'Eika Forsikring AS'!B123+'Frende Livsforsikring'!B123+'Frende Skadeforsikring'!B123+'Gjensidige Forsikring'!B123+'Gjensidige Pensjon'!B123+'Handelsbanken Liv'!B123+'If Skadeforsikring NUF'!B123+KLP!B123+'DNB Bedriftspensjon AS'!B123+'KLP Skadeforsikring AS'!B123+'Landkreditt Forsikring'!B123+Insr!B123+'Nordea Liv '!B123+'Oslo Pensjonsforsikring'!B123+'Protector Forsikring'!B123+'SHB Liv'!B123+'Sparebank 1'!B123+'Storebrand Livsforsikring'!B123+'Telenor Forsikring'!B123+'Tryg Forsikring'!B123+'WaterCircle F'!B123+'Codan Forsikring'!B123+'Euro Accident'!B123</f>
        <v>121098.65414</v>
      </c>
      <c r="C123" s="235">
        <f>'Fremtind Livsforsikring'!C123+'Danica Pensjonsforsikring'!C123+'DNB Livsforsikring'!C123+'Eika Forsikring AS'!C123+'Frende Livsforsikring'!C123+'Frende Skadeforsikring'!C123+'Gjensidige Forsikring'!C123+'Gjensidige Pensjon'!C123+'Handelsbanken Liv'!C123+'If Skadeforsikring NUF'!C123+KLP!C123+'DNB Bedriftspensjon AS'!C123+'KLP Skadeforsikring AS'!C123+'Landkreditt Forsikring'!C123+Insr!C123+'Nordea Liv '!C123+'Oslo Pensjonsforsikring'!C123+'Protector Forsikring'!C123+'SHB Liv'!C123+'Sparebank 1'!C123+'Storebrand Livsforsikring'!C123+'Telenor Forsikring'!C123+'Tryg Forsikring'!C123+'WaterCircle F'!C123+'Codan Forsikring'!C123+'Euro Accident'!C123</f>
        <v>93357.791659999988</v>
      </c>
      <c r="D123" s="22">
        <f t="shared" si="51"/>
        <v>-22.9</v>
      </c>
      <c r="E123" s="43">
        <f>'Fremtind Livsforsikring'!F123+'Danica Pensjonsforsikring'!F123+'DNB Livsforsikring'!F123+'Eika Forsikring AS'!F123+'Frende Livsforsikring'!F123+'Frende Skadeforsikring'!F123+'Gjensidige Forsikring'!F123+'Gjensidige Pensjon'!F123+'Handelsbanken Liv'!F123+'If Skadeforsikring NUF'!F123+KLP!F123+'DNB Bedriftspensjon AS'!F123+'KLP Skadeforsikring AS'!F123+'Landkreditt Forsikring'!F123+Insr!F123+'Nordea Liv '!F123+'Oslo Pensjonsforsikring'!F123+'Protector Forsikring'!F123+'SHB Liv'!F123+'Sparebank 1'!F123+'Storebrand Livsforsikring'!F123+'Telenor Forsikring'!F123+'Tryg Forsikring'!F123+'WaterCircle F'!F123+'Codan Forsikring'!F123+'Euro Accident'!F123</f>
        <v>0</v>
      </c>
      <c r="F123" s="43">
        <f>'Fremtind Livsforsikring'!G123+'Danica Pensjonsforsikring'!G123+'DNB Livsforsikring'!G123+'Eika Forsikring AS'!G123+'Frende Livsforsikring'!G123+'Frende Skadeforsikring'!G123+'Gjensidige Forsikring'!G123+'Gjensidige Pensjon'!G123+'Handelsbanken Liv'!G123+'If Skadeforsikring NUF'!G123+KLP!G123+'DNB Bedriftspensjon AS'!G123+'KLP Skadeforsikring AS'!G123+'Landkreditt Forsikring'!G123+Insr!G123+'Nordea Liv '!G123+'Oslo Pensjonsforsikring'!G123+'Protector Forsikring'!G123+'SHB Liv'!G123+'Sparebank 1'!G123+'Storebrand Livsforsikring'!G123+'Telenor Forsikring'!G123+'Tryg Forsikring'!G123+'WaterCircle F'!G123+'Codan Forsikring'!G123+'Euro Accident'!G123</f>
        <v>0</v>
      </c>
      <c r="G123" s="239"/>
      <c r="H123" s="235">
        <f t="shared" si="52"/>
        <v>121098.65414</v>
      </c>
      <c r="I123" s="235">
        <f t="shared" si="53"/>
        <v>93357.791659999988</v>
      </c>
      <c r="J123" s="22">
        <f t="shared" si="54"/>
        <v>-22.9</v>
      </c>
    </row>
    <row r="124" spans="1:10" ht="15.75" customHeight="1" x14ac:dyDescent="0.25">
      <c r="A124" s="294" t="s">
        <v>14</v>
      </c>
      <c r="B124" s="43"/>
      <c r="C124" s="43"/>
      <c r="D124" s="26"/>
      <c r="E124" s="43">
        <f>'Fremtind Livsforsikring'!F124+'Danica Pensjonsforsikring'!F124+'DNB Livsforsikring'!F124+'Eika Forsikring AS'!F124+'Frende Livsforsikring'!F124+'Frende Skadeforsikring'!F124+'Gjensidige Forsikring'!F124+'Gjensidige Pensjon'!F124+'Handelsbanken Liv'!F124+'If Skadeforsikring NUF'!F124+KLP!F124+'DNB Bedriftspensjon AS'!F124+'KLP Skadeforsikring AS'!F124+'Landkreditt Forsikring'!F124+Insr!F124+'Nordea Liv '!F124+'Oslo Pensjonsforsikring'!F124+'Protector Forsikring'!F124+'SHB Liv'!F124+'Sparebank 1'!F124+'Storebrand Livsforsikring'!F124+'Telenor Forsikring'!F124+'Tryg Forsikring'!F124+'WaterCircle F'!F124+'Codan Forsikring'!F124+'Euro Accident'!F124</f>
        <v>0</v>
      </c>
      <c r="F124" s="43">
        <f>'Fremtind Livsforsikring'!G124+'Danica Pensjonsforsikring'!G124+'DNB Livsforsikring'!G124+'Eika Forsikring AS'!G124+'Frende Livsforsikring'!G124+'Frende Skadeforsikring'!G124+'Gjensidige Forsikring'!G124+'Gjensidige Pensjon'!G124+'Handelsbanken Liv'!G124+'If Skadeforsikring NUF'!G124+KLP!G124+'DNB Bedriftspensjon AS'!G124+'KLP Skadeforsikring AS'!G124+'Landkreditt Forsikring'!G124+Insr!G124+'Nordea Liv '!G124+'Oslo Pensjonsforsikring'!G124+'Protector Forsikring'!G124+'SHB Liv'!G124+'Sparebank 1'!G124+'Storebrand Livsforsikring'!G124+'Telenor Forsikring'!G124+'Tryg Forsikring'!G124+'WaterCircle F'!G124+'Codan Forsikring'!G124+'Euro Accident'!G124</f>
        <v>0</v>
      </c>
      <c r="G124" s="239"/>
      <c r="H124" s="235"/>
      <c r="I124" s="235"/>
      <c r="J124" s="22"/>
    </row>
    <row r="125" spans="1:10" ht="15.75" customHeight="1" x14ac:dyDescent="0.25">
      <c r="A125" s="20" t="s">
        <v>383</v>
      </c>
      <c r="B125" s="235">
        <f>'Fremtind Livsforsikring'!B125+'Danica Pensjonsforsikring'!B125+'DNB Livsforsikring'!B125+'Eika Forsikring AS'!B125+'Frende Livsforsikring'!B125+'Frende Skadeforsikring'!B125+'Gjensidige Forsikring'!B125+'Gjensidige Pensjon'!B125+'Handelsbanken Liv'!B125+'If Skadeforsikring NUF'!B125+KLP!B125+'DNB Bedriftspensjon AS'!B125+'KLP Skadeforsikring AS'!B125+'Landkreditt Forsikring'!B125+Insr!B125+'Nordea Liv '!B125+'Oslo Pensjonsforsikring'!B125+'Protector Forsikring'!B125+'SHB Liv'!B125+'Sparebank 1'!B125+'Storebrand Livsforsikring'!B125+'Telenor Forsikring'!B125+'Tryg Forsikring'!B125+'WaterCircle F'!B125+'Codan Forsikring'!B125+'Euro Accident'!B125</f>
        <v>36000.775000000001</v>
      </c>
      <c r="C125" s="235">
        <f>'Fremtind Livsforsikring'!C125+'Danica Pensjonsforsikring'!C125+'DNB Livsforsikring'!C125+'Eika Forsikring AS'!C125+'Frende Livsforsikring'!C125+'Frende Skadeforsikring'!C125+'Gjensidige Forsikring'!C125+'Gjensidige Pensjon'!C125+'Handelsbanken Liv'!C125+'If Skadeforsikring NUF'!C125+KLP!C125+'DNB Bedriftspensjon AS'!C125+'KLP Skadeforsikring AS'!C125+'Landkreditt Forsikring'!C125+Insr!C125+'Nordea Liv '!C125+'Oslo Pensjonsforsikring'!C125+'Protector Forsikring'!C125+'SHB Liv'!C125+'Sparebank 1'!C125+'Storebrand Livsforsikring'!C125+'Telenor Forsikring'!C125+'Tryg Forsikring'!C125+'WaterCircle F'!C125+'Codan Forsikring'!C125+'Euro Accident'!C125</f>
        <v>21246.671999999999</v>
      </c>
      <c r="D125" s="22">
        <f t="shared" si="51"/>
        <v>-41</v>
      </c>
      <c r="E125" s="43">
        <f>'Fremtind Livsforsikring'!F125+'Danica Pensjonsforsikring'!F125+'DNB Livsforsikring'!F125+'Eika Forsikring AS'!F125+'Frende Livsforsikring'!F125+'Frende Skadeforsikring'!F125+'Gjensidige Forsikring'!F125+'Gjensidige Pensjon'!F125+'Handelsbanken Liv'!F125+'If Skadeforsikring NUF'!F125+KLP!F125+'DNB Bedriftspensjon AS'!F125+'KLP Skadeforsikring AS'!F125+'Landkreditt Forsikring'!F125+Insr!F125+'Nordea Liv '!F125+'Oslo Pensjonsforsikring'!F125+'Protector Forsikring'!F125+'SHB Liv'!F125+'Sparebank 1'!F125+'Storebrand Livsforsikring'!F125+'Telenor Forsikring'!F125+'Tryg Forsikring'!F125+'WaterCircle F'!F125+'Codan Forsikring'!F125+'Euro Accident'!F125</f>
        <v>9367.0149999999994</v>
      </c>
      <c r="F125" s="43">
        <f>'Fremtind Livsforsikring'!G125+'Danica Pensjonsforsikring'!G125+'DNB Livsforsikring'!G125+'Eika Forsikring AS'!G125+'Frende Livsforsikring'!G125+'Frende Skadeforsikring'!G125+'Gjensidige Forsikring'!G125+'Gjensidige Pensjon'!G125+'Handelsbanken Liv'!G125+'If Skadeforsikring NUF'!G125+KLP!G125+'DNB Bedriftspensjon AS'!G125+'KLP Skadeforsikring AS'!G125+'Landkreditt Forsikring'!G125+Insr!G125+'Nordea Liv '!G125+'Oslo Pensjonsforsikring'!G125+'Protector Forsikring'!G125+'SHB Liv'!G125+'Sparebank 1'!G125+'Storebrand Livsforsikring'!G125+'Telenor Forsikring'!G125+'Tryg Forsikring'!G125+'WaterCircle F'!G125+'Codan Forsikring'!G125+'Euro Accident'!G125</f>
        <v>28627.687000000002</v>
      </c>
      <c r="G125" s="239">
        <f t="shared" si="50"/>
        <v>205.6</v>
      </c>
      <c r="H125" s="235">
        <f t="shared" si="52"/>
        <v>45367.79</v>
      </c>
      <c r="I125" s="235">
        <f t="shared" si="53"/>
        <v>49874.358999999997</v>
      </c>
      <c r="J125" s="22">
        <f t="shared" si="54"/>
        <v>9.9</v>
      </c>
    </row>
    <row r="126" spans="1:10" ht="15.75" customHeight="1" x14ac:dyDescent="0.25">
      <c r="A126" s="20" t="s">
        <v>384</v>
      </c>
      <c r="B126" s="235">
        <f>'Fremtind Livsforsikring'!B126+'Danica Pensjonsforsikring'!B126+'DNB Livsforsikring'!B126+'Eika Forsikring AS'!B126+'Frende Livsforsikring'!B126+'Frende Skadeforsikring'!B126+'Gjensidige Forsikring'!B126+'Gjensidige Pensjon'!B126+'Handelsbanken Liv'!B126+'If Skadeforsikring NUF'!B126+KLP!B126+'DNB Bedriftspensjon AS'!B126+'KLP Skadeforsikring AS'!B126+'Landkreditt Forsikring'!B126+Insr!B126+'Nordea Liv '!B126+'Oslo Pensjonsforsikring'!B126+'Protector Forsikring'!B126+'SHB Liv'!B126+'Sparebank 1'!B126+'Storebrand Livsforsikring'!B126+'Telenor Forsikring'!B126+'Tryg Forsikring'!B126+'WaterCircle F'!B126+'Codan Forsikring'!B126+'Euro Accident'!B126</f>
        <v>1063.3412900000001</v>
      </c>
      <c r="C126" s="235">
        <f>'Fremtind Livsforsikring'!C126+'Danica Pensjonsforsikring'!C126+'DNB Livsforsikring'!C126+'Eika Forsikring AS'!C126+'Frende Livsforsikring'!C126+'Frende Skadeforsikring'!C126+'Gjensidige Forsikring'!C126+'Gjensidige Pensjon'!C126+'Handelsbanken Liv'!C126+'If Skadeforsikring NUF'!C126+KLP!C126+'DNB Bedriftspensjon AS'!C126+'KLP Skadeforsikring AS'!C126+'Landkreditt Forsikring'!C126+Insr!C126+'Nordea Liv '!C126+'Oslo Pensjonsforsikring'!C126+'Protector Forsikring'!C126+'SHB Liv'!C126+'Sparebank 1'!C126+'Storebrand Livsforsikring'!C126+'Telenor Forsikring'!C126+'Tryg Forsikring'!C126+'WaterCircle F'!C126+'Codan Forsikring'!C126+'Euro Accident'!C126</f>
        <v>1952.9155899999998</v>
      </c>
      <c r="D126" s="22">
        <f t="shared" si="51"/>
        <v>83.7</v>
      </c>
      <c r="E126" s="43">
        <f>'Fremtind Livsforsikring'!F126+'Danica Pensjonsforsikring'!F126+'DNB Livsforsikring'!F126+'Eika Forsikring AS'!F126+'Frende Livsforsikring'!F126+'Frende Skadeforsikring'!F126+'Gjensidige Forsikring'!F126+'Gjensidige Pensjon'!F126+'Handelsbanken Liv'!F126+'If Skadeforsikring NUF'!F126+KLP!F126+'DNB Bedriftspensjon AS'!F126+'KLP Skadeforsikring AS'!F126+'Landkreditt Forsikring'!F126+Insr!F126+'Nordea Liv '!F126+'Oslo Pensjonsforsikring'!F126+'Protector Forsikring'!F126+'SHB Liv'!F126+'Sparebank 1'!F126+'Storebrand Livsforsikring'!F126+'Telenor Forsikring'!F126+'Tryg Forsikring'!F126+'WaterCircle F'!F126+'Codan Forsikring'!F126+'Euro Accident'!F126</f>
        <v>1967691.9938499997</v>
      </c>
      <c r="F126" s="43">
        <f>'Fremtind Livsforsikring'!G126+'Danica Pensjonsforsikring'!G126+'DNB Livsforsikring'!G126+'Eika Forsikring AS'!G126+'Frende Livsforsikring'!G126+'Frende Skadeforsikring'!G126+'Gjensidige Forsikring'!G126+'Gjensidige Pensjon'!G126+'Handelsbanken Liv'!G126+'If Skadeforsikring NUF'!G126+KLP!G126+'DNB Bedriftspensjon AS'!G126+'KLP Skadeforsikring AS'!G126+'Landkreditt Forsikring'!G126+Insr!G126+'Nordea Liv '!G126+'Oslo Pensjonsforsikring'!G126+'Protector Forsikring'!G126+'SHB Liv'!G126+'Sparebank 1'!G126+'Storebrand Livsforsikring'!G126+'Telenor Forsikring'!G126+'Tryg Forsikring'!G126+'WaterCircle F'!G126+'Codan Forsikring'!G126+'Euro Accident'!G126</f>
        <v>10908989.400139999</v>
      </c>
      <c r="G126" s="239">
        <f t="shared" si="50"/>
        <v>454.4</v>
      </c>
      <c r="H126" s="235">
        <f t="shared" si="52"/>
        <v>1968755.3351399996</v>
      </c>
      <c r="I126" s="235">
        <f t="shared" si="53"/>
        <v>10910942.315729998</v>
      </c>
      <c r="J126" s="22">
        <f t="shared" si="54"/>
        <v>454.2</v>
      </c>
    </row>
    <row r="127" spans="1:10" ht="15.75" customHeight="1" x14ac:dyDescent="0.25">
      <c r="A127" s="10" t="s">
        <v>385</v>
      </c>
      <c r="B127" s="236">
        <f>'Fremtind Livsforsikring'!B127+'Danica Pensjonsforsikring'!B127+'DNB Livsforsikring'!B127+'Eika Forsikring AS'!B127+'Frende Livsforsikring'!B127+'Frende Skadeforsikring'!B127+'Gjensidige Forsikring'!B127+'Gjensidige Pensjon'!B127+'Handelsbanken Liv'!B127+'If Skadeforsikring NUF'!B127+KLP!B127+'DNB Bedriftspensjon AS'!B127+'KLP Skadeforsikring AS'!B127+'Landkreditt Forsikring'!B127+Insr!B127+'Nordea Liv '!B127+'Oslo Pensjonsforsikring'!B127+'Protector Forsikring'!B127+'SHB Liv'!B127+'Sparebank 1'!B127+'Storebrand Livsforsikring'!B127+'Telenor Forsikring'!B127+'Tryg Forsikring'!B127+'WaterCircle F'!B127+'Codan Forsikring'!B127+'Euro Accident'!B127</f>
        <v>0</v>
      </c>
      <c r="C127" s="237">
        <f>'Fremtind Livsforsikring'!C127+'Danica Pensjonsforsikring'!C127+'DNB Livsforsikring'!C127+'Eika Forsikring AS'!C127+'Frende Livsforsikring'!C127+'Frende Skadeforsikring'!C127+'Gjensidige Forsikring'!C127+'Gjensidige Pensjon'!C127+'Handelsbanken Liv'!C127+'If Skadeforsikring NUF'!C127+KLP!C127+'DNB Bedriftspensjon AS'!C127+'KLP Skadeforsikring AS'!C127+'Landkreditt Forsikring'!C127+Insr!C127+'Nordea Liv '!C127+'Oslo Pensjonsforsikring'!C127+'Protector Forsikring'!C127+'SHB Liv'!C127+'Sparebank 1'!C127+'Storebrand Livsforsikring'!C127+'Telenor Forsikring'!C127+'Tryg Forsikring'!C127+'WaterCircle F'!C127+'Codan Forsikring'!C127+'Euro Accident'!C127</f>
        <v>0</v>
      </c>
      <c r="D127" s="21" t="str">
        <f t="shared" si="51"/>
        <v xml:space="preserve">    ---- </v>
      </c>
      <c r="E127" s="44">
        <f>'Fremtind Livsforsikring'!F127+'Danica Pensjonsforsikring'!F127+'DNB Livsforsikring'!F127+'Eika Forsikring AS'!F127+'Frende Livsforsikring'!F127+'Frende Skadeforsikring'!F127+'Gjensidige Forsikring'!F127+'Gjensidige Pensjon'!F127+'Handelsbanken Liv'!F127+'If Skadeforsikring NUF'!F127+KLP!F127+'DNB Bedriftspensjon AS'!F127+'KLP Skadeforsikring AS'!F127+'Landkreditt Forsikring'!F127+Insr!F127+'Nordea Liv '!F127+'Oslo Pensjonsforsikring'!F127+'Protector Forsikring'!F127+'SHB Liv'!F127+'Sparebank 1'!F127+'Storebrand Livsforsikring'!F127+'Telenor Forsikring'!F127+'Tryg Forsikring'!F127+'WaterCircle F'!F127+'Codan Forsikring'!F127+'Euro Accident'!F127</f>
        <v>0</v>
      </c>
      <c r="F127" s="44">
        <f>'Fremtind Livsforsikring'!G127+'Danica Pensjonsforsikring'!G127+'DNB Livsforsikring'!G127+'Eika Forsikring AS'!G127+'Frende Livsforsikring'!G127+'Frende Skadeforsikring'!G127+'Gjensidige Forsikring'!G127+'Gjensidige Pensjon'!G127+'Handelsbanken Liv'!G127+'If Skadeforsikring NUF'!G127+KLP!G127+'DNB Bedriftspensjon AS'!G127+'KLP Skadeforsikring AS'!G127+'Landkreditt Forsikring'!G127+Insr!G127+'Nordea Liv '!G127+'Oslo Pensjonsforsikring'!G127+'Protector Forsikring'!G127+'SHB Liv'!G127+'Sparebank 1'!G127+'Storebrand Livsforsikring'!G127+'Telenor Forsikring'!G127+'Tryg Forsikring'!G127+'WaterCircle F'!G127+'Codan Forsikring'!G127+'Euro Accident'!G127</f>
        <v>0</v>
      </c>
      <c r="G127" s="705"/>
      <c r="H127" s="236">
        <f t="shared" si="52"/>
        <v>0</v>
      </c>
      <c r="I127" s="237">
        <f t="shared" si="53"/>
        <v>0</v>
      </c>
      <c r="J127" s="21" t="str">
        <f t="shared" si="54"/>
        <v xml:space="preserve">    ---- </v>
      </c>
    </row>
    <row r="128" spans="1:10" ht="15.75" customHeight="1" x14ac:dyDescent="0.2">
      <c r="A128" s="154"/>
    </row>
    <row r="129" spans="1:10" ht="15.75" customHeight="1" x14ac:dyDescent="0.2">
      <c r="A129" s="148"/>
    </row>
    <row r="130" spans="1:10" ht="15.75" customHeight="1" x14ac:dyDescent="0.25">
      <c r="A130" s="164" t="s">
        <v>27</v>
      </c>
    </row>
    <row r="131" spans="1:10" ht="15.75" customHeight="1" x14ac:dyDescent="0.25">
      <c r="A131" s="148"/>
      <c r="B131" s="772"/>
      <c r="C131" s="772"/>
      <c r="D131" s="772"/>
      <c r="E131" s="772"/>
      <c r="F131" s="772"/>
      <c r="G131" s="772"/>
      <c r="H131" s="772"/>
      <c r="I131" s="772"/>
      <c r="J131" s="772"/>
    </row>
    <row r="132" spans="1:10" s="3" customFormat="1" ht="20.100000000000001" customHeight="1" x14ac:dyDescent="0.2">
      <c r="A132" s="143"/>
      <c r="B132" s="773" t="s">
        <v>0</v>
      </c>
      <c r="C132" s="774"/>
      <c r="D132" s="775"/>
      <c r="E132" s="774" t="s">
        <v>1</v>
      </c>
      <c r="F132" s="774"/>
      <c r="G132" s="774"/>
      <c r="H132" s="773" t="s">
        <v>2</v>
      </c>
      <c r="I132" s="774"/>
      <c r="J132" s="775"/>
    </row>
    <row r="133" spans="1:10" s="3" customFormat="1" ht="15.75" customHeight="1" x14ac:dyDescent="0.2">
      <c r="A133" s="139"/>
      <c r="B133" s="731" t="s">
        <v>439</v>
      </c>
      <c r="C133" s="731" t="s">
        <v>440</v>
      </c>
      <c r="D133" s="19" t="s">
        <v>3</v>
      </c>
      <c r="E133" s="731" t="s">
        <v>439</v>
      </c>
      <c r="F133" s="731" t="s">
        <v>440</v>
      </c>
      <c r="G133" s="19" t="s">
        <v>3</v>
      </c>
      <c r="H133" s="731" t="s">
        <v>439</v>
      </c>
      <c r="I133" s="731" t="s">
        <v>440</v>
      </c>
      <c r="J133" s="19" t="s">
        <v>3</v>
      </c>
    </row>
    <row r="134" spans="1:10" s="3" customFormat="1" ht="15.75" customHeight="1" x14ac:dyDescent="0.2">
      <c r="A134" s="754"/>
      <c r="B134" s="15"/>
      <c r="C134" s="15"/>
      <c r="D134" s="17" t="s">
        <v>4</v>
      </c>
      <c r="E134" s="16"/>
      <c r="F134" s="16"/>
      <c r="G134" s="15" t="s">
        <v>4</v>
      </c>
      <c r="H134" s="16"/>
      <c r="I134" s="16"/>
      <c r="J134" s="15" t="s">
        <v>4</v>
      </c>
    </row>
    <row r="135" spans="1:10" s="417" customFormat="1" ht="15.75" customHeight="1" x14ac:dyDescent="0.2">
      <c r="A135" s="14" t="s">
        <v>388</v>
      </c>
      <c r="B135" s="234">
        <f>'Fremtind Livsforsikring'!B135+'Danica Pensjonsforsikring'!B135+'DNB Livsforsikring'!B135+'Eika Forsikring AS'!B135+'Frende Livsforsikring'!B135+'Frende Skadeforsikring'!B135+'Gjensidige Forsikring'!B135+'Gjensidige Pensjon'!B135+'Handelsbanken Liv'!B135+'If Skadeforsikring NUF'!B135+KLP!B135+'DNB Bedriftspensjon AS'!B135+'KLP Skadeforsikring AS'!B135+'Landkreditt Forsikring'!B135+Insr!B135+'Nordea Liv '!B135+'Oslo Pensjonsforsikring'!B135+'Protector Forsikring'!B135+'SHB Liv'!B135+'Sparebank 1'!B135+'Storebrand Livsforsikring'!B135+'Telenor Forsikring'!B135+'Tryg Forsikring'!B135+'WaterCircle F'!B135+'Codan Forsikring'!B135+'Euro Accident'!B135</f>
        <v>15955095.80614</v>
      </c>
      <c r="C135" s="234">
        <f>'Fremtind Livsforsikring'!C135+'Danica Pensjonsforsikring'!C135+'DNB Livsforsikring'!C135+'Eika Forsikring AS'!C135+'Frende Livsforsikring'!C135+'Frende Skadeforsikring'!C135+'Gjensidige Forsikring'!C135+'Gjensidige Pensjon'!C135+'Handelsbanken Liv'!C135+'If Skadeforsikring NUF'!C135+KLP!C135+'DNB Bedriftspensjon AS'!C135+'KLP Skadeforsikring AS'!C135+'Landkreditt Forsikring'!C135+Insr!C135+'Nordea Liv '!C135+'Oslo Pensjonsforsikring'!C135+'Protector Forsikring'!C135+'SHB Liv'!C135+'Sparebank 1'!C135+'Storebrand Livsforsikring'!C135+'Telenor Forsikring'!C135+'Tryg Forsikring'!C135+'WaterCircle F'!C135+'Codan Forsikring'!C135+'Euro Accident'!C135</f>
        <v>35930264.175000004</v>
      </c>
      <c r="D135" s="11">
        <f t="shared" ref="D135:D138" si="55">IF(B135=0, "    ---- ", IF(ABS(ROUND(100/B135*C135-100,1))&lt;999,ROUND(100/B135*C135-100,1),IF(ROUND(100/B135*C135-100,1)&gt;999,999,-999)))</f>
        <v>125.2</v>
      </c>
      <c r="E135" s="234">
        <f>'Fremtind Livsforsikring'!F135+'Danica Pensjonsforsikring'!F135+'DNB Livsforsikring'!F135+'Eika Forsikring AS'!F135+'Frende Livsforsikring'!F135+'Frende Skadeforsikring'!F135+'Gjensidige Forsikring'!F135+'Gjensidige Pensjon'!F135+'Handelsbanken Liv'!F135+'If Skadeforsikring NUF'!F135+KLP!F135+'DNB Bedriftspensjon AS'!F135+'KLP Skadeforsikring AS'!F135+'Landkreditt Forsikring'!F135+Insr!F135+'Nordea Liv '!F135+'Oslo Pensjonsforsikring'!F135+'Protector Forsikring'!F135+'SHB Liv'!F135+'Sparebank 1'!F135+'Storebrand Livsforsikring'!F135+'Telenor Forsikring'!F135+'Tryg Forsikring'!F135+'WaterCircle F'!F135+'Codan Forsikring'!F135+'Euro Accident'!F135</f>
        <v>32970.711000000003</v>
      </c>
      <c r="F135" s="234">
        <f>'Fremtind Livsforsikring'!G135+'Danica Pensjonsforsikring'!G135+'DNB Livsforsikring'!G135+'Eika Forsikring AS'!G135+'Frende Livsforsikring'!G135+'Frende Skadeforsikring'!G135+'Gjensidige Forsikring'!G135+'Gjensidige Pensjon'!G135+'Handelsbanken Liv'!G135+'If Skadeforsikring NUF'!G135+KLP!G135+'DNB Bedriftspensjon AS'!G135+'KLP Skadeforsikring AS'!G135+'Landkreditt Forsikring'!G135+Insr!G135+'Nordea Liv '!G135+'Oslo Pensjonsforsikring'!G135+'Protector Forsikring'!G135+'SHB Liv'!G135+'Sparebank 1'!G135+'Storebrand Livsforsikring'!G135+'Telenor Forsikring'!G135+'Tryg Forsikring'!G135+'WaterCircle F'!G135+'Codan Forsikring'!G135+'Euro Accident'!G135</f>
        <v>96259.103000000003</v>
      </c>
      <c r="G135" s="11">
        <f t="shared" ref="G135:G137" si="56">IF(E135=0, "    ---- ", IF(ABS(ROUND(100/E135*F135-100,1))&lt;999,ROUND(100/E135*F135-100,1),IF(ROUND(100/E135*F135-100,1)&gt;999,999,-999)))</f>
        <v>192</v>
      </c>
      <c r="H135" s="234">
        <f t="shared" ref="H135:I138" si="57">SUM(B135,E135)</f>
        <v>15988066.517139999</v>
      </c>
      <c r="I135" s="234">
        <f t="shared" si="57"/>
        <v>36026523.278000005</v>
      </c>
      <c r="J135" s="11">
        <f t="shared" ref="J135:J138" si="58">IF(H135=0, "    ---- ", IF(ABS(ROUND(100/H135*I135-100,1))&lt;999,ROUND(100/H135*I135-100,1),IF(ROUND(100/H135*I135-100,1)&gt;999,999,-999)))</f>
        <v>125.3</v>
      </c>
    </row>
    <row r="136" spans="1:10" s="417" customFormat="1" ht="15.75" customHeight="1" x14ac:dyDescent="0.2">
      <c r="A136" s="13" t="s">
        <v>389</v>
      </c>
      <c r="B136" s="234">
        <f>'Fremtind Livsforsikring'!B136+'Danica Pensjonsforsikring'!B136+'DNB Livsforsikring'!B136+'Eika Forsikring AS'!B136+'Frende Livsforsikring'!B136+'Frende Skadeforsikring'!B136+'Gjensidige Forsikring'!B136+'Gjensidige Pensjon'!B136+'Handelsbanken Liv'!B136+'If Skadeforsikring NUF'!B136+KLP!B136+'DNB Bedriftspensjon AS'!B136+'KLP Skadeforsikring AS'!B136+'Landkreditt Forsikring'!B136+Insr!B136+'Nordea Liv '!B136+'Oslo Pensjonsforsikring'!B136+'Protector Forsikring'!B136+'SHB Liv'!B136+'Sparebank 1'!B136+'Storebrand Livsforsikring'!B136+'Telenor Forsikring'!B136+'Tryg Forsikring'!B136+'WaterCircle F'!B136+'Codan Forsikring'!B136+'Euro Accident'!B136</f>
        <v>596977629.90140998</v>
      </c>
      <c r="C136" s="234">
        <f>'Fremtind Livsforsikring'!C136+'Danica Pensjonsforsikring'!C136+'DNB Livsforsikring'!C136+'Eika Forsikring AS'!C136+'Frende Livsforsikring'!C136+'Frende Skadeforsikring'!C136+'Gjensidige Forsikring'!C136+'Gjensidige Pensjon'!C136+'Handelsbanken Liv'!C136+'If Skadeforsikring NUF'!C136+KLP!C136+'DNB Bedriftspensjon AS'!C136+'KLP Skadeforsikring AS'!C136+'Landkreditt Forsikring'!C136+Insr!C136+'Nordea Liv '!C136+'Oslo Pensjonsforsikring'!C136+'Protector Forsikring'!C136+'SHB Liv'!C136+'Sparebank 1'!C136+'Storebrand Livsforsikring'!C136+'Telenor Forsikring'!C136+'Tryg Forsikring'!C136+'WaterCircle F'!C136+'Codan Forsikring'!C136+'Euro Accident'!C136</f>
        <v>662603918.01883996</v>
      </c>
      <c r="D136" s="11">
        <f t="shared" si="55"/>
        <v>11</v>
      </c>
      <c r="E136" s="234">
        <f>'Fremtind Livsforsikring'!F136+'Danica Pensjonsforsikring'!F136+'DNB Livsforsikring'!F136+'Eika Forsikring AS'!F136+'Frende Livsforsikring'!F136+'Frende Skadeforsikring'!F136+'Gjensidige Forsikring'!F136+'Gjensidige Pensjon'!F136+'Handelsbanken Liv'!F136+'If Skadeforsikring NUF'!F136+KLP!F136+'DNB Bedriftspensjon AS'!F136+'KLP Skadeforsikring AS'!F136+'Landkreditt Forsikring'!F136+Insr!F136+'Nordea Liv '!F136+'Oslo Pensjonsforsikring'!F136+'Protector Forsikring'!F136+'SHB Liv'!F136+'Sparebank 1'!F136+'Storebrand Livsforsikring'!F136+'Telenor Forsikring'!F136+'Tryg Forsikring'!F136+'WaterCircle F'!F136+'Codan Forsikring'!F136+'Euro Accident'!F136</f>
        <v>1933154.62115</v>
      </c>
      <c r="F136" s="234">
        <f>'Fremtind Livsforsikring'!G136+'Danica Pensjonsforsikring'!G136+'DNB Livsforsikring'!G136+'Eika Forsikring AS'!G136+'Frende Livsforsikring'!G136+'Frende Skadeforsikring'!G136+'Gjensidige Forsikring'!G136+'Gjensidige Pensjon'!G136+'Handelsbanken Liv'!G136+'If Skadeforsikring NUF'!G136+KLP!G136+'DNB Bedriftspensjon AS'!G136+'KLP Skadeforsikring AS'!G136+'Landkreditt Forsikring'!G136+Insr!G136+'Nordea Liv '!G136+'Oslo Pensjonsforsikring'!G136+'Protector Forsikring'!G136+'SHB Liv'!G136+'Sparebank 1'!G136+'Storebrand Livsforsikring'!G136+'Telenor Forsikring'!G136+'Tryg Forsikring'!G136+'WaterCircle F'!G136+'Codan Forsikring'!G136+'Euro Accident'!G136</f>
        <v>2232813.0127599998</v>
      </c>
      <c r="G136" s="11">
        <f t="shared" si="56"/>
        <v>15.5</v>
      </c>
      <c r="H136" s="234">
        <f t="shared" si="57"/>
        <v>598910784.52256</v>
      </c>
      <c r="I136" s="234">
        <f t="shared" si="57"/>
        <v>664836731.0316</v>
      </c>
      <c r="J136" s="11">
        <f t="shared" si="58"/>
        <v>11</v>
      </c>
    </row>
    <row r="137" spans="1:10" s="417" customFormat="1" ht="15.75" customHeight="1" x14ac:dyDescent="0.2">
      <c r="A137" s="13" t="s">
        <v>390</v>
      </c>
      <c r="B137" s="234">
        <f>'Fremtind Livsforsikring'!B137+'Danica Pensjonsforsikring'!B137+'DNB Livsforsikring'!B137+'Eika Forsikring AS'!B137+'Frende Livsforsikring'!B137+'Frende Skadeforsikring'!B137+'Gjensidige Forsikring'!B137+'Gjensidige Pensjon'!B137+'Handelsbanken Liv'!B137+'If Skadeforsikring NUF'!B137+KLP!B137+'DNB Bedriftspensjon AS'!B137+'KLP Skadeforsikring AS'!B137+'Landkreditt Forsikring'!B137+Insr!B137+'Nordea Liv '!B137+'Oslo Pensjonsforsikring'!B137+'Protector Forsikring'!B137+'SHB Liv'!B137+'Sparebank 1'!B137+'Storebrand Livsforsikring'!B137+'Telenor Forsikring'!B137+'Tryg Forsikring'!B137+'WaterCircle F'!B137+'Codan Forsikring'!B137+'Euro Accident'!B137</f>
        <v>3328031.82</v>
      </c>
      <c r="C137" s="234">
        <f>'Fremtind Livsforsikring'!C137+'Danica Pensjonsforsikring'!C137+'DNB Livsforsikring'!C137+'Eika Forsikring AS'!C137+'Frende Livsforsikring'!C137+'Frende Skadeforsikring'!C137+'Gjensidige Forsikring'!C137+'Gjensidige Pensjon'!C137+'Handelsbanken Liv'!C137+'If Skadeforsikring NUF'!C137+KLP!C137+'DNB Bedriftspensjon AS'!C137+'KLP Skadeforsikring AS'!C137+'Landkreditt Forsikring'!C137+Insr!C137+'Nordea Liv '!C137+'Oslo Pensjonsforsikring'!C137+'Protector Forsikring'!C137+'SHB Liv'!C137+'Sparebank 1'!C137+'Storebrand Livsforsikring'!C137+'Telenor Forsikring'!C137+'Tryg Forsikring'!C137+'WaterCircle F'!C137+'Codan Forsikring'!C137+'Euro Accident'!C137</f>
        <v>7134946.7209999999</v>
      </c>
      <c r="D137" s="11">
        <f t="shared" si="55"/>
        <v>114.4</v>
      </c>
      <c r="E137" s="234">
        <f>'Fremtind Livsforsikring'!F137+'Danica Pensjonsforsikring'!F137+'DNB Livsforsikring'!F137+'Eika Forsikring AS'!F137+'Frende Livsforsikring'!F137+'Frende Skadeforsikring'!F137+'Gjensidige Forsikring'!F137+'Gjensidige Pensjon'!F137+'Handelsbanken Liv'!F137+'If Skadeforsikring NUF'!F137+KLP!F137+'DNB Bedriftspensjon AS'!F137+'KLP Skadeforsikring AS'!F137+'Landkreditt Forsikring'!F137+Insr!F137+'Nordea Liv '!F137+'Oslo Pensjonsforsikring'!F137+'Protector Forsikring'!F137+'SHB Liv'!F137+'Sparebank 1'!F137+'Storebrand Livsforsikring'!F137+'Telenor Forsikring'!F137+'Tryg Forsikring'!F137+'WaterCircle F'!F137+'Codan Forsikring'!F137+'Euro Accident'!F137</f>
        <v>-462823.85</v>
      </c>
      <c r="F137" s="234">
        <f>'Fremtind Livsforsikring'!G137+'Danica Pensjonsforsikring'!G137+'DNB Livsforsikring'!G137+'Eika Forsikring AS'!G137+'Frende Livsforsikring'!G137+'Frende Skadeforsikring'!G137+'Gjensidige Forsikring'!G137+'Gjensidige Pensjon'!G137+'Handelsbanken Liv'!G137+'If Skadeforsikring NUF'!G137+KLP!G137+'DNB Bedriftspensjon AS'!G137+'KLP Skadeforsikring AS'!G137+'Landkreditt Forsikring'!G137+Insr!G137+'Nordea Liv '!G137+'Oslo Pensjonsforsikring'!G137+'Protector Forsikring'!G137+'SHB Liv'!G137+'Sparebank 1'!G137+'Storebrand Livsforsikring'!G137+'Telenor Forsikring'!G137+'Tryg Forsikring'!G137+'WaterCircle F'!G137+'Codan Forsikring'!G137+'Euro Accident'!G137</f>
        <v>0</v>
      </c>
      <c r="G137" s="11">
        <f t="shared" si="56"/>
        <v>-100</v>
      </c>
      <c r="H137" s="234">
        <f t="shared" si="57"/>
        <v>2865207.9699999997</v>
      </c>
      <c r="I137" s="234">
        <f t="shared" si="57"/>
        <v>7134946.7209999999</v>
      </c>
      <c r="J137" s="11">
        <f t="shared" si="58"/>
        <v>149</v>
      </c>
    </row>
    <row r="138" spans="1:10" s="417" customFormat="1" ht="15.75" customHeight="1" x14ac:dyDescent="0.2">
      <c r="A138" s="40" t="s">
        <v>391</v>
      </c>
      <c r="B138" s="274">
        <f>'Fremtind Livsforsikring'!B138+'Danica Pensjonsforsikring'!B138+'DNB Livsforsikring'!B138+'Eika Forsikring AS'!B138+'Frende Livsforsikring'!B138+'Frende Skadeforsikring'!B138+'Gjensidige Forsikring'!B138+'Gjensidige Pensjon'!B138+'Handelsbanken Liv'!B138+'If Skadeforsikring NUF'!B138+KLP!B138+'DNB Bedriftspensjon AS'!B138+'KLP Skadeforsikring AS'!B138+'Landkreditt Forsikring'!B138+Insr!B138+'Nordea Liv '!B138+'Oslo Pensjonsforsikring'!B138+'Protector Forsikring'!B138+'SHB Liv'!B138+'Sparebank 1'!B138+'Storebrand Livsforsikring'!B138+'Telenor Forsikring'!B138+'Tryg Forsikring'!B138+'WaterCircle F'!B138+'Codan Forsikring'!B138+'Euro Accident'!B138</f>
        <v>7696459.3569999998</v>
      </c>
      <c r="C138" s="274">
        <f>'Fremtind Livsforsikring'!C138+'Danica Pensjonsforsikring'!C138+'DNB Livsforsikring'!C138+'Eika Forsikring AS'!C138+'Frende Livsforsikring'!C138+'Frende Skadeforsikring'!C138+'Gjensidige Forsikring'!C138+'Gjensidige Pensjon'!C138+'Handelsbanken Liv'!C138+'If Skadeforsikring NUF'!C138+KLP!C138+'DNB Bedriftspensjon AS'!C138+'KLP Skadeforsikring AS'!C138+'Landkreditt Forsikring'!C138+Insr!C138+'Nordea Liv '!C138+'Oslo Pensjonsforsikring'!C138+'Protector Forsikring'!C138+'SHB Liv'!C138+'Sparebank 1'!C138+'Storebrand Livsforsikring'!C138+'Telenor Forsikring'!C138+'Tryg Forsikring'!C138+'WaterCircle F'!C138+'Codan Forsikring'!C138+'Euro Accident'!C138</f>
        <v>8346122.3590000002</v>
      </c>
      <c r="D138" s="9">
        <f t="shared" si="55"/>
        <v>8.4</v>
      </c>
      <c r="E138" s="274"/>
      <c r="F138" s="274">
        <f>'Fremtind Livsforsikring'!G138+'Danica Pensjonsforsikring'!G138+'DNB Livsforsikring'!G138+'Eika Forsikring AS'!G138+'Frende Livsforsikring'!G138+'Frende Skadeforsikring'!G138+'Gjensidige Forsikring'!G138+'Gjensidige Pensjon'!G138+'Handelsbanken Liv'!G138+'If Skadeforsikring NUF'!G138+KLP!G138+'DNB Bedriftspensjon AS'!G138+'KLP Skadeforsikring AS'!G138+'Landkreditt Forsikring'!G138+Insr!G138+'Nordea Liv '!G138+'Oslo Pensjonsforsikring'!G138+'Protector Forsikring'!G138+'SHB Liv'!G138+'Sparebank 1'!G138+'Storebrand Livsforsikring'!G138+'Telenor Forsikring'!G138+'Tryg Forsikring'!G138+'WaterCircle F'!G138+'Codan Forsikring'!G138+'Euro Accident'!G138</f>
        <v>0</v>
      </c>
      <c r="G138" s="9"/>
      <c r="H138" s="274">
        <f t="shared" si="57"/>
        <v>7696459.3569999998</v>
      </c>
      <c r="I138" s="274">
        <f t="shared" si="57"/>
        <v>8346122.3590000002</v>
      </c>
      <c r="J138" s="9">
        <f t="shared" si="58"/>
        <v>8.4</v>
      </c>
    </row>
    <row r="139" spans="1:10" s="3" customFormat="1" ht="15.75" customHeight="1" x14ac:dyDescent="0.2">
      <c r="A139" s="8"/>
      <c r="E139" s="7"/>
      <c r="F139" s="7"/>
      <c r="G139" s="6"/>
      <c r="H139" s="7"/>
      <c r="I139" s="7"/>
      <c r="J139" s="6"/>
    </row>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sheetData>
  <mergeCells count="27">
    <mergeCell ref="B132:D132"/>
    <mergeCell ref="E132:G132"/>
    <mergeCell ref="H132:J132"/>
    <mergeCell ref="B131:D131"/>
    <mergeCell ref="E131:G131"/>
    <mergeCell ref="H131:J131"/>
    <mergeCell ref="B63:D63"/>
    <mergeCell ref="E63:G63"/>
    <mergeCell ref="H63:J63"/>
    <mergeCell ref="B19:D19"/>
    <mergeCell ref="E19:G19"/>
    <mergeCell ref="H19:J19"/>
    <mergeCell ref="B62:D62"/>
    <mergeCell ref="E62:G62"/>
    <mergeCell ref="H62:J62"/>
    <mergeCell ref="B42:D42"/>
    <mergeCell ref="E42:G42"/>
    <mergeCell ref="H42:J42"/>
    <mergeCell ref="B18:D18"/>
    <mergeCell ref="E18:G18"/>
    <mergeCell ref="H18:J18"/>
    <mergeCell ref="B2:D2"/>
    <mergeCell ref="E2:G2"/>
    <mergeCell ref="H2:J2"/>
    <mergeCell ref="B4:D4"/>
    <mergeCell ref="E4:G4"/>
    <mergeCell ref="H4:J4"/>
  </mergeCells>
  <conditionalFormatting sqref="H116:I116">
    <cfRule type="expression" dxfId="900" priority="46">
      <formula>kvartal&lt;4</formula>
    </cfRule>
  </conditionalFormatting>
  <conditionalFormatting sqref="H124:I124">
    <cfRule type="expression" dxfId="899" priority="45">
      <formula>kvartal&lt;4</formula>
    </cfRule>
  </conditionalFormatting>
  <conditionalFormatting sqref="A50:A52">
    <cfRule type="expression" dxfId="898" priority="41">
      <formula>kvartal &lt; 4</formula>
    </cfRule>
  </conditionalFormatting>
  <conditionalFormatting sqref="A69:A74">
    <cfRule type="expression" dxfId="897" priority="39">
      <formula>kvartal &lt; 4</formula>
    </cfRule>
  </conditionalFormatting>
  <conditionalFormatting sqref="A80:A85">
    <cfRule type="expression" dxfId="896" priority="38">
      <formula>kvartal &lt; 4</formula>
    </cfRule>
  </conditionalFormatting>
  <conditionalFormatting sqref="A90:A95">
    <cfRule type="expression" dxfId="895" priority="35">
      <formula>kvartal &lt; 4</formula>
    </cfRule>
  </conditionalFormatting>
  <conditionalFormatting sqref="A102:A107">
    <cfRule type="expression" dxfId="894" priority="34">
      <formula>kvartal &lt; 4</formula>
    </cfRule>
  </conditionalFormatting>
  <conditionalFormatting sqref="A116">
    <cfRule type="expression" dxfId="893" priority="33">
      <formula>kvartal &lt; 4</formula>
    </cfRule>
  </conditionalFormatting>
  <conditionalFormatting sqref="A124">
    <cfRule type="expression" dxfId="892" priority="32">
      <formula>kvartal &lt; 4</formula>
    </cfRule>
  </conditionalFormatting>
  <conditionalFormatting sqref="B116:C116">
    <cfRule type="expression" dxfId="891" priority="11">
      <formula>kvartal&lt;4</formula>
    </cfRule>
  </conditionalFormatting>
  <conditionalFormatting sqref="B124:C124">
    <cfRule type="expression" dxfId="890" priority="10">
      <formula>kvartal&lt;4</formula>
    </cfRule>
  </conditionalFormatting>
  <conditionalFormatting sqref="E116:F116">
    <cfRule type="expression" dxfId="889" priority="3">
      <formula>kvartal&lt;4</formula>
    </cfRule>
  </conditionalFormatting>
  <conditionalFormatting sqref="E124:F124">
    <cfRule type="expression" dxfId="888" priority="2">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4B19-5AA5-4C19-88FF-6DC20058C969}">
  <dimension ref="A1:N145"/>
  <sheetViews>
    <sheetView showGridLines="0" workbookViewId="0"/>
  </sheetViews>
  <sheetFormatPr baseColWidth="10" defaultColWidth="11.42578125" defaultRowHeight="12.75" x14ac:dyDescent="0.2"/>
  <cols>
    <col min="1" max="1" width="41.57031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421</v>
      </c>
      <c r="D1" s="25"/>
      <c r="E1" s="25"/>
      <c r="F1" s="25"/>
      <c r="G1" s="25"/>
      <c r="H1" s="25"/>
      <c r="I1" s="25"/>
      <c r="J1" s="25"/>
      <c r="K1" s="25"/>
      <c r="L1" s="25"/>
      <c r="M1" s="25"/>
    </row>
    <row r="2" spans="1:14" ht="15.75" x14ac:dyDescent="0.25">
      <c r="A2" s="164" t="s">
        <v>28</v>
      </c>
      <c r="B2" s="782"/>
      <c r="C2" s="782"/>
      <c r="D2" s="782"/>
      <c r="E2" s="668"/>
      <c r="F2" s="782"/>
      <c r="G2" s="782"/>
      <c r="H2" s="782"/>
      <c r="I2" s="668"/>
      <c r="J2" s="782"/>
      <c r="K2" s="782"/>
      <c r="L2" s="782"/>
      <c r="M2" s="668"/>
    </row>
    <row r="3" spans="1:14" ht="15.75" x14ac:dyDescent="0.25">
      <c r="A3" s="162"/>
      <c r="B3" s="668"/>
      <c r="C3" s="668"/>
      <c r="D3" s="668"/>
      <c r="E3" s="668"/>
      <c r="F3" s="668"/>
      <c r="G3" s="668"/>
      <c r="H3" s="668"/>
      <c r="I3" s="668"/>
      <c r="J3" s="668"/>
      <c r="K3" s="668"/>
      <c r="L3" s="668"/>
      <c r="M3" s="668"/>
    </row>
    <row r="4" spans="1:14" x14ac:dyDescent="0.2">
      <c r="A4" s="143"/>
      <c r="B4" s="784" t="s">
        <v>0</v>
      </c>
      <c r="C4" s="785"/>
      <c r="D4" s="785"/>
      <c r="E4" s="666"/>
      <c r="F4" s="778" t="s">
        <v>1</v>
      </c>
      <c r="G4" s="779"/>
      <c r="H4" s="779"/>
      <c r="I4" s="667"/>
      <c r="J4" s="778" t="s">
        <v>2</v>
      </c>
      <c r="K4" s="779"/>
      <c r="L4" s="779"/>
      <c r="M4" s="667"/>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c r="C7" s="305"/>
      <c r="D7" s="348"/>
      <c r="E7" s="11"/>
      <c r="F7" s="304"/>
      <c r="G7" s="305"/>
      <c r="H7" s="348"/>
      <c r="I7" s="159"/>
      <c r="J7" s="306"/>
      <c r="K7" s="307"/>
      <c r="L7" s="424"/>
      <c r="M7" s="11"/>
    </row>
    <row r="8" spans="1:14" ht="15.75" x14ac:dyDescent="0.2">
      <c r="A8" s="20" t="s">
        <v>25</v>
      </c>
      <c r="B8" s="279"/>
      <c r="C8" s="280"/>
      <c r="D8" s="165"/>
      <c r="E8" s="26"/>
      <c r="F8" s="283"/>
      <c r="G8" s="284"/>
      <c r="H8" s="165"/>
      <c r="I8" s="174"/>
      <c r="J8" s="232"/>
      <c r="K8" s="285"/>
      <c r="L8" s="165"/>
      <c r="M8" s="26"/>
    </row>
    <row r="9" spans="1:14" ht="15.75" x14ac:dyDescent="0.2">
      <c r="A9" s="20" t="s">
        <v>24</v>
      </c>
      <c r="B9" s="279"/>
      <c r="C9" s="280"/>
      <c r="D9" s="165"/>
      <c r="E9" s="26"/>
      <c r="F9" s="283"/>
      <c r="G9" s="284"/>
      <c r="H9" s="165"/>
      <c r="I9" s="174"/>
      <c r="J9" s="232"/>
      <c r="K9" s="285"/>
      <c r="L9" s="165"/>
      <c r="M9" s="26"/>
    </row>
    <row r="10" spans="1:14" ht="15.75" x14ac:dyDescent="0.2">
      <c r="A10" s="13" t="s">
        <v>364</v>
      </c>
      <c r="B10" s="308"/>
      <c r="C10" s="309"/>
      <c r="D10" s="170"/>
      <c r="E10" s="11"/>
      <c r="F10" s="308"/>
      <c r="G10" s="309"/>
      <c r="H10" s="170"/>
      <c r="I10" s="159"/>
      <c r="J10" s="306"/>
      <c r="K10" s="307"/>
      <c r="L10" s="425"/>
      <c r="M10" s="11"/>
    </row>
    <row r="11" spans="1:14" s="42" customFormat="1" ht="15.75" x14ac:dyDescent="0.2">
      <c r="A11" s="13" t="s">
        <v>365</v>
      </c>
      <c r="B11" s="308"/>
      <c r="C11" s="309"/>
      <c r="D11" s="170"/>
      <c r="E11" s="11"/>
      <c r="F11" s="308"/>
      <c r="G11" s="309"/>
      <c r="H11" s="170"/>
      <c r="I11" s="159"/>
      <c r="J11" s="306"/>
      <c r="K11" s="307"/>
      <c r="L11" s="425"/>
      <c r="M11" s="11"/>
      <c r="N11" s="142"/>
    </row>
    <row r="12" spans="1:14" s="42" customFormat="1" ht="15.75" x14ac:dyDescent="0.2">
      <c r="A12" s="40" t="s">
        <v>366</v>
      </c>
      <c r="B12" s="310"/>
      <c r="C12" s="311"/>
      <c r="D12" s="168"/>
      <c r="E12" s="35"/>
      <c r="F12" s="310"/>
      <c r="G12" s="311"/>
      <c r="H12" s="168"/>
      <c r="I12" s="168"/>
      <c r="J12" s="312"/>
      <c r="K12" s="313"/>
      <c r="L12" s="426"/>
      <c r="M12" s="35"/>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668"/>
      <c r="F18" s="777"/>
      <c r="G18" s="777"/>
      <c r="H18" s="777"/>
      <c r="I18" s="668"/>
      <c r="J18" s="777"/>
      <c r="K18" s="777"/>
      <c r="L18" s="777"/>
      <c r="M18" s="668"/>
    </row>
    <row r="19" spans="1:14" x14ac:dyDescent="0.2">
      <c r="A19" s="143"/>
      <c r="B19" s="778" t="s">
        <v>0</v>
      </c>
      <c r="C19" s="779"/>
      <c r="D19" s="779"/>
      <c r="E19" s="666"/>
      <c r="F19" s="778" t="s">
        <v>1</v>
      </c>
      <c r="G19" s="779"/>
      <c r="H19" s="779"/>
      <c r="I19" s="667"/>
      <c r="J19" s="778" t="s">
        <v>2</v>
      </c>
      <c r="K19" s="779"/>
      <c r="L19" s="779"/>
      <c r="M19" s="667"/>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413" t="s">
        <v>30</v>
      </c>
      <c r="F21" s="160"/>
      <c r="G21" s="160"/>
      <c r="H21" s="243" t="s">
        <v>4</v>
      </c>
      <c r="I21" s="155" t="s">
        <v>30</v>
      </c>
      <c r="J21" s="160"/>
      <c r="K21" s="160"/>
      <c r="L21" s="155" t="s">
        <v>4</v>
      </c>
      <c r="M21" s="155" t="s">
        <v>30</v>
      </c>
    </row>
    <row r="22" spans="1:14" ht="15.75" x14ac:dyDescent="0.2">
      <c r="A22" s="14" t="s">
        <v>23</v>
      </c>
      <c r="B22" s="308"/>
      <c r="C22" s="308"/>
      <c r="D22" s="348"/>
      <c r="E22" s="11"/>
      <c r="F22" s="316"/>
      <c r="G22" s="316"/>
      <c r="H22" s="348"/>
      <c r="I22" s="159"/>
      <c r="J22" s="314"/>
      <c r="K22" s="314"/>
      <c r="L22" s="424"/>
      <c r="M22" s="23"/>
    </row>
    <row r="23" spans="1:14" ht="15.75" x14ac:dyDescent="0.2">
      <c r="A23" s="580" t="s">
        <v>367</v>
      </c>
      <c r="B23" s="279"/>
      <c r="C23" s="279"/>
      <c r="D23" s="165"/>
      <c r="E23" s="11"/>
      <c r="F23" s="288"/>
      <c r="G23" s="288"/>
      <c r="H23" s="165"/>
      <c r="I23" s="238"/>
      <c r="J23" s="288"/>
      <c r="K23" s="288"/>
      <c r="L23" s="165"/>
      <c r="M23" s="22"/>
    </row>
    <row r="24" spans="1:14" ht="15.75" x14ac:dyDescent="0.2">
      <c r="A24" s="580" t="s">
        <v>368</v>
      </c>
      <c r="B24" s="279"/>
      <c r="C24" s="279"/>
      <c r="D24" s="165"/>
      <c r="E24" s="11"/>
      <c r="F24" s="288"/>
      <c r="G24" s="288"/>
      <c r="H24" s="165"/>
      <c r="I24" s="238"/>
      <c r="J24" s="288"/>
      <c r="K24" s="288"/>
      <c r="L24" s="165"/>
      <c r="M24" s="22"/>
    </row>
    <row r="25" spans="1:14" ht="15.75" x14ac:dyDescent="0.2">
      <c r="A25" s="580" t="s">
        <v>369</v>
      </c>
      <c r="B25" s="279"/>
      <c r="C25" s="279"/>
      <c r="D25" s="165"/>
      <c r="E25" s="11"/>
      <c r="F25" s="288"/>
      <c r="G25" s="288"/>
      <c r="H25" s="165"/>
      <c r="I25" s="238"/>
      <c r="J25" s="288"/>
      <c r="K25" s="288"/>
      <c r="L25" s="165"/>
      <c r="M25" s="22"/>
    </row>
    <row r="26" spans="1:14" ht="15.75" x14ac:dyDescent="0.2">
      <c r="A26" s="580" t="s">
        <v>370</v>
      </c>
      <c r="B26" s="279"/>
      <c r="C26" s="279"/>
      <c r="D26" s="165"/>
      <c r="E26" s="11"/>
      <c r="F26" s="288"/>
      <c r="G26" s="288"/>
      <c r="H26" s="165"/>
      <c r="I26" s="238"/>
      <c r="J26" s="288"/>
      <c r="K26" s="288"/>
      <c r="L26" s="165"/>
      <c r="M26" s="22"/>
    </row>
    <row r="27" spans="1:14" x14ac:dyDescent="0.2">
      <c r="A27" s="580" t="s">
        <v>11</v>
      </c>
      <c r="B27" s="279"/>
      <c r="C27" s="279"/>
      <c r="D27" s="165"/>
      <c r="E27" s="11"/>
      <c r="F27" s="288"/>
      <c r="G27" s="288"/>
      <c r="H27" s="165"/>
      <c r="I27" s="238"/>
      <c r="J27" s="288"/>
      <c r="K27" s="288"/>
      <c r="L27" s="165"/>
      <c r="M27" s="22"/>
    </row>
    <row r="28" spans="1:14" ht="15.75" x14ac:dyDescent="0.2">
      <c r="A28" s="48" t="s">
        <v>275</v>
      </c>
      <c r="B28" s="43"/>
      <c r="C28" s="285"/>
      <c r="D28" s="165"/>
      <c r="E28" s="11"/>
      <c r="F28" s="232"/>
      <c r="G28" s="285"/>
      <c r="H28" s="165"/>
      <c r="I28" s="174"/>
      <c r="J28" s="43"/>
      <c r="K28" s="43"/>
      <c r="L28" s="252"/>
      <c r="M28" s="22"/>
    </row>
    <row r="29" spans="1:14" s="3" customFormat="1" ht="15.75" x14ac:dyDescent="0.2">
      <c r="A29" s="13" t="s">
        <v>364</v>
      </c>
      <c r="B29" s="234"/>
      <c r="C29" s="234"/>
      <c r="D29" s="170"/>
      <c r="E29" s="11"/>
      <c r="F29" s="306"/>
      <c r="G29" s="306"/>
      <c r="H29" s="170"/>
      <c r="I29" s="159"/>
      <c r="J29" s="234"/>
      <c r="K29" s="234"/>
      <c r="L29" s="425"/>
      <c r="M29" s="23"/>
      <c r="N29" s="147"/>
    </row>
    <row r="30" spans="1:14" s="3" customFormat="1" ht="15.75" x14ac:dyDescent="0.2">
      <c r="A30" s="580" t="s">
        <v>367</v>
      </c>
      <c r="B30" s="279"/>
      <c r="C30" s="279"/>
      <c r="D30" s="165"/>
      <c r="E30" s="11"/>
      <c r="F30" s="288"/>
      <c r="G30" s="288"/>
      <c r="H30" s="165"/>
      <c r="I30" s="238"/>
      <c r="J30" s="288"/>
      <c r="K30" s="288"/>
      <c r="L30" s="165"/>
      <c r="M30" s="22"/>
      <c r="N30" s="147"/>
    </row>
    <row r="31" spans="1:14" s="3" customFormat="1" ht="15.75" x14ac:dyDescent="0.2">
      <c r="A31" s="580" t="s">
        <v>368</v>
      </c>
      <c r="B31" s="279"/>
      <c r="C31" s="279"/>
      <c r="D31" s="165"/>
      <c r="E31" s="11"/>
      <c r="F31" s="288"/>
      <c r="G31" s="288"/>
      <c r="H31" s="165"/>
      <c r="I31" s="238"/>
      <c r="J31" s="288"/>
      <c r="K31" s="288"/>
      <c r="L31" s="165"/>
      <c r="M31" s="22"/>
      <c r="N31" s="147"/>
    </row>
    <row r="32" spans="1:14" ht="15.75" x14ac:dyDescent="0.2">
      <c r="A32" s="580" t="s">
        <v>369</v>
      </c>
      <c r="B32" s="279"/>
      <c r="C32" s="279"/>
      <c r="D32" s="165"/>
      <c r="E32" s="11"/>
      <c r="F32" s="288"/>
      <c r="G32" s="288"/>
      <c r="H32" s="165"/>
      <c r="I32" s="238"/>
      <c r="J32" s="288"/>
      <c r="K32" s="288"/>
      <c r="L32" s="165"/>
      <c r="M32" s="22"/>
    </row>
    <row r="33" spans="1:14" ht="15.75" x14ac:dyDescent="0.2">
      <c r="A33" s="580" t="s">
        <v>370</v>
      </c>
      <c r="B33" s="279"/>
      <c r="C33" s="279"/>
      <c r="D33" s="165"/>
      <c r="E33" s="11"/>
      <c r="F33" s="288"/>
      <c r="G33" s="288"/>
      <c r="H33" s="165"/>
      <c r="I33" s="238"/>
      <c r="J33" s="288"/>
      <c r="K33" s="288"/>
      <c r="L33" s="165"/>
      <c r="M33" s="22"/>
    </row>
    <row r="34" spans="1:14" ht="15.75" x14ac:dyDescent="0.2">
      <c r="A34" s="13" t="s">
        <v>365</v>
      </c>
      <c r="B34" s="234"/>
      <c r="C34" s="307"/>
      <c r="D34" s="170"/>
      <c r="E34" s="11"/>
      <c r="F34" s="306"/>
      <c r="G34" s="307"/>
      <c r="H34" s="170"/>
      <c r="I34" s="159"/>
      <c r="J34" s="234"/>
      <c r="K34" s="234"/>
      <c r="L34" s="425"/>
      <c r="M34" s="23"/>
    </row>
    <row r="35" spans="1:14" ht="15.75" x14ac:dyDescent="0.2">
      <c r="A35" s="13" t="s">
        <v>366</v>
      </c>
      <c r="B35" s="234"/>
      <c r="C35" s="307"/>
      <c r="D35" s="170"/>
      <c r="E35" s="11"/>
      <c r="F35" s="306"/>
      <c r="G35" s="307"/>
      <c r="H35" s="170"/>
      <c r="I35" s="159"/>
      <c r="J35" s="234"/>
      <c r="K35" s="234"/>
      <c r="L35" s="425"/>
      <c r="M35" s="23"/>
    </row>
    <row r="36" spans="1:14" ht="15.75" x14ac:dyDescent="0.2">
      <c r="A36" s="12" t="s">
        <v>283</v>
      </c>
      <c r="B36" s="234"/>
      <c r="C36" s="307"/>
      <c r="D36" s="170"/>
      <c r="E36" s="11"/>
      <c r="F36" s="317"/>
      <c r="G36" s="318"/>
      <c r="H36" s="170"/>
      <c r="I36" s="427"/>
      <c r="J36" s="234"/>
      <c r="K36" s="234"/>
      <c r="L36" s="425"/>
      <c r="M36" s="23"/>
    </row>
    <row r="37" spans="1:14" ht="15.75" x14ac:dyDescent="0.2">
      <c r="A37" s="12" t="s">
        <v>372</v>
      </c>
      <c r="B37" s="234"/>
      <c r="C37" s="307"/>
      <c r="D37" s="170"/>
      <c r="E37" s="11"/>
      <c r="F37" s="317"/>
      <c r="G37" s="319"/>
      <c r="H37" s="170"/>
      <c r="I37" s="427"/>
      <c r="J37" s="234"/>
      <c r="K37" s="234"/>
      <c r="L37" s="425"/>
      <c r="M37" s="23"/>
    </row>
    <row r="38" spans="1:14" ht="15.75" x14ac:dyDescent="0.2">
      <c r="A38" s="12" t="s">
        <v>373</v>
      </c>
      <c r="B38" s="234"/>
      <c r="C38" s="307"/>
      <c r="D38" s="170"/>
      <c r="E38" s="23"/>
      <c r="F38" s="317"/>
      <c r="G38" s="318"/>
      <c r="H38" s="170"/>
      <c r="I38" s="427"/>
      <c r="J38" s="234"/>
      <c r="K38" s="234"/>
      <c r="L38" s="425"/>
      <c r="M38" s="23"/>
    </row>
    <row r="39" spans="1:14" ht="15.75" x14ac:dyDescent="0.2">
      <c r="A39" s="18" t="s">
        <v>374</v>
      </c>
      <c r="B39" s="274"/>
      <c r="C39" s="313"/>
      <c r="D39" s="168"/>
      <c r="E39" s="35"/>
      <c r="F39" s="320"/>
      <c r="G39" s="321"/>
      <c r="H39" s="168"/>
      <c r="I39" s="168"/>
      <c r="J39" s="234"/>
      <c r="K39" s="234"/>
      <c r="L39" s="426"/>
      <c r="M39" s="35"/>
    </row>
    <row r="40" spans="1:14" ht="15.75" x14ac:dyDescent="0.25">
      <c r="A40" s="46"/>
      <c r="B40" s="251"/>
      <c r="C40" s="251"/>
      <c r="D40" s="781"/>
      <c r="E40" s="781"/>
      <c r="F40" s="781"/>
      <c r="G40" s="781"/>
      <c r="H40" s="781"/>
      <c r="I40" s="781"/>
      <c r="J40" s="781"/>
      <c r="K40" s="781"/>
      <c r="L40" s="781"/>
      <c r="M40" s="669"/>
    </row>
    <row r="41" spans="1:14" x14ac:dyDescent="0.2">
      <c r="A41" s="154"/>
    </row>
    <row r="42" spans="1:14" ht="15.75" x14ac:dyDescent="0.25">
      <c r="A42" s="146" t="s">
        <v>272</v>
      </c>
      <c r="B42" s="782"/>
      <c r="C42" s="782"/>
      <c r="D42" s="782"/>
      <c r="E42" s="668"/>
      <c r="F42" s="783"/>
      <c r="G42" s="783"/>
      <c r="H42" s="783"/>
      <c r="I42" s="669"/>
      <c r="J42" s="783"/>
      <c r="K42" s="783"/>
      <c r="L42" s="783"/>
      <c r="M42" s="669"/>
    </row>
    <row r="43" spans="1:14" ht="15.75" x14ac:dyDescent="0.25">
      <c r="A43" s="162"/>
      <c r="B43" s="664"/>
      <c r="C43" s="664"/>
      <c r="D43" s="664"/>
      <c r="E43" s="664"/>
      <c r="F43" s="669"/>
      <c r="G43" s="669"/>
      <c r="H43" s="669"/>
      <c r="I43" s="669"/>
      <c r="J43" s="669"/>
      <c r="K43" s="669"/>
      <c r="L43" s="669"/>
      <c r="M43" s="669"/>
    </row>
    <row r="44" spans="1:14" ht="15.75" x14ac:dyDescent="0.25">
      <c r="A44" s="245"/>
      <c r="B44" s="778" t="s">
        <v>0</v>
      </c>
      <c r="C44" s="779"/>
      <c r="D44" s="779"/>
      <c r="E44" s="241"/>
      <c r="F44" s="669"/>
      <c r="G44" s="669"/>
      <c r="H44" s="669"/>
      <c r="I44" s="669"/>
      <c r="J44" s="669"/>
      <c r="K44" s="669"/>
      <c r="L44" s="669"/>
      <c r="M44" s="669"/>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c r="C47" s="309">
        <v>59890</v>
      </c>
      <c r="D47" s="424" t="str">
        <f t="shared" ref="D47:D57" si="0">IF(B47=0, "    ---- ", IF(ABS(ROUND(100/B47*C47-100,1))&lt;999,ROUND(100/B47*C47-100,1),IF(ROUND(100/B47*C47-100,1)&gt;999,999,-999)))</f>
        <v xml:space="preserve">    ---- </v>
      </c>
      <c r="E47" s="11">
        <f>IFERROR(100/'Skjema total MA'!C47*C47,0)</f>
        <v>1.5103303216725019</v>
      </c>
      <c r="F47" s="144"/>
      <c r="G47" s="32"/>
      <c r="H47" s="158"/>
      <c r="I47" s="158"/>
      <c r="J47" s="36"/>
      <c r="K47" s="36"/>
      <c r="L47" s="158"/>
      <c r="M47" s="158"/>
      <c r="N47" s="147"/>
    </row>
    <row r="48" spans="1:14" s="3" customFormat="1" ht="15.75" x14ac:dyDescent="0.2">
      <c r="A48" s="37" t="s">
        <v>375</v>
      </c>
      <c r="B48" s="279"/>
      <c r="C48" s="280">
        <v>59890</v>
      </c>
      <c r="D48" s="252" t="str">
        <f t="shared" si="0"/>
        <v xml:space="preserve">    ---- </v>
      </c>
      <c r="E48" s="26">
        <f>IFERROR(100/'Skjema total MA'!C48*C48,0)</f>
        <v>2.6316486368034209</v>
      </c>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t="s">
        <v>429</v>
      </c>
      <c r="D50" s="252" t="e">
        <f>IF(kvartal=4,IF(B49=0, "    ---- ", IF(ABS(ROUND(100/B49*C49-100,1))&lt;999,ROUND(100/B49*C49-100,1),IF(ROUND(100/B49*C49-100,1)&gt;999,999,-999))),"")</f>
        <v>#REF!</v>
      </c>
      <c r="E50" s="22" t="e">
        <f>IF(kvartal=4,IFERROR(100/'Skjema total MA'!B50*C50,0),"")</f>
        <v>#REF!</v>
      </c>
      <c r="F50" s="144"/>
      <c r="G50" s="32"/>
      <c r="H50" s="144"/>
      <c r="I50" s="144"/>
      <c r="J50" s="32"/>
      <c r="K50" s="32"/>
      <c r="L50" s="158"/>
      <c r="M50" s="158"/>
      <c r="N50" s="147"/>
    </row>
    <row r="51" spans="1:14" s="3" customFormat="1" x14ac:dyDescent="0.2">
      <c r="A51" s="294" t="s">
        <v>7</v>
      </c>
      <c r="B51" s="288"/>
      <c r="C51" s="289" t="s">
        <v>429</v>
      </c>
      <c r="D51" s="252" t="e">
        <f>IF(kvartal=4,IF(B50=0, "    ---- ", IF(ABS(ROUND(100/B50*C50-100,1))&lt;999,ROUND(100/B50*C50-100,1),IF(ROUND(100/B50*C50-100,1)&gt;999,999,-999))),"")</f>
        <v>#REF!</v>
      </c>
      <c r="E51" s="22" t="e">
        <f>IF(kvartal=4,IFERROR(100/'Skjema total MA'!B51*C51,0),"")</f>
        <v>#REF!</v>
      </c>
      <c r="F51" s="144"/>
      <c r="G51" s="32"/>
      <c r="H51" s="144"/>
      <c r="I51" s="144"/>
      <c r="J51" s="32"/>
      <c r="K51" s="32"/>
      <c r="L51" s="158"/>
      <c r="M51" s="158"/>
      <c r="N51" s="147"/>
    </row>
    <row r="52" spans="1:14" s="3" customFormat="1" x14ac:dyDescent="0.2">
      <c r="A52" s="294" t="s">
        <v>8</v>
      </c>
      <c r="B52" s="288"/>
      <c r="C52" s="289" t="s">
        <v>429</v>
      </c>
      <c r="D52" s="252" t="e">
        <f>IF(kvartal=4,IF(B51=0, "    ---- ", IF(ABS(ROUND(100/B51*C51-100,1))&lt;999,ROUND(100/B51*C51-100,1),IF(ROUND(100/B51*C51-100,1)&gt;999,999,-999))),"")</f>
        <v>#REF!</v>
      </c>
      <c r="E52" s="22" t="e">
        <f>IF(kvartal=4,IFERROR(100/'Skjema total MA'!B52*C52,0),"")</f>
        <v>#REF!</v>
      </c>
      <c r="F52" s="144"/>
      <c r="G52" s="32"/>
      <c r="H52" s="144"/>
      <c r="I52" s="144"/>
      <c r="J52" s="32"/>
      <c r="K52" s="32"/>
      <c r="L52" s="158"/>
      <c r="M52" s="158"/>
      <c r="N52" s="147"/>
    </row>
    <row r="53" spans="1:14" s="3" customFormat="1" ht="15.75" x14ac:dyDescent="0.2">
      <c r="A53" s="38" t="s">
        <v>377</v>
      </c>
      <c r="B53" s="308"/>
      <c r="C53" s="309">
        <v>3888</v>
      </c>
      <c r="D53" s="425" t="str">
        <f t="shared" si="0"/>
        <v xml:space="preserve">    ---- </v>
      </c>
      <c r="E53" s="11">
        <f>IFERROR(100/'Skjema total MA'!C53*C53,0)</f>
        <v>1.6536891201240798</v>
      </c>
      <c r="F53" s="144"/>
      <c r="G53" s="32"/>
      <c r="H53" s="144"/>
      <c r="I53" s="144"/>
      <c r="J53" s="32"/>
      <c r="K53" s="32"/>
      <c r="L53" s="158"/>
      <c r="M53" s="158"/>
      <c r="N53" s="147"/>
    </row>
    <row r="54" spans="1:14" s="3" customFormat="1" ht="15.75" x14ac:dyDescent="0.2">
      <c r="A54" s="37" t="s">
        <v>375</v>
      </c>
      <c r="B54" s="279"/>
      <c r="C54" s="280">
        <v>3888</v>
      </c>
      <c r="D54" s="252" t="str">
        <f t="shared" si="0"/>
        <v xml:space="preserve">    ---- </v>
      </c>
      <c r="E54" s="26">
        <f>IFERROR(100/'Skjema total MA'!C54*C54,0)</f>
        <v>1.6959661097116288</v>
      </c>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v>3492</v>
      </c>
      <c r="D56" s="425" t="str">
        <f t="shared" si="0"/>
        <v xml:space="preserve">    ---- </v>
      </c>
      <c r="E56" s="11">
        <f>IFERROR(100/'Skjema total MA'!C56*C56,0)</f>
        <v>3.7401961634348759</v>
      </c>
      <c r="F56" s="144"/>
      <c r="G56" s="32"/>
      <c r="H56" s="144"/>
      <c r="I56" s="144"/>
      <c r="J56" s="32"/>
      <c r="K56" s="32"/>
      <c r="L56" s="158"/>
      <c r="M56" s="158"/>
      <c r="N56" s="147"/>
    </row>
    <row r="57" spans="1:14" s="3" customFormat="1" ht="15.75" x14ac:dyDescent="0.2">
      <c r="A57" s="37" t="s">
        <v>375</v>
      </c>
      <c r="B57" s="279"/>
      <c r="C57" s="280">
        <v>3492</v>
      </c>
      <c r="D57" s="252" t="str">
        <f t="shared" si="0"/>
        <v xml:space="preserve">    ---- </v>
      </c>
      <c r="E57" s="26">
        <f>IFERROR(100/'Skjema total MA'!C57*C57,0)</f>
        <v>3.7401961634348759</v>
      </c>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668"/>
      <c r="F62" s="777"/>
      <c r="G62" s="777"/>
      <c r="H62" s="777"/>
      <c r="I62" s="668"/>
      <c r="J62" s="777"/>
      <c r="K62" s="777"/>
      <c r="L62" s="777"/>
      <c r="M62" s="668"/>
    </row>
    <row r="63" spans="1:14" x14ac:dyDescent="0.2">
      <c r="A63" s="143"/>
      <c r="B63" s="778" t="s">
        <v>0</v>
      </c>
      <c r="C63" s="779"/>
      <c r="D63" s="780"/>
      <c r="E63" s="665"/>
      <c r="F63" s="779" t="s">
        <v>1</v>
      </c>
      <c r="G63" s="779"/>
      <c r="H63" s="779"/>
      <c r="I63" s="667"/>
      <c r="J63" s="778" t="s">
        <v>2</v>
      </c>
      <c r="K63" s="779"/>
      <c r="L63" s="779"/>
      <c r="M63" s="667"/>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c r="C66" s="351"/>
      <c r="D66" s="348"/>
      <c r="E66" s="11"/>
      <c r="F66" s="350"/>
      <c r="G66" s="350"/>
      <c r="H66" s="348"/>
      <c r="I66" s="11"/>
      <c r="J66" s="307"/>
      <c r="K66" s="314"/>
      <c r="L66" s="425"/>
      <c r="M66" s="11"/>
    </row>
    <row r="67" spans="1:14" x14ac:dyDescent="0.2">
      <c r="A67" s="20" t="s">
        <v>9</v>
      </c>
      <c r="B67" s="43"/>
      <c r="C67" s="144"/>
      <c r="D67" s="165"/>
      <c r="E67" s="26"/>
      <c r="F67" s="232"/>
      <c r="G67" s="144"/>
      <c r="H67" s="165"/>
      <c r="I67" s="26"/>
      <c r="J67" s="285"/>
      <c r="K67" s="43"/>
      <c r="L67" s="252"/>
      <c r="M67" s="26"/>
    </row>
    <row r="68" spans="1:14" x14ac:dyDescent="0.2">
      <c r="A68" s="20" t="s">
        <v>10</v>
      </c>
      <c r="B68" s="290"/>
      <c r="C68" s="291"/>
      <c r="D68" s="165"/>
      <c r="E68" s="26"/>
      <c r="F68" s="290"/>
      <c r="G68" s="737"/>
      <c r="H68" s="165"/>
      <c r="I68" s="26"/>
      <c r="J68" s="285"/>
      <c r="K68" s="43"/>
      <c r="L68" s="252"/>
      <c r="M68" s="26"/>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c r="C77" s="232"/>
      <c r="D77" s="165"/>
      <c r="E77" s="26"/>
      <c r="F77" s="232"/>
      <c r="G77" s="144"/>
      <c r="H77" s="165"/>
      <c r="I77" s="26"/>
      <c r="J77" s="285"/>
      <c r="K77" s="43"/>
      <c r="L77" s="252"/>
      <c r="M77" s="26"/>
    </row>
    <row r="78" spans="1:14" x14ac:dyDescent="0.2">
      <c r="A78" s="20" t="s">
        <v>9</v>
      </c>
      <c r="B78" s="232"/>
      <c r="C78" s="144"/>
      <c r="D78" s="165"/>
      <c r="E78" s="26"/>
      <c r="F78" s="232"/>
      <c r="G78" s="144"/>
      <c r="H78" s="165"/>
      <c r="I78" s="26"/>
      <c r="J78" s="285"/>
      <c r="K78" s="43"/>
      <c r="L78" s="252"/>
      <c r="M78" s="26"/>
    </row>
    <row r="79" spans="1:14" x14ac:dyDescent="0.2">
      <c r="A79" s="729" t="s">
        <v>423</v>
      </c>
      <c r="B79" s="290"/>
      <c r="C79" s="291"/>
      <c r="D79" s="165"/>
      <c r="E79" s="26"/>
      <c r="F79" s="290"/>
      <c r="G79" s="291"/>
      <c r="H79" s="165"/>
      <c r="I79" s="26"/>
      <c r="J79" s="285"/>
      <c r="K79" s="43"/>
      <c r="L79" s="252"/>
      <c r="M79" s="26"/>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c r="C87" s="351"/>
      <c r="D87" s="170"/>
      <c r="E87" s="11"/>
      <c r="F87" s="350"/>
      <c r="G87" s="350"/>
      <c r="H87" s="170"/>
      <c r="I87" s="11"/>
      <c r="J87" s="307"/>
      <c r="K87" s="234"/>
      <c r="L87" s="425"/>
      <c r="M87" s="11"/>
    </row>
    <row r="88" spans="1:13" x14ac:dyDescent="0.2">
      <c r="A88" s="20" t="s">
        <v>9</v>
      </c>
      <c r="B88" s="232"/>
      <c r="C88" s="144"/>
      <c r="D88" s="165"/>
      <c r="E88" s="26"/>
      <c r="F88" s="232"/>
      <c r="G88" s="144"/>
      <c r="H88" s="165"/>
      <c r="I88" s="26"/>
      <c r="J88" s="285"/>
      <c r="K88" s="43"/>
      <c r="L88" s="252"/>
      <c r="M88" s="26"/>
    </row>
    <row r="89" spans="1:13" x14ac:dyDescent="0.2">
      <c r="A89" s="20" t="s">
        <v>10</v>
      </c>
      <c r="B89" s="232"/>
      <c r="C89" s="144"/>
      <c r="D89" s="165"/>
      <c r="E89" s="26"/>
      <c r="F89" s="232"/>
      <c r="G89" s="144"/>
      <c r="H89" s="165"/>
      <c r="I89" s="26"/>
      <c r="J89" s="285"/>
      <c r="K89" s="43"/>
      <c r="L89" s="252"/>
      <c r="M89" s="26"/>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c r="C98" s="232"/>
      <c r="D98" s="165"/>
      <c r="E98" s="26"/>
      <c r="F98" s="290"/>
      <c r="G98" s="290"/>
      <c r="H98" s="165"/>
      <c r="I98" s="26"/>
      <c r="J98" s="285"/>
      <c r="K98" s="43"/>
      <c r="L98" s="252"/>
      <c r="M98" s="26"/>
    </row>
    <row r="99" spans="1:13" x14ac:dyDescent="0.2">
      <c r="A99" s="20" t="s">
        <v>9</v>
      </c>
      <c r="B99" s="290"/>
      <c r="C99" s="291"/>
      <c r="D99" s="165"/>
      <c r="E99" s="26"/>
      <c r="F99" s="232"/>
      <c r="G99" s="144"/>
      <c r="H99" s="165"/>
      <c r="I99" s="26"/>
      <c r="J99" s="285"/>
      <c r="K99" s="43"/>
      <c r="L99" s="252"/>
      <c r="M99" s="26"/>
    </row>
    <row r="100" spans="1:13" ht="15.75" x14ac:dyDescent="0.2">
      <c r="A100" s="729" t="s">
        <v>424</v>
      </c>
      <c r="B100" s="290"/>
      <c r="C100" s="291"/>
      <c r="D100" s="165"/>
      <c r="E100" s="26"/>
      <c r="F100" s="232"/>
      <c r="G100" s="232"/>
      <c r="H100" s="165"/>
      <c r="I100" s="26"/>
      <c r="J100" s="285"/>
      <c r="K100" s="43"/>
      <c r="L100" s="252"/>
      <c r="M100" s="26"/>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c r="C109" s="232"/>
      <c r="D109" s="165"/>
      <c r="E109" s="26"/>
      <c r="F109" s="232"/>
      <c r="G109" s="232"/>
      <c r="H109" s="165"/>
      <c r="I109" s="26"/>
      <c r="J109" s="285"/>
      <c r="K109" s="43"/>
      <c r="L109" s="252"/>
      <c r="M109" s="26"/>
    </row>
    <row r="110" spans="1:13" ht="15.75" x14ac:dyDescent="0.2">
      <c r="A110" s="729" t="s">
        <v>441</v>
      </c>
      <c r="B110" s="232"/>
      <c r="C110" s="232"/>
      <c r="D110" s="165"/>
      <c r="E110" s="26"/>
      <c r="F110" s="232"/>
      <c r="G110" s="232"/>
      <c r="H110" s="165"/>
      <c r="I110" s="26"/>
      <c r="J110" s="285"/>
      <c r="K110" s="43"/>
      <c r="L110" s="252"/>
      <c r="M110" s="26"/>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c r="C112" s="158"/>
      <c r="D112" s="170"/>
      <c r="E112" s="11"/>
      <c r="F112" s="306"/>
      <c r="G112" s="158"/>
      <c r="H112" s="170"/>
      <c r="I112" s="11"/>
      <c r="J112" s="307"/>
      <c r="K112" s="234"/>
      <c r="L112" s="425"/>
      <c r="M112" s="11"/>
    </row>
    <row r="113" spans="1:14" x14ac:dyDescent="0.2">
      <c r="A113" s="20" t="s">
        <v>9</v>
      </c>
      <c r="B113" s="232"/>
      <c r="C113" s="144"/>
      <c r="D113" s="165"/>
      <c r="E113" s="26"/>
      <c r="F113" s="232"/>
      <c r="G113" s="144"/>
      <c r="H113" s="165"/>
      <c r="I113" s="26"/>
      <c r="J113" s="285"/>
      <c r="K113" s="43"/>
      <c r="L113" s="252"/>
      <c r="M113" s="26"/>
    </row>
    <row r="114" spans="1:14" x14ac:dyDescent="0.2">
      <c r="A114" s="20" t="s">
        <v>10</v>
      </c>
      <c r="B114" s="232"/>
      <c r="C114" s="144"/>
      <c r="D114" s="165"/>
      <c r="E114" s="26"/>
      <c r="F114" s="232"/>
      <c r="G114" s="144"/>
      <c r="H114" s="165"/>
      <c r="I114" s="26"/>
      <c r="J114" s="285"/>
      <c r="K114" s="43"/>
      <c r="L114" s="252"/>
      <c r="M114" s="26"/>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c r="G118" s="232"/>
      <c r="H118" s="165"/>
      <c r="I118" s="26"/>
      <c r="J118" s="285"/>
      <c r="K118" s="43"/>
      <c r="L118" s="252"/>
      <c r="M118" s="26"/>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c r="C120" s="158"/>
      <c r="D120" s="170"/>
      <c r="E120" s="11"/>
      <c r="F120" s="306"/>
      <c r="G120" s="158"/>
      <c r="H120" s="170"/>
      <c r="I120" s="11"/>
      <c r="J120" s="307"/>
      <c r="K120" s="234"/>
      <c r="L120" s="425"/>
      <c r="M120" s="11"/>
    </row>
    <row r="121" spans="1:14" x14ac:dyDescent="0.2">
      <c r="A121" s="20" t="s">
        <v>9</v>
      </c>
      <c r="B121" s="232"/>
      <c r="C121" s="144"/>
      <c r="D121" s="165"/>
      <c r="E121" s="26"/>
      <c r="F121" s="232"/>
      <c r="G121" s="144"/>
      <c r="H121" s="165"/>
      <c r="I121" s="26"/>
      <c r="J121" s="285"/>
      <c r="K121" s="43"/>
      <c r="L121" s="252"/>
      <c r="M121" s="26"/>
    </row>
    <row r="122" spans="1:14" x14ac:dyDescent="0.2">
      <c r="A122" s="20" t="s">
        <v>10</v>
      </c>
      <c r="B122" s="232"/>
      <c r="C122" s="144"/>
      <c r="D122" s="165"/>
      <c r="E122" s="26"/>
      <c r="F122" s="232"/>
      <c r="G122" s="144"/>
      <c r="H122" s="165"/>
      <c r="I122" s="26"/>
      <c r="J122" s="285"/>
      <c r="K122" s="43"/>
      <c r="L122" s="252"/>
      <c r="M122" s="26"/>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c r="G126" s="232"/>
      <c r="H126" s="165"/>
      <c r="I126" s="26"/>
      <c r="J126" s="285"/>
      <c r="K126" s="43"/>
      <c r="L126" s="252"/>
      <c r="M126" s="26"/>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668"/>
      <c r="F131" s="777"/>
      <c r="G131" s="777"/>
      <c r="H131" s="777"/>
      <c r="I131" s="668"/>
      <c r="J131" s="777"/>
      <c r="K131" s="777"/>
      <c r="L131" s="777"/>
      <c r="M131" s="668"/>
    </row>
    <row r="132" spans="1:14" s="3" customFormat="1" x14ac:dyDescent="0.2">
      <c r="A132" s="143"/>
      <c r="B132" s="778" t="s">
        <v>0</v>
      </c>
      <c r="C132" s="779"/>
      <c r="D132" s="779"/>
      <c r="E132" s="666"/>
      <c r="F132" s="778" t="s">
        <v>1</v>
      </c>
      <c r="G132" s="779"/>
      <c r="H132" s="779"/>
      <c r="I132" s="667"/>
      <c r="J132" s="778" t="s">
        <v>2</v>
      </c>
      <c r="K132" s="779"/>
      <c r="L132" s="779"/>
      <c r="M132" s="667"/>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1:D131"/>
    <mergeCell ref="F131:H131"/>
    <mergeCell ref="J131:L131"/>
    <mergeCell ref="B132:D132"/>
    <mergeCell ref="F132:H132"/>
    <mergeCell ref="J132:L132"/>
  </mergeCells>
  <conditionalFormatting sqref="B50:C52">
    <cfRule type="expression" dxfId="887" priority="59">
      <formula>kvartal &lt; 4</formula>
    </cfRule>
  </conditionalFormatting>
  <conditionalFormatting sqref="B116">
    <cfRule type="expression" dxfId="886" priority="42">
      <formula>kvartal &lt; 4</formula>
    </cfRule>
  </conditionalFormatting>
  <conditionalFormatting sqref="C116">
    <cfRule type="expression" dxfId="885" priority="41">
      <formula>kvartal &lt; 4</formula>
    </cfRule>
  </conditionalFormatting>
  <conditionalFormatting sqref="B124">
    <cfRule type="expression" dxfId="884" priority="40">
      <formula>kvartal &lt; 4</formula>
    </cfRule>
  </conditionalFormatting>
  <conditionalFormatting sqref="C124">
    <cfRule type="expression" dxfId="883" priority="39">
      <formula>kvartal &lt; 4</formula>
    </cfRule>
  </conditionalFormatting>
  <conditionalFormatting sqref="F116">
    <cfRule type="expression" dxfId="882" priority="28">
      <formula>kvartal &lt; 4</formula>
    </cfRule>
  </conditionalFormatting>
  <conditionalFormatting sqref="G116">
    <cfRule type="expression" dxfId="881" priority="27">
      <formula>kvartal &lt; 4</formula>
    </cfRule>
  </conditionalFormatting>
  <conditionalFormatting sqref="F124:G124">
    <cfRule type="expression" dxfId="880" priority="26">
      <formula>kvartal &lt; 4</formula>
    </cfRule>
  </conditionalFormatting>
  <conditionalFormatting sqref="J116:K116">
    <cfRule type="expression" dxfId="879" priority="9">
      <formula>kvartal &lt; 4</formula>
    </cfRule>
  </conditionalFormatting>
  <conditionalFormatting sqref="J124:K124">
    <cfRule type="expression" dxfId="878" priority="8">
      <formula>kvartal &lt; 4</formula>
    </cfRule>
  </conditionalFormatting>
  <conditionalFormatting sqref="A50:A52">
    <cfRule type="expression" dxfId="877" priority="7">
      <formula>kvartal &lt; 4</formula>
    </cfRule>
  </conditionalFormatting>
  <conditionalFormatting sqref="A69:A74">
    <cfRule type="expression" dxfId="876" priority="6">
      <formula>kvartal &lt; 4</formula>
    </cfRule>
  </conditionalFormatting>
  <conditionalFormatting sqref="A80:A85">
    <cfRule type="expression" dxfId="875" priority="5">
      <formula>kvartal &lt; 4</formula>
    </cfRule>
  </conditionalFormatting>
  <conditionalFormatting sqref="A90:A95">
    <cfRule type="expression" dxfId="874" priority="4">
      <formula>kvartal &lt; 4</formula>
    </cfRule>
  </conditionalFormatting>
  <conditionalFormatting sqref="A102:A107">
    <cfRule type="expression" dxfId="873" priority="3">
      <formula>kvartal &lt; 4</formula>
    </cfRule>
  </conditionalFormatting>
  <conditionalFormatting sqref="A116">
    <cfRule type="expression" dxfId="872" priority="2">
      <formula>kvartal &lt; 4</formula>
    </cfRule>
  </conditionalFormatting>
  <conditionalFormatting sqref="A124">
    <cfRule type="expression" dxfId="871" priority="1">
      <formula>kvartal &lt; 4</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5"/>
  <sheetViews>
    <sheetView showGridLines="0" zoomScaleNormal="100" workbookViewId="0"/>
  </sheetViews>
  <sheetFormatPr baseColWidth="10" defaultColWidth="11.42578125" defaultRowHeight="12.75" x14ac:dyDescent="0.2"/>
  <cols>
    <col min="1" max="1" width="41.5703125" style="148" customWidth="1"/>
    <col min="2" max="2" width="10.7109375" style="148" customWidth="1"/>
    <col min="3" max="3" width="11" style="148" customWidth="1"/>
    <col min="4" max="5" width="8.7109375" style="148" customWidth="1"/>
    <col min="6" max="7" width="10.7109375" style="148" customWidth="1"/>
    <col min="8" max="9" width="8.7109375" style="148" customWidth="1"/>
    <col min="10" max="11" width="10.7109375" style="148" customWidth="1"/>
    <col min="12" max="13" width="8.7109375" style="148" customWidth="1"/>
    <col min="14" max="14" width="11.42578125" style="148"/>
    <col min="15" max="16384" width="11.42578125" style="1"/>
  </cols>
  <sheetData>
    <row r="1" spans="1:14" x14ac:dyDescent="0.2">
      <c r="A1" s="171" t="s">
        <v>135</v>
      </c>
      <c r="B1" s="752"/>
      <c r="C1" s="246" t="s">
        <v>83</v>
      </c>
      <c r="D1" s="25"/>
      <c r="E1" s="25"/>
      <c r="F1" s="25"/>
      <c r="G1" s="25"/>
      <c r="H1" s="25"/>
      <c r="I1" s="25"/>
      <c r="J1" s="25"/>
      <c r="K1" s="25"/>
      <c r="L1" s="25"/>
      <c r="M1" s="25"/>
    </row>
    <row r="2" spans="1:14" ht="15.75" x14ac:dyDescent="0.25">
      <c r="A2" s="164" t="s">
        <v>28</v>
      </c>
      <c r="B2" s="782"/>
      <c r="C2" s="782"/>
      <c r="D2" s="782"/>
      <c r="E2" s="403"/>
      <c r="F2" s="782"/>
      <c r="G2" s="782"/>
      <c r="H2" s="782"/>
      <c r="I2" s="403"/>
      <c r="J2" s="782"/>
      <c r="K2" s="782"/>
      <c r="L2" s="782"/>
      <c r="M2" s="403"/>
    </row>
    <row r="3" spans="1:14" ht="15.75" x14ac:dyDescent="0.25">
      <c r="A3" s="162"/>
      <c r="B3" s="403"/>
      <c r="C3" s="403"/>
      <c r="D3" s="403"/>
      <c r="E3" s="403"/>
      <c r="F3" s="403"/>
      <c r="G3" s="403"/>
      <c r="H3" s="403"/>
      <c r="I3" s="403"/>
      <c r="J3" s="403"/>
      <c r="K3" s="403"/>
      <c r="L3" s="403"/>
      <c r="M3" s="403"/>
    </row>
    <row r="4" spans="1:14" x14ac:dyDescent="0.2">
      <c r="A4" s="143"/>
      <c r="B4" s="784" t="s">
        <v>0</v>
      </c>
      <c r="C4" s="785"/>
      <c r="D4" s="785"/>
      <c r="E4" s="402"/>
      <c r="F4" s="778" t="s">
        <v>1</v>
      </c>
      <c r="G4" s="779"/>
      <c r="H4" s="779"/>
      <c r="I4" s="405"/>
      <c r="J4" s="778" t="s">
        <v>2</v>
      </c>
      <c r="K4" s="779"/>
      <c r="L4" s="779"/>
      <c r="M4" s="405"/>
    </row>
    <row r="5" spans="1:14" x14ac:dyDescent="0.2">
      <c r="A5" s="157"/>
      <c r="B5" s="151" t="s">
        <v>439</v>
      </c>
      <c r="C5" s="151" t="s">
        <v>440</v>
      </c>
      <c r="D5" s="243" t="s">
        <v>3</v>
      </c>
      <c r="E5" s="303" t="s">
        <v>29</v>
      </c>
      <c r="F5" s="151" t="s">
        <v>439</v>
      </c>
      <c r="G5" s="151" t="s">
        <v>440</v>
      </c>
      <c r="H5" s="243" t="s">
        <v>3</v>
      </c>
      <c r="I5" s="161" t="s">
        <v>29</v>
      </c>
      <c r="J5" s="731" t="s">
        <v>439</v>
      </c>
      <c r="K5" s="731" t="s">
        <v>440</v>
      </c>
      <c r="L5" s="243" t="s">
        <v>3</v>
      </c>
      <c r="M5" s="161" t="s">
        <v>29</v>
      </c>
    </row>
    <row r="6" spans="1:14" x14ac:dyDescent="0.2">
      <c r="A6" s="753"/>
      <c r="B6" s="155"/>
      <c r="C6" s="155"/>
      <c r="D6" s="244" t="s">
        <v>4</v>
      </c>
      <c r="E6" s="155" t="s">
        <v>30</v>
      </c>
      <c r="F6" s="160"/>
      <c r="G6" s="160"/>
      <c r="H6" s="243" t="s">
        <v>4</v>
      </c>
      <c r="I6" s="155" t="s">
        <v>30</v>
      </c>
      <c r="J6" s="160"/>
      <c r="K6" s="160"/>
      <c r="L6" s="243" t="s">
        <v>4</v>
      </c>
      <c r="M6" s="155" t="s">
        <v>30</v>
      </c>
    </row>
    <row r="7" spans="1:14" ht="15.75" x14ac:dyDescent="0.2">
      <c r="A7" s="14" t="s">
        <v>23</v>
      </c>
      <c r="B7" s="304">
        <v>139643.845</v>
      </c>
      <c r="C7" s="305">
        <v>136449.16099999999</v>
      </c>
      <c r="D7" s="348">
        <f>IF(B7=0, "    ---- ", IF(ABS(ROUND(100/B7*C7-100,1))&lt;999,ROUND(100/B7*C7-100,1),IF(ROUND(100/B7*C7-100,1)&gt;999,999,-999)))</f>
        <v>-2.2999999999999998</v>
      </c>
      <c r="E7" s="11">
        <f>IFERROR(100/'Skjema total MA'!C7*C7,0)</f>
        <v>4.9321846713784288</v>
      </c>
      <c r="F7" s="304">
        <v>135489.68900000001</v>
      </c>
      <c r="G7" s="305">
        <v>150589.96900000001</v>
      </c>
      <c r="H7" s="348">
        <f>IF(F7=0, "    ---- ", IF(ABS(ROUND(100/F7*G7-100,1))&lt;999,ROUND(100/F7*G7-100,1),IF(ROUND(100/F7*G7-100,1)&gt;999,999,-999)))</f>
        <v>11.1</v>
      </c>
      <c r="I7" s="159">
        <f>IFERROR(100/'Skjema total MA'!F7*G7,0)</f>
        <v>1.944004744193313</v>
      </c>
      <c r="J7" s="306">
        <f t="shared" ref="J7:K12" si="0">SUM(B7,F7)</f>
        <v>275133.53399999999</v>
      </c>
      <c r="K7" s="307">
        <f t="shared" si="0"/>
        <v>287039.13</v>
      </c>
      <c r="L7" s="424">
        <f>IF(J7=0, "    ---- ", IF(ABS(ROUND(100/J7*K7-100,1))&lt;999,ROUND(100/J7*K7-100,1),IF(ROUND(100/J7*K7-100,1)&gt;999,999,-999)))</f>
        <v>4.3</v>
      </c>
      <c r="M7" s="11">
        <f>IFERROR(100/'Skjema total MA'!I7*K7,0)</f>
        <v>2.7303556731354068</v>
      </c>
    </row>
    <row r="8" spans="1:14" ht="15.75" x14ac:dyDescent="0.2">
      <c r="A8" s="20" t="s">
        <v>25</v>
      </c>
      <c r="B8" s="279">
        <v>66649.754000000001</v>
      </c>
      <c r="C8" s="280">
        <v>68906.649000000005</v>
      </c>
      <c r="D8" s="165">
        <f t="shared" ref="D8:D10" si="1">IF(B8=0, "    ---- ", IF(ABS(ROUND(100/B8*C8-100,1))&lt;999,ROUND(100/B8*C8-100,1),IF(ROUND(100/B8*C8-100,1)&gt;999,999,-999)))</f>
        <v>3.4</v>
      </c>
      <c r="E8" s="26">
        <f>IFERROR(100/'Skjema total MA'!C8*C8,0)</f>
        <v>3.8061755719397659</v>
      </c>
      <c r="F8" s="283"/>
      <c r="G8" s="284"/>
      <c r="H8" s="165"/>
      <c r="I8" s="174"/>
      <c r="J8" s="232">
        <f t="shared" si="0"/>
        <v>66649.754000000001</v>
      </c>
      <c r="K8" s="285">
        <f t="shared" si="0"/>
        <v>68906.649000000005</v>
      </c>
      <c r="L8" s="165">
        <f t="shared" ref="L8:L9" si="2">IF(J8=0, "    ---- ", IF(ABS(ROUND(100/J8*K8-100,1))&lt;999,ROUND(100/J8*K8-100,1),IF(ROUND(100/J8*K8-100,1)&gt;999,999,-999)))</f>
        <v>3.4</v>
      </c>
      <c r="M8" s="26">
        <f>IFERROR(100/'Skjema total MA'!I8*K8,0)</f>
        <v>3.8061755719397659</v>
      </c>
    </row>
    <row r="9" spans="1:14" ht="15.75" x14ac:dyDescent="0.2">
      <c r="A9" s="20" t="s">
        <v>24</v>
      </c>
      <c r="B9" s="279">
        <v>32864.326000000001</v>
      </c>
      <c r="C9" s="280">
        <v>32509.317999999999</v>
      </c>
      <c r="D9" s="165">
        <f t="shared" si="1"/>
        <v>-1.1000000000000001</v>
      </c>
      <c r="E9" s="26">
        <f>IFERROR(100/'Skjema total MA'!C9*C9,0)</f>
        <v>5.5044555735714882</v>
      </c>
      <c r="F9" s="283"/>
      <c r="G9" s="284"/>
      <c r="H9" s="165"/>
      <c r="I9" s="174"/>
      <c r="J9" s="232">
        <f t="shared" si="0"/>
        <v>32864.326000000001</v>
      </c>
      <c r="K9" s="285">
        <f t="shared" si="0"/>
        <v>32509.317999999999</v>
      </c>
      <c r="L9" s="165">
        <f t="shared" si="2"/>
        <v>-1.1000000000000001</v>
      </c>
      <c r="M9" s="26">
        <f>IFERROR(100/'Skjema total MA'!I9*K9,0)</f>
        <v>5.5044555735714882</v>
      </c>
    </row>
    <row r="10" spans="1:14" ht="15.75" x14ac:dyDescent="0.2">
      <c r="A10" s="13" t="s">
        <v>364</v>
      </c>
      <c r="B10" s="308">
        <v>315289.40600000002</v>
      </c>
      <c r="C10" s="309">
        <v>318279.81599999999</v>
      </c>
      <c r="D10" s="170">
        <f t="shared" si="1"/>
        <v>0.9</v>
      </c>
      <c r="E10" s="11">
        <f>IFERROR(100/'Skjema total MA'!C10*C10,0)</f>
        <v>1.8263033993507556</v>
      </c>
      <c r="F10" s="308">
        <v>2499070.128</v>
      </c>
      <c r="G10" s="309">
        <v>3104014.0649999999</v>
      </c>
      <c r="H10" s="170">
        <f t="shared" ref="H10:H12" si="3">IF(F10=0, "    ---- ", IF(ABS(ROUND(100/F10*G10-100,1))&lt;999,ROUND(100/F10*G10-100,1),IF(ROUND(100/F10*G10-100,1)&gt;999,999,-999)))</f>
        <v>24.2</v>
      </c>
      <c r="I10" s="159">
        <f>IFERROR(100/'Skjema total MA'!F10*G10,0)</f>
        <v>4.4201949823308357</v>
      </c>
      <c r="J10" s="306">
        <f t="shared" si="0"/>
        <v>2814359.534</v>
      </c>
      <c r="K10" s="307">
        <f t="shared" si="0"/>
        <v>3422293.8810000001</v>
      </c>
      <c r="L10" s="425">
        <f t="shared" ref="L10:L12" si="4">IF(J10=0, "    ---- ", IF(ABS(ROUND(100/J10*K10-100,1))&lt;999,ROUND(100/J10*K10-100,1),IF(ROUND(100/J10*K10-100,1)&gt;999,999,-999)))</f>
        <v>21.6</v>
      </c>
      <c r="M10" s="11">
        <f>IFERROR(100/'Skjema total MA'!I10*K10,0)</f>
        <v>3.9044546740340409</v>
      </c>
    </row>
    <row r="11" spans="1:14" s="42" customFormat="1" ht="15.75" x14ac:dyDescent="0.2">
      <c r="A11" s="13" t="s">
        <v>365</v>
      </c>
      <c r="B11" s="308"/>
      <c r="C11" s="309"/>
      <c r="D11" s="170"/>
      <c r="E11" s="11"/>
      <c r="F11" s="308">
        <v>9382.6659999999993</v>
      </c>
      <c r="G11" s="309">
        <v>2970.3429999999998</v>
      </c>
      <c r="H11" s="170">
        <f t="shared" si="3"/>
        <v>-68.3</v>
      </c>
      <c r="I11" s="159">
        <f>IFERROR(100/'Skjema total MA'!F11*G11,0)</f>
        <v>1.146082648419019</v>
      </c>
      <c r="J11" s="306">
        <f t="shared" si="0"/>
        <v>9382.6659999999993</v>
      </c>
      <c r="K11" s="307">
        <f t="shared" si="0"/>
        <v>2970.3429999999998</v>
      </c>
      <c r="L11" s="425">
        <f t="shared" si="4"/>
        <v>-68.3</v>
      </c>
      <c r="M11" s="11">
        <f>IFERROR(100/'Skjema total MA'!I11*K11,0)</f>
        <v>1.0470104794423092</v>
      </c>
      <c r="N11" s="142"/>
    </row>
    <row r="12" spans="1:14" s="42" customFormat="1" ht="15.75" x14ac:dyDescent="0.2">
      <c r="A12" s="40" t="s">
        <v>366</v>
      </c>
      <c r="B12" s="310"/>
      <c r="C12" s="311"/>
      <c r="D12" s="168"/>
      <c r="E12" s="35"/>
      <c r="F12" s="310">
        <v>17697.998</v>
      </c>
      <c r="G12" s="311">
        <v>24451.236000000001</v>
      </c>
      <c r="H12" s="168">
        <f t="shared" si="3"/>
        <v>38.200000000000003</v>
      </c>
      <c r="I12" s="168">
        <f>IFERROR(100/'Skjema total MA'!F12*G12,0)</f>
        <v>24.655170040750804</v>
      </c>
      <c r="J12" s="312">
        <f t="shared" si="0"/>
        <v>17697.998</v>
      </c>
      <c r="K12" s="313">
        <f t="shared" si="0"/>
        <v>24451.236000000001</v>
      </c>
      <c r="L12" s="426">
        <f t="shared" si="4"/>
        <v>38.200000000000003</v>
      </c>
      <c r="M12" s="35">
        <f>IFERROR(100/'Skjema total MA'!I12*K12,0)</f>
        <v>23.768404243544872</v>
      </c>
      <c r="N12" s="142"/>
    </row>
    <row r="13" spans="1:14" s="42" customFormat="1" x14ac:dyDescent="0.2">
      <c r="A13" s="167"/>
      <c r="B13" s="144"/>
      <c r="C13" s="32"/>
      <c r="D13" s="158"/>
      <c r="E13" s="158"/>
      <c r="F13" s="144"/>
      <c r="G13" s="32"/>
      <c r="H13" s="158"/>
      <c r="I13" s="158"/>
      <c r="J13" s="47"/>
      <c r="K13" s="47"/>
      <c r="L13" s="158"/>
      <c r="M13" s="158"/>
      <c r="N13" s="142"/>
    </row>
    <row r="14" spans="1:14" x14ac:dyDescent="0.2">
      <c r="A14" s="152" t="s">
        <v>274</v>
      </c>
      <c r="B14" s="25"/>
    </row>
    <row r="15" spans="1:14" x14ac:dyDescent="0.2">
      <c r="F15" s="145"/>
      <c r="G15" s="145"/>
      <c r="H15" s="145"/>
      <c r="I15" s="145"/>
      <c r="J15" s="145"/>
      <c r="K15" s="145"/>
      <c r="L15" s="145"/>
      <c r="M15" s="145"/>
    </row>
    <row r="16" spans="1:14" s="3" customFormat="1" ht="15.75" x14ac:dyDescent="0.25">
      <c r="A16" s="163"/>
      <c r="B16" s="147"/>
      <c r="C16" s="153"/>
      <c r="D16" s="153"/>
      <c r="E16" s="153"/>
      <c r="F16" s="153"/>
      <c r="G16" s="153"/>
      <c r="H16" s="153"/>
      <c r="I16" s="153"/>
      <c r="J16" s="153"/>
      <c r="K16" s="153"/>
      <c r="L16" s="153"/>
      <c r="M16" s="153"/>
      <c r="N16" s="147"/>
    </row>
    <row r="17" spans="1:14" ht="15.75" x14ac:dyDescent="0.25">
      <c r="A17" s="146" t="s">
        <v>271</v>
      </c>
      <c r="B17" s="156"/>
      <c r="C17" s="156"/>
      <c r="D17" s="150"/>
      <c r="E17" s="150"/>
      <c r="F17" s="156"/>
      <c r="G17" s="156"/>
      <c r="H17" s="156"/>
      <c r="I17" s="156"/>
      <c r="J17" s="156"/>
      <c r="K17" s="156"/>
      <c r="L17" s="156"/>
      <c r="M17" s="156"/>
    </row>
    <row r="18" spans="1:14" ht="15.75" x14ac:dyDescent="0.25">
      <c r="B18" s="777"/>
      <c r="C18" s="777"/>
      <c r="D18" s="777"/>
      <c r="E18" s="403"/>
      <c r="F18" s="777"/>
      <c r="G18" s="777"/>
      <c r="H18" s="777"/>
      <c r="I18" s="403"/>
      <c r="J18" s="777"/>
      <c r="K18" s="777"/>
      <c r="L18" s="777"/>
      <c r="M18" s="403"/>
    </row>
    <row r="19" spans="1:14" x14ac:dyDescent="0.2">
      <c r="A19" s="143"/>
      <c r="B19" s="778" t="s">
        <v>0</v>
      </c>
      <c r="C19" s="779"/>
      <c r="D19" s="779"/>
      <c r="E19" s="402"/>
      <c r="F19" s="778" t="s">
        <v>1</v>
      </c>
      <c r="G19" s="779"/>
      <c r="H19" s="779"/>
      <c r="I19" s="405"/>
      <c r="J19" s="778" t="s">
        <v>2</v>
      </c>
      <c r="K19" s="779"/>
      <c r="L19" s="779"/>
      <c r="M19" s="405"/>
    </row>
    <row r="20" spans="1:14" x14ac:dyDescent="0.2">
      <c r="A20" s="139" t="s">
        <v>5</v>
      </c>
      <c r="B20" s="731" t="s">
        <v>439</v>
      </c>
      <c r="C20" s="731" t="s">
        <v>440</v>
      </c>
      <c r="D20" s="161" t="s">
        <v>3</v>
      </c>
      <c r="E20" s="303" t="s">
        <v>29</v>
      </c>
      <c r="F20" s="731" t="s">
        <v>439</v>
      </c>
      <c r="G20" s="731" t="s">
        <v>440</v>
      </c>
      <c r="H20" s="161" t="s">
        <v>3</v>
      </c>
      <c r="I20" s="161" t="s">
        <v>29</v>
      </c>
      <c r="J20" s="731" t="s">
        <v>439</v>
      </c>
      <c r="K20" s="731" t="s">
        <v>440</v>
      </c>
      <c r="L20" s="161" t="s">
        <v>3</v>
      </c>
      <c r="M20" s="161" t="s">
        <v>29</v>
      </c>
    </row>
    <row r="21" spans="1:14" x14ac:dyDescent="0.2">
      <c r="A21" s="754"/>
      <c r="B21" s="155"/>
      <c r="C21" s="155"/>
      <c r="D21" s="244" t="s">
        <v>4</v>
      </c>
      <c r="E21" s="413" t="s">
        <v>30</v>
      </c>
      <c r="F21" s="160"/>
      <c r="G21" s="160"/>
      <c r="H21" s="243" t="s">
        <v>4</v>
      </c>
      <c r="I21" s="155" t="s">
        <v>30</v>
      </c>
      <c r="J21" s="160"/>
      <c r="K21" s="160"/>
      <c r="L21" s="155" t="s">
        <v>4</v>
      </c>
      <c r="M21" s="155" t="s">
        <v>30</v>
      </c>
    </row>
    <row r="22" spans="1:14" ht="15.75" x14ac:dyDescent="0.2">
      <c r="A22" s="14" t="s">
        <v>23</v>
      </c>
      <c r="B22" s="308">
        <v>7119.3860000000004</v>
      </c>
      <c r="C22" s="308">
        <v>6999.89</v>
      </c>
      <c r="D22" s="348">
        <f t="shared" ref="D22:D29" si="5">IF(B22=0, "    ---- ", IF(ABS(ROUND(100/B22*C22-100,1))&lt;999,ROUND(100/B22*C22-100,1),IF(ROUND(100/B22*C22-100,1)&gt;999,999,-999)))</f>
        <v>-1.7</v>
      </c>
      <c r="E22" s="11">
        <f>IFERROR(100/'Skjema total MA'!C22*C22,0)</f>
        <v>0.62456311711073531</v>
      </c>
      <c r="F22" s="316">
        <v>30217.388999999999</v>
      </c>
      <c r="G22" s="316">
        <v>33129.264999999999</v>
      </c>
      <c r="H22" s="348">
        <f t="shared" ref="H22:H35" si="6">IF(F22=0, "    ---- ", IF(ABS(ROUND(100/F22*G22-100,1))&lt;999,ROUND(100/F22*G22-100,1),IF(ROUND(100/F22*G22-100,1)&gt;999,999,-999)))</f>
        <v>9.6</v>
      </c>
      <c r="I22" s="159">
        <f>IFERROR(100/'Skjema total MA'!F22*G22,0)</f>
        <v>4.133518699534303</v>
      </c>
      <c r="J22" s="314">
        <f t="shared" ref="J22:K35" si="7">SUM(B22,F22)</f>
        <v>37336.775000000001</v>
      </c>
      <c r="K22" s="314">
        <f t="shared" si="7"/>
        <v>40129.154999999999</v>
      </c>
      <c r="L22" s="424">
        <f t="shared" ref="L22:L35" si="8">IF(J22=0, "    ---- ", IF(ABS(ROUND(100/J22*K22-100,1))&lt;999,ROUND(100/J22*K22-100,1),IF(ROUND(100/J22*K22-100,1)&gt;999,999,-999)))</f>
        <v>7.5</v>
      </c>
      <c r="M22" s="23">
        <f>IFERROR(100/'Skjema total MA'!I22*K22,0)</f>
        <v>2.0876198573385101</v>
      </c>
    </row>
    <row r="23" spans="1:14" ht="15.75" x14ac:dyDescent="0.2">
      <c r="A23" s="580" t="s">
        <v>367</v>
      </c>
      <c r="B23" s="279"/>
      <c r="C23" s="279"/>
      <c r="D23" s="165"/>
      <c r="E23" s="11"/>
      <c r="F23" s="288">
        <v>2249.201</v>
      </c>
      <c r="G23" s="288">
        <v>2334.2930000000001</v>
      </c>
      <c r="H23" s="165">
        <f t="shared" si="6"/>
        <v>3.8</v>
      </c>
      <c r="I23" s="238">
        <f>IFERROR(100/'Skjema total MA'!F23*G23,0)</f>
        <v>1.6161530001666133</v>
      </c>
      <c r="J23" s="288">
        <f t="shared" ref="J23:J26" si="9">SUM(B23,F23)</f>
        <v>2249.201</v>
      </c>
      <c r="K23" s="288">
        <f t="shared" ref="K23:K26" si="10">SUM(C23,G23)</f>
        <v>2334.2930000000001</v>
      </c>
      <c r="L23" s="165">
        <f t="shared" si="8"/>
        <v>3.8</v>
      </c>
      <c r="M23" s="22">
        <f>IFERROR(100/'Skjema total MA'!I23*K23,0)</f>
        <v>0.39356126807848274</v>
      </c>
    </row>
    <row r="24" spans="1:14" ht="15.75" x14ac:dyDescent="0.2">
      <c r="A24" s="580" t="s">
        <v>368</v>
      </c>
      <c r="B24" s="279"/>
      <c r="C24" s="279"/>
      <c r="D24" s="165"/>
      <c r="E24" s="11"/>
      <c r="F24" s="288">
        <v>492.87799999999999</v>
      </c>
      <c r="G24" s="288">
        <v>0</v>
      </c>
      <c r="H24" s="165">
        <f t="shared" si="6"/>
        <v>-100</v>
      </c>
      <c r="I24" s="238">
        <f>IFERROR(100/'Skjema total MA'!F24*G24,0)</f>
        <v>0</v>
      </c>
      <c r="J24" s="288">
        <f t="shared" si="9"/>
        <v>492.87799999999999</v>
      </c>
      <c r="K24" s="288">
        <f t="shared" si="10"/>
        <v>0</v>
      </c>
      <c r="L24" s="165">
        <f t="shared" si="8"/>
        <v>-100</v>
      </c>
      <c r="M24" s="22">
        <f>IFERROR(100/'Skjema total MA'!I24*K24,0)</f>
        <v>0</v>
      </c>
    </row>
    <row r="25" spans="1:14" ht="15.75" x14ac:dyDescent="0.2">
      <c r="A25" s="580" t="s">
        <v>369</v>
      </c>
      <c r="B25" s="279"/>
      <c r="C25" s="279"/>
      <c r="D25" s="165"/>
      <c r="E25" s="11"/>
      <c r="F25" s="288">
        <v>8141.6620000000003</v>
      </c>
      <c r="G25" s="288">
        <v>681.30799999999999</v>
      </c>
      <c r="H25" s="165">
        <f t="shared" si="6"/>
        <v>-91.6</v>
      </c>
      <c r="I25" s="238">
        <f>IFERROR(100/'Skjema total MA'!F25*G25,0)</f>
        <v>8.4660134965632814</v>
      </c>
      <c r="J25" s="288">
        <f t="shared" si="9"/>
        <v>8141.6620000000003</v>
      </c>
      <c r="K25" s="288">
        <f t="shared" si="10"/>
        <v>681.30799999999999</v>
      </c>
      <c r="L25" s="165">
        <f t="shared" si="8"/>
        <v>-91.6</v>
      </c>
      <c r="M25" s="22">
        <f>IFERROR(100/'Skjema total MA'!I25*K25,0)</f>
        <v>2.6047706539422273</v>
      </c>
    </row>
    <row r="26" spans="1:14" ht="15.75" x14ac:dyDescent="0.2">
      <c r="A26" s="580" t="s">
        <v>370</v>
      </c>
      <c r="B26" s="279"/>
      <c r="C26" s="279"/>
      <c r="D26" s="165"/>
      <c r="E26" s="11"/>
      <c r="F26" s="288">
        <v>19333.648000000001</v>
      </c>
      <c r="G26" s="288">
        <v>30113.664000000001</v>
      </c>
      <c r="H26" s="165">
        <f t="shared" si="6"/>
        <v>55.8</v>
      </c>
      <c r="I26" s="238">
        <f>IFERROR(100/'Skjema total MA'!F26*G26,0)</f>
        <v>4.6404345520362842</v>
      </c>
      <c r="J26" s="288">
        <f t="shared" si="9"/>
        <v>19333.648000000001</v>
      </c>
      <c r="K26" s="288">
        <f t="shared" si="10"/>
        <v>30113.664000000001</v>
      </c>
      <c r="L26" s="165">
        <f t="shared" si="8"/>
        <v>55.8</v>
      </c>
      <c r="M26" s="22">
        <f>IFERROR(100/'Skjema total MA'!I26*K26,0)</f>
        <v>4.6404345520362842</v>
      </c>
    </row>
    <row r="27" spans="1:14" x14ac:dyDescent="0.2">
      <c r="A27" s="580" t="s">
        <v>11</v>
      </c>
      <c r="B27" s="279"/>
      <c r="C27" s="279"/>
      <c r="D27" s="165"/>
      <c r="E27" s="11"/>
      <c r="F27" s="288"/>
      <c r="G27" s="288"/>
      <c r="H27" s="165"/>
      <c r="I27" s="238"/>
      <c r="J27" s="288"/>
      <c r="K27" s="288"/>
      <c r="L27" s="165"/>
      <c r="M27" s="22"/>
    </row>
    <row r="28" spans="1:14" ht="15.75" x14ac:dyDescent="0.2">
      <c r="A28" s="48" t="s">
        <v>275</v>
      </c>
      <c r="B28" s="43">
        <v>7119.3860000000004</v>
      </c>
      <c r="C28" s="285">
        <v>6999.89</v>
      </c>
      <c r="D28" s="165">
        <f t="shared" si="5"/>
        <v>-1.7</v>
      </c>
      <c r="E28" s="11">
        <f>IFERROR(100/'Skjema total MA'!C28*C28,0)</f>
        <v>0.57349169353401996</v>
      </c>
      <c r="F28" s="232"/>
      <c r="G28" s="285"/>
      <c r="H28" s="165"/>
      <c r="I28" s="174"/>
      <c r="J28" s="43">
        <f t="shared" si="7"/>
        <v>7119.3860000000004</v>
      </c>
      <c r="K28" s="43">
        <f t="shared" si="7"/>
        <v>6999.89</v>
      </c>
      <c r="L28" s="252">
        <f t="shared" si="8"/>
        <v>-1.7</v>
      </c>
      <c r="M28" s="22">
        <f>IFERROR(100/'Skjema total MA'!I28*K28,0)</f>
        <v>0.57349169353401996</v>
      </c>
    </row>
    <row r="29" spans="1:14" s="3" customFormat="1" ht="15.75" x14ac:dyDescent="0.2">
      <c r="A29" s="13" t="s">
        <v>364</v>
      </c>
      <c r="B29" s="234">
        <v>115749.284</v>
      </c>
      <c r="C29" s="234">
        <v>138944.80100000001</v>
      </c>
      <c r="D29" s="170">
        <f t="shared" si="5"/>
        <v>20</v>
      </c>
      <c r="E29" s="11">
        <f>IFERROR(100/'Skjema total MA'!C29*C29,0)</f>
        <v>0.30504625977275102</v>
      </c>
      <c r="F29" s="306">
        <v>2028476.764</v>
      </c>
      <c r="G29" s="306">
        <v>2296527.827</v>
      </c>
      <c r="H29" s="170">
        <f t="shared" si="6"/>
        <v>13.2</v>
      </c>
      <c r="I29" s="159">
        <f>IFERROR(100/'Skjema total MA'!F29*G29,0)</f>
        <v>8.9408361688672215</v>
      </c>
      <c r="J29" s="234">
        <f t="shared" si="7"/>
        <v>2144226.048</v>
      </c>
      <c r="K29" s="234">
        <f t="shared" si="7"/>
        <v>2435472.628</v>
      </c>
      <c r="L29" s="425">
        <f t="shared" si="8"/>
        <v>13.6</v>
      </c>
      <c r="M29" s="23">
        <f>IFERROR(100/'Skjema total MA'!I29*K29,0)</f>
        <v>3.418946538228032</v>
      </c>
      <c r="N29" s="147"/>
    </row>
    <row r="30" spans="1:14" s="3" customFormat="1" ht="15.75" x14ac:dyDescent="0.2">
      <c r="A30" s="580" t="s">
        <v>367</v>
      </c>
      <c r="B30" s="279"/>
      <c r="C30" s="279"/>
      <c r="D30" s="165"/>
      <c r="E30" s="11"/>
      <c r="F30" s="288">
        <v>582488.31900000002</v>
      </c>
      <c r="G30" s="288">
        <v>644496.66700000002</v>
      </c>
      <c r="H30" s="165">
        <f t="shared" si="6"/>
        <v>10.6</v>
      </c>
      <c r="I30" s="238">
        <f>IFERROR(100/'Skjema total MA'!F30*G30,0)</f>
        <v>15.462100384085582</v>
      </c>
      <c r="J30" s="288">
        <f t="shared" ref="J30:J33" si="11">SUM(B30,F30)</f>
        <v>582488.31900000002</v>
      </c>
      <c r="K30" s="288">
        <f t="shared" ref="K30:K33" si="12">SUM(C30,G30)</f>
        <v>644496.66700000002</v>
      </c>
      <c r="L30" s="165">
        <f t="shared" si="8"/>
        <v>10.6</v>
      </c>
      <c r="M30" s="22">
        <f>IFERROR(100/'Skjema total MA'!I30*K30,0)</f>
        <v>3.6415120660913072</v>
      </c>
      <c r="N30" s="147"/>
    </row>
    <row r="31" spans="1:14" s="3" customFormat="1" ht="15.75" x14ac:dyDescent="0.2">
      <c r="A31" s="580" t="s">
        <v>368</v>
      </c>
      <c r="B31" s="279"/>
      <c r="C31" s="279"/>
      <c r="D31" s="165"/>
      <c r="E31" s="11"/>
      <c r="F31" s="288">
        <v>1140975.385</v>
      </c>
      <c r="G31" s="288">
        <v>1207354.7879999999</v>
      </c>
      <c r="H31" s="165">
        <f t="shared" si="6"/>
        <v>5.8</v>
      </c>
      <c r="I31" s="238">
        <f>IFERROR(100/'Skjema total MA'!F31*G31,0)</f>
        <v>12.470560594735622</v>
      </c>
      <c r="J31" s="288">
        <f t="shared" si="11"/>
        <v>1140975.385</v>
      </c>
      <c r="K31" s="288">
        <f t="shared" si="12"/>
        <v>1207354.7879999999</v>
      </c>
      <c r="L31" s="165">
        <f t="shared" si="8"/>
        <v>5.8</v>
      </c>
      <c r="M31" s="22">
        <f>IFERROR(100/'Skjema total MA'!I31*K31,0)</f>
        <v>3.7048033490442522</v>
      </c>
      <c r="N31" s="147"/>
    </row>
    <row r="32" spans="1:14" ht="15.75" x14ac:dyDescent="0.2">
      <c r="A32" s="580" t="s">
        <v>369</v>
      </c>
      <c r="B32" s="279"/>
      <c r="C32" s="279"/>
      <c r="D32" s="165"/>
      <c r="E32" s="11"/>
      <c r="F32" s="288">
        <v>80340.741999999998</v>
      </c>
      <c r="G32" s="288">
        <v>96554.168000000005</v>
      </c>
      <c r="H32" s="165">
        <f t="shared" si="6"/>
        <v>20.2</v>
      </c>
      <c r="I32" s="238">
        <f>IFERROR(100/'Skjema total MA'!F32*G32,0)</f>
        <v>1.700840288152103</v>
      </c>
      <c r="J32" s="288">
        <f t="shared" si="11"/>
        <v>80340.741999999998</v>
      </c>
      <c r="K32" s="288">
        <f t="shared" si="12"/>
        <v>96554.168000000005</v>
      </c>
      <c r="L32" s="165">
        <f t="shared" si="8"/>
        <v>20.2</v>
      </c>
      <c r="M32" s="22">
        <f>IFERROR(100/'Skjema total MA'!I32*K32,0)</f>
        <v>1.1199282887798654</v>
      </c>
    </row>
    <row r="33" spans="1:14" ht="15.75" x14ac:dyDescent="0.2">
      <c r="A33" s="580" t="s">
        <v>370</v>
      </c>
      <c r="B33" s="279"/>
      <c r="C33" s="279"/>
      <c r="D33" s="165"/>
      <c r="E33" s="11"/>
      <c r="F33" s="288">
        <v>224672.318</v>
      </c>
      <c r="G33" s="288">
        <v>348122.20400000003</v>
      </c>
      <c r="H33" s="165">
        <f t="shared" si="6"/>
        <v>54.9</v>
      </c>
      <c r="I33" s="238">
        <f>IFERROR(100/'Skjema total MA'!F34*G33,0)</f>
        <v>1612.4713394784187</v>
      </c>
      <c r="J33" s="288">
        <f t="shared" si="11"/>
        <v>224672.318</v>
      </c>
      <c r="K33" s="288">
        <f t="shared" si="12"/>
        <v>348122.20400000003</v>
      </c>
      <c r="L33" s="165">
        <f t="shared" si="8"/>
        <v>54.9</v>
      </c>
      <c r="M33" s="22">
        <f>IFERROR(100/'Skjema total MA'!I34*K33,0)</f>
        <v>1277.4773455971674</v>
      </c>
    </row>
    <row r="34" spans="1:14" ht="15.75" x14ac:dyDescent="0.2">
      <c r="A34" s="13" t="s">
        <v>365</v>
      </c>
      <c r="B34" s="234"/>
      <c r="C34" s="307"/>
      <c r="D34" s="170"/>
      <c r="E34" s="11"/>
      <c r="F34" s="306">
        <v>7116.1220000000003</v>
      </c>
      <c r="G34" s="307">
        <v>7123.93</v>
      </c>
      <c r="H34" s="170">
        <f t="shared" si="6"/>
        <v>0.1</v>
      </c>
      <c r="I34" s="159">
        <f>IFERROR(100/'Skjema total MA'!F34*G34,0)</f>
        <v>32.997415325597821</v>
      </c>
      <c r="J34" s="234">
        <f t="shared" si="7"/>
        <v>7116.1220000000003</v>
      </c>
      <c r="K34" s="234">
        <f t="shared" si="7"/>
        <v>7123.93</v>
      </c>
      <c r="L34" s="425">
        <f t="shared" si="8"/>
        <v>0.1</v>
      </c>
      <c r="M34" s="23">
        <f>IFERROR(100/'Skjema total MA'!I34*K34,0)</f>
        <v>26.142139404069813</v>
      </c>
    </row>
    <row r="35" spans="1:14" ht="15.75" x14ac:dyDescent="0.2">
      <c r="A35" s="13" t="s">
        <v>366</v>
      </c>
      <c r="B35" s="234"/>
      <c r="C35" s="307"/>
      <c r="D35" s="170"/>
      <c r="E35" s="11"/>
      <c r="F35" s="306">
        <v>8749.9650000000001</v>
      </c>
      <c r="G35" s="307">
        <v>13238.11</v>
      </c>
      <c r="H35" s="170">
        <f t="shared" si="6"/>
        <v>51.3</v>
      </c>
      <c r="I35" s="159">
        <f>IFERROR(100/'Skjema total MA'!F35*G35,0)</f>
        <v>12.019425453867406</v>
      </c>
      <c r="J35" s="234">
        <f t="shared" si="7"/>
        <v>8749.9650000000001</v>
      </c>
      <c r="K35" s="234">
        <f t="shared" si="7"/>
        <v>13238.11</v>
      </c>
      <c r="L35" s="425">
        <f t="shared" si="8"/>
        <v>51.3</v>
      </c>
      <c r="M35" s="23">
        <f>IFERROR(100/'Skjema total MA'!I35*K35,0)</f>
        <v>29.871529054702513</v>
      </c>
    </row>
    <row r="36" spans="1:14" ht="15.75" x14ac:dyDescent="0.2">
      <c r="A36" s="12" t="s">
        <v>283</v>
      </c>
      <c r="B36" s="234"/>
      <c r="C36" s="307"/>
      <c r="D36" s="170"/>
      <c r="E36" s="11"/>
      <c r="F36" s="317"/>
      <c r="G36" s="318"/>
      <c r="H36" s="170"/>
      <c r="I36" s="427"/>
      <c r="J36" s="234"/>
      <c r="K36" s="234"/>
      <c r="L36" s="425"/>
      <c r="M36" s="23"/>
    </row>
    <row r="37" spans="1:14" ht="15.75" x14ac:dyDescent="0.2">
      <c r="A37" s="12" t="s">
        <v>372</v>
      </c>
      <c r="B37" s="234"/>
      <c r="C37" s="307"/>
      <c r="D37" s="170"/>
      <c r="E37" s="11"/>
      <c r="F37" s="317"/>
      <c r="G37" s="319"/>
      <c r="H37" s="170"/>
      <c r="I37" s="427"/>
      <c r="J37" s="234"/>
      <c r="K37" s="234"/>
      <c r="L37" s="425"/>
      <c r="M37" s="23"/>
    </row>
    <row r="38" spans="1:14" ht="15.75" x14ac:dyDescent="0.2">
      <c r="A38" s="12" t="s">
        <v>373</v>
      </c>
      <c r="B38" s="234"/>
      <c r="C38" s="307"/>
      <c r="D38" s="170"/>
      <c r="E38" s="23"/>
      <c r="F38" s="317"/>
      <c r="G38" s="318"/>
      <c r="H38" s="170"/>
      <c r="I38" s="427"/>
      <c r="J38" s="234"/>
      <c r="K38" s="234"/>
      <c r="L38" s="425"/>
      <c r="M38" s="23"/>
    </row>
    <row r="39" spans="1:14" ht="15.75" x14ac:dyDescent="0.2">
      <c r="A39" s="18" t="s">
        <v>374</v>
      </c>
      <c r="B39" s="274"/>
      <c r="C39" s="313"/>
      <c r="D39" s="168"/>
      <c r="E39" s="35"/>
      <c r="F39" s="320"/>
      <c r="G39" s="321"/>
      <c r="H39" s="168"/>
      <c r="I39" s="168"/>
      <c r="J39" s="234"/>
      <c r="K39" s="234"/>
      <c r="L39" s="426"/>
      <c r="M39" s="35"/>
    </row>
    <row r="40" spans="1:14" ht="15.75" x14ac:dyDescent="0.25">
      <c r="A40" s="46"/>
      <c r="B40" s="251"/>
      <c r="C40" s="251"/>
      <c r="D40" s="781"/>
      <c r="E40" s="781"/>
      <c r="F40" s="781"/>
      <c r="G40" s="781"/>
      <c r="H40" s="781"/>
      <c r="I40" s="781"/>
      <c r="J40" s="781"/>
      <c r="K40" s="781"/>
      <c r="L40" s="781"/>
      <c r="M40" s="404"/>
    </row>
    <row r="41" spans="1:14" x14ac:dyDescent="0.2">
      <c r="A41" s="154"/>
    </row>
    <row r="42" spans="1:14" ht="15.75" x14ac:dyDescent="0.25">
      <c r="A42" s="146" t="s">
        <v>272</v>
      </c>
      <c r="B42" s="782"/>
      <c r="C42" s="782"/>
      <c r="D42" s="782"/>
      <c r="E42" s="403"/>
      <c r="F42" s="783"/>
      <c r="G42" s="783"/>
      <c r="H42" s="783"/>
      <c r="I42" s="404"/>
      <c r="J42" s="783"/>
      <c r="K42" s="783"/>
      <c r="L42" s="783"/>
      <c r="M42" s="404"/>
    </row>
    <row r="43" spans="1:14" ht="15.75" x14ac:dyDescent="0.25">
      <c r="A43" s="162"/>
      <c r="B43" s="400"/>
      <c r="C43" s="400"/>
      <c r="D43" s="400"/>
      <c r="E43" s="400"/>
      <c r="F43" s="404"/>
      <c r="G43" s="404"/>
      <c r="H43" s="404"/>
      <c r="I43" s="404"/>
      <c r="J43" s="404"/>
      <c r="K43" s="404"/>
      <c r="L43" s="404"/>
      <c r="M43" s="404"/>
    </row>
    <row r="44" spans="1:14" ht="15.75" x14ac:dyDescent="0.25">
      <c r="A44" s="245"/>
      <c r="B44" s="778" t="s">
        <v>0</v>
      </c>
      <c r="C44" s="779"/>
      <c r="D44" s="779"/>
      <c r="E44" s="241"/>
      <c r="F44" s="404"/>
      <c r="G44" s="404"/>
      <c r="H44" s="404"/>
      <c r="I44" s="404"/>
      <c r="J44" s="404"/>
      <c r="K44" s="404"/>
      <c r="L44" s="404"/>
      <c r="M44" s="404"/>
    </row>
    <row r="45" spans="1:14" s="3" customFormat="1" x14ac:dyDescent="0.2">
      <c r="A45" s="139"/>
      <c r="B45" s="731" t="s">
        <v>439</v>
      </c>
      <c r="C45" s="731" t="s">
        <v>440</v>
      </c>
      <c r="D45" s="161" t="s">
        <v>3</v>
      </c>
      <c r="E45" s="161" t="s">
        <v>29</v>
      </c>
      <c r="F45" s="173"/>
      <c r="G45" s="173"/>
      <c r="H45" s="172"/>
      <c r="I45" s="172"/>
      <c r="J45" s="173"/>
      <c r="K45" s="173"/>
      <c r="L45" s="172"/>
      <c r="M45" s="172"/>
      <c r="N45" s="147"/>
    </row>
    <row r="46" spans="1:14" s="3" customFormat="1" x14ac:dyDescent="0.2">
      <c r="A46" s="754"/>
      <c r="B46" s="242"/>
      <c r="C46" s="242"/>
      <c r="D46" s="243" t="s">
        <v>4</v>
      </c>
      <c r="E46" s="155" t="s">
        <v>30</v>
      </c>
      <c r="F46" s="172"/>
      <c r="G46" s="172"/>
      <c r="H46" s="172"/>
      <c r="I46" s="172"/>
      <c r="J46" s="172"/>
      <c r="K46" s="172"/>
      <c r="L46" s="172"/>
      <c r="M46" s="172"/>
      <c r="N46" s="147"/>
    </row>
    <row r="47" spans="1:14" s="3" customFormat="1" ht="15.75" x14ac:dyDescent="0.2">
      <c r="A47" s="14" t="s">
        <v>23</v>
      </c>
      <c r="B47" s="308">
        <v>4321.6779999999999</v>
      </c>
      <c r="C47" s="309">
        <v>4240.9489999999996</v>
      </c>
      <c r="D47" s="424">
        <f t="shared" ref="D47:D48" si="13">IF(B47=0, "    ---- ", IF(ABS(ROUND(100/B47*C47-100,1))&lt;999,ROUND(100/B47*C47-100,1),IF(ROUND(100/B47*C47-100,1)&gt;999,999,-999)))</f>
        <v>-1.9</v>
      </c>
      <c r="E47" s="11">
        <f>IFERROR(100/'Skjema total MA'!C47*C47,0)</f>
        <v>0.10694997273946694</v>
      </c>
      <c r="F47" s="144"/>
      <c r="G47" s="32"/>
      <c r="H47" s="158"/>
      <c r="I47" s="158"/>
      <c r="J47" s="36"/>
      <c r="K47" s="36"/>
      <c r="L47" s="158"/>
      <c r="M47" s="158"/>
      <c r="N47" s="147"/>
    </row>
    <row r="48" spans="1:14" s="3" customFormat="1" ht="15.75" x14ac:dyDescent="0.2">
      <c r="A48" s="37" t="s">
        <v>375</v>
      </c>
      <c r="B48" s="279">
        <v>4321.6779999999999</v>
      </c>
      <c r="C48" s="280">
        <v>4240.9489999999996</v>
      </c>
      <c r="D48" s="252">
        <f t="shared" si="13"/>
        <v>-1.9</v>
      </c>
      <c r="E48" s="26">
        <f>IFERROR(100/'Skjema total MA'!C48*C48,0)</f>
        <v>0.18635310827521842</v>
      </c>
      <c r="F48" s="144"/>
      <c r="G48" s="32"/>
      <c r="H48" s="144"/>
      <c r="I48" s="144"/>
      <c r="J48" s="32"/>
      <c r="K48" s="32"/>
      <c r="L48" s="158"/>
      <c r="M48" s="158"/>
      <c r="N48" s="147"/>
    </row>
    <row r="49" spans="1:14" s="3" customFormat="1" ht="15.75" x14ac:dyDescent="0.2">
      <c r="A49" s="37" t="s">
        <v>376</v>
      </c>
      <c r="B49" s="43"/>
      <c r="C49" s="285"/>
      <c r="D49" s="252"/>
      <c r="E49" s="26"/>
      <c r="F49" s="144"/>
      <c r="G49" s="32"/>
      <c r="H49" s="144"/>
      <c r="I49" s="144"/>
      <c r="J49" s="36"/>
      <c r="K49" s="36"/>
      <c r="L49" s="158"/>
      <c r="M49" s="158"/>
      <c r="N49" s="147"/>
    </row>
    <row r="50" spans="1:14" s="3" customFormat="1" x14ac:dyDescent="0.2">
      <c r="A50" s="294" t="s">
        <v>6</v>
      </c>
      <c r="B50" s="288"/>
      <c r="C50" s="289"/>
      <c r="D50" s="252"/>
      <c r="E50" s="22"/>
      <c r="F50" s="144"/>
      <c r="G50" s="32"/>
      <c r="H50" s="144"/>
      <c r="I50" s="144"/>
      <c r="J50" s="32"/>
      <c r="K50" s="32"/>
      <c r="L50" s="158"/>
      <c r="M50" s="158"/>
      <c r="N50" s="147"/>
    </row>
    <row r="51" spans="1:14" s="3" customFormat="1" x14ac:dyDescent="0.2">
      <c r="A51" s="294" t="s">
        <v>7</v>
      </c>
      <c r="B51" s="288"/>
      <c r="C51" s="289"/>
      <c r="D51" s="252"/>
      <c r="E51" s="22"/>
      <c r="F51" s="144"/>
      <c r="G51" s="32"/>
      <c r="H51" s="144"/>
      <c r="I51" s="144"/>
      <c r="J51" s="32"/>
      <c r="K51" s="32"/>
      <c r="L51" s="158"/>
      <c r="M51" s="158"/>
      <c r="N51" s="147"/>
    </row>
    <row r="52" spans="1:14" s="3" customFormat="1" x14ac:dyDescent="0.2">
      <c r="A52" s="294" t="s">
        <v>8</v>
      </c>
      <c r="B52" s="288"/>
      <c r="C52" s="289"/>
      <c r="D52" s="252"/>
      <c r="E52" s="22"/>
      <c r="F52" s="144"/>
      <c r="G52" s="32"/>
      <c r="H52" s="144"/>
      <c r="I52" s="144"/>
      <c r="J52" s="32"/>
      <c r="K52" s="32"/>
      <c r="L52" s="158"/>
      <c r="M52" s="158"/>
      <c r="N52" s="147"/>
    </row>
    <row r="53" spans="1:14" s="3" customFormat="1" ht="15.75" x14ac:dyDescent="0.2">
      <c r="A53" s="38" t="s">
        <v>377</v>
      </c>
      <c r="B53" s="308"/>
      <c r="C53" s="309"/>
      <c r="D53" s="425"/>
      <c r="E53" s="11"/>
      <c r="F53" s="144"/>
      <c r="G53" s="32"/>
      <c r="H53" s="144"/>
      <c r="I53" s="144"/>
      <c r="J53" s="32"/>
      <c r="K53" s="32"/>
      <c r="L53" s="158"/>
      <c r="M53" s="158"/>
      <c r="N53" s="147"/>
    </row>
    <row r="54" spans="1:14" s="3" customFormat="1" ht="15.75" x14ac:dyDescent="0.2">
      <c r="A54" s="37" t="s">
        <v>375</v>
      </c>
      <c r="B54" s="279"/>
      <c r="C54" s="280"/>
      <c r="D54" s="252"/>
      <c r="E54" s="26"/>
      <c r="F54" s="144"/>
      <c r="G54" s="32"/>
      <c r="H54" s="144"/>
      <c r="I54" s="144"/>
      <c r="J54" s="32"/>
      <c r="K54" s="32"/>
      <c r="L54" s="158"/>
      <c r="M54" s="158"/>
      <c r="N54" s="147"/>
    </row>
    <row r="55" spans="1:14" s="3" customFormat="1" ht="15.75" x14ac:dyDescent="0.2">
      <c r="A55" s="37" t="s">
        <v>376</v>
      </c>
      <c r="B55" s="279"/>
      <c r="C55" s="280"/>
      <c r="D55" s="252"/>
      <c r="E55" s="26"/>
      <c r="F55" s="144"/>
      <c r="G55" s="32"/>
      <c r="H55" s="144"/>
      <c r="I55" s="144"/>
      <c r="J55" s="32"/>
      <c r="K55" s="32"/>
      <c r="L55" s="158"/>
      <c r="M55" s="158"/>
      <c r="N55" s="147"/>
    </row>
    <row r="56" spans="1:14" s="3" customFormat="1" ht="15.75" x14ac:dyDescent="0.2">
      <c r="A56" s="38" t="s">
        <v>378</v>
      </c>
      <c r="B56" s="308"/>
      <c r="C56" s="309"/>
      <c r="D56" s="425"/>
      <c r="E56" s="11"/>
      <c r="F56" s="144"/>
      <c r="G56" s="32"/>
      <c r="H56" s="144"/>
      <c r="I56" s="144"/>
      <c r="J56" s="32"/>
      <c r="K56" s="32"/>
      <c r="L56" s="158"/>
      <c r="M56" s="158"/>
      <c r="N56" s="147"/>
    </row>
    <row r="57" spans="1:14" s="3" customFormat="1" ht="15.75" x14ac:dyDescent="0.2">
      <c r="A57" s="37" t="s">
        <v>375</v>
      </c>
      <c r="B57" s="279"/>
      <c r="C57" s="280"/>
      <c r="D57" s="252"/>
      <c r="E57" s="26"/>
      <c r="F57" s="144"/>
      <c r="G57" s="32"/>
      <c r="H57" s="144"/>
      <c r="I57" s="144"/>
      <c r="J57" s="32"/>
      <c r="K57" s="32"/>
      <c r="L57" s="158"/>
      <c r="M57" s="158"/>
      <c r="N57" s="147"/>
    </row>
    <row r="58" spans="1:14" s="3" customFormat="1" ht="15.75" x14ac:dyDescent="0.2">
      <c r="A58" s="45" t="s">
        <v>376</v>
      </c>
      <c r="B58" s="281"/>
      <c r="C58" s="282"/>
      <c r="D58" s="253"/>
      <c r="E58" s="21"/>
      <c r="F58" s="144"/>
      <c r="G58" s="32"/>
      <c r="H58" s="144"/>
      <c r="I58" s="144"/>
      <c r="J58" s="32"/>
      <c r="K58" s="32"/>
      <c r="L58" s="158"/>
      <c r="M58" s="158"/>
      <c r="N58" s="147"/>
    </row>
    <row r="59" spans="1:14" s="3" customFormat="1" ht="15.75" x14ac:dyDescent="0.25">
      <c r="A59" s="163"/>
      <c r="B59" s="153"/>
      <c r="C59" s="153"/>
      <c r="D59" s="153"/>
      <c r="E59" s="153"/>
      <c r="F59" s="141"/>
      <c r="G59" s="141"/>
      <c r="H59" s="141"/>
      <c r="I59" s="141"/>
      <c r="J59" s="141"/>
      <c r="K59" s="141"/>
      <c r="L59" s="141"/>
      <c r="M59" s="141"/>
      <c r="N59" s="147"/>
    </row>
    <row r="60" spans="1:14" x14ac:dyDescent="0.2">
      <c r="A60" s="154"/>
    </row>
    <row r="61" spans="1:14" ht="15.75" x14ac:dyDescent="0.25">
      <c r="A61" s="146" t="s">
        <v>273</v>
      </c>
      <c r="C61" s="25"/>
      <c r="D61" s="25"/>
      <c r="E61" s="25"/>
      <c r="F61" s="25"/>
      <c r="G61" s="25"/>
      <c r="H61" s="25"/>
      <c r="I61" s="25"/>
      <c r="J61" s="25"/>
      <c r="K61" s="25"/>
      <c r="L61" s="25"/>
      <c r="M61" s="25"/>
    </row>
    <row r="62" spans="1:14" ht="15.75" x14ac:dyDescent="0.25">
      <c r="B62" s="777"/>
      <c r="C62" s="777"/>
      <c r="D62" s="777"/>
      <c r="E62" s="403"/>
      <c r="F62" s="777"/>
      <c r="G62" s="777"/>
      <c r="H62" s="777"/>
      <c r="I62" s="403"/>
      <c r="J62" s="777"/>
      <c r="K62" s="777"/>
      <c r="L62" s="777"/>
      <c r="M62" s="403"/>
    </row>
    <row r="63" spans="1:14" x14ac:dyDescent="0.2">
      <c r="A63" s="143"/>
      <c r="B63" s="778" t="s">
        <v>0</v>
      </c>
      <c r="C63" s="779"/>
      <c r="D63" s="780"/>
      <c r="E63" s="401"/>
      <c r="F63" s="779" t="s">
        <v>1</v>
      </c>
      <c r="G63" s="779"/>
      <c r="H63" s="779"/>
      <c r="I63" s="405"/>
      <c r="J63" s="778" t="s">
        <v>2</v>
      </c>
      <c r="K63" s="779"/>
      <c r="L63" s="779"/>
      <c r="M63" s="405"/>
    </row>
    <row r="64" spans="1:14" x14ac:dyDescent="0.2">
      <c r="A64" s="139"/>
      <c r="B64" s="731" t="s">
        <v>439</v>
      </c>
      <c r="C64" s="731" t="s">
        <v>440</v>
      </c>
      <c r="D64" s="243" t="s">
        <v>3</v>
      </c>
      <c r="E64" s="303" t="s">
        <v>29</v>
      </c>
      <c r="F64" s="731" t="s">
        <v>439</v>
      </c>
      <c r="G64" s="731" t="s">
        <v>440</v>
      </c>
      <c r="H64" s="243" t="s">
        <v>3</v>
      </c>
      <c r="I64" s="303" t="s">
        <v>29</v>
      </c>
      <c r="J64" s="731" t="s">
        <v>439</v>
      </c>
      <c r="K64" s="731" t="s">
        <v>440</v>
      </c>
      <c r="L64" s="243" t="s">
        <v>3</v>
      </c>
      <c r="M64" s="161" t="s">
        <v>29</v>
      </c>
    </row>
    <row r="65" spans="1:14" x14ac:dyDescent="0.2">
      <c r="A65" s="754"/>
      <c r="B65" s="155"/>
      <c r="C65" s="155"/>
      <c r="D65" s="244" t="s">
        <v>4</v>
      </c>
      <c r="E65" s="155" t="s">
        <v>30</v>
      </c>
      <c r="F65" s="160"/>
      <c r="G65" s="160"/>
      <c r="H65" s="243" t="s">
        <v>4</v>
      </c>
      <c r="I65" s="155" t="s">
        <v>30</v>
      </c>
      <c r="J65" s="160"/>
      <c r="K65" s="204"/>
      <c r="L65" s="155" t="s">
        <v>4</v>
      </c>
      <c r="M65" s="155" t="s">
        <v>30</v>
      </c>
    </row>
    <row r="66" spans="1:14" ht="15.75" x14ac:dyDescent="0.2">
      <c r="A66" s="14" t="s">
        <v>23</v>
      </c>
      <c r="B66" s="351">
        <v>65333.080999999998</v>
      </c>
      <c r="C66" s="351">
        <v>68411.857000000004</v>
      </c>
      <c r="D66" s="348">
        <f t="shared" ref="D66:D121" si="14">IF(B66=0, "    ---- ", IF(ABS(ROUND(100/B66*C66-100,1))&lt;999,ROUND(100/B66*C66-100,1),IF(ROUND(100/B66*C66-100,1)&gt;999,999,-999)))</f>
        <v>4.7</v>
      </c>
      <c r="E66" s="11">
        <f>IFERROR(100/'Skjema total MA'!C66*C66,0)</f>
        <v>1.4620155791763532</v>
      </c>
      <c r="F66" s="350">
        <v>883846.02500000002</v>
      </c>
      <c r="G66" s="350">
        <v>980368.67</v>
      </c>
      <c r="H66" s="348">
        <f t="shared" ref="H66:H126" si="15">IF(F66=0, "    ---- ", IF(ABS(ROUND(100/F66*G66-100,1))&lt;999,ROUND(100/F66*G66-100,1),IF(ROUND(100/F66*G66-100,1)&gt;999,999,-999)))</f>
        <v>10.9</v>
      </c>
      <c r="I66" s="11">
        <f>IFERROR(100/'Skjema total MA'!F66*G66,0)</f>
        <v>5.2661585995657383</v>
      </c>
      <c r="J66" s="307">
        <f t="shared" ref="J66:K79" si="16">SUM(B66,F66)</f>
        <v>949179.10600000003</v>
      </c>
      <c r="K66" s="314">
        <f t="shared" si="16"/>
        <v>1048780.527</v>
      </c>
      <c r="L66" s="425">
        <f t="shared" ref="L66:L126" si="17">IF(J66=0, "    ---- ", IF(ABS(ROUND(100/J66*K66-100,1))&lt;999,ROUND(100/J66*K66-100,1),IF(ROUND(100/J66*K66-100,1)&gt;999,999,-999)))</f>
        <v>10.5</v>
      </c>
      <c r="M66" s="11">
        <f>IFERROR(100/'Skjema total MA'!I66*K66,0)</f>
        <v>4.5020397318868985</v>
      </c>
    </row>
    <row r="67" spans="1:14" x14ac:dyDescent="0.2">
      <c r="A67" s="20" t="s">
        <v>9</v>
      </c>
      <c r="B67" s="43">
        <v>65333.080999999998</v>
      </c>
      <c r="C67" s="144">
        <v>68411.857000000004</v>
      </c>
      <c r="D67" s="165">
        <f t="shared" si="14"/>
        <v>4.7</v>
      </c>
      <c r="E67" s="26">
        <f>IFERROR(100/'Skjema total MA'!C67*C67,0)</f>
        <v>2.0021873375478085</v>
      </c>
      <c r="F67" s="232"/>
      <c r="G67" s="144"/>
      <c r="H67" s="165"/>
      <c r="I67" s="26"/>
      <c r="J67" s="285">
        <f t="shared" si="16"/>
        <v>65333.080999999998</v>
      </c>
      <c r="K67" s="43">
        <f t="shared" si="16"/>
        <v>68411.857000000004</v>
      </c>
      <c r="L67" s="252">
        <f t="shared" si="17"/>
        <v>4.7</v>
      </c>
      <c r="M67" s="26">
        <f>IFERROR(100/'Skjema total MA'!I67*K67,0)</f>
        <v>2.0021873375478085</v>
      </c>
    </row>
    <row r="68" spans="1:14" x14ac:dyDescent="0.2">
      <c r="A68" s="20" t="s">
        <v>10</v>
      </c>
      <c r="B68" s="290"/>
      <c r="C68" s="291"/>
      <c r="D68" s="165"/>
      <c r="E68" s="26"/>
      <c r="F68" s="290">
        <v>883846.02500000002</v>
      </c>
      <c r="G68" s="737">
        <v>980368.67</v>
      </c>
      <c r="H68" s="165">
        <f t="shared" si="15"/>
        <v>10.9</v>
      </c>
      <c r="I68" s="26">
        <f>IFERROR(100/'Skjema total MA'!F68*G68,0)</f>
        <v>5.4838681087372914</v>
      </c>
      <c r="J68" s="285">
        <f t="shared" si="16"/>
        <v>883846.02500000002</v>
      </c>
      <c r="K68" s="43">
        <f t="shared" si="16"/>
        <v>980368.67</v>
      </c>
      <c r="L68" s="252">
        <f t="shared" si="17"/>
        <v>10.9</v>
      </c>
      <c r="M68" s="26">
        <f>IFERROR(100/'Skjema total MA'!I68*K68,0)</f>
        <v>5.4763592403288825</v>
      </c>
    </row>
    <row r="69" spans="1:14" ht="15.75" x14ac:dyDescent="0.2">
      <c r="A69" s="294" t="s">
        <v>379</v>
      </c>
      <c r="B69" s="739"/>
      <c r="C69" s="739"/>
      <c r="D69" s="165"/>
      <c r="E69" s="727"/>
      <c r="F69" s="739"/>
      <c r="G69" s="739"/>
      <c r="H69" s="165"/>
      <c r="I69" s="727"/>
      <c r="J69" s="739"/>
      <c r="K69" s="739"/>
      <c r="L69" s="165"/>
      <c r="M69" s="22"/>
    </row>
    <row r="70" spans="1:14" x14ac:dyDescent="0.2">
      <c r="A70" s="294" t="s">
        <v>12</v>
      </c>
      <c r="B70" s="292"/>
      <c r="C70" s="293"/>
      <c r="D70" s="165"/>
      <c r="E70" s="727"/>
      <c r="F70" s="739"/>
      <c r="G70" s="739"/>
      <c r="H70" s="165"/>
      <c r="I70" s="727"/>
      <c r="J70" s="739"/>
      <c r="K70" s="739"/>
      <c r="L70" s="165"/>
      <c r="M70" s="22"/>
    </row>
    <row r="71" spans="1:14" x14ac:dyDescent="0.2">
      <c r="A71" s="294" t="s">
        <v>13</v>
      </c>
      <c r="B71" s="233"/>
      <c r="C71" s="287"/>
      <c r="D71" s="165"/>
      <c r="E71" s="727"/>
      <c r="F71" s="739"/>
      <c r="G71" s="739"/>
      <c r="H71" s="165"/>
      <c r="I71" s="727"/>
      <c r="J71" s="739"/>
      <c r="K71" s="739"/>
      <c r="L71" s="165"/>
      <c r="M71" s="22"/>
    </row>
    <row r="72" spans="1:14" ht="15.75" x14ac:dyDescent="0.2">
      <c r="A72" s="294" t="s">
        <v>380</v>
      </c>
      <c r="B72" s="739"/>
      <c r="C72" s="739"/>
      <c r="D72" s="165"/>
      <c r="E72" s="727"/>
      <c r="F72" s="739"/>
      <c r="G72" s="739"/>
      <c r="H72" s="165"/>
      <c r="I72" s="727"/>
      <c r="J72" s="739"/>
      <c r="K72" s="739"/>
      <c r="L72" s="165"/>
      <c r="M72" s="22"/>
    </row>
    <row r="73" spans="1:14" x14ac:dyDescent="0.2">
      <c r="A73" s="294" t="s">
        <v>12</v>
      </c>
      <c r="B73" s="233"/>
      <c r="C73" s="287"/>
      <c r="D73" s="165"/>
      <c r="E73" s="727"/>
      <c r="F73" s="739"/>
      <c r="G73" s="739"/>
      <c r="H73" s="165"/>
      <c r="I73" s="727"/>
      <c r="J73" s="739"/>
      <c r="K73" s="739"/>
      <c r="L73" s="165"/>
      <c r="M73" s="22"/>
    </row>
    <row r="74" spans="1:14" s="3" customFormat="1" x14ac:dyDescent="0.2">
      <c r="A74" s="294" t="s">
        <v>13</v>
      </c>
      <c r="B74" s="233"/>
      <c r="C74" s="287"/>
      <c r="D74" s="165"/>
      <c r="E74" s="727"/>
      <c r="F74" s="739"/>
      <c r="G74" s="739"/>
      <c r="H74" s="165"/>
      <c r="I74" s="727"/>
      <c r="J74" s="739"/>
      <c r="K74" s="739"/>
      <c r="L74" s="165"/>
      <c r="M74" s="22"/>
      <c r="N74" s="147"/>
    </row>
    <row r="75" spans="1:14" s="3" customFormat="1" x14ac:dyDescent="0.2">
      <c r="A75" s="20" t="s">
        <v>349</v>
      </c>
      <c r="B75" s="232"/>
      <c r="C75" s="144"/>
      <c r="D75" s="165"/>
      <c r="E75" s="26"/>
      <c r="F75" s="232"/>
      <c r="G75" s="144"/>
      <c r="H75" s="165"/>
      <c r="I75" s="26"/>
      <c r="J75" s="285"/>
      <c r="K75" s="43"/>
      <c r="L75" s="252"/>
      <c r="M75" s="26"/>
      <c r="N75" s="147"/>
    </row>
    <row r="76" spans="1:14" s="3" customFormat="1" x14ac:dyDescent="0.2">
      <c r="A76" s="20" t="s">
        <v>348</v>
      </c>
      <c r="B76" s="232"/>
      <c r="C76" s="144"/>
      <c r="D76" s="165"/>
      <c r="E76" s="26"/>
      <c r="F76" s="232"/>
      <c r="G76" s="144"/>
      <c r="H76" s="165"/>
      <c r="I76" s="26"/>
      <c r="J76" s="285"/>
      <c r="K76" s="43"/>
      <c r="L76" s="252"/>
      <c r="M76" s="26"/>
      <c r="N76" s="147"/>
    </row>
    <row r="77" spans="1:14" ht="15.75" x14ac:dyDescent="0.2">
      <c r="A77" s="20" t="s">
        <v>381</v>
      </c>
      <c r="B77" s="232">
        <v>65333.080999999998</v>
      </c>
      <c r="C77" s="232">
        <v>68411.857000000004</v>
      </c>
      <c r="D77" s="165">
        <f t="shared" si="14"/>
        <v>4.7</v>
      </c>
      <c r="E77" s="26">
        <f>IFERROR(100/'Skjema total MA'!C77*C77,0)</f>
        <v>2.0379377377559145</v>
      </c>
      <c r="F77" s="232">
        <v>883846.02500000002</v>
      </c>
      <c r="G77" s="144">
        <v>980368.67</v>
      </c>
      <c r="H77" s="165">
        <f t="shared" si="15"/>
        <v>10.9</v>
      </c>
      <c r="I77" s="26">
        <f>IFERROR(100/'Skjema total MA'!F77*G77,0)</f>
        <v>5.4858025658725591</v>
      </c>
      <c r="J77" s="285">
        <f t="shared" si="16"/>
        <v>949179.10600000003</v>
      </c>
      <c r="K77" s="43">
        <f t="shared" si="16"/>
        <v>1048780.527</v>
      </c>
      <c r="L77" s="252">
        <f t="shared" si="17"/>
        <v>10.5</v>
      </c>
      <c r="M77" s="26">
        <f>IFERROR(100/'Skjema total MA'!I77*K77,0)</f>
        <v>4.9405684700488894</v>
      </c>
    </row>
    <row r="78" spans="1:14" x14ac:dyDescent="0.2">
      <c r="A78" s="20" t="s">
        <v>9</v>
      </c>
      <c r="B78" s="232">
        <v>65333.080999999998</v>
      </c>
      <c r="C78" s="144">
        <v>68411.857000000004</v>
      </c>
      <c r="D78" s="165">
        <f t="shared" si="14"/>
        <v>4.7</v>
      </c>
      <c r="E78" s="26">
        <f>IFERROR(100/'Skjema total MA'!C78*C78,0)</f>
        <v>2.0521660442879206</v>
      </c>
      <c r="F78" s="232"/>
      <c r="G78" s="144"/>
      <c r="H78" s="165"/>
      <c r="I78" s="26"/>
      <c r="J78" s="285">
        <f t="shared" si="16"/>
        <v>65333.080999999998</v>
      </c>
      <c r="K78" s="43">
        <f t="shared" si="16"/>
        <v>68411.857000000004</v>
      </c>
      <c r="L78" s="252">
        <f t="shared" si="17"/>
        <v>4.7</v>
      </c>
      <c r="M78" s="26">
        <f>IFERROR(100/'Skjema total MA'!I78*K78,0)</f>
        <v>2.0521660442879206</v>
      </c>
    </row>
    <row r="79" spans="1:14" x14ac:dyDescent="0.2">
      <c r="A79" s="729" t="s">
        <v>423</v>
      </c>
      <c r="B79" s="290"/>
      <c r="C79" s="291"/>
      <c r="D79" s="165"/>
      <c r="E79" s="26"/>
      <c r="F79" s="290">
        <v>883846.02500000002</v>
      </c>
      <c r="G79" s="291">
        <v>980368.67</v>
      </c>
      <c r="H79" s="165">
        <f t="shared" si="15"/>
        <v>10.9</v>
      </c>
      <c r="I79" s="26">
        <f>IFERROR(100/'Skjema total MA'!F79*G79,0)</f>
        <v>5.4858025658725591</v>
      </c>
      <c r="J79" s="285">
        <f t="shared" si="16"/>
        <v>883846.02500000002</v>
      </c>
      <c r="K79" s="43">
        <f t="shared" si="16"/>
        <v>980368.67</v>
      </c>
      <c r="L79" s="252">
        <f t="shared" si="17"/>
        <v>10.9</v>
      </c>
      <c r="M79" s="26">
        <f>IFERROR(100/'Skjema total MA'!I79*K79,0)</f>
        <v>5.478667354138528</v>
      </c>
    </row>
    <row r="80" spans="1:14" ht="15.75" x14ac:dyDescent="0.2">
      <c r="A80" s="294" t="s">
        <v>379</v>
      </c>
      <c r="B80" s="739"/>
      <c r="C80" s="739"/>
      <c r="D80" s="165"/>
      <c r="E80" s="727"/>
      <c r="F80" s="734"/>
      <c r="G80" s="734"/>
      <c r="H80" s="165"/>
      <c r="I80" s="728"/>
      <c r="J80" s="734"/>
      <c r="K80" s="734"/>
      <c r="L80" s="165"/>
      <c r="M80" s="22"/>
    </row>
    <row r="81" spans="1:13" x14ac:dyDescent="0.2">
      <c r="A81" s="294" t="s">
        <v>12</v>
      </c>
      <c r="B81" s="233"/>
      <c r="C81" s="287"/>
      <c r="D81" s="165"/>
      <c r="E81" s="727"/>
      <c r="F81" s="734"/>
      <c r="G81" s="734"/>
      <c r="H81" s="165"/>
      <c r="I81" s="728"/>
      <c r="J81" s="734"/>
      <c r="K81" s="734"/>
      <c r="L81" s="165"/>
      <c r="M81" s="22"/>
    </row>
    <row r="82" spans="1:13" x14ac:dyDescent="0.2">
      <c r="A82" s="294" t="s">
        <v>13</v>
      </c>
      <c r="B82" s="233"/>
      <c r="C82" s="287"/>
      <c r="D82" s="165"/>
      <c r="E82" s="727"/>
      <c r="F82" s="734"/>
      <c r="G82" s="734"/>
      <c r="H82" s="165"/>
      <c r="I82" s="728"/>
      <c r="J82" s="734"/>
      <c r="K82" s="734"/>
      <c r="L82" s="165"/>
      <c r="M82" s="22"/>
    </row>
    <row r="83" spans="1:13" ht="15.75" x14ac:dyDescent="0.2">
      <c r="A83" s="294" t="s">
        <v>380</v>
      </c>
      <c r="B83" s="734"/>
      <c r="C83" s="734"/>
      <c r="D83" s="165"/>
      <c r="E83" s="727"/>
      <c r="F83" s="734"/>
      <c r="G83" s="734"/>
      <c r="H83" s="165"/>
      <c r="I83" s="728"/>
      <c r="J83" s="734"/>
      <c r="K83" s="734"/>
      <c r="L83" s="165"/>
      <c r="M83" s="22"/>
    </row>
    <row r="84" spans="1:13" x14ac:dyDescent="0.2">
      <c r="A84" s="294" t="s">
        <v>12</v>
      </c>
      <c r="B84" s="233"/>
      <c r="C84" s="287"/>
      <c r="D84" s="165"/>
      <c r="E84" s="727"/>
      <c r="F84" s="734"/>
      <c r="G84" s="734"/>
      <c r="H84" s="165"/>
      <c r="I84" s="728"/>
      <c r="J84" s="734"/>
      <c r="K84" s="734"/>
      <c r="L84" s="165"/>
      <c r="M84" s="22"/>
    </row>
    <row r="85" spans="1:13" x14ac:dyDescent="0.2">
      <c r="A85" s="294" t="s">
        <v>13</v>
      </c>
      <c r="B85" s="233"/>
      <c r="C85" s="287"/>
      <c r="D85" s="165"/>
      <c r="E85" s="727"/>
      <c r="F85" s="734"/>
      <c r="G85" s="734"/>
      <c r="H85" s="165"/>
      <c r="I85" s="728"/>
      <c r="J85" s="734"/>
      <c r="K85" s="734"/>
      <c r="L85" s="165"/>
      <c r="M85" s="22"/>
    </row>
    <row r="86" spans="1:13" ht="15.75" x14ac:dyDescent="0.2">
      <c r="A86" s="20" t="s">
        <v>382</v>
      </c>
      <c r="B86" s="232"/>
      <c r="C86" s="144"/>
      <c r="D86" s="165"/>
      <c r="E86" s="26"/>
      <c r="F86" s="232"/>
      <c r="G86" s="144"/>
      <c r="H86" s="165"/>
      <c r="I86" s="26"/>
      <c r="J86" s="285"/>
      <c r="K86" s="43"/>
      <c r="L86" s="252"/>
      <c r="M86" s="26"/>
    </row>
    <row r="87" spans="1:13" ht="15.75" x14ac:dyDescent="0.2">
      <c r="A87" s="13" t="s">
        <v>364</v>
      </c>
      <c r="B87" s="351">
        <v>828512.02300000004</v>
      </c>
      <c r="C87" s="351">
        <v>901135.152</v>
      </c>
      <c r="D87" s="170">
        <f t="shared" si="14"/>
        <v>8.8000000000000007</v>
      </c>
      <c r="E87" s="11">
        <f>IFERROR(100/'Skjema total MA'!C87*C87,0)</f>
        <v>0.22384063639778776</v>
      </c>
      <c r="F87" s="350">
        <v>16421366.368000001</v>
      </c>
      <c r="G87" s="350">
        <v>21363397.881000001</v>
      </c>
      <c r="H87" s="170">
        <f t="shared" si="15"/>
        <v>30.1</v>
      </c>
      <c r="I87" s="11">
        <f>IFERROR(100/'Skjema total MA'!F87*G87,0)</f>
        <v>5.1058524289111755</v>
      </c>
      <c r="J87" s="307">
        <f t="shared" ref="J87:K112" si="18">SUM(B87,F87)</f>
        <v>17249878.391000003</v>
      </c>
      <c r="K87" s="234">
        <f t="shared" si="18"/>
        <v>22264533.033</v>
      </c>
      <c r="L87" s="425">
        <f t="shared" si="17"/>
        <v>29.1</v>
      </c>
      <c r="M87" s="11">
        <f>IFERROR(100/'Skjema total MA'!I87*K87,0)</f>
        <v>2.7119164318801254</v>
      </c>
    </row>
    <row r="88" spans="1:13" x14ac:dyDescent="0.2">
      <c r="A88" s="20" t="s">
        <v>9</v>
      </c>
      <c r="B88" s="232">
        <v>828512.02300000004</v>
      </c>
      <c r="C88" s="144">
        <v>901135.152</v>
      </c>
      <c r="D88" s="165">
        <f t="shared" si="14"/>
        <v>8.8000000000000007</v>
      </c>
      <c r="E88" s="26">
        <f>IFERROR(100/'Skjema total MA'!C88*C88,0)</f>
        <v>0.23120550143593618</v>
      </c>
      <c r="F88" s="232"/>
      <c r="G88" s="144"/>
      <c r="H88" s="165"/>
      <c r="I88" s="26"/>
      <c r="J88" s="285">
        <f t="shared" si="18"/>
        <v>828512.02300000004</v>
      </c>
      <c r="K88" s="43">
        <f t="shared" si="18"/>
        <v>901135.152</v>
      </c>
      <c r="L88" s="252">
        <f t="shared" si="17"/>
        <v>8.8000000000000007</v>
      </c>
      <c r="M88" s="26">
        <f>IFERROR(100/'Skjema total MA'!I88*K88,0)</f>
        <v>0.23120550143593618</v>
      </c>
    </row>
    <row r="89" spans="1:13" x14ac:dyDescent="0.2">
      <c r="A89" s="20" t="s">
        <v>10</v>
      </c>
      <c r="B89" s="232"/>
      <c r="C89" s="144"/>
      <c r="D89" s="165"/>
      <c r="E89" s="26"/>
      <c r="F89" s="232">
        <v>16421366.368000001</v>
      </c>
      <c r="G89" s="144">
        <v>21363397.881000001</v>
      </c>
      <c r="H89" s="165">
        <f t="shared" si="15"/>
        <v>30.1</v>
      </c>
      <c r="I89" s="26">
        <f>IFERROR(100/'Skjema total MA'!F89*G89,0)</f>
        <v>5.1562252911565123</v>
      </c>
      <c r="J89" s="285">
        <f t="shared" si="18"/>
        <v>16421366.368000001</v>
      </c>
      <c r="K89" s="43">
        <f t="shared" si="18"/>
        <v>21363397.881000001</v>
      </c>
      <c r="L89" s="252">
        <f t="shared" si="17"/>
        <v>30.1</v>
      </c>
      <c r="M89" s="26">
        <f>IFERROR(100/'Skjema total MA'!I89*K89,0)</f>
        <v>5.118111799963061</v>
      </c>
    </row>
    <row r="90" spans="1:13" ht="15.75" x14ac:dyDescent="0.2">
      <c r="A90" s="294" t="s">
        <v>379</v>
      </c>
      <c r="B90" s="734"/>
      <c r="C90" s="734"/>
      <c r="D90" s="165"/>
      <c r="E90" s="727"/>
      <c r="F90" s="734"/>
      <c r="G90" s="734"/>
      <c r="H90" s="165"/>
      <c r="I90" s="728"/>
      <c r="J90" s="734"/>
      <c r="K90" s="734"/>
      <c r="L90" s="165"/>
      <c r="M90" s="22"/>
    </row>
    <row r="91" spans="1:13" x14ac:dyDescent="0.2">
      <c r="A91" s="294" t="s">
        <v>12</v>
      </c>
      <c r="B91" s="734"/>
      <c r="C91" s="734"/>
      <c r="D91" s="165"/>
      <c r="E91" s="727"/>
      <c r="F91" s="734"/>
      <c r="G91" s="734"/>
      <c r="H91" s="165"/>
      <c r="I91" s="728"/>
      <c r="J91" s="734"/>
      <c r="K91" s="734"/>
      <c r="L91" s="165"/>
      <c r="M91" s="22"/>
    </row>
    <row r="92" spans="1:13" x14ac:dyDescent="0.2">
      <c r="A92" s="294" t="s">
        <v>13</v>
      </c>
      <c r="B92" s="734"/>
      <c r="C92" s="734"/>
      <c r="D92" s="165"/>
      <c r="E92" s="727"/>
      <c r="F92" s="734"/>
      <c r="G92" s="734"/>
      <c r="H92" s="165"/>
      <c r="I92" s="728"/>
      <c r="J92" s="734"/>
      <c r="K92" s="734"/>
      <c r="L92" s="165"/>
      <c r="M92" s="22"/>
    </row>
    <row r="93" spans="1:13" ht="15.75" x14ac:dyDescent="0.2">
      <c r="A93" s="294" t="s">
        <v>380</v>
      </c>
      <c r="B93" s="734"/>
      <c r="C93" s="734"/>
      <c r="D93" s="165"/>
      <c r="E93" s="727"/>
      <c r="F93" s="734"/>
      <c r="G93" s="734"/>
      <c r="H93" s="165"/>
      <c r="I93" s="728"/>
      <c r="J93" s="734"/>
      <c r="K93" s="734"/>
      <c r="L93" s="165"/>
      <c r="M93" s="22"/>
    </row>
    <row r="94" spans="1:13" x14ac:dyDescent="0.2">
      <c r="A94" s="294" t="s">
        <v>12</v>
      </c>
      <c r="B94" s="233"/>
      <c r="C94" s="287"/>
      <c r="D94" s="165"/>
      <c r="E94" s="727"/>
      <c r="F94" s="734"/>
      <c r="G94" s="734"/>
      <c r="H94" s="165"/>
      <c r="I94" s="728"/>
      <c r="J94" s="734"/>
      <c r="K94" s="734"/>
      <c r="L94" s="165"/>
      <c r="M94" s="22"/>
    </row>
    <row r="95" spans="1:13" x14ac:dyDescent="0.2">
      <c r="A95" s="294" t="s">
        <v>13</v>
      </c>
      <c r="B95" s="233"/>
      <c r="C95" s="287"/>
      <c r="D95" s="165"/>
      <c r="E95" s="727"/>
      <c r="F95" s="734"/>
      <c r="G95" s="734"/>
      <c r="H95" s="165"/>
      <c r="I95" s="728"/>
      <c r="J95" s="734"/>
      <c r="K95" s="734"/>
      <c r="L95" s="165"/>
      <c r="M95" s="22"/>
    </row>
    <row r="96" spans="1:13" x14ac:dyDescent="0.2">
      <c r="A96" s="20" t="s">
        <v>347</v>
      </c>
      <c r="B96" s="232"/>
      <c r="C96" s="144"/>
      <c r="D96" s="165"/>
      <c r="E96" s="26"/>
      <c r="F96" s="232"/>
      <c r="G96" s="144"/>
      <c r="H96" s="165"/>
      <c r="I96" s="26"/>
      <c r="J96" s="285"/>
      <c r="K96" s="43"/>
      <c r="L96" s="252"/>
      <c r="M96" s="26"/>
    </row>
    <row r="97" spans="1:13" x14ac:dyDescent="0.2">
      <c r="A97" s="20" t="s">
        <v>346</v>
      </c>
      <c r="B97" s="232"/>
      <c r="C97" s="144"/>
      <c r="D97" s="165"/>
      <c r="E97" s="26"/>
      <c r="F97" s="232"/>
      <c r="G97" s="144"/>
      <c r="H97" s="165"/>
      <c r="I97" s="26"/>
      <c r="J97" s="285"/>
      <c r="K97" s="43"/>
      <c r="L97" s="252"/>
      <c r="M97" s="26"/>
    </row>
    <row r="98" spans="1:13" ht="15.75" x14ac:dyDescent="0.2">
      <c r="A98" s="20" t="s">
        <v>381</v>
      </c>
      <c r="B98" s="232">
        <v>828512.02300000004</v>
      </c>
      <c r="C98" s="232">
        <v>901135.152</v>
      </c>
      <c r="D98" s="165">
        <f t="shared" si="14"/>
        <v>8.8000000000000007</v>
      </c>
      <c r="E98" s="26">
        <f>IFERROR(100/'Skjema total MA'!C98*C98,0)</f>
        <v>0.23200350195552652</v>
      </c>
      <c r="F98" s="290">
        <v>16421366.368000001</v>
      </c>
      <c r="G98" s="290">
        <v>21363397.881000001</v>
      </c>
      <c r="H98" s="165">
        <f t="shared" si="15"/>
        <v>30.1</v>
      </c>
      <c r="I98" s="26">
        <f>IFERROR(100/'Skjema total MA'!F98*G98,0)</f>
        <v>5.1701534317774271</v>
      </c>
      <c r="J98" s="285">
        <f t="shared" si="18"/>
        <v>17249878.391000003</v>
      </c>
      <c r="K98" s="43">
        <f t="shared" si="18"/>
        <v>22264533.033</v>
      </c>
      <c r="L98" s="252">
        <f t="shared" si="17"/>
        <v>29.1</v>
      </c>
      <c r="M98" s="26">
        <f>IFERROR(100/'Skjema total MA'!I98*K98,0)</f>
        <v>2.7774397930702079</v>
      </c>
    </row>
    <row r="99" spans="1:13" x14ac:dyDescent="0.2">
      <c r="A99" s="20" t="s">
        <v>9</v>
      </c>
      <c r="B99" s="290">
        <v>828512.02300000004</v>
      </c>
      <c r="C99" s="291">
        <v>901135.152</v>
      </c>
      <c r="D99" s="165">
        <f t="shared" si="14"/>
        <v>8.8000000000000007</v>
      </c>
      <c r="E99" s="26">
        <f>IFERROR(100/'Skjema total MA'!C99*C99,0)</f>
        <v>0.23386117872975234</v>
      </c>
      <c r="F99" s="232"/>
      <c r="G99" s="144"/>
      <c r="H99" s="165"/>
      <c r="I99" s="26"/>
      <c r="J99" s="285">
        <f t="shared" si="18"/>
        <v>828512.02300000004</v>
      </c>
      <c r="K99" s="43">
        <f t="shared" si="18"/>
        <v>901135.152</v>
      </c>
      <c r="L99" s="252">
        <f t="shared" si="17"/>
        <v>8.8000000000000007</v>
      </c>
      <c r="M99" s="26">
        <f>IFERROR(100/'Skjema total MA'!I99*K99,0)</f>
        <v>0.23386117872975234</v>
      </c>
    </row>
    <row r="100" spans="1:13" ht="15.75" x14ac:dyDescent="0.2">
      <c r="A100" s="729" t="s">
        <v>424</v>
      </c>
      <c r="B100" s="290"/>
      <c r="C100" s="291"/>
      <c r="D100" s="165"/>
      <c r="E100" s="26"/>
      <c r="F100" s="232">
        <v>16421366.368000001</v>
      </c>
      <c r="G100" s="232">
        <v>21363397.881000001</v>
      </c>
      <c r="H100" s="165">
        <f t="shared" si="15"/>
        <v>30.1</v>
      </c>
      <c r="I100" s="26">
        <f>IFERROR(100/'Skjema total MA'!F100*G100,0)</f>
        <v>5.1701534317774271</v>
      </c>
      <c r="J100" s="285">
        <f t="shared" si="18"/>
        <v>16421366.368000001</v>
      </c>
      <c r="K100" s="43">
        <f t="shared" si="18"/>
        <v>21363397.881000001</v>
      </c>
      <c r="L100" s="252">
        <f t="shared" si="17"/>
        <v>30.1</v>
      </c>
      <c r="M100" s="26">
        <f>IFERROR(100/'Skjema total MA'!I100*K100,0)</f>
        <v>5.1318345211227729</v>
      </c>
    </row>
    <row r="101" spans="1:13" ht="15.75" x14ac:dyDescent="0.2">
      <c r="A101" s="729" t="s">
        <v>425</v>
      </c>
      <c r="B101" s="290"/>
      <c r="C101" s="290"/>
      <c r="D101" s="165"/>
      <c r="E101" s="26"/>
      <c r="F101" s="290"/>
      <c r="G101" s="290"/>
      <c r="H101" s="165"/>
      <c r="I101" s="26"/>
      <c r="J101" s="285"/>
      <c r="K101" s="43"/>
      <c r="L101" s="252"/>
      <c r="M101" s="26"/>
    </row>
    <row r="102" spans="1:13" ht="15.75" x14ac:dyDescent="0.2">
      <c r="A102" s="294" t="s">
        <v>379</v>
      </c>
      <c r="B102" s="734"/>
      <c r="C102" s="734"/>
      <c r="D102" s="165"/>
      <c r="E102" s="727"/>
      <c r="F102" s="734"/>
      <c r="G102" s="734"/>
      <c r="H102" s="165"/>
      <c r="I102" s="727"/>
      <c r="J102" s="734"/>
      <c r="K102" s="734"/>
      <c r="L102" s="165"/>
      <c r="M102" s="22"/>
    </row>
    <row r="103" spans="1:13" x14ac:dyDescent="0.2">
      <c r="A103" s="294" t="s">
        <v>12</v>
      </c>
      <c r="B103" s="734"/>
      <c r="C103" s="734"/>
      <c r="D103" s="165"/>
      <c r="E103" s="727"/>
      <c r="F103" s="734"/>
      <c r="G103" s="734"/>
      <c r="H103" s="165"/>
      <c r="I103" s="727"/>
      <c r="J103" s="734"/>
      <c r="K103" s="734"/>
      <c r="L103" s="165"/>
      <c r="M103" s="22"/>
    </row>
    <row r="104" spans="1:13" x14ac:dyDescent="0.2">
      <c r="A104" s="294" t="s">
        <v>13</v>
      </c>
      <c r="B104" s="734"/>
      <c r="C104" s="734"/>
      <c r="D104" s="165"/>
      <c r="E104" s="727"/>
      <c r="F104" s="734"/>
      <c r="G104" s="734"/>
      <c r="H104" s="165"/>
      <c r="I104" s="727"/>
      <c r="J104" s="734"/>
      <c r="K104" s="734"/>
      <c r="L104" s="165"/>
      <c r="M104" s="22"/>
    </row>
    <row r="105" spans="1:13" ht="15.75" x14ac:dyDescent="0.2">
      <c r="A105" s="294" t="s">
        <v>380</v>
      </c>
      <c r="B105" s="734"/>
      <c r="C105" s="734"/>
      <c r="D105" s="165"/>
      <c r="E105" s="727"/>
      <c r="F105" s="734"/>
      <c r="G105" s="734"/>
      <c r="H105" s="165"/>
      <c r="I105" s="727"/>
      <c r="J105" s="734"/>
      <c r="K105" s="734"/>
      <c r="L105" s="165"/>
      <c r="M105" s="22"/>
    </row>
    <row r="106" spans="1:13" x14ac:dyDescent="0.2">
      <c r="A106" s="294" t="s">
        <v>12</v>
      </c>
      <c r="B106" s="233"/>
      <c r="C106" s="287"/>
      <c r="D106" s="165"/>
      <c r="E106" s="727"/>
      <c r="F106" s="734"/>
      <c r="G106" s="734"/>
      <c r="H106" s="165"/>
      <c r="I106" s="727"/>
      <c r="J106" s="734"/>
      <c r="K106" s="734"/>
      <c r="L106" s="165"/>
      <c r="M106" s="22"/>
    </row>
    <row r="107" spans="1:13" x14ac:dyDescent="0.2">
      <c r="A107" s="294" t="s">
        <v>13</v>
      </c>
      <c r="B107" s="233"/>
      <c r="C107" s="287"/>
      <c r="D107" s="165"/>
      <c r="E107" s="727"/>
      <c r="F107" s="734"/>
      <c r="G107" s="734"/>
      <c r="H107" s="165"/>
      <c r="I107" s="727"/>
      <c r="J107" s="734"/>
      <c r="K107" s="734"/>
      <c r="L107" s="165"/>
      <c r="M107" s="22"/>
    </row>
    <row r="108" spans="1:13" ht="15.75" x14ac:dyDescent="0.2">
      <c r="A108" s="20" t="s">
        <v>382</v>
      </c>
      <c r="B108" s="232"/>
      <c r="C108" s="144"/>
      <c r="D108" s="165"/>
      <c r="E108" s="26"/>
      <c r="F108" s="232"/>
      <c r="G108" s="144"/>
      <c r="H108" s="165"/>
      <c r="I108" s="26"/>
      <c r="J108" s="285"/>
      <c r="K108" s="43"/>
      <c r="L108" s="252"/>
      <c r="M108" s="26"/>
    </row>
    <row r="109" spans="1:13" ht="15.75" x14ac:dyDescent="0.2">
      <c r="A109" s="20" t="s">
        <v>383</v>
      </c>
      <c r="B109" s="232">
        <v>180267.62899999999</v>
      </c>
      <c r="C109" s="232">
        <v>222541.55</v>
      </c>
      <c r="D109" s="165">
        <f t="shared" si="14"/>
        <v>23.5</v>
      </c>
      <c r="E109" s="26">
        <f>IFERROR(100/'Skjema total MA'!C109*C109,0)</f>
        <v>6.6495652152108925E-2</v>
      </c>
      <c r="F109" s="232">
        <v>180267.62899999999</v>
      </c>
      <c r="G109" s="232">
        <v>222541.55</v>
      </c>
      <c r="H109" s="165">
        <f t="shared" si="15"/>
        <v>23.5</v>
      </c>
      <c r="I109" s="26">
        <f>IFERROR(100/'Skjema total MA'!F109*G109,0)</f>
        <v>1.0981729562931091</v>
      </c>
      <c r="J109" s="285">
        <f t="shared" si="18"/>
        <v>360535.25799999997</v>
      </c>
      <c r="K109" s="43">
        <f t="shared" si="18"/>
        <v>445083.1</v>
      </c>
      <c r="L109" s="252">
        <f t="shared" si="17"/>
        <v>23.5</v>
      </c>
      <c r="M109" s="26">
        <f>IFERROR(100/'Skjema total MA'!I109*K109,0)</f>
        <v>0.12539829162563795</v>
      </c>
    </row>
    <row r="110" spans="1:13" ht="15.75" x14ac:dyDescent="0.2">
      <c r="A110" s="729" t="s">
        <v>441</v>
      </c>
      <c r="B110" s="232"/>
      <c r="C110" s="232"/>
      <c r="D110" s="165"/>
      <c r="E110" s="26"/>
      <c r="F110" s="232">
        <v>5668724.0520000001</v>
      </c>
      <c r="G110" s="232">
        <v>7801640.3859999999</v>
      </c>
      <c r="H110" s="165">
        <f t="shared" si="15"/>
        <v>37.6</v>
      </c>
      <c r="I110" s="26">
        <f>IFERROR(100/'Skjema total MA'!F110*G110,0)</f>
        <v>5.2643543077542292</v>
      </c>
      <c r="J110" s="285">
        <f t="shared" si="18"/>
        <v>5668724.0520000001</v>
      </c>
      <c r="K110" s="43">
        <f t="shared" si="18"/>
        <v>7801640.3859999999</v>
      </c>
      <c r="L110" s="252">
        <f t="shared" si="17"/>
        <v>37.6</v>
      </c>
      <c r="M110" s="26">
        <f>IFERROR(100/'Skjema total MA'!I110*K110,0)</f>
        <v>5.208616799999092</v>
      </c>
    </row>
    <row r="111" spans="1:13" ht="15.75" x14ac:dyDescent="0.2">
      <c r="A111" s="20" t="s">
        <v>385</v>
      </c>
      <c r="B111" s="232"/>
      <c r="C111" s="232"/>
      <c r="D111" s="165"/>
      <c r="E111" s="26"/>
      <c r="F111" s="232"/>
      <c r="G111" s="232"/>
      <c r="H111" s="165"/>
      <c r="I111" s="26"/>
      <c r="J111" s="285"/>
      <c r="K111" s="43"/>
      <c r="L111" s="252"/>
      <c r="M111" s="26"/>
    </row>
    <row r="112" spans="1:13" ht="15.75" x14ac:dyDescent="0.2">
      <c r="A112" s="13" t="s">
        <v>365</v>
      </c>
      <c r="B112" s="306">
        <v>38670.498</v>
      </c>
      <c r="C112" s="158">
        <v>16079.767</v>
      </c>
      <c r="D112" s="170">
        <f t="shared" si="14"/>
        <v>-58.4</v>
      </c>
      <c r="E112" s="11">
        <f>IFERROR(100/'Skjema total MA'!C112*C112,0)</f>
        <v>6.1899067789918822</v>
      </c>
      <c r="F112" s="306">
        <v>549574.45200000005</v>
      </c>
      <c r="G112" s="158">
        <v>2002419.3319999999</v>
      </c>
      <c r="H112" s="170">
        <f t="shared" si="15"/>
        <v>264.39999999999998</v>
      </c>
      <c r="I112" s="11">
        <f>IFERROR(100/'Skjema total MA'!F112*G112,0)</f>
        <v>6.8514700297243953</v>
      </c>
      <c r="J112" s="307">
        <f t="shared" si="18"/>
        <v>588244.95000000007</v>
      </c>
      <c r="K112" s="234">
        <f t="shared" si="18"/>
        <v>2018499.0989999999</v>
      </c>
      <c r="L112" s="425">
        <f t="shared" si="17"/>
        <v>243.1</v>
      </c>
      <c r="M112" s="11">
        <f>IFERROR(100/'Skjema total MA'!I112*K112,0)</f>
        <v>6.8456415859300419</v>
      </c>
    </row>
    <row r="113" spans="1:14" x14ac:dyDescent="0.2">
      <c r="A113" s="20" t="s">
        <v>9</v>
      </c>
      <c r="B113" s="232">
        <v>38670.498</v>
      </c>
      <c r="C113" s="144">
        <v>16079.767</v>
      </c>
      <c r="D113" s="165">
        <f t="shared" si="14"/>
        <v>-58.4</v>
      </c>
      <c r="E113" s="26">
        <f>IFERROR(100/'Skjema total MA'!C113*C113,0)</f>
        <v>9.6689371715393158</v>
      </c>
      <c r="F113" s="232"/>
      <c r="G113" s="144"/>
      <c r="H113" s="165"/>
      <c r="I113" s="26"/>
      <c r="J113" s="285">
        <f t="shared" ref="J113:K126" si="19">SUM(B113,F113)</f>
        <v>38670.498</v>
      </c>
      <c r="K113" s="43">
        <f t="shared" si="19"/>
        <v>16079.767</v>
      </c>
      <c r="L113" s="252">
        <f t="shared" si="17"/>
        <v>-58.4</v>
      </c>
      <c r="M113" s="26">
        <f>IFERROR(100/'Skjema total MA'!I113*K113,0)</f>
        <v>9.0908646874974899</v>
      </c>
    </row>
    <row r="114" spans="1:14" x14ac:dyDescent="0.2">
      <c r="A114" s="20" t="s">
        <v>10</v>
      </c>
      <c r="B114" s="232"/>
      <c r="C114" s="144"/>
      <c r="D114" s="165"/>
      <c r="E114" s="26"/>
      <c r="F114" s="232">
        <v>549574.45200000005</v>
      </c>
      <c r="G114" s="144">
        <v>2002419.3319999999</v>
      </c>
      <c r="H114" s="165">
        <f t="shared" si="15"/>
        <v>264.39999999999998</v>
      </c>
      <c r="I114" s="26">
        <f>IFERROR(100/'Skjema total MA'!F114*G114,0)</f>
        <v>6.8539500074638626</v>
      </c>
      <c r="J114" s="285">
        <f t="shared" si="19"/>
        <v>549574.45200000005</v>
      </c>
      <c r="K114" s="43">
        <f t="shared" si="19"/>
        <v>2002419.3319999999</v>
      </c>
      <c r="L114" s="252">
        <f t="shared" si="17"/>
        <v>264.39999999999998</v>
      </c>
      <c r="M114" s="26">
        <f>IFERROR(100/'Skjema total MA'!I114*K114,0)</f>
        <v>6.8539025791970438</v>
      </c>
    </row>
    <row r="115" spans="1:14" x14ac:dyDescent="0.2">
      <c r="A115" s="20" t="s">
        <v>26</v>
      </c>
      <c r="B115" s="232"/>
      <c r="C115" s="144"/>
      <c r="D115" s="165"/>
      <c r="E115" s="26"/>
      <c r="F115" s="232"/>
      <c r="G115" s="144"/>
      <c r="H115" s="165"/>
      <c r="I115" s="26"/>
      <c r="J115" s="285"/>
      <c r="K115" s="43"/>
      <c r="L115" s="252"/>
      <c r="M115" s="26"/>
    </row>
    <row r="116" spans="1:14" x14ac:dyDescent="0.2">
      <c r="A116" s="294" t="s">
        <v>15</v>
      </c>
      <c r="B116" s="279"/>
      <c r="C116" s="279"/>
      <c r="D116" s="165"/>
      <c r="E116" s="414"/>
      <c r="F116" s="279"/>
      <c r="G116" s="279"/>
      <c r="H116" s="165"/>
      <c r="I116" s="414"/>
      <c r="J116" s="288"/>
      <c r="K116" s="288"/>
      <c r="L116" s="165"/>
      <c r="M116" s="22"/>
    </row>
    <row r="117" spans="1:14" ht="15.75" x14ac:dyDescent="0.2">
      <c r="A117" s="20" t="s">
        <v>386</v>
      </c>
      <c r="B117" s="232"/>
      <c r="C117" s="232"/>
      <c r="D117" s="165"/>
      <c r="E117" s="26"/>
      <c r="F117" s="232"/>
      <c r="G117" s="232"/>
      <c r="H117" s="165"/>
      <c r="I117" s="26"/>
      <c r="J117" s="285"/>
      <c r="K117" s="43"/>
      <c r="L117" s="252"/>
      <c r="M117" s="26"/>
    </row>
    <row r="118" spans="1:14" ht="15.75" x14ac:dyDescent="0.2">
      <c r="A118" s="20" t="s">
        <v>387</v>
      </c>
      <c r="B118" s="232"/>
      <c r="C118" s="232"/>
      <c r="D118" s="165"/>
      <c r="E118" s="26"/>
      <c r="F118" s="232">
        <v>56071.523999999998</v>
      </c>
      <c r="G118" s="232">
        <v>93900.225999999995</v>
      </c>
      <c r="H118" s="165">
        <f t="shared" si="15"/>
        <v>67.5</v>
      </c>
      <c r="I118" s="26">
        <f>IFERROR(100/'Skjema total MA'!F118*G118,0)</f>
        <v>6.9132357663353572</v>
      </c>
      <c r="J118" s="285">
        <f t="shared" si="19"/>
        <v>56071.523999999998</v>
      </c>
      <c r="K118" s="43">
        <f t="shared" si="19"/>
        <v>93900.225999999995</v>
      </c>
      <c r="L118" s="252">
        <f t="shared" si="17"/>
        <v>67.5</v>
      </c>
      <c r="M118" s="26">
        <f>IFERROR(100/'Skjema total MA'!I118*K118,0)</f>
        <v>6.9132357663353572</v>
      </c>
    </row>
    <row r="119" spans="1:14" ht="15.75" x14ac:dyDescent="0.2">
      <c r="A119" s="20" t="s">
        <v>385</v>
      </c>
      <c r="B119" s="232"/>
      <c r="C119" s="232"/>
      <c r="D119" s="165"/>
      <c r="E119" s="26"/>
      <c r="F119" s="232"/>
      <c r="G119" s="232"/>
      <c r="H119" s="165"/>
      <c r="I119" s="26"/>
      <c r="J119" s="285"/>
      <c r="K119" s="43"/>
      <c r="L119" s="252"/>
      <c r="M119" s="26"/>
    </row>
    <row r="120" spans="1:14" ht="15.75" x14ac:dyDescent="0.2">
      <c r="A120" s="13" t="s">
        <v>366</v>
      </c>
      <c r="B120" s="306">
        <v>8202.3140000000003</v>
      </c>
      <c r="C120" s="158">
        <v>12454.027</v>
      </c>
      <c r="D120" s="170">
        <f t="shared" si="14"/>
        <v>51.8</v>
      </c>
      <c r="E120" s="11">
        <f>IFERROR(100/'Skjema total MA'!C120*C120,0)</f>
        <v>3.4968984611196356</v>
      </c>
      <c r="F120" s="306">
        <v>354702.03</v>
      </c>
      <c r="G120" s="158">
        <v>1949861.791</v>
      </c>
      <c r="H120" s="170">
        <f t="shared" si="15"/>
        <v>449.7</v>
      </c>
      <c r="I120" s="11">
        <f>IFERROR(100/'Skjema total MA'!F120*G120,0)</f>
        <v>5.7716343984723979</v>
      </c>
      <c r="J120" s="307">
        <f t="shared" si="19"/>
        <v>362904.34400000004</v>
      </c>
      <c r="K120" s="234">
        <f t="shared" si="19"/>
        <v>1962315.818</v>
      </c>
      <c r="L120" s="425">
        <f t="shared" si="17"/>
        <v>440.7</v>
      </c>
      <c r="M120" s="11">
        <f>IFERROR(100/'Skjema total MA'!I120*K120,0)</f>
        <v>5.7479043623889661</v>
      </c>
    </row>
    <row r="121" spans="1:14" x14ac:dyDescent="0.2">
      <c r="A121" s="20" t="s">
        <v>9</v>
      </c>
      <c r="B121" s="232">
        <v>8202.3140000000003</v>
      </c>
      <c r="C121" s="144">
        <v>12454.027</v>
      </c>
      <c r="D121" s="165">
        <f t="shared" si="14"/>
        <v>51.8</v>
      </c>
      <c r="E121" s="26">
        <f>IFERROR(100/'Skjema total MA'!C121*C121,0)</f>
        <v>4.861790325394308</v>
      </c>
      <c r="F121" s="232"/>
      <c r="G121" s="144"/>
      <c r="H121" s="165"/>
      <c r="I121" s="26"/>
      <c r="J121" s="285">
        <f t="shared" si="19"/>
        <v>8202.3140000000003</v>
      </c>
      <c r="K121" s="43">
        <f t="shared" si="19"/>
        <v>12454.027</v>
      </c>
      <c r="L121" s="252">
        <f t="shared" si="17"/>
        <v>51.8</v>
      </c>
      <c r="M121" s="26">
        <f>IFERROR(100/'Skjema total MA'!I121*K121,0)</f>
        <v>4.861790325394308</v>
      </c>
    </row>
    <row r="122" spans="1:14" x14ac:dyDescent="0.2">
      <c r="A122" s="20" t="s">
        <v>10</v>
      </c>
      <c r="B122" s="232"/>
      <c r="C122" s="144"/>
      <c r="D122" s="165"/>
      <c r="E122" s="26"/>
      <c r="F122" s="232">
        <v>354702.03</v>
      </c>
      <c r="G122" s="144">
        <v>1949861.791</v>
      </c>
      <c r="H122" s="165">
        <f t="shared" si="15"/>
        <v>449.7</v>
      </c>
      <c r="I122" s="26">
        <f>IFERROR(100/'Skjema total MA'!F122*G122,0)</f>
        <v>5.7716343984723979</v>
      </c>
      <c r="J122" s="285">
        <f t="shared" si="19"/>
        <v>354702.03</v>
      </c>
      <c r="K122" s="43">
        <f t="shared" si="19"/>
        <v>1949861.791</v>
      </c>
      <c r="L122" s="252">
        <f t="shared" si="17"/>
        <v>449.7</v>
      </c>
      <c r="M122" s="26">
        <f>IFERROR(100/'Skjema total MA'!I122*K122,0)</f>
        <v>5.7705026550795031</v>
      </c>
    </row>
    <row r="123" spans="1:14" x14ac:dyDescent="0.2">
      <c r="A123" s="20" t="s">
        <v>26</v>
      </c>
      <c r="B123" s="232"/>
      <c r="C123" s="144"/>
      <c r="D123" s="165"/>
      <c r="E123" s="26"/>
      <c r="F123" s="232"/>
      <c r="G123" s="144"/>
      <c r="H123" s="165"/>
      <c r="I123" s="26"/>
      <c r="J123" s="285"/>
      <c r="K123" s="43"/>
      <c r="L123" s="252"/>
      <c r="M123" s="26"/>
    </row>
    <row r="124" spans="1:14" x14ac:dyDescent="0.2">
      <c r="A124" s="294" t="s">
        <v>14</v>
      </c>
      <c r="B124" s="279"/>
      <c r="C124" s="279"/>
      <c r="D124" s="165"/>
      <c r="E124" s="414"/>
      <c r="F124" s="279"/>
      <c r="G124" s="279"/>
      <c r="H124" s="165"/>
      <c r="I124" s="414"/>
      <c r="J124" s="288"/>
      <c r="K124" s="288"/>
      <c r="L124" s="165"/>
      <c r="M124" s="22"/>
    </row>
    <row r="125" spans="1:14" ht="15.75" x14ac:dyDescent="0.2">
      <c r="A125" s="20" t="s">
        <v>392</v>
      </c>
      <c r="B125" s="232"/>
      <c r="C125" s="232"/>
      <c r="D125" s="165"/>
      <c r="E125" s="26"/>
      <c r="F125" s="232"/>
      <c r="G125" s="232"/>
      <c r="H125" s="165"/>
      <c r="I125" s="26"/>
      <c r="J125" s="285"/>
      <c r="K125" s="43"/>
      <c r="L125" s="252"/>
      <c r="M125" s="26"/>
    </row>
    <row r="126" spans="1:14" ht="15.75" x14ac:dyDescent="0.2">
      <c r="A126" s="20" t="s">
        <v>384</v>
      </c>
      <c r="B126" s="232"/>
      <c r="C126" s="232"/>
      <c r="D126" s="165"/>
      <c r="E126" s="26"/>
      <c r="F126" s="232">
        <v>104000.23</v>
      </c>
      <c r="G126" s="232">
        <v>94606.994999999995</v>
      </c>
      <c r="H126" s="165">
        <f t="shared" si="15"/>
        <v>-9</v>
      </c>
      <c r="I126" s="26">
        <f>IFERROR(100/'Skjema total MA'!F126*G126,0)</f>
        <v>0.86723885714643612</v>
      </c>
      <c r="J126" s="285">
        <f t="shared" si="19"/>
        <v>104000.23</v>
      </c>
      <c r="K126" s="43">
        <f t="shared" si="19"/>
        <v>94606.994999999995</v>
      </c>
      <c r="L126" s="252">
        <f t="shared" si="17"/>
        <v>-9</v>
      </c>
      <c r="M126" s="26">
        <f>IFERROR(100/'Skjema total MA'!I126*K126,0)</f>
        <v>0.8670836327638517</v>
      </c>
    </row>
    <row r="127" spans="1:14" ht="15.75" x14ac:dyDescent="0.2">
      <c r="A127" s="10" t="s">
        <v>385</v>
      </c>
      <c r="B127" s="44"/>
      <c r="C127" s="44"/>
      <c r="D127" s="166"/>
      <c r="E127" s="415"/>
      <c r="F127" s="44"/>
      <c r="G127" s="44"/>
      <c r="H127" s="166"/>
      <c r="I127" s="21"/>
      <c r="J127" s="286"/>
      <c r="K127" s="44"/>
      <c r="L127" s="253"/>
      <c r="M127" s="21"/>
    </row>
    <row r="128" spans="1:14" x14ac:dyDescent="0.2">
      <c r="A128" s="154"/>
      <c r="L128" s="25"/>
      <c r="M128" s="25"/>
      <c r="N128" s="25"/>
    </row>
    <row r="129" spans="1:14" x14ac:dyDescent="0.2">
      <c r="L129" s="25"/>
      <c r="M129" s="25"/>
      <c r="N129" s="25"/>
    </row>
    <row r="130" spans="1:14" ht="15.75" x14ac:dyDescent="0.25">
      <c r="A130" s="164" t="s">
        <v>27</v>
      </c>
    </row>
    <row r="131" spans="1:14" ht="15.75" x14ac:dyDescent="0.25">
      <c r="B131" s="777"/>
      <c r="C131" s="777"/>
      <c r="D131" s="777"/>
      <c r="E131" s="403"/>
      <c r="F131" s="777"/>
      <c r="G131" s="777"/>
      <c r="H131" s="777"/>
      <c r="I131" s="403"/>
      <c r="J131" s="777"/>
      <c r="K131" s="777"/>
      <c r="L131" s="777"/>
      <c r="M131" s="403"/>
    </row>
    <row r="132" spans="1:14" s="3" customFormat="1" x14ac:dyDescent="0.2">
      <c r="A132" s="143"/>
      <c r="B132" s="778" t="s">
        <v>0</v>
      </c>
      <c r="C132" s="779"/>
      <c r="D132" s="779"/>
      <c r="E132" s="402"/>
      <c r="F132" s="778" t="s">
        <v>1</v>
      </c>
      <c r="G132" s="779"/>
      <c r="H132" s="779"/>
      <c r="I132" s="405"/>
      <c r="J132" s="778" t="s">
        <v>2</v>
      </c>
      <c r="K132" s="779"/>
      <c r="L132" s="779"/>
      <c r="M132" s="405"/>
      <c r="N132" s="147"/>
    </row>
    <row r="133" spans="1:14" s="3" customFormat="1" x14ac:dyDescent="0.2">
      <c r="A133" s="139"/>
      <c r="B133" s="731" t="s">
        <v>439</v>
      </c>
      <c r="C133" s="731" t="s">
        <v>440</v>
      </c>
      <c r="D133" s="243" t="s">
        <v>3</v>
      </c>
      <c r="E133" s="303" t="s">
        <v>29</v>
      </c>
      <c r="F133" s="731" t="s">
        <v>439</v>
      </c>
      <c r="G133" s="731" t="s">
        <v>440</v>
      </c>
      <c r="H133" s="204" t="s">
        <v>3</v>
      </c>
      <c r="I133" s="161" t="s">
        <v>29</v>
      </c>
      <c r="J133" s="731" t="s">
        <v>439</v>
      </c>
      <c r="K133" s="731" t="s">
        <v>440</v>
      </c>
      <c r="L133" s="244" t="s">
        <v>3</v>
      </c>
      <c r="M133" s="161" t="s">
        <v>29</v>
      </c>
      <c r="N133" s="147"/>
    </row>
    <row r="134" spans="1:14" s="3" customFormat="1" x14ac:dyDescent="0.2">
      <c r="A134" s="754"/>
      <c r="B134" s="155"/>
      <c r="C134" s="155"/>
      <c r="D134" s="244" t="s">
        <v>4</v>
      </c>
      <c r="E134" s="155" t="s">
        <v>30</v>
      </c>
      <c r="F134" s="160"/>
      <c r="G134" s="160"/>
      <c r="H134" s="204" t="s">
        <v>4</v>
      </c>
      <c r="I134" s="155" t="s">
        <v>30</v>
      </c>
      <c r="J134" s="155"/>
      <c r="K134" s="155"/>
      <c r="L134" s="149" t="s">
        <v>4</v>
      </c>
      <c r="M134" s="155" t="s">
        <v>30</v>
      </c>
      <c r="N134" s="147"/>
    </row>
    <row r="135" spans="1:14" s="3" customFormat="1" ht="15.75" x14ac:dyDescent="0.2">
      <c r="A135" s="14" t="s">
        <v>388</v>
      </c>
      <c r="B135" s="234"/>
      <c r="C135" s="307"/>
      <c r="D135" s="348"/>
      <c r="E135" s="11"/>
      <c r="F135" s="314"/>
      <c r="G135" s="315"/>
      <c r="H135" s="428"/>
      <c r="I135" s="23"/>
      <c r="J135" s="316"/>
      <c r="K135" s="316"/>
      <c r="L135" s="424"/>
      <c r="M135" s="11"/>
      <c r="N135" s="147"/>
    </row>
    <row r="136" spans="1:14" s="3" customFormat="1" ht="15.75" x14ac:dyDescent="0.2">
      <c r="A136" s="13" t="s">
        <v>393</v>
      </c>
      <c r="B136" s="234"/>
      <c r="C136" s="307"/>
      <c r="D136" s="170"/>
      <c r="E136" s="11"/>
      <c r="F136" s="234"/>
      <c r="G136" s="307"/>
      <c r="H136" s="429"/>
      <c r="I136" s="23"/>
      <c r="J136" s="306"/>
      <c r="K136" s="306"/>
      <c r="L136" s="425"/>
      <c r="M136" s="11"/>
      <c r="N136" s="147"/>
    </row>
    <row r="137" spans="1:14" s="3" customFormat="1" ht="15.75" x14ac:dyDescent="0.2">
      <c r="A137" s="13" t="s">
        <v>390</v>
      </c>
      <c r="B137" s="234"/>
      <c r="C137" s="307"/>
      <c r="D137" s="170"/>
      <c r="E137" s="11"/>
      <c r="F137" s="234"/>
      <c r="G137" s="307"/>
      <c r="H137" s="429"/>
      <c r="I137" s="23"/>
      <c r="J137" s="306"/>
      <c r="K137" s="306"/>
      <c r="L137" s="425"/>
      <c r="M137" s="11"/>
      <c r="N137" s="147"/>
    </row>
    <row r="138" spans="1:14" s="3" customFormat="1" ht="15.75" x14ac:dyDescent="0.2">
      <c r="A138" s="40" t="s">
        <v>391</v>
      </c>
      <c r="B138" s="274"/>
      <c r="C138" s="313"/>
      <c r="D138" s="168"/>
      <c r="E138" s="9"/>
      <c r="F138" s="274"/>
      <c r="G138" s="313"/>
      <c r="H138" s="430"/>
      <c r="I138" s="35"/>
      <c r="J138" s="312"/>
      <c r="K138" s="312"/>
      <c r="L138" s="426"/>
      <c r="M138" s="35"/>
      <c r="N138" s="147"/>
    </row>
    <row r="139" spans="1:14" s="3" customFormat="1" x14ac:dyDescent="0.2">
      <c r="A139" s="167"/>
      <c r="B139" s="32"/>
      <c r="C139" s="32"/>
      <c r="D139" s="158"/>
      <c r="E139" s="158"/>
      <c r="F139" s="32"/>
      <c r="G139" s="32"/>
      <c r="H139" s="158"/>
      <c r="I139" s="158"/>
      <c r="J139" s="32"/>
      <c r="K139" s="32"/>
      <c r="L139" s="158"/>
      <c r="M139" s="158"/>
      <c r="N139" s="147"/>
    </row>
    <row r="140" spans="1:14" x14ac:dyDescent="0.2">
      <c r="A140" s="167"/>
      <c r="B140" s="32"/>
      <c r="C140" s="32"/>
      <c r="D140" s="158"/>
      <c r="E140" s="158"/>
      <c r="F140" s="32"/>
      <c r="G140" s="32"/>
      <c r="H140" s="158"/>
      <c r="I140" s="158"/>
      <c r="J140" s="32"/>
      <c r="K140" s="32"/>
      <c r="L140" s="158"/>
      <c r="M140" s="158"/>
      <c r="N140" s="147"/>
    </row>
    <row r="141" spans="1:14" x14ac:dyDescent="0.2">
      <c r="A141" s="167"/>
      <c r="B141" s="32"/>
      <c r="C141" s="32"/>
      <c r="D141" s="158"/>
      <c r="E141" s="158"/>
      <c r="F141" s="32"/>
      <c r="G141" s="32"/>
      <c r="H141" s="158"/>
      <c r="I141" s="158"/>
      <c r="J141" s="32"/>
      <c r="K141" s="32"/>
      <c r="L141" s="158"/>
      <c r="M141" s="158"/>
      <c r="N141" s="147"/>
    </row>
    <row r="142" spans="1:14" x14ac:dyDescent="0.2">
      <c r="A142" s="145"/>
      <c r="B142" s="145"/>
      <c r="C142" s="145"/>
      <c r="D142" s="145"/>
      <c r="E142" s="145"/>
      <c r="F142" s="145"/>
      <c r="G142" s="145"/>
      <c r="H142" s="145"/>
      <c r="I142" s="145"/>
      <c r="J142" s="145"/>
      <c r="K142" s="145"/>
      <c r="L142" s="145"/>
      <c r="M142" s="145"/>
      <c r="N142" s="145"/>
    </row>
    <row r="143" spans="1:14" ht="15.75" x14ac:dyDescent="0.25">
      <c r="B143" s="141"/>
      <c r="C143" s="141"/>
      <c r="D143" s="141"/>
      <c r="E143" s="141"/>
      <c r="F143" s="141"/>
      <c r="G143" s="141"/>
      <c r="H143" s="141"/>
      <c r="I143" s="141"/>
      <c r="J143" s="141"/>
      <c r="K143" s="141"/>
      <c r="L143" s="141"/>
      <c r="M143" s="141"/>
      <c r="N143" s="141"/>
    </row>
    <row r="144" spans="1:14" ht="15.75" x14ac:dyDescent="0.25">
      <c r="B144" s="156"/>
      <c r="C144" s="156"/>
      <c r="D144" s="156"/>
      <c r="E144" s="156"/>
      <c r="F144" s="156"/>
      <c r="G144" s="156"/>
      <c r="H144" s="156"/>
      <c r="I144" s="156"/>
      <c r="J144" s="156"/>
      <c r="K144" s="156"/>
      <c r="L144" s="156"/>
      <c r="M144" s="156"/>
      <c r="N144" s="156"/>
    </row>
    <row r="145" spans="2:14" ht="15.75" x14ac:dyDescent="0.25">
      <c r="B145" s="156"/>
      <c r="C145" s="156"/>
      <c r="D145" s="156"/>
      <c r="E145" s="156"/>
      <c r="F145" s="156"/>
      <c r="G145" s="156"/>
      <c r="H145" s="156"/>
      <c r="I145" s="156"/>
      <c r="J145" s="156"/>
      <c r="K145" s="156"/>
      <c r="L145" s="156"/>
      <c r="M145" s="156"/>
      <c r="N145" s="156"/>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1:D131"/>
    <mergeCell ref="F131:H131"/>
    <mergeCell ref="J131:L131"/>
    <mergeCell ref="B132:D132"/>
    <mergeCell ref="F132:H132"/>
    <mergeCell ref="J132:L132"/>
  </mergeCells>
  <conditionalFormatting sqref="B50:C52">
    <cfRule type="expression" dxfId="870" priority="82">
      <formula>kvartal &lt; 4</formula>
    </cfRule>
  </conditionalFormatting>
  <conditionalFormatting sqref="B116">
    <cfRule type="expression" dxfId="869" priority="45">
      <formula>kvartal &lt; 4</formula>
    </cfRule>
  </conditionalFormatting>
  <conditionalFormatting sqref="C116">
    <cfRule type="expression" dxfId="868" priority="44">
      <formula>kvartal &lt; 4</formula>
    </cfRule>
  </conditionalFormatting>
  <conditionalFormatting sqref="B124">
    <cfRule type="expression" dxfId="867" priority="43">
      <formula>kvartal &lt; 4</formula>
    </cfRule>
  </conditionalFormatting>
  <conditionalFormatting sqref="C124">
    <cfRule type="expression" dxfId="866" priority="42">
      <formula>kvartal &lt; 4</formula>
    </cfRule>
  </conditionalFormatting>
  <conditionalFormatting sqref="F116">
    <cfRule type="expression" dxfId="865" priority="31">
      <formula>kvartal &lt; 4</formula>
    </cfRule>
  </conditionalFormatting>
  <conditionalFormatting sqref="G116">
    <cfRule type="expression" dxfId="864" priority="30">
      <formula>kvartal &lt; 4</formula>
    </cfRule>
  </conditionalFormatting>
  <conditionalFormatting sqref="F124:G124">
    <cfRule type="expression" dxfId="863" priority="29">
      <formula>kvartal &lt; 4</formula>
    </cfRule>
  </conditionalFormatting>
  <conditionalFormatting sqref="J116:K116">
    <cfRule type="expression" dxfId="862" priority="12">
      <formula>kvartal &lt; 4</formula>
    </cfRule>
  </conditionalFormatting>
  <conditionalFormatting sqref="J124:K124">
    <cfRule type="expression" dxfId="861" priority="11">
      <formula>kvartal &lt; 4</formula>
    </cfRule>
  </conditionalFormatting>
  <conditionalFormatting sqref="A50:A52">
    <cfRule type="expression" dxfId="860" priority="8">
      <formula>kvartal &lt; 4</formula>
    </cfRule>
  </conditionalFormatting>
  <conditionalFormatting sqref="A69:A74">
    <cfRule type="expression" dxfId="859" priority="7">
      <formula>kvartal &lt; 4</formula>
    </cfRule>
  </conditionalFormatting>
  <conditionalFormatting sqref="A80:A85">
    <cfRule type="expression" dxfId="858" priority="6">
      <formula>kvartal &lt; 4</formula>
    </cfRule>
  </conditionalFormatting>
  <conditionalFormatting sqref="A90:A95">
    <cfRule type="expression" dxfId="857" priority="5">
      <formula>kvartal &lt; 4</formula>
    </cfRule>
  </conditionalFormatting>
  <conditionalFormatting sqref="A102:A107">
    <cfRule type="expression" dxfId="856" priority="4">
      <formula>kvartal &lt; 4</formula>
    </cfRule>
  </conditionalFormatting>
  <conditionalFormatting sqref="A116">
    <cfRule type="expression" dxfId="855" priority="3">
      <formula>kvartal &lt; 4</formula>
    </cfRule>
  </conditionalFormatting>
  <conditionalFormatting sqref="A124">
    <cfRule type="expression" dxfId="854" priority="2">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Q E A A B Q S w M E F A A C A A g A z Y I u U 2 j c L c e k A A A A 9 Q A A A B I A H A B D b 2 5 m a W c v U G F j a 2 F n Z S 5 4 b W w g o h g A K K A U A A A A A A A A A A A A A A A A A A A A A A A A A A A A h Y + x D o I w G I R f h X S n r T U m S H 7 K 4 C p q Y m J c a 6 n Q C M X Q Y n k 3 B x / J V x C j q J v j f X e X 3 N 2 v N 0 j 7 u g o u q r W 6 M Q m a Y I o C Z W S T a 1 M k q H P H M E I p h 4 2 Q J 1 G o Y A g b G / d W J 6 h 0 7 h w T 4 r 3 H f o q b t i C M 0 g n Z Z 8 u t L F U t Q m 2 s E 0 Y q 9 G n l / 1 u I w + 4 1 h j M 8 p 3 g W M U y B j A w y b b 4 + G + Y + 3 R 8 I i 6 5 y X a u 4 O Y S r N Z B R A n l f 4 A 9 Q S w M E F A A C A A g A z Y I u 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2 C L l M G + v n p / g A A A G I B A A A T A B w A R m 9 y b X V s Y X M v U 2 V j d G l v b j E u b S C i G A A o o B Q A A A A A A A A A A A A A A A A A A A A A A A A A A A B 9 j 8 F K w 0 A Q h s 8 N 9 B 2 G P Z Q G 0 h A 9 C S E g p E G k U J Q E L a x L 2 D Q D x m y y d b I p l d K j j + K T 9 M W 6 s U X x 4 l x m Y P 5 v / v k 7 X J t K t 5 C e + 1 U 4 d s Z O 9 y o J S 5 h L I y E C h c Y B W w + S Z I M G 6 Q m p r O w i 2 a 1 R + X F P h K 1 5 1 l Q X W t d T d 8 + X V h e x H z 0 y c e C x b o 2 V C Q + + j y 0 q V a K 9 k b 4 r f / A p Z I d T l t 3 N 0 t X 8 J p k F w f X L v Q W o l Y p 5 w F S 1 z R t p J / 7 Y I 3 1 E L F k l M f C y 0 M L n m x y H T / I N Y W c t Z P e m W + G M R r f H L 7 I W D C a w 7 J s C y c 9 0 h j s z / Z u E H z 9 J 7 I O D C x P m D V i 9 l W S k u q D / s 4 u z 9 s I D C 5 l w n a r 9 z R i e A F B L A Q I t A B Q A A g A I A M 2 C L l N o 3 C 3 H p A A A A P U A A A A S A A A A A A A A A A A A A A A A A A A A A A B D b 2 5 m a W c v U G F j a 2 F n Z S 5 4 b W x Q S w E C L Q A U A A I A C A D N g i 5 T D 8 r p q 6 Q A A A D p A A A A E w A A A A A A A A A A A A A A A A D w A A A A W 0 N v b n R l b n R f V H l w Z X N d L n h t b F B L A Q I t A B Q A A g A I A M 2 C L l M G + v n p / g A A A G I B A A A T A A A A A A A A A A A A A A A A A O E B A A B G b 3 J t d W x h c y 9 T Z W N 0 a W 9 u M S 5 t U E s F B g A A A A A D A A M A w g A A A C w D A A A A A D 0 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U H V i b G l j P C 9 X b 3 J r Y m 9 v a 0 d y b 3 V w V H l w Z T 4 8 L 1 B l c m 1 p c 3 N p b 2 5 M a X N 0 P s M L A A A A A A A A o Q 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R h d G E 8 L 0 l 0 Z W 1 Q Y X R o P j w v S X R l b U x v Y 2 F 0 a W 9 u P j x T d G F i b G V F b n R y a W V z P j x F b n R y e S B U e X B l P S J J c 1 B y a X Z h d G U i I F Z h b H V l P S J s M C I g L z 4 8 R W 5 0 c n k g V H l w Z T 0 i Q n V m Z m V y T m V 4 d F J l Z n J l c 2 g i I F Z h b H V l P S J s M S I g L z 4 8 R W 5 0 c n k g V H l w Z T 0 i R m l s b E V u Y W J s Z W Q i I F Z h b H V l P S J s M C I g L z 4 8 R W 5 0 c n k g V H l w Z T 0 i R m l s b F R v R G F 0 Y U 1 v Z G V s R W 5 h Y m x l Z C I g V m F s d W U 9 I m w w I i A v P j x F b n R y e S B U e X B l P S J S Z X N 1 b H R U e X B l I i B W Y W x 1 Z T 0 i c 1 R h Y m x l I i A v P j x F b n R y e S B U e X B l P S J O Y W 1 l V X B k Y X R l Z E F m d G V y R m l s b C I g V m F s d W U 9 I m w w I i A v P j x F b n R y e S B U e X B l P S J G a W x s Z W R D b 2 1 w b G V 0 Z V J l c 3 V s d F R v V 2 9 y a 3 N o Z W V 0 I i B W Y W x 1 Z T 0 i b D E i I C 8 + P E V u d H J 5 I F R 5 c G U 9 I l J l Y 2 9 2 Z X J 5 V G F y Z 2 V 0 U 2 h l Z X Q i I F Z h b H V l P S J z Q X J r M i I g L z 4 8 R W 5 0 c n k g V H l w Z T 0 i U m V j b 3 Z l c n l U Y X J n Z X R D b 2 x 1 b W 4 i I F Z h b H V l P S J s M S I g L z 4 8 R W 5 0 c n k g V H l w Z T 0 i U m V j b 3 Z l c n l U Y X J n Z X R S b 3 c i I F Z h b H V l P S J s M S I g L z 4 8 R W 5 0 c n k g V H l w Z T 0 i U X V l c n l J R C I g V m F s d W U 9 I n M 0 Z T g z Y W R k O S 1 l Y 2 N i L T R l Z j Y t O W N m O C 0 2 Y j I 5 O G R m M D Q 0 Y z k i I C 8 + P E V u d H J 5 I F R 5 c G U 9 I k 5 h d m l n Y X R p b 2 5 T d G V w T m F t Z S I g V m F s d W U 9 I n N O Y X Z p Z 2 F 0 a W 9 u I i A v P j x F b n R y e S B U e X B l P S J G a W x s T G F z d F V w Z G F 0 Z W Q i I F Z h b H V l P S J k M j A y M S 0 w O S 0 w O V Q w O T o z N D o 0 M i 4 1 O D E 2 N D Y 1 W i I g L z 4 8 R W 5 0 c n k g V H l w Z T 0 i R m l s b E V y c m 9 y Q 2 9 1 b n Q i I F Z h b H V l P S J s M C I g L z 4 8 R W 5 0 c n k g V H l w Z T 0 i R m l s b E N v b H V t b l R 5 c G V z I i B W Y W x 1 Z T 0 i c 0 J n S U N B Z 0 l D Q W d V P S I g L z 4 8 R W 5 0 c n k g V H l w Z T 0 i R m l s b E V y c m 9 y Q 2 9 k Z S I g V m F s d W U 9 I n N V b m t u b 3 d u I i A v P j x F b n R y e S B U e X B l P S J G a W x s Q 2 9 1 b n Q i I F Z h b H V l P S J s N z Y 3 M i I g L z 4 8 R W 5 0 c n k g V H l w Z T 0 i R m l s b E N v b H V t b k 5 h b W V z I i B W Y W x 1 Z T 0 i c 1 s m c X V v d D t z w 7 h r Z W 7 D u G t r Z W w m c X V v d D s s J n F 1 b 3 Q 7 c 2 V s c 2 t h c F 9 p Z C Z x d W 9 0 O y w m c X V v d D v D p X I m c X V v d D s s J n F 1 b 3 Q 7 a 3 Z h c n R h b C Z x d W 9 0 O y w m c X V v d D t 0 Y W J l b G x f a W Q m c X V v d D s s J n F 1 b 3 Q 7 c m F k X 2 l k J n F 1 b 3 Q 7 L C Z x d W 9 0 O 2 t h d G V n b 3 J p X 2 l k J n F 1 b 3 Q 7 L C Z x d W 9 0 O 3 Z l c m R p J n F 1 b 3 Q 7 X S I g L z 4 8 R W 5 0 c n k g V H l w Z T 0 i Q W R k Z W R U b 0 R h d G F N b 2 R l b C I g V m F s d W U 9 I m w w 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D b 2 x 1 b W 5 D b 3 V u d C Z x d W 9 0 O z o 4 L C Z x d W 9 0 O 0 t l e U N v b H V t b k 5 h b W V z J n F 1 b 3 Q 7 O l t d L C Z x d W 9 0 O 0 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1 J l b G F 0 a W 9 u c 2 h p c E l u Z m 8 m c X V v d D s 6 W 1 1 9 I i A v P j x F b n R y e S B U e X B l P S J G a W x s T 2 J q Z W N 0 V H l w Z S I g V m F s d W U 9 I n N D b 2 5 u Z W N 0 a W 9 u T 2 5 s e S I g L z 4 8 L 1 N 0 Y W J s Z U V u d H J p Z X M + P C 9 J d G V t P j x J d G V t P j x J d G V t T G 9 j Y X R p b 2 4 + P E l 0 Z W 1 U e X B l P k Z v c m 1 1 b G E 8 L 0 l 0 Z W 1 U e X B l P j x J d G V t U G F 0 a D 5 T Z W N 0 a W 9 u M S 9 E Y X R h L 0 t p b G R l P C 9 J d G V t U G F 0 a D 4 8 L 0 l 0 Z W 1 M b 2 N h d G l v b j 4 8 U 3 R h Y m x l R W 5 0 c m l l c y A v P j w v S X R l b T 4 8 S X R l b T 4 8 S X R l b U x v Y 2 F 0 a W 9 u P j x J d G V t V H l w Z T 5 G b 3 J t d W x h P C 9 J d G V t V H l w Z T 4 8 S X R l b V B h d G g + U 2 V j d G l v b j E v R G F 0 Y S 9 Q Y X J h b W V 0 Z X J W Z X J k a T w v S X R l b V B h d G g + P C 9 J d G V t T G 9 j Y X R p b 2 4 + P F N 0 Y W J s Z U V u d H J p Z X M g L z 4 8 L 0 l 0 Z W 0 + P C 9 J d G V t c z 4 8 L 0 x v Y 2 F s U G F j a 2 F n Z U 1 l d G F k Y X R h R m l s Z T 4 W A A A A U E s F B g A A A A A A A A A A A A A A A A A A A A A A A N o A A A A B A A A A 0 I y d 3 w E V 0 R G M e g D A T 8 K X 6 w E A A A D y l 8 / z 8 X d G S Y k S e r c O N Y F G A A A A A A I A A A A A A A N m A A D A A A A A E A A A A P 2 y x 3 x S c E S b + C Y y u x 2 O n h g A A A A A B I A A A K A A A A A Q A A A A A 0 3 6 n X P o j m W I k H c 4 6 1 J 6 4 1 A A A A D 9 I u l e U q t e x 4 l 6 V y i 6 a 8 c 3 9 w F h 8 H J X Y g Q C i h G J X v T / 7 U r Y 8 D 7 s W K s x A l 4 B k Y 9 S W B Z c A o T F 8 e r q J t V v V n H o Q d + z f a L E w X s P D g U + 3 F o o w S 8 h f B Q A A A A z D K F s H Z y z O z l W I c B h q k e Q y k w M O Q = = < / 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2020-123998358-361</_dlc_DocId>
    <_dlc_DocIdUrl xmlns="6edf9311-6556-4af2-85ff-d57844cfe120">
      <Url>https://finansnorge.sharepoint.com/sites/intranett/arkiv/_layouts/15/DocIdRedir.aspx?ID=2020-123998358-361</Url>
      <Description>2020-123998358-361</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1B1B778A-B1BE-4B40-91D6-8C768D6A13F4}"/>
</file>

<file path=customXml/itemProps3.xml><?xml version="1.0" encoding="utf-8"?>
<ds:datastoreItem xmlns:ds="http://schemas.openxmlformats.org/officeDocument/2006/customXml" ds:itemID="{3549D991-EDAF-4E9E-AF83-EC0E048CE49F}"/>
</file>

<file path=customXml/itemProps4.xml><?xml version="1.0" encoding="utf-8"?>
<ds:datastoreItem xmlns:ds="http://schemas.openxmlformats.org/officeDocument/2006/customXml" ds:itemID="{7FD0F197-E3E3-4AE7-BE26-565093AE964D}"/>
</file>

<file path=customXml/itemProps5.xml><?xml version="1.0" encoding="utf-8"?>
<ds:datastoreItem xmlns:ds="http://schemas.openxmlformats.org/officeDocument/2006/customXml" ds:itemID="{A5A41E49-2643-4DA3-817A-30F1847799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37</vt:i4>
      </vt:variant>
      <vt:variant>
        <vt:lpstr>Navngitte områder</vt:lpstr>
      </vt:variant>
      <vt:variant>
        <vt:i4>4</vt:i4>
      </vt:variant>
    </vt:vector>
  </HeadingPairs>
  <TitlesOfParts>
    <vt:vector size="41" baseType="lpstr">
      <vt:lpstr>Forside</vt:lpstr>
      <vt:lpstr>Innhold</vt:lpstr>
      <vt:lpstr>Figurer</vt:lpstr>
      <vt:lpstr>Tabel 1.1</vt:lpstr>
      <vt:lpstr>Tabell 1.2</vt:lpstr>
      <vt:lpstr>Tabell 1.3</vt:lpstr>
      <vt:lpstr>Skjema total MA</vt:lpstr>
      <vt:lpstr>Codan Forsikring</vt:lpstr>
      <vt:lpstr>Danica Pensjonsforsikring</vt:lpstr>
      <vt:lpstr>DNB Bedriftspensjon AS</vt:lpstr>
      <vt:lpstr>DNB Livsforsikring</vt:lpstr>
      <vt:lpstr>Eika Forsikring AS</vt:lpstr>
      <vt:lpstr>Euro Accident</vt:lpstr>
      <vt:lpstr>Fremtind Livsforsikring</vt:lpstr>
      <vt:lpstr>Frende Livsforsikring</vt:lpstr>
      <vt:lpstr>Frende Skadeforsikring</vt:lpstr>
      <vt:lpstr>Gjensidige Forsikring</vt:lpstr>
      <vt:lpstr>Gjensidige Pensjon</vt:lpstr>
      <vt:lpstr>Handelsbanken Liv</vt:lpstr>
      <vt:lpstr>If Skadeforsikring NUF</vt:lpstr>
      <vt:lpstr>Insr</vt:lpstr>
      <vt:lpstr>KLP</vt:lpstr>
      <vt:lpstr>KLP Skadeforsikring AS</vt:lpstr>
      <vt:lpstr>Landkreditt Forsikring</vt:lpstr>
      <vt:lpstr>Nordea Liv </vt:lpstr>
      <vt:lpstr>Oslo Pensjonsforsikring</vt:lpstr>
      <vt:lpstr>Protector Forsikring</vt:lpstr>
      <vt:lpstr>SHB Liv</vt:lpstr>
      <vt:lpstr>Sparebank 1</vt:lpstr>
      <vt:lpstr>Storebrand Livsforsikring</vt:lpstr>
      <vt:lpstr>Telenor Forsikring</vt:lpstr>
      <vt:lpstr>Tryg Forsikring</vt:lpstr>
      <vt:lpstr>WaterCircle F</vt:lpstr>
      <vt:lpstr>Tabell 4</vt:lpstr>
      <vt:lpstr>Tabell 6</vt:lpstr>
      <vt:lpstr>Tabell 8</vt:lpstr>
      <vt:lpstr>Noter og kommentarer</vt:lpstr>
      <vt:lpstr>'Fremtind Livsforsikring'!Utskriftsområde</vt:lpstr>
      <vt:lpstr>Insr!Utskriftsområde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2021-09-14T13:57:47Z</cp:lastPrinted>
  <dcterms:created xsi:type="dcterms:W3CDTF">2010-12-15T10:21:26Z</dcterms:created>
  <dcterms:modified xsi:type="dcterms:W3CDTF">2022-05-11T10:19:31Z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69f1ad0e-0a69-4611-868a-667808a9056f</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