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charts/chart5.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worksheets/sheet12.xml" ContentType="application/vnd.openxmlformats-officedocument.spreadsheetml.worksheet+xml"/>
  <Override PartName="/xl/charts/chart6.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connections.xml" ContentType="application/vnd.openxmlformats-officedocument.spreadsheetml.connection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O:\Statistikk og analyse\Livstatistikk\Faste statistikker\MA\2020\Q2-2020\Publisert\"/>
    </mc:Choice>
  </mc:AlternateContent>
  <xr:revisionPtr revIDLastSave="0" documentId="13_ncr:1_{341EB43D-3A2D-4FC1-AD66-7659511E150D}" xr6:coauthVersionLast="45" xr6:coauthVersionMax="45" xr10:uidLastSave="{00000000-0000-0000-0000-000000000000}"/>
  <bookViews>
    <workbookView xWindow="-120" yWindow="-120" windowWidth="29040" windowHeight="15840"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Danica Pensjonsforsikring" sheetId="18" r:id="rId8"/>
    <sheet name="DNB Livsforsikring" sheetId="13" r:id="rId9"/>
    <sheet name="Eika Forsikring AS" sheetId="19" r:id="rId10"/>
    <sheet name="Fremtind Livsforsikring" sheetId="16" r:id="rId11"/>
    <sheet name="Frende Livsforsikring" sheetId="20" r:id="rId12"/>
    <sheet name="Frende Skadeforsikring" sheetId="21" r:id="rId13"/>
    <sheet name="Gjensidige Forsikring" sheetId="22" r:id="rId14"/>
    <sheet name="Gjensidige Pensjon" sheetId="23" r:id="rId15"/>
    <sheet name="Handelsbanken Liv" sheetId="24" r:id="rId16"/>
    <sheet name="If Skadeforsikring NUF" sheetId="25" r:id="rId17"/>
    <sheet name="Insr" sheetId="41" r:id="rId18"/>
    <sheet name="KLP" sheetId="26" r:id="rId19"/>
    <sheet name="KLP Bedriftspensjon AS" sheetId="27" r:id="rId20"/>
    <sheet name="KLP Skadeforsikring AS" sheetId="51" r:id="rId21"/>
    <sheet name="Landkreditt Forsikring" sheetId="40" r:id="rId22"/>
    <sheet name="Nordea Liv " sheetId="29" r:id="rId23"/>
    <sheet name="Oslo Pensjonsforsikring" sheetId="34" r:id="rId24"/>
    <sheet name="Protector Forsikring" sheetId="72" r:id="rId25"/>
    <sheet name="SHB Liv" sheetId="35" r:id="rId26"/>
    <sheet name="Sparebank 1" sheetId="33" r:id="rId27"/>
    <sheet name="Storebrand Livsforsikring" sheetId="37" r:id="rId28"/>
    <sheet name="Telenor Forsikring" sheetId="38" r:id="rId29"/>
    <sheet name="Tryg Forsikring" sheetId="39" r:id="rId30"/>
    <sheet name="WaterCircle F" sheetId="74" r:id="rId31"/>
    <sheet name="Tabell 4" sheetId="65" r:id="rId32"/>
    <sheet name="Tabell 6" sheetId="62" r:id="rId33"/>
    <sheet name="Tabell 8" sheetId="75" r:id="rId34"/>
    <sheet name="Noter og kommentarer" sheetId="3" r:id="rId35"/>
  </sheets>
  <externalReferences>
    <externalReference r:id="rId36"/>
    <externalReference r:id="rId37"/>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10">'Fremtind Livsforsikring'!$A$1:$M$137</definedName>
    <definedName name="_xlnm.Print_Area" localSheetId="17">Insr!$A$1:$M$137</definedName>
    <definedName name="_xlnm.Print_Area" localSheetId="34">'Noter og kommentarer'!$A$1:$L$43</definedName>
    <definedName name="_xlnm.Print_Area" localSheetId="6">'Skjema total MA'!$A$1:$J$138</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78" i="62" l="1"/>
  <c r="AN53" i="62"/>
  <c r="AN46" i="62"/>
  <c r="AK24" i="62"/>
  <c r="AK58" i="62"/>
  <c r="AE21" i="62"/>
  <c r="AE78" i="62"/>
  <c r="AE77" i="62"/>
  <c r="AE76" i="62"/>
  <c r="AB56" i="62"/>
  <c r="AB58" i="62"/>
  <c r="Y78" i="62"/>
  <c r="Y17" i="62"/>
  <c r="V52" i="62"/>
  <c r="V78" i="62"/>
  <c r="V82" i="62"/>
  <c r="V84" i="62"/>
  <c r="P14" i="62"/>
  <c r="P19" i="62"/>
  <c r="P34" i="62"/>
  <c r="P46" i="62"/>
  <c r="P49" i="62"/>
  <c r="P71" i="62"/>
  <c r="P76" i="62"/>
  <c r="P78" i="62"/>
  <c r="M75" i="62"/>
  <c r="M70" i="62"/>
  <c r="M36" i="62"/>
  <c r="M17" i="62"/>
  <c r="J88" i="62"/>
  <c r="J87" i="62"/>
  <c r="J75" i="62"/>
  <c r="J43" i="62"/>
  <c r="J42" i="62"/>
  <c r="J23" i="62"/>
  <c r="G46" i="62"/>
  <c r="G78" i="62"/>
  <c r="D70" i="62"/>
  <c r="D58" i="62"/>
  <c r="G19" i="62"/>
  <c r="G18" i="62"/>
  <c r="G17" i="62"/>
  <c r="AH42" i="65"/>
  <c r="AE33" i="65"/>
  <c r="AE27" i="65"/>
  <c r="AE20" i="65"/>
  <c r="AE13" i="65"/>
  <c r="AE12" i="65"/>
  <c r="S23" i="65"/>
  <c r="S29" i="65"/>
  <c r="P26" i="65"/>
  <c r="P17" i="65"/>
  <c r="M30" i="65"/>
  <c r="M25" i="65"/>
  <c r="J33" i="65"/>
  <c r="L8" i="74"/>
  <c r="H26" i="29"/>
  <c r="H25" i="29"/>
  <c r="H23" i="29"/>
  <c r="L30" i="20"/>
  <c r="L33" i="20"/>
  <c r="L32" i="20"/>
  <c r="H33" i="20"/>
  <c r="H32" i="20"/>
  <c r="D32" i="20"/>
  <c r="D30" i="20"/>
  <c r="H31" i="9"/>
  <c r="J60" i="9"/>
  <c r="N76" i="8"/>
  <c r="M76" i="8"/>
  <c r="N69" i="8"/>
  <c r="N65" i="8"/>
  <c r="M65" i="8"/>
  <c r="N64" i="8"/>
  <c r="N68" i="8"/>
  <c r="N73" i="8"/>
  <c r="M73" i="8"/>
  <c r="M69" i="8"/>
  <c r="M64" i="8"/>
  <c r="H33" i="37"/>
  <c r="H32" i="37"/>
  <c r="H31" i="37"/>
  <c r="H30" i="37"/>
  <c r="D31" i="37"/>
  <c r="D30" i="37"/>
  <c r="H26" i="37"/>
  <c r="H25" i="37"/>
  <c r="H24" i="37"/>
  <c r="H23" i="37"/>
  <c r="D24" i="37"/>
  <c r="D23" i="37"/>
  <c r="H33" i="33"/>
  <c r="H32" i="33"/>
  <c r="H31" i="33"/>
  <c r="H30" i="33"/>
  <c r="D31" i="33"/>
  <c r="D30" i="33"/>
  <c r="D24" i="33"/>
  <c r="D23" i="33"/>
  <c r="H26" i="33"/>
  <c r="H25" i="33"/>
  <c r="H24" i="33"/>
  <c r="H23" i="33"/>
  <c r="H33" i="35"/>
  <c r="H31" i="35"/>
  <c r="H30" i="35"/>
  <c r="H26" i="35"/>
  <c r="H23" i="35"/>
  <c r="H33" i="29"/>
  <c r="H32" i="29"/>
  <c r="H31" i="29"/>
  <c r="H30" i="29"/>
  <c r="D32" i="29"/>
  <c r="D31" i="29"/>
  <c r="D30" i="29"/>
  <c r="D24" i="29"/>
  <c r="D23" i="29"/>
  <c r="D24" i="24"/>
  <c r="D31" i="24"/>
  <c r="H33" i="23"/>
  <c r="H32" i="23"/>
  <c r="H31" i="23"/>
  <c r="H30" i="23"/>
  <c r="H26" i="23"/>
  <c r="H23" i="23"/>
  <c r="D25" i="20"/>
  <c r="H26" i="20"/>
  <c r="H25" i="20"/>
  <c r="D23" i="20"/>
  <c r="H32" i="13"/>
  <c r="H31" i="13"/>
  <c r="H30" i="13"/>
  <c r="D32" i="13" l="1"/>
  <c r="D31" i="13"/>
  <c r="D30" i="13"/>
  <c r="D25" i="13"/>
  <c r="D24" i="13"/>
  <c r="D23" i="13"/>
  <c r="H25" i="13"/>
  <c r="H24" i="13"/>
  <c r="H23" i="13"/>
  <c r="AP24" i="62" l="1"/>
  <c r="H33" i="18" l="1"/>
  <c r="H32" i="18"/>
  <c r="H31" i="18"/>
  <c r="H30" i="18"/>
  <c r="H26" i="18"/>
  <c r="H25" i="18"/>
  <c r="H24" i="18"/>
  <c r="H23" i="18"/>
  <c r="N139" i="8"/>
  <c r="M139" i="8"/>
  <c r="N114" i="8"/>
  <c r="M114" i="8"/>
  <c r="N87" i="8"/>
  <c r="M87" i="8"/>
  <c r="N58" i="8"/>
  <c r="M58" i="8"/>
  <c r="N37" i="8"/>
  <c r="M37" i="8"/>
  <c r="G31" i="9"/>
  <c r="G73" i="9" s="1"/>
  <c r="H30" i="9"/>
  <c r="H72" i="9" s="1"/>
  <c r="H73" i="9"/>
  <c r="G30" i="9"/>
  <c r="G72" i="9" s="1"/>
  <c r="B31" i="9" l="1"/>
  <c r="B12" i="9"/>
  <c r="B73" i="9" l="1"/>
  <c r="D31" i="9"/>
  <c r="M31" i="8"/>
  <c r="U85" i="62"/>
  <c r="T85" i="62"/>
  <c r="U79" i="62"/>
  <c r="T79" i="62"/>
  <c r="U62" i="62"/>
  <c r="U64" i="62" s="1"/>
  <c r="T54" i="62"/>
  <c r="T50" i="62"/>
  <c r="T39" i="62"/>
  <c r="T35" i="62"/>
  <c r="T45" i="62" s="1"/>
  <c r="T20" i="62"/>
  <c r="T16" i="62"/>
  <c r="T40" i="65"/>
  <c r="T29" i="65"/>
  <c r="T21" i="65"/>
  <c r="T14" i="65"/>
  <c r="T91" i="62" l="1"/>
  <c r="T27" i="62"/>
  <c r="T29" i="62" s="1"/>
  <c r="U91" i="62"/>
  <c r="T34" i="65"/>
  <c r="T41" i="65" s="1"/>
  <c r="T43" i="65" s="1"/>
  <c r="T45" i="65" s="1"/>
  <c r="T60" i="62"/>
  <c r="T62" i="62" s="1"/>
  <c r="C85" i="62"/>
  <c r="B85" i="62"/>
  <c r="C79" i="62"/>
  <c r="B79" i="62"/>
  <c r="C59" i="62"/>
  <c r="C54" i="62" s="1"/>
  <c r="B59" i="62"/>
  <c r="B54" i="62" s="1"/>
  <c r="C39" i="62"/>
  <c r="B39" i="62"/>
  <c r="B45" i="62" s="1"/>
  <c r="C45" i="62"/>
  <c r="C28" i="62"/>
  <c r="B28" i="62"/>
  <c r="C20" i="62"/>
  <c r="C27" i="62" s="1"/>
  <c r="B20" i="62"/>
  <c r="C40" i="65"/>
  <c r="B40" i="65"/>
  <c r="C23" i="65"/>
  <c r="C29" i="65" s="1"/>
  <c r="B23" i="65"/>
  <c r="B29" i="65" s="1"/>
  <c r="C19" i="65"/>
  <c r="C21" i="65" s="1"/>
  <c r="B19" i="65"/>
  <c r="B21" i="65" s="1"/>
  <c r="C11" i="65"/>
  <c r="C14" i="65" s="1"/>
  <c r="B11" i="65"/>
  <c r="B14" i="65" s="1"/>
  <c r="T64" i="62" l="1"/>
  <c r="B91" i="62"/>
  <c r="C91" i="62"/>
  <c r="B27" i="62"/>
  <c r="B29" i="62" s="1"/>
  <c r="C29" i="62"/>
  <c r="C60" i="62"/>
  <c r="C62" i="62" s="1"/>
  <c r="B60" i="62"/>
  <c r="B62" i="62" s="1"/>
  <c r="B34" i="65"/>
  <c r="B41" i="65" s="1"/>
  <c r="B43" i="65" s="1"/>
  <c r="B45" i="65" s="1"/>
  <c r="C34" i="65"/>
  <c r="C41" i="65" s="1"/>
  <c r="C43" i="65" s="1"/>
  <c r="C45" i="65" s="1"/>
  <c r="C64" i="62" l="1"/>
  <c r="B64" i="62"/>
  <c r="L85" i="62"/>
  <c r="K85" i="62"/>
  <c r="L79" i="62"/>
  <c r="K79" i="62"/>
  <c r="K91" i="62" s="1"/>
  <c r="L55" i="62"/>
  <c r="L54" i="62" s="1"/>
  <c r="L60" i="62" s="1"/>
  <c r="K55" i="62"/>
  <c r="K54" i="62" s="1"/>
  <c r="L39" i="62"/>
  <c r="K39" i="62"/>
  <c r="L35" i="62"/>
  <c r="L45" i="62" s="1"/>
  <c r="K35" i="62"/>
  <c r="L20" i="62"/>
  <c r="K20" i="62"/>
  <c r="L16" i="62"/>
  <c r="K16" i="62"/>
  <c r="L40" i="65"/>
  <c r="K40" i="65"/>
  <c r="L29" i="65"/>
  <c r="L21" i="65"/>
  <c r="K21" i="65"/>
  <c r="L14" i="65"/>
  <c r="K14" i="65"/>
  <c r="M16" i="62" l="1"/>
  <c r="L27" i="62"/>
  <c r="L29" i="62" s="1"/>
  <c r="K45" i="62"/>
  <c r="M35" i="62"/>
  <c r="K27" i="62"/>
  <c r="K29" i="62" s="1"/>
  <c r="K34" i="65"/>
  <c r="K41" i="65" s="1"/>
  <c r="K43" i="65" s="1"/>
  <c r="K45" i="65" s="1"/>
  <c r="L34" i="65"/>
  <c r="L41" i="65" s="1"/>
  <c r="L43" i="65" s="1"/>
  <c r="L45" i="65" s="1"/>
  <c r="L91" i="62"/>
  <c r="K60" i="62"/>
  <c r="L62" i="62"/>
  <c r="L64" i="62" s="1"/>
  <c r="K62" i="62" l="1"/>
  <c r="K64" i="62" s="1"/>
  <c r="R79" i="62"/>
  <c r="R91" i="62" s="1"/>
  <c r="Q79" i="62"/>
  <c r="Q91" i="62" s="1"/>
  <c r="R20" i="62"/>
  <c r="Q20" i="62"/>
  <c r="Q27" i="62" s="1"/>
  <c r="Q29" i="62" s="1"/>
  <c r="Q64" i="62" s="1"/>
  <c r="R16" i="62"/>
  <c r="AG85" i="62"/>
  <c r="AG91" i="62" s="1"/>
  <c r="AF85" i="62"/>
  <c r="AF91" i="62" s="1"/>
  <c r="AG54" i="62"/>
  <c r="AG60" i="62" s="1"/>
  <c r="AF54" i="62"/>
  <c r="AF60" i="62" s="1"/>
  <c r="AF62" i="62" s="1"/>
  <c r="AG20" i="62"/>
  <c r="AF20" i="62"/>
  <c r="AF27" i="62" s="1"/>
  <c r="AF29" i="62" s="1"/>
  <c r="AG21" i="65"/>
  <c r="AF21" i="65"/>
  <c r="AG14" i="65"/>
  <c r="AF14" i="65"/>
  <c r="R40" i="65"/>
  <c r="Q40" i="65"/>
  <c r="R29" i="65"/>
  <c r="Q29" i="65"/>
  <c r="R21" i="65"/>
  <c r="Q21" i="65"/>
  <c r="R14" i="65"/>
  <c r="Q14" i="65"/>
  <c r="Q34" i="65" l="1"/>
  <c r="Q41" i="65" s="1"/>
  <c r="Q43" i="65" s="1"/>
  <c r="Q45" i="65" s="1"/>
  <c r="AG34" i="65"/>
  <c r="AG41" i="65" s="1"/>
  <c r="AG43" i="65" s="1"/>
  <c r="AG45" i="65" s="1"/>
  <c r="R27" i="62"/>
  <c r="R29" i="62" s="1"/>
  <c r="R34" i="65"/>
  <c r="R41" i="65" s="1"/>
  <c r="R43" i="65" s="1"/>
  <c r="R45" i="65" s="1"/>
  <c r="AF64" i="62"/>
  <c r="AG62" i="62"/>
  <c r="AF34" i="65"/>
  <c r="AF41" i="65" s="1"/>
  <c r="AF43" i="65" s="1"/>
  <c r="AF45" i="65" s="1"/>
  <c r="AG27" i="62"/>
  <c r="AG29" i="62" s="1"/>
  <c r="AG64" i="62" l="1"/>
  <c r="R64" i="62"/>
  <c r="X85" i="62"/>
  <c r="W85" i="62"/>
  <c r="X79" i="62"/>
  <c r="W79" i="62"/>
  <c r="W91" i="62" s="1"/>
  <c r="X54" i="62"/>
  <c r="X60" i="62" s="1"/>
  <c r="W60" i="62"/>
  <c r="W45" i="62"/>
  <c r="X39" i="62"/>
  <c r="X35" i="62"/>
  <c r="X20" i="62"/>
  <c r="W20" i="62"/>
  <c r="X16" i="62"/>
  <c r="X27" i="62" s="1"/>
  <c r="X29" i="62" s="1"/>
  <c r="W16" i="62"/>
  <c r="X40" i="65"/>
  <c r="W40" i="65"/>
  <c r="X29" i="65"/>
  <c r="W29" i="65"/>
  <c r="X21" i="65"/>
  <c r="W21" i="65"/>
  <c r="X14" i="65"/>
  <c r="X34" i="65" s="1"/>
  <c r="X41" i="65" s="1"/>
  <c r="X43" i="65" s="1"/>
  <c r="X45" i="65" s="1"/>
  <c r="W14" i="65"/>
  <c r="W34" i="65" s="1"/>
  <c r="W41" i="65" s="1"/>
  <c r="W43" i="65" s="1"/>
  <c r="W45" i="65" s="1"/>
  <c r="Y16" i="62" l="1"/>
  <c r="X91" i="62"/>
  <c r="X45" i="62"/>
  <c r="W27" i="62"/>
  <c r="W29" i="62" s="1"/>
  <c r="X62" i="62"/>
  <c r="W62" i="62"/>
  <c r="X64" i="62"/>
  <c r="W64" i="62"/>
  <c r="F85" i="62"/>
  <c r="E85" i="62"/>
  <c r="F79" i="62"/>
  <c r="E79" i="62"/>
  <c r="F54" i="62"/>
  <c r="E54" i="62"/>
  <c r="E60" i="62"/>
  <c r="F39" i="62"/>
  <c r="E39" i="62"/>
  <c r="F35" i="62"/>
  <c r="E35" i="62"/>
  <c r="F28" i="62"/>
  <c r="E28" i="62"/>
  <c r="F20" i="62"/>
  <c r="E20" i="62"/>
  <c r="F16" i="62"/>
  <c r="E16" i="62"/>
  <c r="G16" i="62" s="1"/>
  <c r="E15" i="62"/>
  <c r="F40" i="65"/>
  <c r="E40" i="65"/>
  <c r="F29" i="65"/>
  <c r="E29" i="65"/>
  <c r="F21" i="65"/>
  <c r="E21" i="65"/>
  <c r="F14" i="65"/>
  <c r="E14" i="65"/>
  <c r="E27" i="62" l="1"/>
  <c r="E29" i="62" s="1"/>
  <c r="F27" i="62"/>
  <c r="F29" i="62" s="1"/>
  <c r="F91" i="62"/>
  <c r="F60" i="62"/>
  <c r="E34" i="65"/>
  <c r="E41" i="65" s="1"/>
  <c r="E43" i="65" s="1"/>
  <c r="E45" i="65" s="1"/>
  <c r="F34" i="65"/>
  <c r="F41" i="65" s="1"/>
  <c r="F43" i="65" s="1"/>
  <c r="F45" i="65" s="1"/>
  <c r="F45" i="62"/>
  <c r="F62" i="62" s="1"/>
  <c r="E45" i="62"/>
  <c r="E62" i="62" s="1"/>
  <c r="AA14" i="75"/>
  <c r="Z14" i="75"/>
  <c r="AC88" i="62"/>
  <c r="AD79" i="62"/>
  <c r="AD91" i="62" s="1"/>
  <c r="AC79" i="62"/>
  <c r="AC91" i="62" s="1"/>
  <c r="AD39" i="62"/>
  <c r="AC39" i="62"/>
  <c r="AD35" i="62"/>
  <c r="AC35" i="62"/>
  <c r="AD34" i="62"/>
  <c r="AC28" i="62"/>
  <c r="AD20" i="62"/>
  <c r="AC20" i="62"/>
  <c r="AD16" i="62"/>
  <c r="AC16" i="62"/>
  <c r="AC27" i="62" s="1"/>
  <c r="AD15" i="62"/>
  <c r="AD40" i="65"/>
  <c r="AC40" i="65"/>
  <c r="AD29" i="65"/>
  <c r="AC29" i="65"/>
  <c r="AD21" i="65"/>
  <c r="AC21" i="65"/>
  <c r="AD14" i="65"/>
  <c r="AC14" i="65"/>
  <c r="AC45" i="62" l="1"/>
  <c r="F64" i="62"/>
  <c r="AC29" i="62"/>
  <c r="AD34" i="65"/>
  <c r="AD41" i="65" s="1"/>
  <c r="AD43" i="65" s="1"/>
  <c r="AD45" i="65" s="1"/>
  <c r="AC62" i="62"/>
  <c r="AC34" i="65"/>
  <c r="AC41" i="65" s="1"/>
  <c r="AC43" i="65" s="1"/>
  <c r="AC45" i="65" s="1"/>
  <c r="AD27" i="62"/>
  <c r="AD29" i="62" s="1"/>
  <c r="AD45" i="62"/>
  <c r="AD62" i="62" s="1"/>
  <c r="O85" i="62"/>
  <c r="N85" i="62"/>
  <c r="O79" i="62"/>
  <c r="O91" i="62" s="1"/>
  <c r="N79" i="62"/>
  <c r="O59" i="62"/>
  <c r="N59" i="62"/>
  <c r="N54" i="62" s="1"/>
  <c r="N60" i="62" s="1"/>
  <c r="O54" i="62"/>
  <c r="N44" i="62"/>
  <c r="N39" i="62" s="1"/>
  <c r="O39" i="62"/>
  <c r="O35" i="62"/>
  <c r="N35" i="62"/>
  <c r="O28" i="62"/>
  <c r="N28" i="62"/>
  <c r="O20" i="62"/>
  <c r="N20" i="62"/>
  <c r="O16" i="62"/>
  <c r="N16" i="62"/>
  <c r="O40" i="65"/>
  <c r="N40" i="65"/>
  <c r="O23" i="65"/>
  <c r="O29" i="65" s="1"/>
  <c r="N23" i="65"/>
  <c r="N29" i="65" s="1"/>
  <c r="O19" i="65"/>
  <c r="O21" i="65" s="1"/>
  <c r="N19" i="65"/>
  <c r="N21" i="65" s="1"/>
  <c r="O14" i="65"/>
  <c r="N14" i="65"/>
  <c r="P16" i="62" l="1"/>
  <c r="AD64" i="62"/>
  <c r="AC64" i="62"/>
  <c r="N45" i="62"/>
  <c r="N62" i="62" s="1"/>
  <c r="O27" i="62"/>
  <c r="O29" i="62" s="1"/>
  <c r="O45" i="62"/>
  <c r="N27" i="62"/>
  <c r="N29" i="62" s="1"/>
  <c r="N91" i="62"/>
  <c r="O34" i="65"/>
  <c r="O41" i="65" s="1"/>
  <c r="O43" i="65" s="1"/>
  <c r="O45" i="65" s="1"/>
  <c r="O60" i="62"/>
  <c r="N34" i="65"/>
  <c r="N41" i="65" s="1"/>
  <c r="N43" i="65" s="1"/>
  <c r="N45" i="65" s="1"/>
  <c r="I79" i="62"/>
  <c r="I91" i="62" s="1"/>
  <c r="I45" i="62"/>
  <c r="I62" i="62" s="1"/>
  <c r="I27" i="62"/>
  <c r="I29" i="62" s="1"/>
  <c r="I40" i="65"/>
  <c r="I29" i="65"/>
  <c r="I21" i="65"/>
  <c r="I14" i="65"/>
  <c r="O62" i="62" l="1"/>
  <c r="O64" i="62" s="1"/>
  <c r="N64" i="62"/>
  <c r="I34" i="65"/>
  <c r="I41" i="65" s="1"/>
  <c r="I43" i="65" s="1"/>
  <c r="I45" i="65" s="1"/>
  <c r="I64" i="62"/>
  <c r="AA85" i="62"/>
  <c r="Z85" i="62"/>
  <c r="AA79" i="62"/>
  <c r="Z79" i="62"/>
  <c r="Z91" i="62" s="1"/>
  <c r="AA54" i="62"/>
  <c r="Z54" i="62"/>
  <c r="AA39" i="62"/>
  <c r="Z39" i="62"/>
  <c r="AA35" i="62"/>
  <c r="Z35" i="62"/>
  <c r="Z45" i="62" s="1"/>
  <c r="AA20" i="62"/>
  <c r="Z20" i="62"/>
  <c r="AA16" i="62"/>
  <c r="Z16" i="62"/>
  <c r="AA40" i="65"/>
  <c r="Z40" i="65"/>
  <c r="AA29" i="65"/>
  <c r="Z29" i="65"/>
  <c r="AA21" i="65"/>
  <c r="Z21" i="65"/>
  <c r="AA14" i="65"/>
  <c r="Z14" i="65"/>
  <c r="Z27" i="62" l="1"/>
  <c r="Z29" i="62" s="1"/>
  <c r="AA27" i="62"/>
  <c r="AA29" i="62" s="1"/>
  <c r="AA91" i="62"/>
  <c r="AA34" i="65"/>
  <c r="AA41" i="65" s="1"/>
  <c r="AA43" i="65" s="1"/>
  <c r="AA45" i="65" s="1"/>
  <c r="Z34" i="65"/>
  <c r="Z41" i="65" s="1"/>
  <c r="Z43" i="65" s="1"/>
  <c r="Z45" i="65" s="1"/>
  <c r="AA60" i="62"/>
  <c r="AA45" i="62"/>
  <c r="Z60" i="62"/>
  <c r="Z62" i="62" s="1"/>
  <c r="Z64" i="62" s="1"/>
  <c r="AD14" i="75"/>
  <c r="AJ85" i="62"/>
  <c r="AI85" i="62"/>
  <c r="AJ79" i="62"/>
  <c r="AI79" i="62"/>
  <c r="AJ54" i="62"/>
  <c r="AI54" i="62"/>
  <c r="AJ39" i="62"/>
  <c r="AI39" i="62"/>
  <c r="AJ35" i="62"/>
  <c r="AI35" i="62"/>
  <c r="AJ20" i="62"/>
  <c r="AI20" i="62"/>
  <c r="AJ16" i="62"/>
  <c r="AI16" i="62"/>
  <c r="AI27" i="62" s="1"/>
  <c r="AI29" i="62" s="1"/>
  <c r="AJ40" i="65"/>
  <c r="AI40" i="65"/>
  <c r="AJ29" i="65"/>
  <c r="AI29" i="65"/>
  <c r="AJ21" i="65"/>
  <c r="AI21" i="65"/>
  <c r="AJ14" i="65"/>
  <c r="AI14" i="65"/>
  <c r="AJ27" i="62" l="1"/>
  <c r="AJ29" i="62" s="1"/>
  <c r="AJ60" i="62"/>
  <c r="AI34" i="65"/>
  <c r="AI41" i="65" s="1"/>
  <c r="AI43" i="65" s="1"/>
  <c r="AI45" i="65" s="1"/>
  <c r="AA62" i="62"/>
  <c r="AA64" i="62" s="1"/>
  <c r="AJ45" i="62"/>
  <c r="AJ62" i="62" s="1"/>
  <c r="AI45" i="62"/>
  <c r="AI91" i="62"/>
  <c r="AJ91" i="62"/>
  <c r="AJ34" i="65"/>
  <c r="AJ41" i="65" s="1"/>
  <c r="AJ43" i="65" s="1"/>
  <c r="AJ45" i="65" s="1"/>
  <c r="AI60" i="62"/>
  <c r="AM85" i="62"/>
  <c r="AL85" i="62"/>
  <c r="AM79" i="62"/>
  <c r="AL79" i="62"/>
  <c r="AM57" i="62"/>
  <c r="AM54" i="62" s="1"/>
  <c r="AL54" i="62"/>
  <c r="AM50" i="62"/>
  <c r="AL50" i="62"/>
  <c r="AN50" i="62" s="1"/>
  <c r="AL41" i="62"/>
  <c r="AL39" i="62" s="1"/>
  <c r="AM39" i="62"/>
  <c r="AM38" i="62"/>
  <c r="AL38" i="62"/>
  <c r="AL35" i="62" s="1"/>
  <c r="AM35" i="62"/>
  <c r="AM28" i="62"/>
  <c r="AL28" i="62"/>
  <c r="AM20" i="62"/>
  <c r="AL20" i="62"/>
  <c r="AM19" i="62"/>
  <c r="AM16" i="62" s="1"/>
  <c r="AM27" i="62" s="1"/>
  <c r="AL19" i="62"/>
  <c r="AL16" i="62" s="1"/>
  <c r="AM40" i="65"/>
  <c r="AL40" i="65"/>
  <c r="AM29" i="65"/>
  <c r="AL29" i="65"/>
  <c r="AM19" i="65"/>
  <c r="AM21" i="65" s="1"/>
  <c r="AL19" i="65"/>
  <c r="AL21" i="65" s="1"/>
  <c r="AM14" i="65"/>
  <c r="AL14" i="65"/>
  <c r="AJ64" i="62" l="1"/>
  <c r="AL60" i="62"/>
  <c r="AM29" i="62"/>
  <c r="AI62" i="62"/>
  <c r="AI64" i="62" s="1"/>
  <c r="AM91" i="62"/>
  <c r="AL91" i="62"/>
  <c r="AL34" i="65"/>
  <c r="AL41" i="65" s="1"/>
  <c r="AL43" i="65" s="1"/>
  <c r="AL45" i="65" s="1"/>
  <c r="AL27" i="62"/>
  <c r="AL29" i="62" s="1"/>
  <c r="AL45" i="62"/>
  <c r="AM60" i="62"/>
  <c r="AM45" i="62"/>
  <c r="AM34" i="65"/>
  <c r="AM41" i="65" s="1"/>
  <c r="AM43" i="65" s="1"/>
  <c r="AM45" i="65" s="1"/>
  <c r="B53" i="9"/>
  <c r="AL62" i="62" l="1"/>
  <c r="AL64" i="62" s="1"/>
  <c r="AM62" i="62"/>
  <c r="AM64" i="62" s="1"/>
  <c r="AJ18" i="75" l="1"/>
  <c r="AI18" i="75"/>
  <c r="G18" i="75"/>
  <c r="AJ16" i="75"/>
  <c r="AI16" i="75"/>
  <c r="G16" i="75"/>
  <c r="D16" i="75"/>
  <c r="AH14" i="75"/>
  <c r="AE14" i="75"/>
  <c r="AB14" i="75"/>
  <c r="Y14" i="75"/>
  <c r="V14" i="75"/>
  <c r="S14" i="75"/>
  <c r="P14" i="75"/>
  <c r="M14" i="75"/>
  <c r="J14" i="75"/>
  <c r="G14" i="75"/>
  <c r="G12" i="75"/>
  <c r="D12" i="75"/>
  <c r="G11" i="75"/>
  <c r="D11" i="75"/>
  <c r="AK16" i="75" l="1"/>
  <c r="AK18" i="75"/>
  <c r="F9" i="4"/>
  <c r="F8" i="4"/>
  <c r="D12" i="9"/>
  <c r="AS89" i="62"/>
  <c r="AS88" i="62"/>
  <c r="AS87" i="62"/>
  <c r="AS84" i="62"/>
  <c r="AS83" i="62"/>
  <c r="AS82" i="62"/>
  <c r="AS81" i="62"/>
  <c r="AS78" i="62"/>
  <c r="AS76" i="62"/>
  <c r="AS75" i="62"/>
  <c r="AS74" i="62"/>
  <c r="AS73" i="62"/>
  <c r="AS71" i="62"/>
  <c r="AS70" i="62"/>
  <c r="AS68" i="62"/>
  <c r="AS61" i="62"/>
  <c r="AS58" i="62"/>
  <c r="AS57" i="62"/>
  <c r="AS56" i="62"/>
  <c r="AS53" i="62"/>
  <c r="AS52" i="62"/>
  <c r="AS51" i="62"/>
  <c r="AS49" i="62"/>
  <c r="AS48" i="62"/>
  <c r="AS46" i="62"/>
  <c r="AS43" i="62"/>
  <c r="AS42" i="62"/>
  <c r="AS41" i="62"/>
  <c r="AS40" i="62"/>
  <c r="AS37" i="62"/>
  <c r="AS36" i="62"/>
  <c r="AS34" i="62"/>
  <c r="AS33" i="62"/>
  <c r="AS26" i="62"/>
  <c r="AS25" i="62"/>
  <c r="AS24" i="62"/>
  <c r="AS23" i="62"/>
  <c r="AS22" i="62"/>
  <c r="AS21" i="62"/>
  <c r="AS18" i="62"/>
  <c r="AS17" i="62"/>
  <c r="AS15" i="62"/>
  <c r="AS14" i="62"/>
  <c r="AR89" i="62"/>
  <c r="AR88" i="62"/>
  <c r="AR87" i="62"/>
  <c r="AR86" i="62"/>
  <c r="AR84" i="62"/>
  <c r="AR83" i="62"/>
  <c r="AR82" i="62"/>
  <c r="AR81" i="62"/>
  <c r="AR78" i="62"/>
  <c r="AR77" i="62"/>
  <c r="AR76" i="62"/>
  <c r="AR75" i="62"/>
  <c r="AR74" i="62"/>
  <c r="AR73" i="62"/>
  <c r="AR71" i="62"/>
  <c r="AR70" i="62"/>
  <c r="AR69" i="62"/>
  <c r="AR68" i="62"/>
  <c r="AR61" i="62"/>
  <c r="AR58" i="62"/>
  <c r="AR57" i="62"/>
  <c r="AR56" i="62"/>
  <c r="AR53" i="62"/>
  <c r="AR52" i="62"/>
  <c r="AR51" i="62"/>
  <c r="AR49" i="62"/>
  <c r="AR48" i="62"/>
  <c r="AR46" i="62"/>
  <c r="AR44" i="62"/>
  <c r="AR43" i="62"/>
  <c r="AR42" i="62"/>
  <c r="AR41" i="62"/>
  <c r="AR40" i="62"/>
  <c r="AR37" i="62"/>
  <c r="AR36" i="62"/>
  <c r="AR33" i="62"/>
  <c r="AR26" i="62"/>
  <c r="AR25" i="62"/>
  <c r="AR24" i="62"/>
  <c r="AR23" i="62"/>
  <c r="AR22" i="62"/>
  <c r="AR21" i="62"/>
  <c r="AR18" i="62"/>
  <c r="AR17" i="62"/>
  <c r="AR15" i="62"/>
  <c r="AR14" i="62"/>
  <c r="AP89" i="62"/>
  <c r="AP88" i="62"/>
  <c r="AP87" i="62"/>
  <c r="AP84" i="62"/>
  <c r="AP83" i="62"/>
  <c r="AP82" i="62"/>
  <c r="AP81" i="62"/>
  <c r="AP78" i="62"/>
  <c r="AP76" i="62"/>
  <c r="AP75" i="62"/>
  <c r="AP74" i="62"/>
  <c r="AP73" i="62"/>
  <c r="AP71" i="62"/>
  <c r="AP70" i="62"/>
  <c r="AP68" i="62"/>
  <c r="AP61" i="62"/>
  <c r="AP58" i="62"/>
  <c r="AP57" i="62"/>
  <c r="AP56" i="62"/>
  <c r="AP53" i="62"/>
  <c r="AP52" i="62"/>
  <c r="AP51" i="62"/>
  <c r="AP49" i="62"/>
  <c r="AP48" i="62"/>
  <c r="AP46" i="62"/>
  <c r="AP43" i="62"/>
  <c r="AP42" i="62"/>
  <c r="AP41" i="62"/>
  <c r="AP40" i="62"/>
  <c r="AP37" i="62"/>
  <c r="AP36" i="62"/>
  <c r="AP34" i="62"/>
  <c r="AP33" i="62"/>
  <c r="AP26" i="62"/>
  <c r="AP25" i="62"/>
  <c r="AP23" i="62"/>
  <c r="AP22" i="62"/>
  <c r="AP21" i="62"/>
  <c r="AP18" i="62"/>
  <c r="AP17" i="62"/>
  <c r="AP15" i="62"/>
  <c r="AP14" i="62"/>
  <c r="AO89" i="62"/>
  <c r="AO88" i="62"/>
  <c r="AO87" i="62"/>
  <c r="AO86" i="62"/>
  <c r="AO84" i="62"/>
  <c r="AO83" i="62"/>
  <c r="AO82" i="62"/>
  <c r="AO81" i="62"/>
  <c r="AO78" i="62"/>
  <c r="AO77" i="62"/>
  <c r="AO76" i="62"/>
  <c r="AO75" i="62"/>
  <c r="AO74" i="62"/>
  <c r="AO73" i="62"/>
  <c r="AO71" i="62"/>
  <c r="AO70" i="62"/>
  <c r="AO69" i="62"/>
  <c r="AO68" i="62"/>
  <c r="AO61" i="62"/>
  <c r="AO58" i="62"/>
  <c r="AO57" i="62"/>
  <c r="AO56" i="62"/>
  <c r="AO53" i="62"/>
  <c r="AO52" i="62"/>
  <c r="AO51" i="62"/>
  <c r="AO49" i="62"/>
  <c r="AO48" i="62"/>
  <c r="AO46" i="62"/>
  <c r="AO44" i="62"/>
  <c r="AO43" i="62"/>
  <c r="AO42" i="62"/>
  <c r="AO41" i="62"/>
  <c r="AO40" i="62"/>
  <c r="AO37" i="62"/>
  <c r="AO36" i="62"/>
  <c r="AO33" i="62"/>
  <c r="AO26" i="62"/>
  <c r="AO25" i="62"/>
  <c r="AO24" i="62"/>
  <c r="AO23" i="62"/>
  <c r="AO22" i="62"/>
  <c r="AO21" i="62"/>
  <c r="AO18" i="62"/>
  <c r="AO17" i="62"/>
  <c r="AO15" i="62"/>
  <c r="AO14" i="62"/>
  <c r="J89" i="62"/>
  <c r="J86" i="62"/>
  <c r="J79" i="62"/>
  <c r="J73" i="62"/>
  <c r="J69" i="62"/>
  <c r="J68" i="62"/>
  <c r="J46" i="62"/>
  <c r="J44" i="62"/>
  <c r="J41" i="62"/>
  <c r="J39" i="62"/>
  <c r="J28" i="62"/>
  <c r="J25" i="62"/>
  <c r="J22" i="62"/>
  <c r="J20" i="62"/>
  <c r="AS20" i="65"/>
  <c r="AS17" i="65"/>
  <c r="AS16" i="65"/>
  <c r="AS15" i="65"/>
  <c r="AS13" i="65"/>
  <c r="AS12" i="65"/>
  <c r="AR20" i="65"/>
  <c r="AR17" i="65"/>
  <c r="AR16" i="65"/>
  <c r="AR15" i="65"/>
  <c r="AR13" i="65"/>
  <c r="AR12" i="65"/>
  <c r="AP44" i="65"/>
  <c r="AP42" i="65"/>
  <c r="AP39" i="65"/>
  <c r="AP38" i="65"/>
  <c r="AP37" i="65"/>
  <c r="AP33" i="65"/>
  <c r="AP32" i="65"/>
  <c r="AP31" i="65"/>
  <c r="AP30" i="65"/>
  <c r="AP28" i="65"/>
  <c r="AP27" i="65"/>
  <c r="AP26" i="65"/>
  <c r="AP25" i="65"/>
  <c r="AP24" i="65"/>
  <c r="AP20" i="65"/>
  <c r="AP17" i="65"/>
  <c r="AP16" i="65"/>
  <c r="AP15" i="65"/>
  <c r="AP13" i="65"/>
  <c r="AP12" i="65"/>
  <c r="AO44" i="65"/>
  <c r="AO42" i="65"/>
  <c r="AO39" i="65"/>
  <c r="AO38" i="65"/>
  <c r="AO37" i="65"/>
  <c r="AO33" i="65"/>
  <c r="AO32" i="65"/>
  <c r="AO31" i="65"/>
  <c r="AO30" i="65"/>
  <c r="AO28" i="65"/>
  <c r="AO27" i="65"/>
  <c r="AO26" i="65"/>
  <c r="AO25" i="65"/>
  <c r="AO24" i="65"/>
  <c r="AO20" i="65"/>
  <c r="AO17" i="65"/>
  <c r="AO16" i="65"/>
  <c r="AO15" i="65"/>
  <c r="AO13" i="65"/>
  <c r="AO12" i="65"/>
  <c r="J42" i="65"/>
  <c r="J40" i="65"/>
  <c r="J39" i="65"/>
  <c r="J37" i="65"/>
  <c r="J32" i="65"/>
  <c r="J29" i="65"/>
  <c r="J23" i="65"/>
  <c r="J21" i="65"/>
  <c r="J20" i="65"/>
  <c r="J19" i="65"/>
  <c r="J17" i="65"/>
  <c r="J15" i="65"/>
  <c r="J12" i="65"/>
  <c r="J11" i="65"/>
  <c r="K8" i="74"/>
  <c r="C31" i="9"/>
  <c r="C73" i="9" l="1"/>
  <c r="N31" i="8"/>
  <c r="D47" i="74"/>
  <c r="D8" i="74"/>
  <c r="M12" i="8"/>
  <c r="D53" i="9"/>
  <c r="J45" i="62"/>
  <c r="J91" i="62"/>
  <c r="J27" i="62"/>
  <c r="J14" i="65"/>
  <c r="K7" i="74"/>
  <c r="L7" i="74"/>
  <c r="D48" i="74"/>
  <c r="D7" i="74"/>
  <c r="J29" i="62" l="1"/>
  <c r="J62" i="62"/>
  <c r="J34" i="65"/>
  <c r="AS11" i="65" l="1"/>
  <c r="AP11" i="65"/>
  <c r="AS59" i="62"/>
  <c r="AP59" i="62"/>
  <c r="AR11" i="65"/>
  <c r="AO11" i="65"/>
  <c r="AO59" i="62"/>
  <c r="AR59" i="62"/>
  <c r="AO23" i="65"/>
  <c r="AP23" i="65"/>
  <c r="J64" i="62"/>
  <c r="J41" i="65"/>
  <c r="J43" i="65" l="1"/>
  <c r="AP77" i="62" l="1"/>
  <c r="AS77" i="62"/>
  <c r="AO34" i="62"/>
  <c r="AR34" i="62"/>
  <c r="AP86" i="62"/>
  <c r="AS86" i="62"/>
  <c r="J45" i="65"/>
  <c r="AR55" i="62" l="1"/>
  <c r="AO55" i="62"/>
  <c r="AP55" i="62"/>
  <c r="AS55" i="62"/>
  <c r="AR19" i="62" l="1"/>
  <c r="AO19" i="62"/>
  <c r="AP19" i="62"/>
  <c r="AS19" i="62"/>
  <c r="AO50" i="62"/>
  <c r="AR50" i="62"/>
  <c r="AO28" i="62"/>
  <c r="AR28" i="62"/>
  <c r="AR38" i="62"/>
  <c r="AO38" i="62"/>
  <c r="AP19" i="65"/>
  <c r="AS19" i="65"/>
  <c r="AP38" i="62"/>
  <c r="AS38" i="62"/>
  <c r="AP69" i="62" l="1"/>
  <c r="AS69" i="62"/>
  <c r="AO16" i="62" l="1"/>
  <c r="AR16" i="62"/>
  <c r="AP40" i="65" l="1"/>
  <c r="AO40" i="65"/>
  <c r="AP29" i="65"/>
  <c r="AO29" i="65"/>
  <c r="AS14" i="65" l="1"/>
  <c r="AP14" i="65"/>
  <c r="AR14" i="65"/>
  <c r="AO14" i="65"/>
  <c r="AS50" i="62"/>
  <c r="AP50" i="62"/>
  <c r="AO20" i="62"/>
  <c r="AR20" i="62"/>
  <c r="AR19" i="65"/>
  <c r="AO19" i="65"/>
  <c r="AR79" i="62"/>
  <c r="AO79" i="62"/>
  <c r="AR35" i="62"/>
  <c r="AO35" i="62"/>
  <c r="AP79" i="62"/>
  <c r="AS79" i="62"/>
  <c r="AS35" i="62"/>
  <c r="AP35" i="62"/>
  <c r="AO54" i="62"/>
  <c r="AR54" i="62"/>
  <c r="AS20" i="62"/>
  <c r="AP20" i="62"/>
  <c r="AS28" i="62"/>
  <c r="AP28" i="62"/>
  <c r="AR39" i="62"/>
  <c r="AO39" i="62"/>
  <c r="AS85" i="62"/>
  <c r="AP85" i="62"/>
  <c r="AP16" i="62"/>
  <c r="AS16" i="62"/>
  <c r="AS54" i="62"/>
  <c r="AP54" i="62"/>
  <c r="AS21" i="65"/>
  <c r="AP21" i="65"/>
  <c r="AO85" i="62"/>
  <c r="AR85" i="62"/>
  <c r="AP44" i="62"/>
  <c r="AS44" i="62"/>
  <c r="AP91" i="62" l="1"/>
  <c r="AS91" i="62"/>
  <c r="AO60" i="62"/>
  <c r="AR60" i="62"/>
  <c r="AO45" i="62"/>
  <c r="AR45" i="62"/>
  <c r="AO34" i="65"/>
  <c r="AP34" i="65"/>
  <c r="AS60" i="62"/>
  <c r="AP60" i="62"/>
  <c r="AO91" i="62"/>
  <c r="AR91" i="62"/>
  <c r="AO21" i="65"/>
  <c r="AR21" i="65"/>
  <c r="AS45" i="62"/>
  <c r="AP45" i="62"/>
  <c r="AR27" i="62"/>
  <c r="AO27" i="62"/>
  <c r="AP27" i="62"/>
  <c r="AS27" i="62"/>
  <c r="AP39" i="62"/>
  <c r="AS39" i="62"/>
  <c r="AS62" i="62" l="1"/>
  <c r="AP62" i="62"/>
  <c r="AO62" i="62"/>
  <c r="AR62" i="62"/>
  <c r="AP29" i="62"/>
  <c r="AS29" i="62"/>
  <c r="AO41" i="65"/>
  <c r="AO29" i="62"/>
  <c r="AR29" i="62"/>
  <c r="AP41" i="65"/>
  <c r="S73" i="62"/>
  <c r="S25" i="62"/>
  <c r="AH25" i="62"/>
  <c r="AH20" i="62"/>
  <c r="AO64" i="62" l="1"/>
  <c r="AR64" i="62"/>
  <c r="AP45" i="65"/>
  <c r="AP43" i="65"/>
  <c r="AO45" i="65"/>
  <c r="AO43" i="65"/>
  <c r="AP64" i="62"/>
  <c r="AS64" i="62"/>
  <c r="AH27" i="62"/>
  <c r="F29" i="4" l="1"/>
  <c r="B29" i="4"/>
  <c r="B22" i="4"/>
  <c r="E29" i="4"/>
  <c r="E22" i="4"/>
  <c r="F22" i="4"/>
  <c r="C22" i="4"/>
  <c r="C29" i="4"/>
  <c r="G76" i="62" l="1"/>
  <c r="K32" i="13" l="1"/>
  <c r="J30" i="23"/>
  <c r="J30" i="29"/>
  <c r="J30" i="18"/>
  <c r="F33" i="4"/>
  <c r="E33" i="4"/>
  <c r="F32" i="4"/>
  <c r="E32" i="4"/>
  <c r="E31" i="4"/>
  <c r="F30" i="4"/>
  <c r="I33" i="29" l="1"/>
  <c r="I33" i="33"/>
  <c r="I33" i="23"/>
  <c r="I33" i="35"/>
  <c r="I33" i="37"/>
  <c r="I33" i="18"/>
  <c r="I33" i="20"/>
  <c r="F31" i="4"/>
  <c r="J33" i="35"/>
  <c r="F25" i="4"/>
  <c r="K33" i="20"/>
  <c r="E24" i="4"/>
  <c r="E30" i="4"/>
  <c r="F24" i="4"/>
  <c r="F26" i="4"/>
  <c r="C24" i="4"/>
  <c r="E26" i="4"/>
  <c r="B30" i="4"/>
  <c r="C23" i="4"/>
  <c r="C31" i="4"/>
  <c r="F27" i="4"/>
  <c r="C25" i="4"/>
  <c r="B24" i="4"/>
  <c r="E25" i="4"/>
  <c r="C30" i="4"/>
  <c r="B23" i="4"/>
  <c r="B31" i="4"/>
  <c r="J32" i="16"/>
  <c r="B32" i="4"/>
  <c r="C32" i="4"/>
  <c r="B25" i="4"/>
  <c r="E23" i="4"/>
  <c r="B33" i="4"/>
  <c r="H33" i="4" s="1"/>
  <c r="E27" i="4"/>
  <c r="F23" i="4"/>
  <c r="C33" i="4"/>
  <c r="K33" i="16"/>
  <c r="J33" i="23"/>
  <c r="L33" i="23" s="1"/>
  <c r="J33" i="20"/>
  <c r="J33" i="33"/>
  <c r="J33" i="29"/>
  <c r="J31" i="16"/>
  <c r="J25" i="29"/>
  <c r="J25" i="20"/>
  <c r="J25" i="13"/>
  <c r="L25" i="13" s="1"/>
  <c r="J32" i="18"/>
  <c r="J32" i="33"/>
  <c r="J32" i="29"/>
  <c r="J32" i="23"/>
  <c r="J26" i="18"/>
  <c r="J26" i="37"/>
  <c r="J26" i="33"/>
  <c r="J26" i="35"/>
  <c r="L26" i="35" s="1"/>
  <c r="J26" i="29"/>
  <c r="L26" i="29" s="1"/>
  <c r="J26" i="23"/>
  <c r="L26" i="23" s="1"/>
  <c r="J26" i="20"/>
  <c r="K23" i="33"/>
  <c r="J33" i="18"/>
  <c r="J33" i="37"/>
  <c r="K31" i="16"/>
  <c r="K31" i="23"/>
  <c r="K30" i="16"/>
  <c r="K25" i="18"/>
  <c r="K25" i="37"/>
  <c r="K25" i="33"/>
  <c r="K25" i="29"/>
  <c r="K25" i="20"/>
  <c r="K25" i="13"/>
  <c r="K23" i="37"/>
  <c r="K23" i="20"/>
  <c r="K32" i="18"/>
  <c r="K32" i="33"/>
  <c r="K32" i="29"/>
  <c r="K32" i="23"/>
  <c r="J30" i="16"/>
  <c r="K33" i="23"/>
  <c r="K32" i="20"/>
  <c r="K26" i="18"/>
  <c r="K26" i="33"/>
  <c r="K26" i="29"/>
  <c r="K26" i="20"/>
  <c r="K23" i="35"/>
  <c r="K23" i="13"/>
  <c r="K33" i="18"/>
  <c r="K33" i="33"/>
  <c r="K33" i="29"/>
  <c r="J23" i="20"/>
  <c r="L23" i="20" s="1"/>
  <c r="K26" i="35"/>
  <c r="J23" i="37"/>
  <c r="K26" i="37"/>
  <c r="K26" i="23"/>
  <c r="K31" i="13"/>
  <c r="J23" i="18"/>
  <c r="L23" i="18" s="1"/>
  <c r="J23" i="29"/>
  <c r="L23" i="29" s="1"/>
  <c r="J23" i="23"/>
  <c r="L23" i="23" s="1"/>
  <c r="J25" i="18"/>
  <c r="J25" i="37"/>
  <c r="J25" i="33"/>
  <c r="L25" i="33" s="1"/>
  <c r="J33" i="16"/>
  <c r="K24" i="24"/>
  <c r="K24" i="13"/>
  <c r="K31" i="18"/>
  <c r="K31" i="33"/>
  <c r="K31" i="29"/>
  <c r="J23" i="16"/>
  <c r="J23" i="35"/>
  <c r="L23" i="35" s="1"/>
  <c r="J23" i="13"/>
  <c r="L23" i="13" s="1"/>
  <c r="K30" i="20"/>
  <c r="K30" i="13"/>
  <c r="K24" i="18"/>
  <c r="K24" i="33"/>
  <c r="K24" i="29"/>
  <c r="J31" i="37"/>
  <c r="J31" i="24"/>
  <c r="J31" i="35"/>
  <c r="J31" i="13"/>
  <c r="L31" i="13" s="1"/>
  <c r="J24" i="18"/>
  <c r="L24" i="18" s="1"/>
  <c r="J24" i="37"/>
  <c r="L24" i="37" s="1"/>
  <c r="J24" i="33"/>
  <c r="L24" i="33" s="1"/>
  <c r="J24" i="29"/>
  <c r="L24" i="29" s="1"/>
  <c r="J24" i="24"/>
  <c r="L24" i="24" s="1"/>
  <c r="J24" i="13"/>
  <c r="L24" i="13" s="1"/>
  <c r="K23" i="18"/>
  <c r="K23" i="29"/>
  <c r="K23" i="23"/>
  <c r="J31" i="18"/>
  <c r="L31" i="18" s="1"/>
  <c r="J31" i="33"/>
  <c r="L31" i="33" s="1"/>
  <c r="J31" i="29"/>
  <c r="L31" i="29" s="1"/>
  <c r="J31" i="23"/>
  <c r="K24" i="37"/>
  <c r="K30" i="37"/>
  <c r="J30" i="13"/>
  <c r="K32" i="16"/>
  <c r="K23" i="16"/>
  <c r="J23" i="33"/>
  <c r="L23" i="33" s="1"/>
  <c r="J30" i="33"/>
  <c r="J30" i="35"/>
  <c r="J32" i="20"/>
  <c r="J32" i="13"/>
  <c r="L32" i="13" s="1"/>
  <c r="J30" i="37"/>
  <c r="L30" i="37" s="1"/>
  <c r="J30" i="20"/>
  <c r="K26" i="16"/>
  <c r="J32" i="37"/>
  <c r="J25" i="16"/>
  <c r="K30" i="18"/>
  <c r="L30" i="18" s="1"/>
  <c r="K30" i="33"/>
  <c r="K30" i="29"/>
  <c r="L30" i="29" s="1"/>
  <c r="K30" i="23"/>
  <c r="L30" i="23" s="1"/>
  <c r="J27" i="16"/>
  <c r="K32" i="37"/>
  <c r="K30" i="35"/>
  <c r="J26" i="16"/>
  <c r="K25" i="16"/>
  <c r="J24" i="16"/>
  <c r="K24" i="16"/>
  <c r="K31" i="37"/>
  <c r="K33" i="37"/>
  <c r="K31" i="35"/>
  <c r="K33" i="35"/>
  <c r="K31" i="24"/>
  <c r="K27" i="16"/>
  <c r="L30" i="13" l="1"/>
  <c r="L26" i="33"/>
  <c r="L25" i="20"/>
  <c r="L31" i="35"/>
  <c r="L26" i="37"/>
  <c r="L25" i="29"/>
  <c r="L31" i="24"/>
  <c r="L30" i="35"/>
  <c r="L31" i="23"/>
  <c r="L31" i="37"/>
  <c r="L23" i="37"/>
  <c r="L32" i="23"/>
  <c r="L33" i="29"/>
  <c r="L33" i="35"/>
  <c r="L30" i="33"/>
  <c r="L25" i="18"/>
  <c r="L26" i="20"/>
  <c r="L32" i="29"/>
  <c r="L33" i="33"/>
  <c r="L32" i="37"/>
  <c r="L33" i="37"/>
  <c r="L25" i="37"/>
  <c r="L32" i="33"/>
  <c r="L32" i="18"/>
  <c r="L33" i="18"/>
  <c r="L26" i="18"/>
  <c r="E9" i="4"/>
  <c r="E8" i="4"/>
  <c r="J9" i="72"/>
  <c r="E31" i="13" l="1"/>
  <c r="E31" i="37"/>
  <c r="E31" i="33"/>
  <c r="E31" i="24"/>
  <c r="E31" i="29"/>
  <c r="E31" i="16"/>
  <c r="E23" i="13"/>
  <c r="E23" i="20"/>
  <c r="E23" i="37"/>
  <c r="E23" i="33"/>
  <c r="E23" i="29"/>
  <c r="E23" i="16"/>
  <c r="E25" i="16"/>
  <c r="E25" i="20"/>
  <c r="E25" i="13"/>
  <c r="E27" i="16"/>
  <c r="E30" i="13"/>
  <c r="E30" i="20"/>
  <c r="E30" i="37"/>
  <c r="E30" i="29"/>
  <c r="E30" i="16"/>
  <c r="E30" i="33"/>
  <c r="E32" i="20"/>
  <c r="E32" i="13"/>
  <c r="E32" i="29"/>
  <c r="E32" i="16"/>
  <c r="E24" i="24"/>
  <c r="E24" i="13"/>
  <c r="E24" i="29"/>
  <c r="E24" i="33"/>
  <c r="E24" i="16"/>
  <c r="E24" i="37"/>
  <c r="E33" i="16"/>
  <c r="E26" i="16"/>
  <c r="K7" i="72"/>
  <c r="K9" i="72"/>
  <c r="L9" i="72" s="1"/>
  <c r="J7" i="72"/>
  <c r="D48" i="72"/>
  <c r="D7" i="72"/>
  <c r="D9" i="72"/>
  <c r="AN44" i="65"/>
  <c r="AB44" i="65"/>
  <c r="Y44" i="65"/>
  <c r="V44" i="65"/>
  <c r="G44" i="65"/>
  <c r="AN42" i="65"/>
  <c r="AK42" i="65"/>
  <c r="AE42" i="65"/>
  <c r="AB42" i="65"/>
  <c r="S42" i="65"/>
  <c r="P42" i="65"/>
  <c r="M42" i="65"/>
  <c r="G42" i="65"/>
  <c r="D42" i="65"/>
  <c r="AN40" i="65"/>
  <c r="AK40" i="65"/>
  <c r="AE40" i="65"/>
  <c r="AB40" i="65"/>
  <c r="Y40" i="65"/>
  <c r="V40" i="65"/>
  <c r="S40" i="65"/>
  <c r="P40" i="65"/>
  <c r="M40" i="65"/>
  <c r="G40" i="65"/>
  <c r="D40" i="65"/>
  <c r="AN39" i="65"/>
  <c r="AK39" i="65"/>
  <c r="AE39" i="65"/>
  <c r="AB39" i="65"/>
  <c r="Y39" i="65"/>
  <c r="V39" i="65"/>
  <c r="P39" i="65"/>
  <c r="G39" i="65"/>
  <c r="AN38" i="65"/>
  <c r="AK38" i="65"/>
  <c r="AE38" i="65"/>
  <c r="AB38" i="65"/>
  <c r="Y38" i="65"/>
  <c r="V38" i="65"/>
  <c r="M38" i="65"/>
  <c r="G38" i="65"/>
  <c r="AN37" i="65"/>
  <c r="AK37" i="65"/>
  <c r="AE37" i="65"/>
  <c r="AB37" i="65"/>
  <c r="Y37" i="65"/>
  <c r="V37" i="65"/>
  <c r="S37" i="65"/>
  <c r="P37" i="65"/>
  <c r="M37" i="65"/>
  <c r="G37" i="65"/>
  <c r="D37" i="65"/>
  <c r="AN33" i="65"/>
  <c r="AK33" i="65"/>
  <c r="AB33" i="65"/>
  <c r="Y33" i="65"/>
  <c r="V33" i="65"/>
  <c r="G33" i="65"/>
  <c r="AN32" i="65"/>
  <c r="AK32" i="65"/>
  <c r="AH32" i="65"/>
  <c r="AB32" i="65"/>
  <c r="Y32" i="65"/>
  <c r="V32" i="65"/>
  <c r="S32" i="65"/>
  <c r="P32" i="65"/>
  <c r="M32" i="65"/>
  <c r="G32" i="65"/>
  <c r="D32" i="65"/>
  <c r="AN31" i="65"/>
  <c r="AK31" i="65"/>
  <c r="AE31" i="65"/>
  <c r="AB31" i="65"/>
  <c r="V31" i="65"/>
  <c r="P31" i="65"/>
  <c r="G31" i="65"/>
  <c r="AN30" i="65"/>
  <c r="AK30" i="65"/>
  <c r="AH30" i="65"/>
  <c r="AB30" i="65"/>
  <c r="Y30" i="65"/>
  <c r="V30" i="65"/>
  <c r="P30" i="65"/>
  <c r="G30" i="65"/>
  <c r="D30" i="65"/>
  <c r="AB29" i="65"/>
  <c r="AN28" i="65"/>
  <c r="AB28" i="65"/>
  <c r="G28" i="65"/>
  <c r="AN27" i="65"/>
  <c r="M27" i="65"/>
  <c r="G27" i="65"/>
  <c r="D27" i="65"/>
  <c r="AK26" i="65"/>
  <c r="AE26" i="65"/>
  <c r="AB26" i="65"/>
  <c r="Y26" i="65"/>
  <c r="V26" i="65"/>
  <c r="G26" i="65"/>
  <c r="AN25" i="65"/>
  <c r="AK25" i="65"/>
  <c r="AE25" i="65"/>
  <c r="AB25" i="65"/>
  <c r="Y25" i="65"/>
  <c r="V25" i="65"/>
  <c r="P25" i="65"/>
  <c r="G25" i="65"/>
  <c r="D25" i="65"/>
  <c r="AN24" i="65"/>
  <c r="AK24" i="65"/>
  <c r="AB24" i="65"/>
  <c r="Y24" i="65"/>
  <c r="V24" i="65"/>
  <c r="P24" i="65"/>
  <c r="G24" i="65"/>
  <c r="AN23" i="65"/>
  <c r="AK23" i="65"/>
  <c r="AE23" i="65"/>
  <c r="AB23" i="65"/>
  <c r="Y23" i="65"/>
  <c r="V23" i="65"/>
  <c r="P23" i="65"/>
  <c r="M23" i="65"/>
  <c r="G23" i="65"/>
  <c r="D23" i="65"/>
  <c r="AE21" i="65"/>
  <c r="AN20" i="65"/>
  <c r="AK20" i="65"/>
  <c r="AH20" i="65"/>
  <c r="AB20" i="65"/>
  <c r="Y20" i="65"/>
  <c r="V20" i="65"/>
  <c r="P20" i="65"/>
  <c r="M20" i="65"/>
  <c r="G20" i="65"/>
  <c r="D20" i="65"/>
  <c r="AN19" i="65"/>
  <c r="AK19" i="65"/>
  <c r="AH19" i="65"/>
  <c r="AE19" i="65"/>
  <c r="AB19" i="65"/>
  <c r="Y19" i="65"/>
  <c r="V19" i="65"/>
  <c r="S19" i="65"/>
  <c r="P19" i="65"/>
  <c r="M19" i="65"/>
  <c r="G19" i="65"/>
  <c r="D19" i="65"/>
  <c r="AN17" i="65"/>
  <c r="AK17" i="65"/>
  <c r="AE17" i="65"/>
  <c r="AB17" i="65"/>
  <c r="Y17" i="65"/>
  <c r="V17" i="65"/>
  <c r="M17" i="65"/>
  <c r="G17" i="65"/>
  <c r="AN16" i="65"/>
  <c r="AK16" i="65"/>
  <c r="AH16" i="65"/>
  <c r="AB16" i="65"/>
  <c r="Y16" i="65"/>
  <c r="V16" i="65"/>
  <c r="P16" i="65"/>
  <c r="M16" i="65"/>
  <c r="G16" i="65"/>
  <c r="D16" i="65"/>
  <c r="AN15" i="65"/>
  <c r="AK15" i="65"/>
  <c r="AE15" i="65"/>
  <c r="AB15" i="65"/>
  <c r="Y15" i="65"/>
  <c r="V15" i="65"/>
  <c r="P15" i="65"/>
  <c r="M15" i="65"/>
  <c r="G15" i="65"/>
  <c r="D15" i="65"/>
  <c r="AN14" i="65"/>
  <c r="AB14" i="65"/>
  <c r="AN13" i="65"/>
  <c r="AK13" i="65"/>
  <c r="AH13" i="65"/>
  <c r="AB13" i="65"/>
  <c r="Y13" i="65"/>
  <c r="V13" i="65"/>
  <c r="P13" i="65"/>
  <c r="M13" i="65"/>
  <c r="G13" i="65"/>
  <c r="D13" i="65"/>
  <c r="AN12" i="65"/>
  <c r="AK12" i="65"/>
  <c r="AB12" i="65"/>
  <c r="P12" i="65"/>
  <c r="M12" i="65"/>
  <c r="G12" i="65"/>
  <c r="D12" i="65"/>
  <c r="AN11" i="65"/>
  <c r="AK11" i="65"/>
  <c r="AH11" i="65"/>
  <c r="AE11" i="65"/>
  <c r="AB11" i="65"/>
  <c r="Y11" i="65"/>
  <c r="V11" i="65"/>
  <c r="S11" i="65"/>
  <c r="P11" i="65"/>
  <c r="M11" i="65"/>
  <c r="G11" i="65"/>
  <c r="D11" i="65"/>
  <c r="AN89" i="62"/>
  <c r="AK89" i="62"/>
  <c r="AB89" i="62"/>
  <c r="Y89" i="62"/>
  <c r="V89" i="62"/>
  <c r="S89" i="62"/>
  <c r="P89" i="62"/>
  <c r="M89" i="62"/>
  <c r="G89" i="62"/>
  <c r="D89" i="62"/>
  <c r="AN88" i="62"/>
  <c r="AK88" i="62"/>
  <c r="AH88" i="62"/>
  <c r="AE88" i="62"/>
  <c r="AB88" i="62"/>
  <c r="Y88" i="62"/>
  <c r="V88" i="62"/>
  <c r="S88" i="62"/>
  <c r="P88" i="62"/>
  <c r="G88" i="62"/>
  <c r="D88" i="62"/>
  <c r="AK87" i="62"/>
  <c r="AN86" i="62"/>
  <c r="AK86" i="62"/>
  <c r="AB86" i="62"/>
  <c r="Y86" i="62"/>
  <c r="V86" i="62"/>
  <c r="P86" i="62"/>
  <c r="M86" i="62"/>
  <c r="G86" i="62"/>
  <c r="D86" i="62"/>
  <c r="AK83" i="62"/>
  <c r="Y83" i="62"/>
  <c r="V83" i="62"/>
  <c r="P83" i="62"/>
  <c r="G83" i="62"/>
  <c r="D83" i="62"/>
  <c r="AN81" i="62"/>
  <c r="AK81" i="62"/>
  <c r="AH81" i="62"/>
  <c r="AB81" i="62"/>
  <c r="Y81" i="62"/>
  <c r="V81" i="62"/>
  <c r="P81" i="62"/>
  <c r="M81" i="62"/>
  <c r="G81" i="62"/>
  <c r="D81" i="62"/>
  <c r="AN77" i="62"/>
  <c r="M77" i="62"/>
  <c r="G77" i="62"/>
  <c r="D77" i="62"/>
  <c r="AN76" i="62"/>
  <c r="AK76" i="62"/>
  <c r="AB76" i="62"/>
  <c r="Y76" i="62"/>
  <c r="V76" i="62"/>
  <c r="D76" i="62"/>
  <c r="AN75" i="62"/>
  <c r="AK75" i="62"/>
  <c r="AE75" i="62"/>
  <c r="AB75" i="62"/>
  <c r="Y75" i="62"/>
  <c r="V75" i="62"/>
  <c r="P75" i="62"/>
  <c r="G75" i="62"/>
  <c r="D75" i="62"/>
  <c r="AN74" i="62"/>
  <c r="AK74" i="62"/>
  <c r="AE74" i="62"/>
  <c r="AB74" i="62"/>
  <c r="Y74" i="62"/>
  <c r="V74" i="62"/>
  <c r="P74" i="62"/>
  <c r="M74" i="62"/>
  <c r="G74" i="62"/>
  <c r="D74" i="62"/>
  <c r="AN73" i="62"/>
  <c r="AK73" i="62"/>
  <c r="AE73" i="62"/>
  <c r="AB73" i="62"/>
  <c r="Y73" i="62"/>
  <c r="V73" i="62"/>
  <c r="P73" i="62"/>
  <c r="M73" i="62"/>
  <c r="G73" i="62"/>
  <c r="D73" i="62"/>
  <c r="AN71" i="62"/>
  <c r="AK71" i="62"/>
  <c r="AE71" i="62"/>
  <c r="AB71" i="62"/>
  <c r="V71" i="62"/>
  <c r="G71" i="62"/>
  <c r="AN70" i="62"/>
  <c r="AK70" i="62"/>
  <c r="AB70" i="62"/>
  <c r="Y70" i="62"/>
  <c r="V70" i="62"/>
  <c r="P70" i="62"/>
  <c r="G70" i="62"/>
  <c r="AN69" i="62"/>
  <c r="AK69" i="62"/>
  <c r="AH69" i="62"/>
  <c r="AE69" i="62"/>
  <c r="AB69" i="62"/>
  <c r="Y69" i="62"/>
  <c r="V69" i="62"/>
  <c r="S69" i="62"/>
  <c r="P69" i="62"/>
  <c r="M69" i="62"/>
  <c r="G69" i="62"/>
  <c r="D69" i="62"/>
  <c r="AN68" i="62"/>
  <c r="AK68" i="62"/>
  <c r="AH68" i="62"/>
  <c r="AE68" i="62"/>
  <c r="AB68" i="62"/>
  <c r="Y68" i="62"/>
  <c r="V68" i="62"/>
  <c r="S68" i="62"/>
  <c r="P68" i="62"/>
  <c r="M68" i="62"/>
  <c r="G68" i="62"/>
  <c r="D68" i="62"/>
  <c r="AK59" i="62"/>
  <c r="AB59" i="62"/>
  <c r="V59" i="62"/>
  <c r="P59" i="62"/>
  <c r="M59" i="62"/>
  <c r="D59" i="62"/>
  <c r="AN58" i="62"/>
  <c r="V58" i="62"/>
  <c r="AN57" i="62"/>
  <c r="Y57" i="62"/>
  <c r="V57" i="62"/>
  <c r="G57" i="62"/>
  <c r="AN56" i="62"/>
  <c r="AK56" i="62"/>
  <c r="V56" i="62"/>
  <c r="P56" i="62"/>
  <c r="G56" i="62"/>
  <c r="D56" i="62"/>
  <c r="AN55" i="62"/>
  <c r="AK55" i="62"/>
  <c r="AH55" i="62"/>
  <c r="AB55" i="62"/>
  <c r="Y55" i="62"/>
  <c r="V55" i="62"/>
  <c r="P55" i="62"/>
  <c r="M55" i="62"/>
  <c r="G55" i="62"/>
  <c r="D55" i="62"/>
  <c r="V53" i="62"/>
  <c r="V51" i="62"/>
  <c r="AN49" i="62"/>
  <c r="V49" i="62"/>
  <c r="AT48" i="62"/>
  <c r="AQ48" i="62"/>
  <c r="AK46" i="62"/>
  <c r="AB46" i="62"/>
  <c r="M46" i="62"/>
  <c r="D46" i="62"/>
  <c r="AK44" i="62"/>
  <c r="AE44" i="62"/>
  <c r="AB44" i="62"/>
  <c r="V44" i="62"/>
  <c r="P44" i="62"/>
  <c r="M44" i="62"/>
  <c r="G44" i="62"/>
  <c r="D44" i="62"/>
  <c r="AN43" i="62"/>
  <c r="AK43" i="62"/>
  <c r="AE43" i="62"/>
  <c r="AB43" i="62"/>
  <c r="V43" i="62"/>
  <c r="G43" i="62"/>
  <c r="D43" i="62"/>
  <c r="AE42" i="62"/>
  <c r="Y42" i="62"/>
  <c r="V42" i="62"/>
  <c r="G42" i="62"/>
  <c r="AN41" i="62"/>
  <c r="AK41" i="62"/>
  <c r="AE41" i="62"/>
  <c r="AB41" i="62"/>
  <c r="V41" i="62"/>
  <c r="P41" i="62"/>
  <c r="M41" i="62"/>
  <c r="G41" i="62"/>
  <c r="D41" i="62"/>
  <c r="AN40" i="62"/>
  <c r="AK40" i="62"/>
  <c r="AE40" i="62"/>
  <c r="AB40" i="62"/>
  <c r="Y40" i="62"/>
  <c r="V40" i="62"/>
  <c r="M40" i="62"/>
  <c r="G40" i="62"/>
  <c r="D40" i="62"/>
  <c r="AN38" i="62"/>
  <c r="AK38" i="62"/>
  <c r="AE38" i="62"/>
  <c r="AB38" i="62"/>
  <c r="Y38" i="62"/>
  <c r="V38" i="62"/>
  <c r="P38" i="62"/>
  <c r="AN37" i="62"/>
  <c r="AK37" i="62"/>
  <c r="AB37" i="62"/>
  <c r="V37" i="62"/>
  <c r="G37" i="62"/>
  <c r="AN36" i="62"/>
  <c r="AK36" i="62"/>
  <c r="AE36" i="62"/>
  <c r="AB36" i="62"/>
  <c r="Y36" i="62"/>
  <c r="V36" i="62"/>
  <c r="G36" i="62"/>
  <c r="G35" i="62"/>
  <c r="AN34" i="62"/>
  <c r="AK34" i="62"/>
  <c r="AE34" i="62"/>
  <c r="AB34" i="62"/>
  <c r="Y34" i="62"/>
  <c r="V34" i="62"/>
  <c r="G34" i="62"/>
  <c r="AE33" i="62"/>
  <c r="G33" i="62"/>
  <c r="AN28" i="62"/>
  <c r="AK28" i="62"/>
  <c r="AE28" i="62"/>
  <c r="AB28" i="62"/>
  <c r="Y28" i="62"/>
  <c r="V28" i="62"/>
  <c r="P28" i="62"/>
  <c r="M28" i="62"/>
  <c r="G28" i="62"/>
  <c r="D28" i="62"/>
  <c r="S27" i="62"/>
  <c r="AT26" i="62"/>
  <c r="AQ26" i="62"/>
  <c r="AK25" i="62"/>
  <c r="V25" i="62"/>
  <c r="M25" i="62"/>
  <c r="G25" i="62"/>
  <c r="AN24" i="62"/>
  <c r="AE24" i="62"/>
  <c r="V24" i="62"/>
  <c r="AB23" i="62"/>
  <c r="Y23" i="62"/>
  <c r="V23" i="62"/>
  <c r="G23" i="62"/>
  <c r="AN22" i="62"/>
  <c r="AK22" i="62"/>
  <c r="AE22" i="62"/>
  <c r="AB22" i="62"/>
  <c r="V22" i="62"/>
  <c r="P22" i="62"/>
  <c r="M22" i="62"/>
  <c r="G22" i="62"/>
  <c r="D22" i="62"/>
  <c r="AN21" i="62"/>
  <c r="AK21" i="62"/>
  <c r="AB21" i="62"/>
  <c r="Y21" i="62"/>
  <c r="V21" i="62"/>
  <c r="P21" i="62"/>
  <c r="M21" i="62"/>
  <c r="G21" i="62"/>
  <c r="D21" i="62"/>
  <c r="AN20" i="62"/>
  <c r="AK20" i="62"/>
  <c r="AE20" i="62"/>
  <c r="AB20" i="62"/>
  <c r="Y20" i="62"/>
  <c r="V20" i="62"/>
  <c r="S20" i="62"/>
  <c r="P20" i="62"/>
  <c r="M20" i="62"/>
  <c r="G20" i="62"/>
  <c r="AN19" i="62"/>
  <c r="AK19" i="62"/>
  <c r="AE19" i="62"/>
  <c r="V19" i="62"/>
  <c r="AK18" i="62"/>
  <c r="V18" i="62"/>
  <c r="AK17" i="62"/>
  <c r="AE17" i="62"/>
  <c r="V17" i="62"/>
  <c r="AN27" i="62"/>
  <c r="AN15" i="62"/>
  <c r="AK15" i="62"/>
  <c r="AE15" i="62"/>
  <c r="V15" i="62"/>
  <c r="G15" i="62"/>
  <c r="V14" i="62"/>
  <c r="L7" i="72" l="1"/>
  <c r="AT61" i="62"/>
  <c r="AQ61" i="62"/>
  <c r="AQ84" i="62"/>
  <c r="AT84" i="62"/>
  <c r="AQ18" i="62"/>
  <c r="AQ19" i="62"/>
  <c r="AQ21" i="62"/>
  <c r="AT22" i="62"/>
  <c r="AT14" i="62"/>
  <c r="AT37" i="62"/>
  <c r="AT41" i="62"/>
  <c r="AT52" i="62"/>
  <c r="AH54" i="62"/>
  <c r="AK54" i="62"/>
  <c r="AQ59" i="62"/>
  <c r="AQ69" i="62"/>
  <c r="AQ70" i="62"/>
  <c r="Y27" i="62"/>
  <c r="AT40" i="62"/>
  <c r="AT46" i="62"/>
  <c r="M14" i="65"/>
  <c r="AQ15" i="65"/>
  <c r="AT16" i="65"/>
  <c r="AQ19" i="65"/>
  <c r="AQ28" i="65"/>
  <c r="AT71" i="62"/>
  <c r="AQ74" i="62"/>
  <c r="AT75" i="62"/>
  <c r="AT81" i="62"/>
  <c r="AQ83" i="62"/>
  <c r="AQ86" i="62"/>
  <c r="AT87" i="62"/>
  <c r="AT89" i="62"/>
  <c r="H26" i="9"/>
  <c r="D47" i="72"/>
  <c r="G26" i="9"/>
  <c r="B26" i="9"/>
  <c r="AQ14" i="62"/>
  <c r="AQ15" i="62"/>
  <c r="AB27" i="62"/>
  <c r="AQ37" i="62"/>
  <c r="AQ38" i="62"/>
  <c r="AQ51" i="62"/>
  <c r="AQ52" i="62"/>
  <c r="AT55" i="62"/>
  <c r="AT57" i="62"/>
  <c r="AT68" i="62"/>
  <c r="AQ17" i="65"/>
  <c r="AQ20" i="65"/>
  <c r="V16" i="62"/>
  <c r="AT28" i="62"/>
  <c r="AQ33" i="62"/>
  <c r="AQ40" i="62"/>
  <c r="AT42" i="62"/>
  <c r="AQ46" i="62"/>
  <c r="AT69" i="62"/>
  <c r="AT76" i="62"/>
  <c r="AQ77" i="62"/>
  <c r="AQ78" i="62"/>
  <c r="AT82" i="62"/>
  <c r="AT12" i="65"/>
  <c r="AQ13" i="65"/>
  <c r="AQ27" i="65"/>
  <c r="AQ33" i="65"/>
  <c r="AQ44" i="65"/>
  <c r="AT15" i="62"/>
  <c r="AT17" i="62"/>
  <c r="AT19" i="62"/>
  <c r="AT21" i="62"/>
  <c r="AT23" i="62"/>
  <c r="AQ25" i="62"/>
  <c r="AT33" i="62"/>
  <c r="AQ41" i="62"/>
  <c r="AQ42" i="62"/>
  <c r="AQ43" i="62"/>
  <c r="AT53" i="62"/>
  <c r="AQ56" i="62"/>
  <c r="AQ68" i="62"/>
  <c r="AT86" i="62"/>
  <c r="AQ87" i="62"/>
  <c r="AQ88" i="62"/>
  <c r="AQ89" i="62"/>
  <c r="AT19" i="65"/>
  <c r="AK35" i="62"/>
  <c r="AB39" i="62"/>
  <c r="AQ58" i="62"/>
  <c r="AQ23" i="62"/>
  <c r="AQ24" i="62"/>
  <c r="AT38" i="62"/>
  <c r="V39" i="62"/>
  <c r="AT43" i="62"/>
  <c r="AQ44" i="62"/>
  <c r="AT49" i="62"/>
  <c r="AT51" i="62"/>
  <c r="AQ55" i="62"/>
  <c r="AT56" i="62"/>
  <c r="AT58" i="62"/>
  <c r="AT59" i="62"/>
  <c r="AT70" i="62"/>
  <c r="AT74" i="62"/>
  <c r="AQ75" i="62"/>
  <c r="AQ76" i="62"/>
  <c r="AT77" i="62"/>
  <c r="AT78" i="62"/>
  <c r="AQ82" i="62"/>
  <c r="AT15" i="65"/>
  <c r="AT20" i="65"/>
  <c r="G21" i="65"/>
  <c r="AK21" i="65"/>
  <c r="AQ38" i="65"/>
  <c r="AQ39" i="65"/>
  <c r="M29" i="65"/>
  <c r="P54" i="62"/>
  <c r="AN79" i="62"/>
  <c r="AE16" i="62"/>
  <c r="G54" i="62"/>
  <c r="AE14" i="65"/>
  <c r="V29" i="65"/>
  <c r="AQ40" i="65"/>
  <c r="Y85" i="62"/>
  <c r="AK16" i="62"/>
  <c r="D14" i="65"/>
  <c r="AK29" i="65"/>
  <c r="AT18" i="62"/>
  <c r="AQ49" i="62"/>
  <c r="AQ71" i="62"/>
  <c r="AT88" i="62"/>
  <c r="AQ12" i="65"/>
  <c r="AQ26" i="65"/>
  <c r="P35" i="62"/>
  <c r="AN35" i="62"/>
  <c r="AQ36" i="62"/>
  <c r="Y39" i="62"/>
  <c r="AE39" i="62"/>
  <c r="AN54" i="62"/>
  <c r="AT73" i="62"/>
  <c r="AN16" i="62"/>
  <c r="AQ17" i="62"/>
  <c r="AQ20" i="62"/>
  <c r="AT24" i="62"/>
  <c r="AQ28" i="62"/>
  <c r="AT34" i="62"/>
  <c r="AT36" i="62"/>
  <c r="AT44" i="62"/>
  <c r="AQ53" i="62"/>
  <c r="D54" i="62"/>
  <c r="M54" i="62"/>
  <c r="AQ73" i="62"/>
  <c r="AK79" i="62"/>
  <c r="AQ81" i="62"/>
  <c r="AT83" i="62"/>
  <c r="V85" i="62"/>
  <c r="AB85" i="62"/>
  <c r="AQ11" i="65"/>
  <c r="AT13" i="65"/>
  <c r="S14" i="65"/>
  <c r="AQ16" i="65"/>
  <c r="AT17" i="65"/>
  <c r="P21" i="65"/>
  <c r="AQ23" i="65"/>
  <c r="AQ24" i="65"/>
  <c r="AQ25" i="65"/>
  <c r="G29" i="65"/>
  <c r="AQ32" i="65"/>
  <c r="AT25" i="62"/>
  <c r="AQ57" i="62"/>
  <c r="AQ22" i="62"/>
  <c r="AT11" i="65"/>
  <c r="Y14" i="65"/>
  <c r="AH34" i="65"/>
  <c r="V21" i="65"/>
  <c r="AN21" i="65"/>
  <c r="D29" i="65"/>
  <c r="P29" i="65"/>
  <c r="AQ37" i="65"/>
  <c r="G34" i="65"/>
  <c r="V14" i="65"/>
  <c r="M21" i="65"/>
  <c r="Y21" i="65"/>
  <c r="AH21" i="65"/>
  <c r="AN29" i="65"/>
  <c r="AE34" i="65"/>
  <c r="AE29" i="65"/>
  <c r="AQ30" i="65"/>
  <c r="Y29" i="65"/>
  <c r="G14" i="65"/>
  <c r="P14" i="65"/>
  <c r="AH14" i="65"/>
  <c r="D21" i="65"/>
  <c r="S21" i="65"/>
  <c r="AK14" i="65"/>
  <c r="AB21" i="65"/>
  <c r="AQ31" i="65"/>
  <c r="AQ42" i="65"/>
  <c r="V27" i="62"/>
  <c r="S29" i="62"/>
  <c r="G27" i="62"/>
  <c r="M27" i="62"/>
  <c r="D27" i="62"/>
  <c r="P27" i="62"/>
  <c r="AH29" i="62"/>
  <c r="Y35" i="62"/>
  <c r="AQ16" i="62"/>
  <c r="AQ34" i="62"/>
  <c r="V35" i="62"/>
  <c r="P39" i="62"/>
  <c r="AK39" i="62"/>
  <c r="AT16" i="62"/>
  <c r="D20" i="62"/>
  <c r="AT20" i="62"/>
  <c r="AB35" i="62"/>
  <c r="G39" i="62"/>
  <c r="AN39" i="62"/>
  <c r="D39" i="62"/>
  <c r="AE35" i="62"/>
  <c r="M39" i="62"/>
  <c r="Y54" i="62"/>
  <c r="G79" i="62"/>
  <c r="P79" i="62"/>
  <c r="V79" i="62"/>
  <c r="AB79" i="62"/>
  <c r="G85" i="62"/>
  <c r="P85" i="62"/>
  <c r="AN85" i="62"/>
  <c r="V91" i="62"/>
  <c r="V50" i="62"/>
  <c r="V54" i="62"/>
  <c r="AB54" i="62"/>
  <c r="D79" i="62"/>
  <c r="M79" i="62"/>
  <c r="S79" i="62"/>
  <c r="Y79" i="62"/>
  <c r="AE79" i="62"/>
  <c r="D85" i="62"/>
  <c r="M85" i="62"/>
  <c r="AH85" i="62"/>
  <c r="AK85" i="62"/>
  <c r="C26" i="9" l="1"/>
  <c r="C67" i="9" s="1"/>
  <c r="AT39" i="62"/>
  <c r="B67" i="9"/>
  <c r="M26" i="8"/>
  <c r="AK27" i="62"/>
  <c r="AQ27" i="62"/>
  <c r="AT27" i="62"/>
  <c r="AE27" i="62"/>
  <c r="AT14" i="65"/>
  <c r="AT21" i="65"/>
  <c r="AQ35" i="62"/>
  <c r="S91" i="62"/>
  <c r="AT79" i="62"/>
  <c r="AQ79" i="62"/>
  <c r="S34" i="65"/>
  <c r="M34" i="65"/>
  <c r="G41" i="65"/>
  <c r="AQ29" i="65"/>
  <c r="AQ14" i="65"/>
  <c r="AK34" i="65"/>
  <c r="AQ21" i="65"/>
  <c r="P34" i="65"/>
  <c r="AE41" i="65"/>
  <c r="AN34" i="65"/>
  <c r="Y34" i="65"/>
  <c r="D34" i="65"/>
  <c r="AB34" i="65"/>
  <c r="V34" i="65"/>
  <c r="Y60" i="62"/>
  <c r="AK29" i="62"/>
  <c r="AE29" i="62"/>
  <c r="AQ85" i="62"/>
  <c r="AN60" i="62"/>
  <c r="Y91" i="62"/>
  <c r="AT85" i="62"/>
  <c r="AT54" i="62"/>
  <c r="AB91" i="62"/>
  <c r="AT50" i="62"/>
  <c r="AE45" i="62"/>
  <c r="Y45" i="62"/>
  <c r="M29" i="62"/>
  <c r="AB29" i="62"/>
  <c r="M91" i="62"/>
  <c r="D91" i="62"/>
  <c r="D45" i="62"/>
  <c r="AH60" i="62"/>
  <c r="AH91" i="62"/>
  <c r="AN45" i="62"/>
  <c r="AN91" i="62"/>
  <c r="M60" i="62"/>
  <c r="AQ50" i="62"/>
  <c r="P45" i="62"/>
  <c r="AB45" i="62"/>
  <c r="AQ54" i="62"/>
  <c r="V45" i="62"/>
  <c r="AN29" i="62"/>
  <c r="P29" i="62"/>
  <c r="AQ29" i="62"/>
  <c r="D29" i="62"/>
  <c r="AT29" i="62"/>
  <c r="G29" i="62"/>
  <c r="V29" i="62"/>
  <c r="G60" i="62"/>
  <c r="AE91" i="62"/>
  <c r="V60" i="62"/>
  <c r="P60" i="62"/>
  <c r="P91" i="62"/>
  <c r="AB60" i="62"/>
  <c r="AK45" i="62"/>
  <c r="AK60" i="62"/>
  <c r="D60" i="62"/>
  <c r="AK91" i="62"/>
  <c r="G91" i="62"/>
  <c r="AT35" i="62"/>
  <c r="G45" i="62"/>
  <c r="AQ39" i="62"/>
  <c r="M45" i="62"/>
  <c r="Y29" i="62"/>
  <c r="D67" i="9" l="1"/>
  <c r="N26" i="8"/>
  <c r="AH41" i="65"/>
  <c r="AQ91" i="62"/>
  <c r="AQ34" i="65"/>
  <c r="Y41" i="65"/>
  <c r="AE43" i="65"/>
  <c r="P41" i="65"/>
  <c r="G43" i="65"/>
  <c r="M41" i="65"/>
  <c r="V41" i="65"/>
  <c r="AB41" i="65"/>
  <c r="D41" i="65"/>
  <c r="AQ41" i="65"/>
  <c r="AK41" i="65"/>
  <c r="S41" i="65"/>
  <c r="AN41" i="65"/>
  <c r="AH43" i="65"/>
  <c r="AK64" i="62"/>
  <c r="M64" i="62"/>
  <c r="D62" i="62"/>
  <c r="G62" i="62"/>
  <c r="AQ60" i="62"/>
  <c r="AN64" i="62"/>
  <c r="P62" i="62"/>
  <c r="AN62" i="62"/>
  <c r="AE62" i="62"/>
  <c r="Y64" i="62"/>
  <c r="AH62" i="62"/>
  <c r="AK62" i="62"/>
  <c r="AT91" i="62"/>
  <c r="AQ45" i="62"/>
  <c r="Y62" i="62"/>
  <c r="M62" i="62"/>
  <c r="AT60" i="62"/>
  <c r="V64" i="62"/>
  <c r="P64" i="62"/>
  <c r="V62" i="62"/>
  <c r="AB62" i="62"/>
  <c r="AT45" i="62"/>
  <c r="G33" i="4"/>
  <c r="D33" i="4"/>
  <c r="D33" i="16"/>
  <c r="D26" i="16"/>
  <c r="L26" i="16" l="1"/>
  <c r="I33" i="4"/>
  <c r="J33" i="4" s="1"/>
  <c r="AN43" i="65"/>
  <c r="S43" i="65"/>
  <c r="AQ43" i="65"/>
  <c r="D43" i="65"/>
  <c r="V43" i="65"/>
  <c r="G45" i="65"/>
  <c r="P43" i="65"/>
  <c r="M43" i="65"/>
  <c r="AE45" i="65"/>
  <c r="Y43" i="65"/>
  <c r="AH45" i="65"/>
  <c r="AK43" i="65"/>
  <c r="AB43" i="65"/>
  <c r="D64" i="62"/>
  <c r="AB64" i="62"/>
  <c r="AH64" i="62"/>
  <c r="G64" i="62"/>
  <c r="AQ62" i="62"/>
  <c r="AE64" i="62"/>
  <c r="S64" i="62"/>
  <c r="AT62" i="62"/>
  <c r="L33" i="16"/>
  <c r="M33" i="33" l="1"/>
  <c r="M33" i="37"/>
  <c r="M33" i="23"/>
  <c r="M33" i="29"/>
  <c r="M33" i="18"/>
  <c r="M33" i="35"/>
  <c r="M33" i="16"/>
  <c r="M33" i="20"/>
  <c r="AB45" i="65"/>
  <c r="P45" i="65"/>
  <c r="V45" i="65"/>
  <c r="S45" i="65"/>
  <c r="Y45" i="65"/>
  <c r="AK45" i="65"/>
  <c r="M45" i="65"/>
  <c r="D45" i="65"/>
  <c r="AN45" i="65"/>
  <c r="AT64" i="62"/>
  <c r="AQ64" i="62"/>
  <c r="K9" i="18"/>
  <c r="K8" i="18"/>
  <c r="AQ45" i="65" l="1"/>
  <c r="D22" i="18"/>
  <c r="D29" i="18"/>
  <c r="H124" i="18"/>
  <c r="H10" i="18"/>
  <c r="D7" i="18"/>
  <c r="D10" i="18"/>
  <c r="H117" i="18"/>
  <c r="H121" i="18"/>
  <c r="K7" i="18"/>
  <c r="J88" i="18"/>
  <c r="H109" i="18"/>
  <c r="H113" i="18"/>
  <c r="H125" i="18"/>
  <c r="K113" i="18"/>
  <c r="K99" i="18"/>
  <c r="H7" i="18"/>
  <c r="K11" i="18"/>
  <c r="J67" i="18"/>
  <c r="D99" i="18"/>
  <c r="J109" i="18"/>
  <c r="J112" i="18"/>
  <c r="J121" i="18"/>
  <c r="D28" i="18"/>
  <c r="H34" i="18"/>
  <c r="H35" i="18"/>
  <c r="K78" i="18"/>
  <c r="K108" i="18"/>
  <c r="J113" i="18"/>
  <c r="K120" i="18"/>
  <c r="H108" i="18"/>
  <c r="J35" i="18"/>
  <c r="H11" i="18"/>
  <c r="K109" i="18"/>
  <c r="J117" i="18"/>
  <c r="K12" i="18"/>
  <c r="K112" i="18"/>
  <c r="K117" i="18"/>
  <c r="H12" i="18"/>
  <c r="K35" i="18"/>
  <c r="J124" i="18"/>
  <c r="K10" i="18"/>
  <c r="J34" i="18"/>
  <c r="D67" i="18"/>
  <c r="D88" i="18"/>
  <c r="J99" i="18"/>
  <c r="J120" i="18"/>
  <c r="K121" i="18"/>
  <c r="K124" i="18"/>
  <c r="K28" i="18"/>
  <c r="K34" i="18"/>
  <c r="D124" i="18"/>
  <c r="D48" i="18"/>
  <c r="K67" i="18"/>
  <c r="D120" i="18"/>
  <c r="J11" i="18"/>
  <c r="J108" i="18"/>
  <c r="D112" i="18"/>
  <c r="H22" i="18"/>
  <c r="D78" i="18"/>
  <c r="D108" i="18"/>
  <c r="J125" i="18"/>
  <c r="J9" i="18"/>
  <c r="L9" i="18" s="1"/>
  <c r="D9" i="18"/>
  <c r="J28" i="18"/>
  <c r="J12" i="18"/>
  <c r="J7" i="18"/>
  <c r="J10" i="18"/>
  <c r="J8" i="18"/>
  <c r="L8" i="18" s="1"/>
  <c r="D8" i="18"/>
  <c r="J78" i="18"/>
  <c r="K125" i="18"/>
  <c r="K88" i="18"/>
  <c r="B97" i="4" l="1"/>
  <c r="F97" i="4"/>
  <c r="E76" i="4"/>
  <c r="C76" i="4"/>
  <c r="F76" i="4"/>
  <c r="B76" i="4"/>
  <c r="E97" i="4"/>
  <c r="C97" i="4"/>
  <c r="D87" i="18"/>
  <c r="H29" i="18"/>
  <c r="D66" i="18"/>
  <c r="K29" i="18"/>
  <c r="K22" i="18"/>
  <c r="D47" i="18"/>
  <c r="J29" i="18"/>
  <c r="H119" i="18"/>
  <c r="K100" i="18"/>
  <c r="J22" i="18"/>
  <c r="K119" i="18"/>
  <c r="L113" i="18"/>
  <c r="L12" i="18"/>
  <c r="K98" i="18"/>
  <c r="L28" i="18"/>
  <c r="L88" i="18"/>
  <c r="L121" i="18"/>
  <c r="L109" i="18"/>
  <c r="L120" i="18"/>
  <c r="L99" i="18"/>
  <c r="L35" i="18"/>
  <c r="J111" i="18"/>
  <c r="H111" i="18"/>
  <c r="L117" i="18"/>
  <c r="L78" i="18"/>
  <c r="L7" i="18"/>
  <c r="L108" i="18"/>
  <c r="L11" i="18"/>
  <c r="L67" i="18"/>
  <c r="K111" i="18"/>
  <c r="L112" i="18"/>
  <c r="L124" i="18"/>
  <c r="D98" i="18"/>
  <c r="L10" i="18"/>
  <c r="J119" i="18"/>
  <c r="D119" i="18"/>
  <c r="L34" i="18"/>
  <c r="L125" i="18"/>
  <c r="D111" i="18"/>
  <c r="K97" i="37"/>
  <c r="J97" i="37"/>
  <c r="D97" i="29"/>
  <c r="K97" i="33"/>
  <c r="K97" i="29"/>
  <c r="J97" i="13"/>
  <c r="J97" i="33"/>
  <c r="J97" i="29"/>
  <c r="D97" i="37"/>
  <c r="D97" i="13"/>
  <c r="K97" i="13"/>
  <c r="D97" i="33"/>
  <c r="K76" i="37"/>
  <c r="D76" i="33"/>
  <c r="D76" i="37"/>
  <c r="K76" i="29"/>
  <c r="J76" i="13"/>
  <c r="J76" i="37"/>
  <c r="D76" i="29"/>
  <c r="K76" i="33"/>
  <c r="J76" i="33"/>
  <c r="J76" i="29"/>
  <c r="D76" i="13"/>
  <c r="K76" i="13"/>
  <c r="J8" i="37"/>
  <c r="L8" i="37" s="1"/>
  <c r="K8" i="37"/>
  <c r="J9" i="37"/>
  <c r="L9" i="37" s="1"/>
  <c r="K9" i="37"/>
  <c r="J36" i="37"/>
  <c r="J37" i="37"/>
  <c r="E76" i="33" l="1"/>
  <c r="E76" i="13"/>
  <c r="E76" i="37"/>
  <c r="E76" i="29"/>
  <c r="L76" i="33"/>
  <c r="L119" i="18"/>
  <c r="L97" i="33"/>
  <c r="L97" i="29"/>
  <c r="L76" i="29"/>
  <c r="D77" i="18"/>
  <c r="H68" i="18"/>
  <c r="J68" i="18"/>
  <c r="J66" i="18"/>
  <c r="L29" i="18"/>
  <c r="K79" i="18"/>
  <c r="K77" i="18"/>
  <c r="L22" i="18"/>
  <c r="L76" i="13"/>
  <c r="D97" i="4"/>
  <c r="D76" i="4"/>
  <c r="L97" i="37"/>
  <c r="K68" i="18"/>
  <c r="L76" i="37"/>
  <c r="K87" i="18"/>
  <c r="K89" i="18"/>
  <c r="L97" i="13"/>
  <c r="H100" i="18"/>
  <c r="J100" i="18"/>
  <c r="L100" i="18" s="1"/>
  <c r="J89" i="18"/>
  <c r="H89" i="18"/>
  <c r="H79" i="18"/>
  <c r="J79" i="18"/>
  <c r="I97" i="4"/>
  <c r="I76" i="4"/>
  <c r="L111" i="18"/>
  <c r="H34" i="37"/>
  <c r="H116" i="37"/>
  <c r="D114" i="37"/>
  <c r="D116" i="37"/>
  <c r="J124" i="37"/>
  <c r="H76" i="4"/>
  <c r="H97" i="4"/>
  <c r="K12" i="37"/>
  <c r="K7" i="37"/>
  <c r="H113" i="37"/>
  <c r="H117" i="37"/>
  <c r="J88" i="37"/>
  <c r="K75" i="37"/>
  <c r="K108" i="37"/>
  <c r="K96" i="37"/>
  <c r="K67" i="37"/>
  <c r="J35" i="37"/>
  <c r="J10" i="37"/>
  <c r="D7" i="37"/>
  <c r="K135" i="37"/>
  <c r="K134" i="37"/>
  <c r="K122" i="37"/>
  <c r="D122" i="37"/>
  <c r="H114" i="37"/>
  <c r="H112" i="37"/>
  <c r="J121" i="37"/>
  <c r="H121" i="37"/>
  <c r="K114" i="37"/>
  <c r="K107" i="37"/>
  <c r="K99" i="37"/>
  <c r="J125" i="37"/>
  <c r="K116" i="37"/>
  <c r="K78" i="37"/>
  <c r="D8" i="37"/>
  <c r="H108" i="37"/>
  <c r="D67" i="37"/>
  <c r="K110" i="37"/>
  <c r="J86" i="37"/>
  <c r="K28" i="37"/>
  <c r="H7" i="37"/>
  <c r="D135" i="37"/>
  <c r="H124" i="37"/>
  <c r="J110" i="37"/>
  <c r="D108" i="37"/>
  <c r="D28" i="37"/>
  <c r="D125" i="37"/>
  <c r="K113" i="37"/>
  <c r="J108" i="37"/>
  <c r="D34" i="37"/>
  <c r="K10" i="37"/>
  <c r="K125" i="37"/>
  <c r="J117" i="37"/>
  <c r="J113" i="37"/>
  <c r="D110" i="37"/>
  <c r="J134" i="37"/>
  <c r="H35" i="37"/>
  <c r="J28" i="37"/>
  <c r="K11" i="37"/>
  <c r="J122" i="37"/>
  <c r="L122" i="37" s="1"/>
  <c r="J116" i="37"/>
  <c r="K109" i="37"/>
  <c r="D35" i="37"/>
  <c r="J12" i="37"/>
  <c r="J7" i="37"/>
  <c r="H75" i="37"/>
  <c r="D48" i="37"/>
  <c r="K121" i="37"/>
  <c r="J67" i="37"/>
  <c r="H125" i="37"/>
  <c r="D124" i="37"/>
  <c r="H96" i="37"/>
  <c r="K88" i="37"/>
  <c r="J34" i="37"/>
  <c r="D9" i="37"/>
  <c r="J107" i="37"/>
  <c r="D107" i="37"/>
  <c r="K124" i="37"/>
  <c r="D99" i="37"/>
  <c r="D134" i="37"/>
  <c r="D120" i="37"/>
  <c r="J78" i="37"/>
  <c r="D78" i="37"/>
  <c r="J75" i="37"/>
  <c r="D75" i="37"/>
  <c r="J112" i="37"/>
  <c r="D112" i="37"/>
  <c r="J109" i="37"/>
  <c r="J135" i="37"/>
  <c r="K120" i="37"/>
  <c r="J99" i="37"/>
  <c r="J96" i="37"/>
  <c r="D96" i="37"/>
  <c r="K86" i="37"/>
  <c r="J120" i="37"/>
  <c r="J114" i="37"/>
  <c r="H109" i="37"/>
  <c r="D86" i="37"/>
  <c r="K117" i="37"/>
  <c r="K112" i="37"/>
  <c r="D88" i="37"/>
  <c r="H11" i="37"/>
  <c r="D10" i="37"/>
  <c r="K35" i="37"/>
  <c r="D57" i="37"/>
  <c r="D54" i="37"/>
  <c r="K34" i="37"/>
  <c r="H12" i="37"/>
  <c r="K37" i="37"/>
  <c r="D37" i="37"/>
  <c r="H10" i="37"/>
  <c r="K36" i="37"/>
  <c r="D36" i="37"/>
  <c r="J11" i="37"/>
  <c r="M76" i="13" l="1"/>
  <c r="M76" i="33"/>
  <c r="M76" i="37"/>
  <c r="M76" i="29"/>
  <c r="M97" i="29"/>
  <c r="M97" i="37"/>
  <c r="M97" i="33"/>
  <c r="M97" i="18"/>
  <c r="M97" i="13"/>
  <c r="J76" i="4"/>
  <c r="L114" i="37"/>
  <c r="L79" i="18"/>
  <c r="D77" i="37"/>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D56" i="37"/>
  <c r="L88" i="37"/>
  <c r="L124" i="37"/>
  <c r="L12" i="37"/>
  <c r="L78" i="37"/>
  <c r="K111" i="37"/>
  <c r="L7" i="37"/>
  <c r="L135" i="37"/>
  <c r="D53" i="37"/>
  <c r="L28" i="37"/>
  <c r="L96" i="37"/>
  <c r="L34" i="37"/>
  <c r="L109" i="37"/>
  <c r="L67" i="37"/>
  <c r="L99" i="37"/>
  <c r="L108" i="37"/>
  <c r="L134" i="37"/>
  <c r="L10" i="37"/>
  <c r="D47" i="37"/>
  <c r="L107" i="37"/>
  <c r="L75" i="37"/>
  <c r="K119" i="37"/>
  <c r="H111" i="37"/>
  <c r="L86" i="37"/>
  <c r="L121" i="37"/>
  <c r="H119"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L111" i="37"/>
  <c r="L119" i="37"/>
  <c r="H87" i="37" l="1"/>
  <c r="L89" i="37"/>
  <c r="J98" i="37"/>
  <c r="L98" i="37" s="1"/>
  <c r="J77" i="37"/>
  <c r="L77" i="37" s="1"/>
  <c r="L68" i="37"/>
  <c r="J87" i="37"/>
  <c r="L87" i="37" s="1"/>
  <c r="H66" i="37"/>
  <c r="K66" i="37"/>
  <c r="L66" i="37" s="1"/>
  <c r="G14" i="58" l="1"/>
  <c r="C14" i="58"/>
  <c r="B13" i="58"/>
  <c r="F13" i="58"/>
  <c r="F22" i="58"/>
  <c r="B22" i="58"/>
  <c r="G21" i="58"/>
  <c r="C21" i="58"/>
  <c r="F17" i="58"/>
  <c r="B17" i="58"/>
  <c r="F28" i="58"/>
  <c r="B28" i="58"/>
  <c r="C26" i="58"/>
  <c r="G26" i="58"/>
  <c r="F29" i="58"/>
  <c r="B29" i="58"/>
  <c r="F11" i="58"/>
  <c r="B11" i="58"/>
  <c r="C13" i="58"/>
  <c r="G13" i="58"/>
  <c r="F20" i="58"/>
  <c r="B20" i="58"/>
  <c r="G22" i="58"/>
  <c r="C22" i="58"/>
  <c r="G17" i="58"/>
  <c r="C17" i="58"/>
  <c r="G28" i="58"/>
  <c r="C28" i="58"/>
  <c r="G29" i="58"/>
  <c r="C29" i="58"/>
  <c r="G11" i="58"/>
  <c r="C11" i="58"/>
  <c r="B12" i="58"/>
  <c r="F12" i="58"/>
  <c r="B10" i="58"/>
  <c r="F10" i="58"/>
  <c r="F9" i="58"/>
  <c r="B9" i="58"/>
  <c r="F19" i="58"/>
  <c r="B19" i="58"/>
  <c r="G20" i="58"/>
  <c r="C20" i="58"/>
  <c r="F18" i="58"/>
  <c r="B18" i="58"/>
  <c r="F27" i="58"/>
  <c r="B27" i="58"/>
  <c r="F30" i="58"/>
  <c r="B30" i="58"/>
  <c r="F25" i="58"/>
  <c r="B25" i="58"/>
  <c r="C12" i="58"/>
  <c r="G12" i="58"/>
  <c r="F14" i="58"/>
  <c r="B14" i="58"/>
  <c r="G10" i="58"/>
  <c r="C10" i="58"/>
  <c r="C9" i="58"/>
  <c r="G9" i="58"/>
  <c r="G19" i="58"/>
  <c r="C19" i="58"/>
  <c r="G18" i="58"/>
  <c r="C18" i="58"/>
  <c r="F21" i="58"/>
  <c r="B21" i="58"/>
  <c r="G27" i="58"/>
  <c r="C27" i="58"/>
  <c r="G30" i="58"/>
  <c r="C30" i="58"/>
  <c r="F26" i="58"/>
  <c r="B26" i="58"/>
  <c r="G25" i="58"/>
  <c r="C25" i="58"/>
  <c r="B38" i="58" l="1"/>
  <c r="C8" i="58"/>
  <c r="G31" i="4" l="1"/>
  <c r="G23" i="4" l="1"/>
  <c r="G24" i="4"/>
  <c r="G30" i="4"/>
  <c r="G25" i="4"/>
  <c r="G32" i="4"/>
  <c r="D32" i="4"/>
  <c r="D24" i="4"/>
  <c r="I23" i="37"/>
  <c r="I25" i="37"/>
  <c r="I25" i="18"/>
  <c r="I30" i="37"/>
  <c r="I30" i="18"/>
  <c r="I31" i="37"/>
  <c r="I31" i="18"/>
  <c r="G26" i="4"/>
  <c r="D25" i="4"/>
  <c r="I24" i="37"/>
  <c r="I24" i="18"/>
  <c r="I32" i="37"/>
  <c r="I32" i="18"/>
  <c r="D30" i="4"/>
  <c r="D31" i="4"/>
  <c r="L23" i="16"/>
  <c r="D31" i="16"/>
  <c r="D30" i="16"/>
  <c r="D23" i="16"/>
  <c r="D25" i="16"/>
  <c r="D24" i="16"/>
  <c r="D27" i="16"/>
  <c r="D32" i="16"/>
  <c r="E29" i="18" l="1"/>
  <c r="E29" i="23"/>
  <c r="E29" i="29"/>
  <c r="E29" i="33"/>
  <c r="E29" i="16"/>
  <c r="E29" i="20"/>
  <c r="E29" i="24"/>
  <c r="E29" i="37"/>
  <c r="E29" i="13"/>
  <c r="L32" i="16"/>
  <c r="I23" i="18"/>
  <c r="L30" i="16"/>
  <c r="D23" i="4"/>
  <c r="L25" i="16"/>
  <c r="I26" i="4"/>
  <c r="H26" i="4"/>
  <c r="F26" i="10"/>
  <c r="F16" i="10"/>
  <c r="F34" i="10"/>
  <c r="I26" i="29"/>
  <c r="I26" i="20"/>
  <c r="I26" i="23"/>
  <c r="I26" i="33"/>
  <c r="I26" i="37"/>
  <c r="I26" i="35"/>
  <c r="I26" i="18"/>
  <c r="L27" i="16"/>
  <c r="L31" i="16"/>
  <c r="L24" i="16"/>
  <c r="G16" i="10"/>
  <c r="G26" i="10"/>
  <c r="G34" i="10"/>
  <c r="M26" i="29" l="1"/>
  <c r="J26" i="4"/>
  <c r="M26" i="20"/>
  <c r="M26" i="23"/>
  <c r="M26" i="16"/>
  <c r="M26" i="35"/>
  <c r="M26" i="37"/>
  <c r="M26" i="33"/>
  <c r="M26"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D38" i="58"/>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G56" i="10" l="1"/>
  <c r="G60" i="10"/>
  <c r="F60" i="10" l="1"/>
  <c r="F56" i="10"/>
  <c r="K28" i="10" l="1"/>
  <c r="J28" i="10"/>
  <c r="K9" i="33" l="1"/>
  <c r="K9" i="29"/>
  <c r="K8" i="51"/>
  <c r="K8" i="29"/>
  <c r="K9" i="41"/>
  <c r="K8" i="33"/>
  <c r="K8" i="41"/>
  <c r="K9" i="51"/>
  <c r="K8" i="25"/>
  <c r="K8" i="24"/>
  <c r="K9" i="25"/>
  <c r="K9" i="24"/>
  <c r="K8" i="22"/>
  <c r="K9" i="22"/>
  <c r="K9" i="20"/>
  <c r="K8" i="20"/>
  <c r="K8" i="19"/>
  <c r="J36" i="13"/>
  <c r="K9" i="19"/>
  <c r="K39" i="13"/>
  <c r="K37" i="13"/>
  <c r="J39" i="13"/>
  <c r="J37" i="13"/>
  <c r="L37" i="13" s="1"/>
  <c r="K36" i="13"/>
  <c r="K8" i="13"/>
  <c r="K9" i="13"/>
  <c r="D22" i="16"/>
  <c r="L36" i="13" l="1"/>
  <c r="C7" i="4"/>
  <c r="F116" i="4"/>
  <c r="C28" i="4"/>
  <c r="E28" i="51" s="1"/>
  <c r="C99" i="4"/>
  <c r="B10" i="4"/>
  <c r="B20" i="10" s="1"/>
  <c r="F34" i="4"/>
  <c r="C34" i="4"/>
  <c r="C12" i="4"/>
  <c r="E10" i="4"/>
  <c r="F20" i="10" s="1"/>
  <c r="B86" i="4"/>
  <c r="E121" i="4"/>
  <c r="C88" i="4"/>
  <c r="B54" i="4"/>
  <c r="C49" i="4"/>
  <c r="F68" i="4"/>
  <c r="B110" i="4"/>
  <c r="F109" i="4"/>
  <c r="B36" i="4"/>
  <c r="B16" i="10" s="1"/>
  <c r="C107" i="4"/>
  <c r="F137" i="4"/>
  <c r="E86" i="4"/>
  <c r="B89" i="4"/>
  <c r="B75" i="4"/>
  <c r="C35" i="4"/>
  <c r="B137" i="4"/>
  <c r="B44" i="10" s="1"/>
  <c r="C86" i="4"/>
  <c r="F7" i="4"/>
  <c r="C8" i="4"/>
  <c r="C68" i="4"/>
  <c r="F79" i="4"/>
  <c r="C110" i="4"/>
  <c r="B116" i="4"/>
  <c r="F28" i="4"/>
  <c r="E34" i="4"/>
  <c r="E67" i="4"/>
  <c r="F86" i="4"/>
  <c r="F120" i="4"/>
  <c r="E11" i="4"/>
  <c r="F30" i="10" s="1"/>
  <c r="E28" i="4"/>
  <c r="E12" i="4"/>
  <c r="F41" i="10" s="1"/>
  <c r="C112" i="4"/>
  <c r="E107" i="4"/>
  <c r="E134" i="4"/>
  <c r="F15" i="10" s="1"/>
  <c r="C96" i="4"/>
  <c r="E88" i="4"/>
  <c r="C89" i="4"/>
  <c r="E117" i="4"/>
  <c r="C39" i="4"/>
  <c r="C75" i="4"/>
  <c r="E75" i="4"/>
  <c r="F96" i="4"/>
  <c r="C57" i="4"/>
  <c r="F78" i="4"/>
  <c r="B34" i="4"/>
  <c r="B58" i="4"/>
  <c r="C114" i="4"/>
  <c r="E137" i="4"/>
  <c r="B8" i="4"/>
  <c r="F107" i="4"/>
  <c r="F12" i="4"/>
  <c r="C11" i="4"/>
  <c r="E96" i="4"/>
  <c r="G96" i="4" s="1"/>
  <c r="C79" i="4"/>
  <c r="B49" i="4"/>
  <c r="E100" i="4"/>
  <c r="B108" i="4"/>
  <c r="C124" i="4"/>
  <c r="F117" i="4"/>
  <c r="C116" i="4"/>
  <c r="C120" i="4"/>
  <c r="F100" i="4"/>
  <c r="B114" i="4"/>
  <c r="B39" i="4"/>
  <c r="B11" i="4"/>
  <c r="B30" i="10" s="1"/>
  <c r="B113" i="4"/>
  <c r="E108" i="4"/>
  <c r="E113" i="4"/>
  <c r="B107" i="4"/>
  <c r="B37" i="4"/>
  <c r="B26" i="10" s="1"/>
  <c r="C37" i="4"/>
  <c r="F114" i="4"/>
  <c r="C54" i="4"/>
  <c r="B79" i="4"/>
  <c r="E99" i="4"/>
  <c r="C58" i="4"/>
  <c r="B68" i="4"/>
  <c r="B13" i="10" s="1"/>
  <c r="F122" i="4"/>
  <c r="F11" i="4"/>
  <c r="C134" i="4"/>
  <c r="E35" i="4"/>
  <c r="F42" i="10" s="1"/>
  <c r="B96" i="4"/>
  <c r="B120" i="4"/>
  <c r="C100" i="4"/>
  <c r="E110" i="4"/>
  <c r="B109" i="4"/>
  <c r="F108" i="4"/>
  <c r="E122" i="4"/>
  <c r="F136" i="4"/>
  <c r="C55" i="4"/>
  <c r="B112" i="4"/>
  <c r="B99" i="4"/>
  <c r="C122" i="4"/>
  <c r="F67" i="4"/>
  <c r="C135" i="4"/>
  <c r="B78" i="4"/>
  <c r="B38" i="4"/>
  <c r="F121" i="4"/>
  <c r="E112" i="4"/>
  <c r="F35" i="4"/>
  <c r="B122" i="4"/>
  <c r="B67" i="4"/>
  <c r="E89" i="4"/>
  <c r="B124" i="4"/>
  <c r="B125" i="4"/>
  <c r="B28" i="4"/>
  <c r="D28" i="4" s="1"/>
  <c r="B35" i="4"/>
  <c r="F112" i="4"/>
  <c r="F89" i="4"/>
  <c r="F125" i="4"/>
  <c r="C9" i="4"/>
  <c r="B9" i="4"/>
  <c r="B121" i="4"/>
  <c r="F75" i="4"/>
  <c r="B88" i="4"/>
  <c r="E135" i="4"/>
  <c r="F25" i="10" s="1"/>
  <c r="B136" i="4"/>
  <c r="B33" i="10" s="1"/>
  <c r="F110" i="4"/>
  <c r="C109" i="4"/>
  <c r="E124" i="4"/>
  <c r="F113" i="4"/>
  <c r="F88" i="4"/>
  <c r="C121" i="4"/>
  <c r="C48" i="4"/>
  <c r="E109" i="4"/>
  <c r="G109" i="4" s="1"/>
  <c r="B134" i="4"/>
  <c r="B15" i="10" s="1"/>
  <c r="C113" i="4"/>
  <c r="C36" i="4"/>
  <c r="E120" i="4"/>
  <c r="C136" i="4"/>
  <c r="C137" i="4"/>
  <c r="C78" i="4"/>
  <c r="F134" i="4"/>
  <c r="C38" i="4"/>
  <c r="E68" i="4"/>
  <c r="B100" i="4"/>
  <c r="E125" i="4"/>
  <c r="B7" i="4"/>
  <c r="B9" i="10" s="1"/>
  <c r="C10" i="4"/>
  <c r="B55" i="4"/>
  <c r="B12" i="4"/>
  <c r="B41" i="10" s="1"/>
  <c r="B135" i="4"/>
  <c r="B57" i="4"/>
  <c r="E7" i="4"/>
  <c r="F9" i="10" s="1"/>
  <c r="F99" i="4"/>
  <c r="F10" i="4"/>
  <c r="E114" i="4"/>
  <c r="G114" i="4" s="1"/>
  <c r="F135" i="4"/>
  <c r="B48" i="4"/>
  <c r="E78" i="4"/>
  <c r="E79" i="4"/>
  <c r="C67" i="4"/>
  <c r="C108" i="4"/>
  <c r="C125" i="4"/>
  <c r="E116" i="4"/>
  <c r="G116" i="4" s="1"/>
  <c r="F124" i="4"/>
  <c r="G15" i="9"/>
  <c r="H41" i="9"/>
  <c r="C38" i="9"/>
  <c r="H39" i="9"/>
  <c r="G21" i="9"/>
  <c r="G38" i="9"/>
  <c r="H18" i="9"/>
  <c r="G16" i="9"/>
  <c r="M66" i="8" s="1"/>
  <c r="H21" i="9"/>
  <c r="H12" i="9"/>
  <c r="G13" i="9"/>
  <c r="G14" i="9"/>
  <c r="H19" i="9"/>
  <c r="C36" i="9"/>
  <c r="G17" i="9"/>
  <c r="M67" i="8" s="1"/>
  <c r="B42" i="9"/>
  <c r="B43" i="9"/>
  <c r="C43" i="9"/>
  <c r="C40" i="9"/>
  <c r="G22" i="9"/>
  <c r="M72" i="8" s="1"/>
  <c r="C41" i="9"/>
  <c r="H42" i="9"/>
  <c r="H13" i="9"/>
  <c r="H37" i="9"/>
  <c r="G11" i="9"/>
  <c r="C37" i="9"/>
  <c r="G20" i="9"/>
  <c r="H20" i="9"/>
  <c r="G24" i="9"/>
  <c r="G12" i="9"/>
  <c r="H36" i="9"/>
  <c r="H10" i="9"/>
  <c r="H38" i="9"/>
  <c r="H40" i="9"/>
  <c r="C42" i="9"/>
  <c r="G10" i="9"/>
  <c r="H11" i="9"/>
  <c r="C39" i="9"/>
  <c r="G23" i="9"/>
  <c r="G25" i="9"/>
  <c r="H43" i="9"/>
  <c r="G27" i="9"/>
  <c r="G29" i="9"/>
  <c r="M79" i="8" s="1"/>
  <c r="G36" i="9"/>
  <c r="H23" i="9"/>
  <c r="G19" i="9"/>
  <c r="B36" i="9"/>
  <c r="B41" i="9"/>
  <c r="B37" i="9"/>
  <c r="K36" i="16"/>
  <c r="J38" i="16"/>
  <c r="J39" i="16"/>
  <c r="J37" i="16"/>
  <c r="K37" i="16"/>
  <c r="K38" i="16"/>
  <c r="J36" i="16"/>
  <c r="K39" i="16"/>
  <c r="K135" i="26"/>
  <c r="K7" i="35"/>
  <c r="H29" i="29"/>
  <c r="K121" i="13"/>
  <c r="H121" i="33"/>
  <c r="H29" i="20"/>
  <c r="H125" i="33"/>
  <c r="H68" i="29"/>
  <c r="K113" i="33"/>
  <c r="H68" i="35"/>
  <c r="H29" i="13"/>
  <c r="K68" i="20"/>
  <c r="K12" i="29"/>
  <c r="J86" i="29"/>
  <c r="K108" i="33"/>
  <c r="H22" i="33"/>
  <c r="K68" i="33"/>
  <c r="H35" i="29"/>
  <c r="H34" i="13"/>
  <c r="D37" i="16"/>
  <c r="H121" i="27"/>
  <c r="D55" i="39"/>
  <c r="K89" i="27"/>
  <c r="K108" i="27"/>
  <c r="H121" i="35"/>
  <c r="K22" i="51"/>
  <c r="K135" i="34"/>
  <c r="K134" i="26"/>
  <c r="K113" i="29"/>
  <c r="H100" i="29"/>
  <c r="K137" i="26"/>
  <c r="K116" i="29"/>
  <c r="J79" i="29"/>
  <c r="K28" i="51"/>
  <c r="H89" i="29"/>
  <c r="K12" i="33"/>
  <c r="K116" i="33"/>
  <c r="H34" i="33"/>
  <c r="H12" i="33"/>
  <c r="H79" i="27"/>
  <c r="H125" i="29"/>
  <c r="K109" i="20"/>
  <c r="K108" i="23"/>
  <c r="K22" i="23"/>
  <c r="K100" i="27"/>
  <c r="K107" i="33"/>
  <c r="K100" i="33"/>
  <c r="K75" i="33"/>
  <c r="K122" i="33"/>
  <c r="H86" i="35"/>
  <c r="K114" i="33"/>
  <c r="H29" i="33"/>
  <c r="D58" i="39"/>
  <c r="D58" i="22"/>
  <c r="H75" i="33"/>
  <c r="D36" i="16"/>
  <c r="D12" i="16"/>
  <c r="D11" i="16"/>
  <c r="D37" i="13"/>
  <c r="K89" i="20"/>
  <c r="H100" i="20"/>
  <c r="K89" i="23"/>
  <c r="K68" i="23"/>
  <c r="K28" i="24"/>
  <c r="H135" i="26"/>
  <c r="H22" i="29"/>
  <c r="K113" i="35"/>
  <c r="K12" i="35"/>
  <c r="K109" i="35"/>
  <c r="H12" i="35"/>
  <c r="H96" i="33"/>
  <c r="H117" i="33"/>
  <c r="K100" i="20"/>
  <c r="K28" i="25"/>
  <c r="K136" i="34"/>
  <c r="K96" i="33"/>
  <c r="H35" i="33"/>
  <c r="D49" i="33"/>
  <c r="K117" i="33"/>
  <c r="H100" i="27"/>
  <c r="H109" i="35"/>
  <c r="K28" i="23"/>
  <c r="K124" i="33"/>
  <c r="H114" i="33"/>
  <c r="K113" i="20"/>
  <c r="K109" i="27"/>
  <c r="K89" i="33"/>
  <c r="K11" i="35"/>
  <c r="D58" i="33"/>
  <c r="H113" i="35"/>
  <c r="D57" i="16"/>
  <c r="D35" i="16"/>
  <c r="D28" i="16"/>
  <c r="D29" i="16"/>
  <c r="D9" i="16"/>
  <c r="D10" i="16"/>
  <c r="D39" i="16"/>
  <c r="D58" i="16"/>
  <c r="D54" i="16"/>
  <c r="D8" i="16"/>
  <c r="D49" i="16"/>
  <c r="D7" i="16"/>
  <c r="D55" i="16"/>
  <c r="D34" i="16"/>
  <c r="D38" i="16"/>
  <c r="D48" i="16"/>
  <c r="H100" i="23"/>
  <c r="B21" i="10"/>
  <c r="K109" i="23"/>
  <c r="H109" i="27"/>
  <c r="K10" i="35"/>
  <c r="K34" i="13"/>
  <c r="K107" i="13"/>
  <c r="K121" i="23"/>
  <c r="H109" i="23"/>
  <c r="H22" i="23"/>
  <c r="H89" i="35"/>
  <c r="H100" i="33"/>
  <c r="H68" i="33"/>
  <c r="K125" i="33"/>
  <c r="D49" i="39"/>
  <c r="K7" i="13"/>
  <c r="K7" i="19"/>
  <c r="K10" i="29"/>
  <c r="H7" i="23"/>
  <c r="H7" i="29"/>
  <c r="H7" i="33"/>
  <c r="K10" i="33"/>
  <c r="H10" i="13"/>
  <c r="K7" i="23"/>
  <c r="K11" i="33"/>
  <c r="K7" i="29"/>
  <c r="H10" i="35"/>
  <c r="H11" i="13"/>
  <c r="H89" i="20"/>
  <c r="K22" i="13"/>
  <c r="K29" i="13"/>
  <c r="H79" i="13"/>
  <c r="K100" i="13"/>
  <c r="K116" i="13"/>
  <c r="K10" i="13"/>
  <c r="H121" i="13"/>
  <c r="K7" i="20"/>
  <c r="K10" i="20"/>
  <c r="K22" i="24"/>
  <c r="D49" i="26"/>
  <c r="K11" i="29"/>
  <c r="H22" i="35"/>
  <c r="H113" i="29"/>
  <c r="H7" i="35"/>
  <c r="H11" i="35"/>
  <c r="K7" i="33"/>
  <c r="H89" i="33"/>
  <c r="H107" i="33"/>
  <c r="K121" i="33"/>
  <c r="H89" i="13"/>
  <c r="K109" i="13"/>
  <c r="K67" i="13"/>
  <c r="K11" i="13"/>
  <c r="H22" i="20"/>
  <c r="H113" i="33"/>
  <c r="H107" i="35"/>
  <c r="H12" i="23"/>
  <c r="H136" i="26"/>
  <c r="H89" i="27"/>
  <c r="K28" i="29"/>
  <c r="K34" i="29"/>
  <c r="H134" i="26"/>
  <c r="K117" i="29"/>
  <c r="H109" i="20"/>
  <c r="H35" i="35"/>
  <c r="H79" i="23"/>
  <c r="H89" i="23"/>
  <c r="H117" i="23"/>
  <c r="K35" i="29"/>
  <c r="H117" i="29"/>
  <c r="D49" i="13"/>
  <c r="H44" i="9"/>
  <c r="D39" i="13"/>
  <c r="H22" i="13"/>
  <c r="H113" i="20"/>
  <c r="H7" i="13"/>
  <c r="K35" i="13"/>
  <c r="K108" i="13"/>
  <c r="K12" i="13"/>
  <c r="H107" i="13"/>
  <c r="C44" i="9"/>
  <c r="D48" i="13"/>
  <c r="J10" i="13"/>
  <c r="D10" i="13"/>
  <c r="K28" i="13"/>
  <c r="K68" i="13"/>
  <c r="K112" i="13"/>
  <c r="K117" i="13"/>
  <c r="H35" i="13"/>
  <c r="H109" i="13"/>
  <c r="J89" i="13"/>
  <c r="D89" i="13"/>
  <c r="D11" i="13"/>
  <c r="J11" i="13"/>
  <c r="J9" i="19"/>
  <c r="L9" i="19" s="1"/>
  <c r="D9" i="19"/>
  <c r="B35" i="9"/>
  <c r="K113" i="13"/>
  <c r="J9" i="13"/>
  <c r="L9" i="13" s="1"/>
  <c r="D9" i="13"/>
  <c r="H68" i="13"/>
  <c r="J88" i="13"/>
  <c r="D88" i="13"/>
  <c r="H100" i="13"/>
  <c r="H12" i="13"/>
  <c r="C35" i="9"/>
  <c r="H35" i="9"/>
  <c r="G35" i="9"/>
  <c r="D78" i="13"/>
  <c r="J78" i="13"/>
  <c r="J12" i="13"/>
  <c r="D12" i="13"/>
  <c r="K120" i="13"/>
  <c r="J109" i="20"/>
  <c r="K88" i="13"/>
  <c r="H117" i="13"/>
  <c r="D35" i="13"/>
  <c r="J35" i="13"/>
  <c r="J68" i="13"/>
  <c r="K86" i="13"/>
  <c r="K89" i="13"/>
  <c r="J107" i="13"/>
  <c r="D107" i="13"/>
  <c r="D112" i="13"/>
  <c r="J112" i="13"/>
  <c r="J117" i="13"/>
  <c r="D86" i="13"/>
  <c r="J86" i="13"/>
  <c r="J125" i="13"/>
  <c r="G9" i="9"/>
  <c r="D8" i="20"/>
  <c r="J8" i="20"/>
  <c r="L8" i="20" s="1"/>
  <c r="J79" i="13"/>
  <c r="D99" i="13"/>
  <c r="J99" i="13"/>
  <c r="J124" i="13"/>
  <c r="D124" i="13"/>
  <c r="H108" i="13"/>
  <c r="H113" i="13"/>
  <c r="J68" i="20"/>
  <c r="D68" i="20"/>
  <c r="J100" i="20"/>
  <c r="D100" i="20"/>
  <c r="D36" i="13"/>
  <c r="D54" i="13"/>
  <c r="D108" i="13"/>
  <c r="J108" i="13"/>
  <c r="J113" i="13"/>
  <c r="K124" i="13"/>
  <c r="J7" i="20"/>
  <c r="D7" i="20"/>
  <c r="J7" i="13"/>
  <c r="D7" i="13"/>
  <c r="D22" i="13"/>
  <c r="J22" i="13"/>
  <c r="J29" i="13"/>
  <c r="D29" i="13"/>
  <c r="D57" i="13"/>
  <c r="K78" i="13"/>
  <c r="K99" i="13"/>
  <c r="D109" i="13"/>
  <c r="J109" i="13"/>
  <c r="J120" i="13"/>
  <c r="D120" i="13"/>
  <c r="H125" i="13"/>
  <c r="J10" i="20"/>
  <c r="D10" i="20"/>
  <c r="J7" i="19"/>
  <c r="D7" i="19"/>
  <c r="J28" i="20"/>
  <c r="D28" i="20"/>
  <c r="K79" i="20"/>
  <c r="K121" i="20"/>
  <c r="H77" i="20"/>
  <c r="D54" i="22"/>
  <c r="D22" i="23"/>
  <c r="J22" i="23"/>
  <c r="D28" i="24"/>
  <c r="J28" i="24"/>
  <c r="D28" i="25"/>
  <c r="J28" i="25"/>
  <c r="J100" i="27"/>
  <c r="J112" i="23"/>
  <c r="D112" i="23"/>
  <c r="J22" i="24"/>
  <c r="D22" i="24"/>
  <c r="J88" i="27"/>
  <c r="D88" i="27"/>
  <c r="D8" i="22"/>
  <c r="J8" i="22"/>
  <c r="L8" i="22" s="1"/>
  <c r="D29" i="23"/>
  <c r="J29" i="23"/>
  <c r="K112" i="23"/>
  <c r="D7" i="24"/>
  <c r="J7" i="24"/>
  <c r="J22" i="51"/>
  <c r="D22" i="51"/>
  <c r="K11" i="23"/>
  <c r="K35" i="23"/>
  <c r="J117" i="23"/>
  <c r="K29" i="24"/>
  <c r="D48" i="25"/>
  <c r="D9" i="22"/>
  <c r="J9" i="22"/>
  <c r="L9" i="22" s="1"/>
  <c r="K12" i="23"/>
  <c r="K67" i="23"/>
  <c r="D78" i="23"/>
  <c r="K78" i="23"/>
  <c r="J108" i="23"/>
  <c r="D108" i="23"/>
  <c r="H113" i="23"/>
  <c r="J68" i="27"/>
  <c r="K88" i="27"/>
  <c r="D67" i="29"/>
  <c r="K67" i="29"/>
  <c r="J75" i="33"/>
  <c r="D75" i="33"/>
  <c r="D48" i="26"/>
  <c r="K67" i="27"/>
  <c r="J79" i="27"/>
  <c r="J121" i="27"/>
  <c r="D48" i="51"/>
  <c r="D54" i="40"/>
  <c r="J28" i="29"/>
  <c r="D28" i="29"/>
  <c r="D136" i="26"/>
  <c r="J136" i="26"/>
  <c r="H68" i="27"/>
  <c r="H117" i="27"/>
  <c r="K10" i="41"/>
  <c r="D7" i="29"/>
  <c r="J7" i="29"/>
  <c r="J10" i="35"/>
  <c r="J8" i="41"/>
  <c r="L8" i="41" s="1"/>
  <c r="D8" i="41"/>
  <c r="J12" i="29"/>
  <c r="D9" i="41"/>
  <c r="J9" i="41"/>
  <c r="L9" i="41" s="1"/>
  <c r="H12" i="29"/>
  <c r="J109" i="29"/>
  <c r="D109" i="29"/>
  <c r="K120" i="29"/>
  <c r="D68" i="29"/>
  <c r="J68" i="29"/>
  <c r="D86" i="29"/>
  <c r="K86" i="29"/>
  <c r="K89" i="29"/>
  <c r="K107" i="29"/>
  <c r="J112" i="29"/>
  <c r="D112" i="29"/>
  <c r="D116" i="29"/>
  <c r="J116" i="29"/>
  <c r="H121" i="29"/>
  <c r="J7" i="35"/>
  <c r="L7" i="35" s="1"/>
  <c r="K22" i="35"/>
  <c r="K29" i="35"/>
  <c r="J10" i="33"/>
  <c r="D10" i="33"/>
  <c r="J68" i="33"/>
  <c r="D68" i="33"/>
  <c r="J125" i="35"/>
  <c r="D54" i="33"/>
  <c r="J86" i="35"/>
  <c r="J89" i="35"/>
  <c r="J107" i="35"/>
  <c r="D57" i="33"/>
  <c r="K78" i="33"/>
  <c r="K77" i="33"/>
  <c r="K112" i="33"/>
  <c r="K121" i="35"/>
  <c r="J8" i="33"/>
  <c r="L8" i="33" s="1"/>
  <c r="D8" i="33"/>
  <c r="H11" i="33"/>
  <c r="K35" i="33"/>
  <c r="D96" i="33"/>
  <c r="J96" i="33"/>
  <c r="J108" i="33"/>
  <c r="D108" i="33"/>
  <c r="D124" i="33"/>
  <c r="J124" i="33"/>
  <c r="K110" i="33"/>
  <c r="D116" i="33"/>
  <c r="J116" i="33"/>
  <c r="D54" i="39"/>
  <c r="J8" i="13"/>
  <c r="L8" i="13" s="1"/>
  <c r="D8" i="13"/>
  <c r="J28" i="13"/>
  <c r="D28" i="13"/>
  <c r="J34" i="13"/>
  <c r="D34" i="13"/>
  <c r="D67" i="13"/>
  <c r="J67" i="13"/>
  <c r="K79" i="13"/>
  <c r="D100" i="13"/>
  <c r="J100" i="13"/>
  <c r="J116" i="13"/>
  <c r="D116" i="13"/>
  <c r="J121" i="13"/>
  <c r="D113" i="20"/>
  <c r="J113" i="20"/>
  <c r="K125" i="13"/>
  <c r="J8" i="19"/>
  <c r="L8" i="19" s="1"/>
  <c r="D8" i="19"/>
  <c r="D79" i="20"/>
  <c r="J79" i="20"/>
  <c r="J121" i="20"/>
  <c r="D121" i="20"/>
  <c r="D57" i="22"/>
  <c r="J9" i="20"/>
  <c r="L9" i="20" s="1"/>
  <c r="D9" i="20"/>
  <c r="H68" i="20"/>
  <c r="K22" i="20"/>
  <c r="K29" i="20"/>
  <c r="H79" i="20"/>
  <c r="H121" i="20"/>
  <c r="J113" i="23"/>
  <c r="J125" i="27"/>
  <c r="K7" i="22"/>
  <c r="J12" i="35"/>
  <c r="D49" i="22"/>
  <c r="J10" i="23"/>
  <c r="J34" i="23"/>
  <c r="K113" i="23"/>
  <c r="J125" i="23"/>
  <c r="J8" i="24"/>
  <c r="L8" i="24" s="1"/>
  <c r="D8" i="24"/>
  <c r="J7" i="25"/>
  <c r="D7" i="25"/>
  <c r="J12" i="23"/>
  <c r="J78" i="23"/>
  <c r="K7" i="24"/>
  <c r="D10" i="24"/>
  <c r="J10" i="24"/>
  <c r="H29" i="23"/>
  <c r="J68" i="23"/>
  <c r="K79" i="23"/>
  <c r="J88" i="23"/>
  <c r="D88" i="23"/>
  <c r="K99" i="23"/>
  <c r="J109" i="23"/>
  <c r="K120" i="23"/>
  <c r="K10" i="24"/>
  <c r="D48" i="40"/>
  <c r="J29" i="29"/>
  <c r="D29" i="29"/>
  <c r="D112" i="27"/>
  <c r="J112" i="27"/>
  <c r="J117" i="27"/>
  <c r="D48" i="41"/>
  <c r="K68" i="27"/>
  <c r="K112" i="27"/>
  <c r="K117" i="27"/>
  <c r="J137" i="34"/>
  <c r="L137" i="34" s="1"/>
  <c r="D137" i="34"/>
  <c r="D134" i="26"/>
  <c r="J134" i="26"/>
  <c r="D137" i="26"/>
  <c r="J137" i="26"/>
  <c r="H113" i="27"/>
  <c r="K7" i="51"/>
  <c r="K10" i="51"/>
  <c r="J78" i="29"/>
  <c r="D78" i="29"/>
  <c r="J22" i="29"/>
  <c r="D22" i="29"/>
  <c r="K68" i="29"/>
  <c r="J88" i="29"/>
  <c r="D88" i="29"/>
  <c r="J11" i="33"/>
  <c r="J121" i="29"/>
  <c r="J134" i="34"/>
  <c r="D134" i="34"/>
  <c r="H29" i="35"/>
  <c r="K108" i="29"/>
  <c r="J22" i="35"/>
  <c r="J29" i="35"/>
  <c r="H77" i="29"/>
  <c r="H107" i="29"/>
  <c r="K112" i="29"/>
  <c r="J117" i="29"/>
  <c r="J135" i="34"/>
  <c r="D135" i="34"/>
  <c r="K34" i="35"/>
  <c r="J117" i="35"/>
  <c r="J9" i="33"/>
  <c r="L9" i="33" s="1"/>
  <c r="D9" i="33"/>
  <c r="J78" i="33"/>
  <c r="D78" i="33"/>
  <c r="J22" i="33"/>
  <c r="D22" i="33"/>
  <c r="J29" i="33"/>
  <c r="D29" i="33"/>
  <c r="J67" i="33"/>
  <c r="K79" i="33"/>
  <c r="K86" i="35"/>
  <c r="K89" i="35"/>
  <c r="K107" i="35"/>
  <c r="H117" i="35"/>
  <c r="H77" i="33"/>
  <c r="J99" i="33"/>
  <c r="D99" i="33"/>
  <c r="D109" i="33"/>
  <c r="J109" i="33"/>
  <c r="G44" i="9"/>
  <c r="J112" i="33"/>
  <c r="D112" i="33"/>
  <c r="J117" i="33"/>
  <c r="D48" i="39"/>
  <c r="K28" i="20"/>
  <c r="J89" i="20"/>
  <c r="D89" i="20"/>
  <c r="J28" i="23"/>
  <c r="D28" i="23"/>
  <c r="D48" i="21"/>
  <c r="D57" i="25"/>
  <c r="J11" i="23"/>
  <c r="J35" i="23"/>
  <c r="J8" i="25"/>
  <c r="L8" i="25" s="1"/>
  <c r="D8" i="25"/>
  <c r="J9" i="51"/>
  <c r="L9" i="51" s="1"/>
  <c r="D9" i="51"/>
  <c r="K29" i="23"/>
  <c r="J67" i="23"/>
  <c r="D67" i="23"/>
  <c r="J79" i="23"/>
  <c r="J99" i="23"/>
  <c r="D99" i="23"/>
  <c r="J120" i="23"/>
  <c r="D120" i="23"/>
  <c r="K125" i="23"/>
  <c r="K7" i="25"/>
  <c r="D48" i="22"/>
  <c r="H10" i="23"/>
  <c r="H34" i="23"/>
  <c r="J89" i="23"/>
  <c r="K100" i="23"/>
  <c r="K116" i="23"/>
  <c r="J121" i="23"/>
  <c r="H125" i="23"/>
  <c r="J9" i="24"/>
  <c r="L9" i="24" s="1"/>
  <c r="D9" i="24"/>
  <c r="D54" i="25"/>
  <c r="D99" i="27"/>
  <c r="J99" i="27"/>
  <c r="J113" i="27"/>
  <c r="D57" i="41"/>
  <c r="K113" i="27"/>
  <c r="J7" i="51"/>
  <c r="D7" i="51"/>
  <c r="D10" i="51"/>
  <c r="J10" i="51"/>
  <c r="J34" i="29"/>
  <c r="K78" i="27"/>
  <c r="K77" i="27"/>
  <c r="K120" i="27"/>
  <c r="H125" i="27"/>
  <c r="K7" i="41"/>
  <c r="D10" i="29"/>
  <c r="J10" i="29"/>
  <c r="J89" i="29"/>
  <c r="D89" i="29"/>
  <c r="J11" i="35"/>
  <c r="H10" i="29"/>
  <c r="K22" i="29"/>
  <c r="K29" i="29"/>
  <c r="J120" i="29"/>
  <c r="D120" i="29"/>
  <c r="J107" i="29"/>
  <c r="D107" i="29"/>
  <c r="K137" i="34"/>
  <c r="H34" i="35"/>
  <c r="K78" i="29"/>
  <c r="K99" i="29"/>
  <c r="K109" i="29"/>
  <c r="J125" i="29"/>
  <c r="K134" i="34"/>
  <c r="J34" i="35"/>
  <c r="J68" i="35"/>
  <c r="H28" i="9"/>
  <c r="H79" i="29"/>
  <c r="J113" i="29"/>
  <c r="K125" i="29"/>
  <c r="K35" i="35"/>
  <c r="K68" i="35"/>
  <c r="D48" i="33"/>
  <c r="K117" i="35"/>
  <c r="G67" i="9"/>
  <c r="D67" i="33"/>
  <c r="K67" i="33"/>
  <c r="J79" i="33"/>
  <c r="D79" i="33"/>
  <c r="K125" i="35"/>
  <c r="J28" i="33"/>
  <c r="D28" i="33"/>
  <c r="J34" i="33"/>
  <c r="K86" i="33"/>
  <c r="D122" i="33"/>
  <c r="J122" i="33"/>
  <c r="J113" i="35"/>
  <c r="K22" i="33"/>
  <c r="K29" i="33"/>
  <c r="H79" i="33"/>
  <c r="J88" i="33"/>
  <c r="D88" i="33"/>
  <c r="J100" i="33"/>
  <c r="D100" i="33"/>
  <c r="K120" i="33"/>
  <c r="D113" i="33"/>
  <c r="J113" i="33"/>
  <c r="D57" i="39"/>
  <c r="D54" i="21"/>
  <c r="J22" i="20"/>
  <c r="D22" i="20"/>
  <c r="J29" i="20"/>
  <c r="D29" i="20"/>
  <c r="D48" i="20"/>
  <c r="K77" i="20"/>
  <c r="J7" i="23"/>
  <c r="K88" i="23"/>
  <c r="J35" i="29"/>
  <c r="D7" i="22"/>
  <c r="J7" i="22"/>
  <c r="H121" i="23"/>
  <c r="J29" i="24"/>
  <c r="D29" i="24"/>
  <c r="J89" i="27"/>
  <c r="K10" i="23"/>
  <c r="K34" i="23"/>
  <c r="H68" i="23"/>
  <c r="J100" i="23"/>
  <c r="D116" i="23"/>
  <c r="J116" i="23"/>
  <c r="J108" i="27"/>
  <c r="D108" i="27"/>
  <c r="J28" i="51"/>
  <c r="D28" i="51"/>
  <c r="H11" i="23"/>
  <c r="H35" i="23"/>
  <c r="K117" i="23"/>
  <c r="J9" i="25"/>
  <c r="L9" i="25" s="1"/>
  <c r="D9" i="25"/>
  <c r="H77" i="27"/>
  <c r="J109" i="27"/>
  <c r="D67" i="27"/>
  <c r="J67" i="27"/>
  <c r="K99" i="27"/>
  <c r="K125" i="27"/>
  <c r="K136" i="26"/>
  <c r="J78" i="27"/>
  <c r="D78" i="27"/>
  <c r="D120" i="27"/>
  <c r="J120" i="27"/>
  <c r="J8" i="51"/>
  <c r="L8" i="51" s="1"/>
  <c r="D8" i="51"/>
  <c r="G18" i="9"/>
  <c r="D135" i="26"/>
  <c r="J135" i="26"/>
  <c r="K79" i="27"/>
  <c r="K121" i="27"/>
  <c r="D57" i="40"/>
  <c r="D54" i="41"/>
  <c r="D53" i="41"/>
  <c r="J7" i="41"/>
  <c r="D7" i="41"/>
  <c r="J10" i="41"/>
  <c r="D10" i="41"/>
  <c r="J8" i="29"/>
  <c r="L8" i="29" s="1"/>
  <c r="D8" i="29"/>
  <c r="J11" i="29"/>
  <c r="J99" i="29"/>
  <c r="D99" i="29"/>
  <c r="D120" i="33"/>
  <c r="J120" i="33"/>
  <c r="D9" i="29"/>
  <c r="J9" i="29"/>
  <c r="L9" i="29" s="1"/>
  <c r="H11" i="29"/>
  <c r="H34" i="29"/>
  <c r="J100" i="29"/>
  <c r="D100" i="29"/>
  <c r="J136" i="34"/>
  <c r="D136" i="34"/>
  <c r="J108" i="29"/>
  <c r="D108" i="29"/>
  <c r="J12" i="33"/>
  <c r="D125" i="33"/>
  <c r="J125" i="33"/>
  <c r="J67" i="29"/>
  <c r="D79" i="29"/>
  <c r="K79" i="29"/>
  <c r="K88" i="29"/>
  <c r="K100" i="29"/>
  <c r="K121" i="29"/>
  <c r="J35" i="35"/>
  <c r="K99" i="33"/>
  <c r="H86" i="29"/>
  <c r="H109" i="29"/>
  <c r="K88" i="33"/>
  <c r="J86" i="33"/>
  <c r="D121" i="33"/>
  <c r="J121" i="33"/>
  <c r="J121" i="35"/>
  <c r="J35" i="33"/>
  <c r="D35" i="33"/>
  <c r="J109" i="35"/>
  <c r="H125" i="35"/>
  <c r="J7" i="33"/>
  <c r="D7" i="33"/>
  <c r="H10" i="33"/>
  <c r="K28" i="33"/>
  <c r="K34" i="33"/>
  <c r="H86" i="33"/>
  <c r="J89" i="33"/>
  <c r="D89" i="33"/>
  <c r="J107" i="33"/>
  <c r="J110" i="33"/>
  <c r="D110" i="33"/>
  <c r="K109" i="33"/>
  <c r="H109" i="33"/>
  <c r="J114" i="33"/>
  <c r="D114" i="33"/>
  <c r="G28" i="9"/>
  <c r="B10" i="10"/>
  <c r="F21" i="10"/>
  <c r="F10" i="10"/>
  <c r="F31" i="10"/>
  <c r="K9" i="16"/>
  <c r="K8" i="16"/>
  <c r="K22" i="16"/>
  <c r="K11" i="16"/>
  <c r="K7" i="16"/>
  <c r="J8" i="16"/>
  <c r="J35" i="16"/>
  <c r="J9" i="16"/>
  <c r="J22" i="16"/>
  <c r="J28" i="16"/>
  <c r="J34" i="16"/>
  <c r="J29" i="16"/>
  <c r="K10" i="16"/>
  <c r="K29" i="16"/>
  <c r="K34" i="16"/>
  <c r="J11" i="16"/>
  <c r="K35" i="16"/>
  <c r="J12" i="16"/>
  <c r="J10" i="16"/>
  <c r="J7" i="16"/>
  <c r="K12" i="16"/>
  <c r="K28" i="16"/>
  <c r="G125" i="4" l="1"/>
  <c r="G100" i="4"/>
  <c r="G79" i="4"/>
  <c r="F23" i="10"/>
  <c r="G89" i="4"/>
  <c r="H110" i="4"/>
  <c r="B25" i="10"/>
  <c r="H135" i="4"/>
  <c r="H109" i="4"/>
  <c r="G117" i="4"/>
  <c r="F13" i="10"/>
  <c r="G68" i="4"/>
  <c r="B23" i="10"/>
  <c r="H89" i="4"/>
  <c r="G113" i="4"/>
  <c r="G86" i="4"/>
  <c r="G112" i="4"/>
  <c r="G108" i="4"/>
  <c r="H96" i="4"/>
  <c r="G121" i="4"/>
  <c r="H108" i="4"/>
  <c r="G75" i="4"/>
  <c r="G107" i="4"/>
  <c r="G124" i="4"/>
  <c r="D34" i="4"/>
  <c r="E28" i="33"/>
  <c r="E28" i="29"/>
  <c r="L124" i="33"/>
  <c r="E28" i="16"/>
  <c r="E28" i="23"/>
  <c r="E28" i="24"/>
  <c r="E28" i="20"/>
  <c r="E28" i="25"/>
  <c r="K98" i="33"/>
  <c r="C12" i="9"/>
  <c r="C53" i="9" s="1"/>
  <c r="L22" i="51"/>
  <c r="L10" i="41"/>
  <c r="H53" i="9"/>
  <c r="N62" i="8"/>
  <c r="G53" i="9"/>
  <c r="I53" i="9" s="1"/>
  <c r="I12" i="9"/>
  <c r="M62" i="8"/>
  <c r="L109" i="20"/>
  <c r="D47" i="39"/>
  <c r="L7" i="51"/>
  <c r="E34" i="37"/>
  <c r="E34" i="13"/>
  <c r="E34" i="16"/>
  <c r="L7" i="41"/>
  <c r="L110" i="33"/>
  <c r="B111" i="4"/>
  <c r="B32" i="10" s="1"/>
  <c r="E111" i="4"/>
  <c r="F111" i="4"/>
  <c r="B66" i="4"/>
  <c r="E87" i="4"/>
  <c r="E77" i="4"/>
  <c r="C66" i="4"/>
  <c r="F87" i="4"/>
  <c r="F119" i="4"/>
  <c r="C119" i="4"/>
  <c r="B87" i="4"/>
  <c r="C87" i="4"/>
  <c r="F66" i="4"/>
  <c r="B119" i="4"/>
  <c r="B43" i="10" s="1"/>
  <c r="B47" i="4"/>
  <c r="B11" i="10" s="1"/>
  <c r="F98" i="4"/>
  <c r="C53" i="4"/>
  <c r="C47" i="4"/>
  <c r="C77" i="4"/>
  <c r="E98" i="4"/>
  <c r="G98" i="4" s="1"/>
  <c r="C56" i="4"/>
  <c r="E66" i="4"/>
  <c r="C98" i="4"/>
  <c r="C111" i="4"/>
  <c r="B77" i="4"/>
  <c r="B56" i="4"/>
  <c r="B49" i="10" s="1"/>
  <c r="B53" i="4"/>
  <c r="B38" i="10" s="1"/>
  <c r="E119" i="4"/>
  <c r="B98" i="4"/>
  <c r="F77" i="4"/>
  <c r="E8" i="74"/>
  <c r="E28" i="18"/>
  <c r="E7" i="72"/>
  <c r="E7" i="74"/>
  <c r="E48" i="72"/>
  <c r="E48" i="74"/>
  <c r="E28" i="37"/>
  <c r="E28" i="13"/>
  <c r="D35" i="4"/>
  <c r="C30" i="9"/>
  <c r="D53" i="40"/>
  <c r="D53" i="21"/>
  <c r="L28" i="51"/>
  <c r="L125" i="35"/>
  <c r="L10" i="51"/>
  <c r="E35" i="16"/>
  <c r="E35" i="13"/>
  <c r="E35" i="37"/>
  <c r="E35" i="33"/>
  <c r="B34" i="10"/>
  <c r="H77" i="13"/>
  <c r="L38" i="16"/>
  <c r="L39" i="16"/>
  <c r="B42" i="10"/>
  <c r="E99" i="18"/>
  <c r="D29" i="4"/>
  <c r="E88" i="18"/>
  <c r="E9" i="18"/>
  <c r="E9" i="72"/>
  <c r="E67" i="18"/>
  <c r="E8" i="18"/>
  <c r="E112" i="18"/>
  <c r="E108" i="18"/>
  <c r="E120" i="18"/>
  <c r="E78" i="18"/>
  <c r="E124" i="18"/>
  <c r="L36" i="16"/>
  <c r="L37" i="16"/>
  <c r="D37" i="4"/>
  <c r="D36" i="4"/>
  <c r="D39" i="4"/>
  <c r="B31" i="10"/>
  <c r="H119" i="20"/>
  <c r="D110" i="4"/>
  <c r="L117" i="35"/>
  <c r="L122" i="33"/>
  <c r="L135" i="26"/>
  <c r="E38" i="16"/>
  <c r="E39" i="16"/>
  <c r="E39" i="13"/>
  <c r="H111" i="35"/>
  <c r="L113" i="35"/>
  <c r="D122" i="4"/>
  <c r="H119" i="35"/>
  <c r="L121" i="13"/>
  <c r="L108" i="33"/>
  <c r="L121" i="35"/>
  <c r="E48" i="37"/>
  <c r="E48" i="18"/>
  <c r="I11" i="37"/>
  <c r="I11" i="18"/>
  <c r="E54" i="37"/>
  <c r="I34" i="37"/>
  <c r="I34" i="18"/>
  <c r="I117" i="37"/>
  <c r="I117" i="18"/>
  <c r="E22" i="37"/>
  <c r="E22" i="18"/>
  <c r="I109" i="37"/>
  <c r="I109" i="18"/>
  <c r="E7" i="37"/>
  <c r="E7" i="18"/>
  <c r="E134" i="37"/>
  <c r="I89" i="37"/>
  <c r="I89" i="18"/>
  <c r="I10" i="37"/>
  <c r="I10" i="18"/>
  <c r="I125" i="37"/>
  <c r="I125" i="18"/>
  <c r="I124" i="37"/>
  <c r="I124" i="18"/>
  <c r="I113" i="37"/>
  <c r="I113" i="18"/>
  <c r="I68" i="37"/>
  <c r="I68" i="18"/>
  <c r="I114" i="37"/>
  <c r="I96" i="37"/>
  <c r="E75" i="37"/>
  <c r="E36" i="37"/>
  <c r="E49" i="37"/>
  <c r="I100" i="37"/>
  <c r="I100" i="18"/>
  <c r="E89" i="37"/>
  <c r="D114" i="4"/>
  <c r="I12" i="37"/>
  <c r="I12" i="18"/>
  <c r="E37" i="37"/>
  <c r="I22" i="37"/>
  <c r="I22" i="18"/>
  <c r="I121" i="37"/>
  <c r="I121" i="18"/>
  <c r="I29" i="37"/>
  <c r="I29" i="18"/>
  <c r="I79" i="37"/>
  <c r="I79" i="18"/>
  <c r="I116" i="37"/>
  <c r="I35" i="37"/>
  <c r="I35" i="18"/>
  <c r="I75" i="37"/>
  <c r="E135" i="37"/>
  <c r="I112" i="37"/>
  <c r="I108" i="37"/>
  <c r="I108" i="18"/>
  <c r="E10" i="37"/>
  <c r="E10" i="18"/>
  <c r="E57" i="37"/>
  <c r="I7" i="37"/>
  <c r="I7" i="18"/>
  <c r="E96" i="37"/>
  <c r="I110" i="37"/>
  <c r="L114" i="33"/>
  <c r="H77" i="23"/>
  <c r="K77" i="23"/>
  <c r="D47" i="21"/>
  <c r="D47" i="20"/>
  <c r="L107" i="29"/>
  <c r="L134" i="26"/>
  <c r="L109" i="23"/>
  <c r="L113" i="33"/>
  <c r="L12" i="33"/>
  <c r="D56" i="22"/>
  <c r="H111" i="20"/>
  <c r="D56" i="41"/>
  <c r="E100" i="37"/>
  <c r="E122" i="37"/>
  <c r="E78" i="37"/>
  <c r="E114" i="37"/>
  <c r="E9" i="37"/>
  <c r="E124" i="37"/>
  <c r="E8" i="37"/>
  <c r="E67" i="37"/>
  <c r="E116" i="37"/>
  <c r="E125" i="37"/>
  <c r="E99" i="37"/>
  <c r="E112" i="37"/>
  <c r="E110" i="37"/>
  <c r="E107" i="37"/>
  <c r="E88" i="37"/>
  <c r="E86" i="37"/>
  <c r="E108" i="37"/>
  <c r="E120" i="37"/>
  <c r="H66" i="27"/>
  <c r="L96" i="33"/>
  <c r="L113" i="29"/>
  <c r="L89" i="23"/>
  <c r="L75" i="33"/>
  <c r="L68" i="20"/>
  <c r="L136" i="34"/>
  <c r="H98" i="20"/>
  <c r="L68" i="33"/>
  <c r="L68" i="23"/>
  <c r="L28" i="24"/>
  <c r="H98" i="29"/>
  <c r="K98" i="29"/>
  <c r="L89" i="20"/>
  <c r="L22" i="23"/>
  <c r="K98" i="20"/>
  <c r="L120" i="33"/>
  <c r="K87" i="29"/>
  <c r="L137" i="26"/>
  <c r="D47" i="40"/>
  <c r="L89" i="27"/>
  <c r="K66" i="27"/>
  <c r="L113" i="20"/>
  <c r="L28" i="23"/>
  <c r="L12" i="29"/>
  <c r="D53" i="13"/>
  <c r="K87" i="33"/>
  <c r="K87" i="23"/>
  <c r="L89" i="33"/>
  <c r="H87" i="29"/>
  <c r="L135" i="34"/>
  <c r="L109" i="27"/>
  <c r="L10" i="29"/>
  <c r="L7" i="33"/>
  <c r="H98" i="27"/>
  <c r="H66" i="23"/>
  <c r="L35" i="29"/>
  <c r="D56" i="39"/>
  <c r="L11" i="35"/>
  <c r="H87" i="35"/>
  <c r="L116" i="29"/>
  <c r="L11" i="29"/>
  <c r="D47" i="41"/>
  <c r="H111" i="13"/>
  <c r="L108" i="27"/>
  <c r="L35" i="23"/>
  <c r="N143" i="8"/>
  <c r="C11" i="9"/>
  <c r="N118" i="8"/>
  <c r="C24" i="9"/>
  <c r="C13" i="9"/>
  <c r="C23" i="9"/>
  <c r="C27" i="9"/>
  <c r="K119" i="20"/>
  <c r="K111" i="13"/>
  <c r="L107" i="33"/>
  <c r="L100" i="33"/>
  <c r="L100" i="20"/>
  <c r="N146" i="8"/>
  <c r="M118" i="8"/>
  <c r="L108" i="13"/>
  <c r="D56" i="40"/>
  <c r="N147" i="8"/>
  <c r="L109" i="35"/>
  <c r="H119" i="23"/>
  <c r="L116" i="33"/>
  <c r="L100" i="27"/>
  <c r="C20" i="9"/>
  <c r="D53" i="22"/>
  <c r="L35" i="33"/>
  <c r="L8" i="16"/>
  <c r="L67" i="29"/>
  <c r="L29" i="20"/>
  <c r="L116" i="23"/>
  <c r="L12" i="35"/>
  <c r="H87" i="27"/>
  <c r="L108" i="23"/>
  <c r="L28" i="25"/>
  <c r="L9" i="16"/>
  <c r="H98" i="13"/>
  <c r="K111" i="29"/>
  <c r="L7" i="16"/>
  <c r="D53" i="16"/>
  <c r="D47" i="33"/>
  <c r="D56" i="25"/>
  <c r="L117" i="33"/>
  <c r="L10" i="35"/>
  <c r="L12" i="13"/>
  <c r="K66" i="35"/>
  <c r="D56" i="16"/>
  <c r="N141" i="8"/>
  <c r="L99" i="23"/>
  <c r="L7" i="20"/>
  <c r="K119" i="13"/>
  <c r="M120" i="8"/>
  <c r="K66" i="23"/>
  <c r="K87" i="35"/>
  <c r="M115" i="8"/>
  <c r="L11" i="33"/>
  <c r="H119" i="13"/>
  <c r="L22" i="16"/>
  <c r="L29" i="16"/>
  <c r="C14" i="9"/>
  <c r="L35" i="16"/>
  <c r="L10" i="16"/>
  <c r="D47" i="16"/>
  <c r="L28" i="16"/>
  <c r="L12" i="16"/>
  <c r="L11" i="16"/>
  <c r="L34" i="16"/>
  <c r="N145" i="8"/>
  <c r="L7" i="13"/>
  <c r="M144" i="8"/>
  <c r="N140" i="8"/>
  <c r="B28" i="9"/>
  <c r="M121" i="8"/>
  <c r="M145" i="8"/>
  <c r="N117" i="8"/>
  <c r="N142" i="8"/>
  <c r="N148" i="8"/>
  <c r="C28" i="9"/>
  <c r="C22" i="9"/>
  <c r="C17" i="9"/>
  <c r="M117" i="8"/>
  <c r="B10" i="9"/>
  <c r="B15" i="9"/>
  <c r="M122" i="8"/>
  <c r="H119" i="33"/>
  <c r="L125" i="33"/>
  <c r="L121" i="23"/>
  <c r="M119" i="8"/>
  <c r="M143" i="8"/>
  <c r="L116" i="13"/>
  <c r="N121" i="8"/>
  <c r="L10" i="33"/>
  <c r="C18" i="9"/>
  <c r="B18" i="9"/>
  <c r="L22" i="13"/>
  <c r="L107" i="13"/>
  <c r="B9" i="9"/>
  <c r="L10" i="13"/>
  <c r="L121" i="33"/>
  <c r="C25" i="9"/>
  <c r="K98" i="27"/>
  <c r="H87" i="23"/>
  <c r="L29" i="24"/>
  <c r="L7" i="23"/>
  <c r="H87" i="33"/>
  <c r="L120" i="29"/>
  <c r="D47" i="22"/>
  <c r="L11" i="23"/>
  <c r="L117" i="29"/>
  <c r="B19" i="9"/>
  <c r="N119" i="8"/>
  <c r="K119" i="23"/>
  <c r="L34" i="13"/>
  <c r="M147" i="8"/>
  <c r="B22" i="9"/>
  <c r="B20" i="9"/>
  <c r="N144" i="8"/>
  <c r="L22" i="24"/>
  <c r="L7" i="19"/>
  <c r="N115" i="8"/>
  <c r="M116" i="8"/>
  <c r="C9" i="9"/>
  <c r="L11" i="13"/>
  <c r="C10" i="9"/>
  <c r="M140" i="8"/>
  <c r="C29" i="9"/>
  <c r="C71" i="9" s="1"/>
  <c r="F14" i="10"/>
  <c r="E48" i="39"/>
  <c r="E48" i="16"/>
  <c r="I89" i="20"/>
  <c r="I89" i="13"/>
  <c r="I89" i="29"/>
  <c r="I89" i="35"/>
  <c r="I89" i="33"/>
  <c r="I89" i="27"/>
  <c r="I89" i="23"/>
  <c r="G23" i="10"/>
  <c r="I35" i="23"/>
  <c r="I35" i="29"/>
  <c r="I35" i="35"/>
  <c r="I35" i="33"/>
  <c r="I35" i="13"/>
  <c r="G42" i="10"/>
  <c r="I134" i="26"/>
  <c r="G15" i="10"/>
  <c r="I10" i="23"/>
  <c r="I10" i="35"/>
  <c r="I10" i="29"/>
  <c r="I10" i="33"/>
  <c r="I10" i="13"/>
  <c r="G20" i="10"/>
  <c r="E49" i="39"/>
  <c r="E49" i="16"/>
  <c r="I23" i="33"/>
  <c r="I23" i="13"/>
  <c r="I23" i="23"/>
  <c r="I23" i="29"/>
  <c r="I23" i="35"/>
  <c r="E54" i="39"/>
  <c r="E54" i="16"/>
  <c r="I114" i="33"/>
  <c r="C25" i="10"/>
  <c r="C31" i="10"/>
  <c r="C9" i="10"/>
  <c r="C23" i="10"/>
  <c r="G44" i="10"/>
  <c r="C41" i="10"/>
  <c r="I86" i="29"/>
  <c r="I86" i="33"/>
  <c r="I86" i="35"/>
  <c r="C21" i="10"/>
  <c r="C33" i="10"/>
  <c r="C16" i="10"/>
  <c r="H16" i="9"/>
  <c r="N66" i="8" s="1"/>
  <c r="B14" i="9"/>
  <c r="M148" i="8"/>
  <c r="B11" i="9"/>
  <c r="H67" i="9"/>
  <c r="H17" i="9"/>
  <c r="N67" i="8" s="1"/>
  <c r="M142" i="8"/>
  <c r="N116" i="8"/>
  <c r="G40" i="9"/>
  <c r="I29" i="33"/>
  <c r="I29" i="20"/>
  <c r="I29" i="23"/>
  <c r="I29" i="29"/>
  <c r="I29" i="13"/>
  <c r="I29" i="35"/>
  <c r="G21" i="10"/>
  <c r="I25" i="20"/>
  <c r="I25" i="29"/>
  <c r="I25" i="33"/>
  <c r="I25" i="13"/>
  <c r="I30" i="23"/>
  <c r="I30" i="29"/>
  <c r="I30" i="35"/>
  <c r="I30" i="33"/>
  <c r="I30" i="13"/>
  <c r="C30" i="10"/>
  <c r="I107" i="13"/>
  <c r="I107" i="29"/>
  <c r="I107" i="35"/>
  <c r="I107" i="33"/>
  <c r="C44" i="10"/>
  <c r="I75" i="33"/>
  <c r="G14" i="10"/>
  <c r="I32" i="13"/>
  <c r="I32" i="20"/>
  <c r="I32" i="23"/>
  <c r="I32" i="29"/>
  <c r="I32" i="33"/>
  <c r="I100" i="13"/>
  <c r="I100" i="20"/>
  <c r="I100" i="23"/>
  <c r="I100" i="27"/>
  <c r="I100" i="29"/>
  <c r="I100" i="33"/>
  <c r="I22" i="23"/>
  <c r="I22" i="29"/>
  <c r="I22" i="35"/>
  <c r="I22" i="33"/>
  <c r="I22" i="20"/>
  <c r="I22" i="13"/>
  <c r="G10" i="10"/>
  <c r="C34" i="10"/>
  <c r="I121" i="20"/>
  <c r="I121" i="13"/>
  <c r="I121" i="23"/>
  <c r="I121" i="35"/>
  <c r="I121" i="27"/>
  <c r="I121" i="33"/>
  <c r="I121" i="29"/>
  <c r="I113" i="20"/>
  <c r="I113" i="23"/>
  <c r="I113" i="13"/>
  <c r="I113" i="27"/>
  <c r="I113" i="35"/>
  <c r="I113" i="33"/>
  <c r="I113" i="29"/>
  <c r="I108" i="13"/>
  <c r="M146" i="8"/>
  <c r="N120" i="8"/>
  <c r="B39" i="9"/>
  <c r="B13" i="9"/>
  <c r="B30" i="9"/>
  <c r="G43" i="9"/>
  <c r="B40" i="9"/>
  <c r="H22" i="9"/>
  <c r="N72" i="8" s="1"/>
  <c r="C15" i="9"/>
  <c r="B29" i="9"/>
  <c r="H27" i="9"/>
  <c r="B38" i="9"/>
  <c r="B17" i="9"/>
  <c r="I136" i="26"/>
  <c r="G33" i="10"/>
  <c r="I7" i="29"/>
  <c r="I7" i="33"/>
  <c r="I7" i="23"/>
  <c r="I7" i="35"/>
  <c r="I7" i="13"/>
  <c r="G9" i="10"/>
  <c r="B45" i="10"/>
  <c r="I31" i="35"/>
  <c r="I31" i="13"/>
  <c r="I31" i="33"/>
  <c r="I31" i="23"/>
  <c r="I31" i="29"/>
  <c r="C45" i="10"/>
  <c r="C42" i="10"/>
  <c r="I24" i="13"/>
  <c r="I24" i="33"/>
  <c r="C15" i="10"/>
  <c r="B27" i="9"/>
  <c r="B21" i="9"/>
  <c r="H15" i="9"/>
  <c r="M141" i="8"/>
  <c r="B44" i="9"/>
  <c r="G42" i="9"/>
  <c r="C19" i="9"/>
  <c r="H9" i="9"/>
  <c r="N122" i="8"/>
  <c r="C16" i="9"/>
  <c r="H29" i="9"/>
  <c r="N79" i="8" s="1"/>
  <c r="C13" i="10"/>
  <c r="F44" i="10"/>
  <c r="I135" i="26"/>
  <c r="G25" i="10"/>
  <c r="E58" i="39"/>
  <c r="E58" i="16"/>
  <c r="I96" i="33"/>
  <c r="G24" i="10"/>
  <c r="E55" i="39"/>
  <c r="E55" i="16"/>
  <c r="C14" i="10"/>
  <c r="I68" i="20"/>
  <c r="I68" i="23"/>
  <c r="I68" i="27"/>
  <c r="I68" i="29"/>
  <c r="I68" i="35"/>
  <c r="I68" i="33"/>
  <c r="I68" i="13"/>
  <c r="G13" i="10"/>
  <c r="G136" i="4"/>
  <c r="F33" i="10"/>
  <c r="I79" i="13"/>
  <c r="I79" i="20"/>
  <c r="I79" i="23"/>
  <c r="I79" i="33"/>
  <c r="I79" i="27"/>
  <c r="I79" i="29"/>
  <c r="I109" i="20"/>
  <c r="I109" i="13"/>
  <c r="I109" i="27"/>
  <c r="I109" i="35"/>
  <c r="I109" i="29"/>
  <c r="I109" i="23"/>
  <c r="I109" i="33"/>
  <c r="I12" i="29"/>
  <c r="I12" i="33"/>
  <c r="I12" i="35"/>
  <c r="I12" i="23"/>
  <c r="I12" i="13"/>
  <c r="G41" i="10"/>
  <c r="I11" i="13"/>
  <c r="I11" i="23"/>
  <c r="I11" i="35"/>
  <c r="I11" i="33"/>
  <c r="G30" i="10"/>
  <c r="I11" i="29"/>
  <c r="F24" i="10"/>
  <c r="I125" i="13"/>
  <c r="I125" i="27"/>
  <c r="I125" i="23"/>
  <c r="I125" i="35"/>
  <c r="I125" i="29"/>
  <c r="I125" i="33"/>
  <c r="C26" i="10"/>
  <c r="I34" i="13"/>
  <c r="I34" i="35"/>
  <c r="I34" i="23"/>
  <c r="I34" i="29"/>
  <c r="I34" i="33"/>
  <c r="G31" i="10"/>
  <c r="D96" i="4"/>
  <c r="B24" i="10"/>
  <c r="C24" i="10"/>
  <c r="I117" i="13"/>
  <c r="I117" i="23"/>
  <c r="I117" i="35"/>
  <c r="I117" i="29"/>
  <c r="I117" i="33"/>
  <c r="I117" i="27"/>
  <c r="C10" i="10"/>
  <c r="C20" i="10"/>
  <c r="D75" i="4"/>
  <c r="B14" i="10"/>
  <c r="E57" i="39"/>
  <c r="E57" i="16"/>
  <c r="L120" i="27"/>
  <c r="K119" i="27"/>
  <c r="L120" i="23"/>
  <c r="L67" i="23"/>
  <c r="H98" i="33"/>
  <c r="L22" i="35"/>
  <c r="H87" i="20"/>
  <c r="L100" i="13"/>
  <c r="D53" i="39"/>
  <c r="D56" i="33"/>
  <c r="L109" i="29"/>
  <c r="L7" i="29"/>
  <c r="L28" i="29"/>
  <c r="L117" i="23"/>
  <c r="H98" i="23"/>
  <c r="L10" i="20"/>
  <c r="K98" i="13"/>
  <c r="L29" i="13"/>
  <c r="G39" i="9"/>
  <c r="B16" i="9"/>
  <c r="G41" i="9"/>
  <c r="B23" i="9"/>
  <c r="H14" i="9"/>
  <c r="B25" i="9"/>
  <c r="C21" i="9"/>
  <c r="G37" i="9"/>
  <c r="H25" i="9"/>
  <c r="B24" i="9"/>
  <c r="H24" i="9"/>
  <c r="L22" i="20"/>
  <c r="L109" i="33"/>
  <c r="L99" i="33"/>
  <c r="H111" i="29"/>
  <c r="L10" i="23"/>
  <c r="L28" i="13"/>
  <c r="L89" i="35"/>
  <c r="D56" i="13"/>
  <c r="L35" i="35"/>
  <c r="L99" i="29"/>
  <c r="K119" i="33"/>
  <c r="L88" i="33"/>
  <c r="L28" i="33"/>
  <c r="L79" i="33"/>
  <c r="L34" i="29"/>
  <c r="H66" i="33"/>
  <c r="L78" i="33"/>
  <c r="L67" i="13"/>
  <c r="H66" i="35"/>
  <c r="K87" i="27"/>
  <c r="L109" i="13"/>
  <c r="L112" i="13"/>
  <c r="L35" i="13"/>
  <c r="L79" i="29"/>
  <c r="L86" i="29"/>
  <c r="L7" i="22"/>
  <c r="L78" i="27"/>
  <c r="K66" i="33"/>
  <c r="L89" i="29"/>
  <c r="L112" i="27"/>
  <c r="L12" i="23"/>
  <c r="H87" i="13"/>
  <c r="L120" i="13"/>
  <c r="L68" i="13"/>
  <c r="L7" i="25"/>
  <c r="K66" i="20"/>
  <c r="L134" i="34"/>
  <c r="L125" i="27"/>
  <c r="L108" i="29"/>
  <c r="L67" i="27"/>
  <c r="L34" i="35"/>
  <c r="D53" i="25"/>
  <c r="L112" i="33"/>
  <c r="L29" i="33"/>
  <c r="L121" i="29"/>
  <c r="L29" i="29"/>
  <c r="H111" i="23"/>
  <c r="L86" i="35"/>
  <c r="D53" i="33"/>
  <c r="L112" i="29"/>
  <c r="L68" i="29"/>
  <c r="L136" i="26"/>
  <c r="L79" i="27"/>
  <c r="D47" i="25"/>
  <c r="L88" i="27"/>
  <c r="L112" i="23"/>
  <c r="H66" i="20"/>
  <c r="L113" i="13"/>
  <c r="L117" i="13"/>
  <c r="K87" i="20"/>
  <c r="L68" i="35"/>
  <c r="L86" i="33"/>
  <c r="H119" i="29"/>
  <c r="L100" i="29"/>
  <c r="L34" i="33"/>
  <c r="L125" i="29"/>
  <c r="L99" i="27"/>
  <c r="L29" i="35"/>
  <c r="L88" i="29"/>
  <c r="L78" i="29"/>
  <c r="K111" i="27"/>
  <c r="L88" i="23"/>
  <c r="L125" i="23"/>
  <c r="L113" i="23"/>
  <c r="L79" i="20"/>
  <c r="H111" i="33"/>
  <c r="L107" i="35"/>
  <c r="D47" i="51"/>
  <c r="D47" i="26"/>
  <c r="L7" i="24"/>
  <c r="L29" i="23"/>
  <c r="L28" i="20"/>
  <c r="L121" i="27"/>
  <c r="K119" i="35"/>
  <c r="L100" i="23"/>
  <c r="L113" i="27"/>
  <c r="L79" i="23"/>
  <c r="L67" i="33"/>
  <c r="L22" i="33"/>
  <c r="L22" i="29"/>
  <c r="J77" i="29"/>
  <c r="L117" i="27"/>
  <c r="K98" i="23"/>
  <c r="L10" i="24"/>
  <c r="L78" i="23"/>
  <c r="L34" i="23"/>
  <c r="L121" i="20"/>
  <c r="H111" i="27"/>
  <c r="L68" i="27"/>
  <c r="K111" i="20"/>
  <c r="L124" i="13"/>
  <c r="L79" i="13"/>
  <c r="L89" i="13"/>
  <c r="L99" i="13"/>
  <c r="L125" i="13"/>
  <c r="L78" i="13"/>
  <c r="K66" i="13"/>
  <c r="L86" i="13"/>
  <c r="K87" i="13"/>
  <c r="J77" i="13"/>
  <c r="L88" i="13"/>
  <c r="H66" i="13"/>
  <c r="D47" i="13"/>
  <c r="J87" i="35"/>
  <c r="D66" i="33"/>
  <c r="J66" i="33"/>
  <c r="D77" i="27"/>
  <c r="J77" i="27"/>
  <c r="L77" i="27" s="1"/>
  <c r="J98" i="23"/>
  <c r="D98" i="23"/>
  <c r="D111" i="33"/>
  <c r="J111" i="33"/>
  <c r="J111" i="35"/>
  <c r="D87" i="20"/>
  <c r="J87" i="20"/>
  <c r="D66" i="13"/>
  <c r="J66" i="13"/>
  <c r="K111" i="33"/>
  <c r="K111" i="35"/>
  <c r="J111" i="29"/>
  <c r="D111" i="29"/>
  <c r="J111" i="23"/>
  <c r="D111" i="23"/>
  <c r="J77" i="20"/>
  <c r="L77" i="20" s="1"/>
  <c r="D77" i="20"/>
  <c r="J87" i="13"/>
  <c r="D87" i="13"/>
  <c r="J119" i="33"/>
  <c r="D119" i="33"/>
  <c r="J119" i="27"/>
  <c r="D119" i="27"/>
  <c r="J66" i="27"/>
  <c r="D66" i="27"/>
  <c r="D77" i="29"/>
  <c r="K77" i="29"/>
  <c r="D98" i="27"/>
  <c r="J98" i="27"/>
  <c r="J66" i="35"/>
  <c r="D77" i="13"/>
  <c r="K77" i="13"/>
  <c r="D98" i="20"/>
  <c r="J98" i="20"/>
  <c r="J66" i="29"/>
  <c r="J87" i="33"/>
  <c r="D87" i="33"/>
  <c r="D119" i="29"/>
  <c r="J119" i="29"/>
  <c r="D98" i="33"/>
  <c r="J98" i="33"/>
  <c r="L98" i="33" s="1"/>
  <c r="J87" i="29"/>
  <c r="D87" i="29"/>
  <c r="J111" i="27"/>
  <c r="D111" i="27"/>
  <c r="J87" i="23"/>
  <c r="D87" i="23"/>
  <c r="K119" i="29"/>
  <c r="H119" i="27"/>
  <c r="K111" i="23"/>
  <c r="D119" i="13"/>
  <c r="J119" i="13"/>
  <c r="D98" i="13"/>
  <c r="J98" i="13"/>
  <c r="D111" i="13"/>
  <c r="J111" i="13"/>
  <c r="J98" i="29"/>
  <c r="D98" i="29"/>
  <c r="J119" i="35"/>
  <c r="H66" i="29"/>
  <c r="D119" i="23"/>
  <c r="J119" i="23"/>
  <c r="J66" i="23"/>
  <c r="D66" i="23"/>
  <c r="D77" i="33"/>
  <c r="J77" i="33"/>
  <c r="L77" i="33" s="1"/>
  <c r="J77" i="23"/>
  <c r="D77" i="23"/>
  <c r="D66" i="29"/>
  <c r="K66" i="29"/>
  <c r="D87" i="27"/>
  <c r="J87" i="27"/>
  <c r="D119" i="20"/>
  <c r="J119" i="20"/>
  <c r="J111" i="20"/>
  <c r="D111" i="20"/>
  <c r="D66" i="20"/>
  <c r="J66" i="20"/>
  <c r="E88" i="33"/>
  <c r="E108" i="33"/>
  <c r="E22" i="33"/>
  <c r="E57" i="33"/>
  <c r="E99" i="33"/>
  <c r="E9" i="33"/>
  <c r="E48" i="33"/>
  <c r="E110" i="33"/>
  <c r="E122" i="33"/>
  <c r="E75" i="33"/>
  <c r="E116" i="33"/>
  <c r="E10" i="33"/>
  <c r="E79" i="33"/>
  <c r="E58" i="33"/>
  <c r="E49" i="33"/>
  <c r="E54" i="33"/>
  <c r="E7" i="33"/>
  <c r="E89" i="33"/>
  <c r="E100" i="33"/>
  <c r="E125" i="33"/>
  <c r="E68" i="33"/>
  <c r="E124" i="33"/>
  <c r="E96" i="33"/>
  <c r="E8" i="33"/>
  <c r="E78" i="33"/>
  <c r="E67" i="33"/>
  <c r="E112" i="33"/>
  <c r="E109" i="33"/>
  <c r="E114" i="33"/>
  <c r="E121" i="33"/>
  <c r="E120" i="33"/>
  <c r="E113" i="33"/>
  <c r="E99" i="29"/>
  <c r="E9" i="29"/>
  <c r="E86" i="29"/>
  <c r="E134" i="34"/>
  <c r="E68" i="29"/>
  <c r="E88" i="29"/>
  <c r="E108" i="29"/>
  <c r="E116" i="29"/>
  <c r="E22" i="29"/>
  <c r="E10" i="29"/>
  <c r="E79" i="29"/>
  <c r="E137" i="34"/>
  <c r="E135" i="34"/>
  <c r="E7" i="29"/>
  <c r="E89" i="29"/>
  <c r="E100" i="29"/>
  <c r="E107" i="29"/>
  <c r="E136" i="34"/>
  <c r="E8" i="29"/>
  <c r="E78" i="29"/>
  <c r="E67" i="29"/>
  <c r="E112" i="29"/>
  <c r="E109" i="29"/>
  <c r="E120" i="29"/>
  <c r="E9" i="41"/>
  <c r="E48" i="40"/>
  <c r="E48" i="41"/>
  <c r="E10" i="41"/>
  <c r="E57" i="40"/>
  <c r="E57" i="41"/>
  <c r="E54" i="40"/>
  <c r="E54" i="41"/>
  <c r="E7" i="41"/>
  <c r="E8" i="41"/>
  <c r="E99" i="27"/>
  <c r="E9" i="51"/>
  <c r="E48" i="51"/>
  <c r="E88" i="27"/>
  <c r="E108" i="27"/>
  <c r="E22" i="51"/>
  <c r="E10" i="51"/>
  <c r="E7" i="51"/>
  <c r="E8" i="51"/>
  <c r="E78" i="27"/>
  <c r="E67" i="27"/>
  <c r="E112" i="27"/>
  <c r="E120" i="27"/>
  <c r="E9" i="25"/>
  <c r="E57" i="25"/>
  <c r="E48" i="25"/>
  <c r="E48" i="26"/>
  <c r="E137" i="26"/>
  <c r="E49" i="26"/>
  <c r="E54" i="25"/>
  <c r="E135" i="26"/>
  <c r="E7" i="25"/>
  <c r="E136" i="26"/>
  <c r="E134" i="26"/>
  <c r="E8" i="25"/>
  <c r="E99" i="23"/>
  <c r="E9" i="24"/>
  <c r="E88" i="23"/>
  <c r="E108" i="23"/>
  <c r="E116" i="23"/>
  <c r="E22" i="23"/>
  <c r="E22" i="24"/>
  <c r="E10" i="24"/>
  <c r="E7" i="24"/>
  <c r="E8" i="24"/>
  <c r="E78" i="23"/>
  <c r="E67" i="23"/>
  <c r="E112" i="23"/>
  <c r="E120" i="23"/>
  <c r="E9" i="22"/>
  <c r="E48" i="21"/>
  <c r="E48" i="22"/>
  <c r="E57" i="22"/>
  <c r="E58" i="22"/>
  <c r="E49" i="22"/>
  <c r="E54" i="21"/>
  <c r="E54" i="22"/>
  <c r="E7" i="22"/>
  <c r="E8" i="22"/>
  <c r="E68" i="20"/>
  <c r="E22" i="20"/>
  <c r="E10" i="20"/>
  <c r="E79" i="20"/>
  <c r="E7" i="19"/>
  <c r="E7" i="20"/>
  <c r="E89" i="20"/>
  <c r="E100" i="20"/>
  <c r="E9" i="19"/>
  <c r="E9" i="20"/>
  <c r="E48" i="20"/>
  <c r="E8" i="19"/>
  <c r="E8" i="20"/>
  <c r="E121" i="20"/>
  <c r="E113" i="20"/>
  <c r="E99" i="13"/>
  <c r="E9" i="13"/>
  <c r="E48" i="13"/>
  <c r="E86" i="13"/>
  <c r="E88" i="13"/>
  <c r="E124" i="13"/>
  <c r="E37" i="13"/>
  <c r="E108" i="13"/>
  <c r="E116" i="13"/>
  <c r="E22" i="13"/>
  <c r="E10" i="13"/>
  <c r="E57" i="13"/>
  <c r="E11" i="13"/>
  <c r="E49" i="13"/>
  <c r="E54" i="13"/>
  <c r="E7" i="13"/>
  <c r="E89" i="13"/>
  <c r="E100" i="13"/>
  <c r="E107" i="13"/>
  <c r="E12" i="13"/>
  <c r="E36" i="13"/>
  <c r="E8" i="13"/>
  <c r="E78" i="13"/>
  <c r="E67" i="13"/>
  <c r="E112" i="13"/>
  <c r="E109" i="13"/>
  <c r="E120" i="13"/>
  <c r="D116" i="4"/>
  <c r="D108" i="4"/>
  <c r="D124" i="4"/>
  <c r="D125" i="4"/>
  <c r="D109" i="4"/>
  <c r="E22" i="16"/>
  <c r="E9" i="16"/>
  <c r="D22" i="4"/>
  <c r="D136" i="4"/>
  <c r="D57" i="4"/>
  <c r="E12" i="16"/>
  <c r="E10" i="16"/>
  <c r="E11" i="16"/>
  <c r="G22" i="4"/>
  <c r="D113" i="4"/>
  <c r="D137" i="4"/>
  <c r="D10" i="4"/>
  <c r="D112" i="4"/>
  <c r="D55" i="4"/>
  <c r="D120" i="4"/>
  <c r="D7" i="4"/>
  <c r="E7" i="16"/>
  <c r="D68" i="4"/>
  <c r="D8" i="4"/>
  <c r="E8" i="16"/>
  <c r="D134" i="4"/>
  <c r="G7" i="4"/>
  <c r="D48" i="4"/>
  <c r="D54" i="4"/>
  <c r="D49" i="4"/>
  <c r="D12" i="4"/>
  <c r="D11" i="4"/>
  <c r="G12" i="4"/>
  <c r="G34" i="4"/>
  <c r="D121" i="4"/>
  <c r="G11" i="4"/>
  <c r="H22" i="4"/>
  <c r="G29" i="4"/>
  <c r="D67" i="4"/>
  <c r="D100" i="4"/>
  <c r="D58" i="4"/>
  <c r="G10" i="4"/>
  <c r="D89" i="4"/>
  <c r="G35" i="4"/>
  <c r="D99" i="4"/>
  <c r="D86" i="4"/>
  <c r="D107" i="4"/>
  <c r="D135" i="4"/>
  <c r="G135" i="4"/>
  <c r="G134" i="4"/>
  <c r="D78" i="4"/>
  <c r="D88" i="4"/>
  <c r="D79" i="4"/>
  <c r="D9" i="4"/>
  <c r="F32" i="10" l="1"/>
  <c r="G111" i="4"/>
  <c r="B22" i="10"/>
  <c r="H87" i="4"/>
  <c r="G77" i="4"/>
  <c r="G87" i="4"/>
  <c r="F43" i="10"/>
  <c r="G119" i="4"/>
  <c r="N12" i="8"/>
  <c r="E47" i="72"/>
  <c r="E47" i="74"/>
  <c r="L119" i="35"/>
  <c r="E87" i="18"/>
  <c r="E66" i="18"/>
  <c r="L77" i="23"/>
  <c r="I77" i="27"/>
  <c r="I77" i="29"/>
  <c r="I77" i="20"/>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98" i="27"/>
  <c r="L87" i="29"/>
  <c r="E97" i="33"/>
  <c r="E97" i="29"/>
  <c r="E97" i="37"/>
  <c r="E97" i="13"/>
  <c r="I98" i="37"/>
  <c r="L119" i="13"/>
  <c r="E66" i="37"/>
  <c r="E87" i="33"/>
  <c r="E87" i="37"/>
  <c r="E98" i="37"/>
  <c r="E77" i="37"/>
  <c r="L98" i="20"/>
  <c r="L111" i="29"/>
  <c r="L66" i="27"/>
  <c r="L111" i="13"/>
  <c r="L87" i="33"/>
  <c r="L98" i="29"/>
  <c r="L87" i="20"/>
  <c r="L119" i="23"/>
  <c r="L87" i="23"/>
  <c r="L98" i="23"/>
  <c r="L119" i="20"/>
  <c r="L111" i="27"/>
  <c r="E66" i="20"/>
  <c r="E87" i="13"/>
  <c r="E87" i="23"/>
  <c r="D98" i="4"/>
  <c r="L66" i="35"/>
  <c r="E98" i="29"/>
  <c r="E98" i="33"/>
  <c r="L87" i="27"/>
  <c r="L119" i="33"/>
  <c r="L98" i="13"/>
  <c r="L66" i="33"/>
  <c r="L87" i="35"/>
  <c r="L66" i="23"/>
  <c r="L66" i="13"/>
  <c r="E66" i="23"/>
  <c r="E66" i="13"/>
  <c r="E66" i="27"/>
  <c r="E66" i="29"/>
  <c r="E66" i="33"/>
  <c r="L111" i="33"/>
  <c r="D87" i="4"/>
  <c r="E98" i="20"/>
  <c r="E98" i="23"/>
  <c r="E87" i="27"/>
  <c r="E98" i="27"/>
  <c r="E87" i="29"/>
  <c r="L119" i="27"/>
  <c r="C43" i="10"/>
  <c r="I119" i="13"/>
  <c r="I119" i="20"/>
  <c r="I119" i="23"/>
  <c r="I119" i="27"/>
  <c r="I119" i="29"/>
  <c r="I119" i="35"/>
  <c r="I119" i="33"/>
  <c r="G43" i="10"/>
  <c r="F22" i="10"/>
  <c r="I98" i="20"/>
  <c r="I98" i="13"/>
  <c r="I98" i="23"/>
  <c r="I98" i="29"/>
  <c r="I98" i="27"/>
  <c r="I98" i="33"/>
  <c r="D66" i="4"/>
  <c r="B12" i="10"/>
  <c r="I66" i="13"/>
  <c r="I66" i="20"/>
  <c r="I66" i="27"/>
  <c r="I66" i="29"/>
  <c r="I66" i="35"/>
  <c r="I66" i="33"/>
  <c r="G12" i="10"/>
  <c r="I66" i="23"/>
  <c r="G66" i="4"/>
  <c r="F12" i="10"/>
  <c r="E53" i="39"/>
  <c r="C38" i="10"/>
  <c r="E53" i="16"/>
  <c r="I111" i="13"/>
  <c r="I111" i="20"/>
  <c r="I111" i="23"/>
  <c r="I111" i="27"/>
  <c r="I111" i="29"/>
  <c r="I111" i="35"/>
  <c r="I111" i="33"/>
  <c r="G32" i="10"/>
  <c r="E56" i="39"/>
  <c r="E56" i="16"/>
  <c r="C49" i="10"/>
  <c r="C32" i="10"/>
  <c r="C22" i="10"/>
  <c r="E47" i="39"/>
  <c r="C11" i="10"/>
  <c r="E47" i="16"/>
  <c r="C12" i="10"/>
  <c r="I87" i="13"/>
  <c r="I87" i="20"/>
  <c r="I87" i="27"/>
  <c r="I87" i="29"/>
  <c r="I87" i="23"/>
  <c r="I87" i="33"/>
  <c r="I87" i="35"/>
  <c r="G22" i="10"/>
  <c r="L66" i="20"/>
  <c r="L111" i="20"/>
  <c r="L87" i="13"/>
  <c r="L119" i="29"/>
  <c r="L66" i="29"/>
  <c r="L77" i="29"/>
  <c r="L111" i="23"/>
  <c r="E98" i="13"/>
  <c r="E87" i="20"/>
  <c r="L77" i="13"/>
  <c r="E77" i="33"/>
  <c r="E111" i="33"/>
  <c r="E47" i="33"/>
  <c r="E119" i="33"/>
  <c r="E53" i="33"/>
  <c r="E56" i="33"/>
  <c r="E119" i="29"/>
  <c r="E77" i="29"/>
  <c r="E111" i="29"/>
  <c r="E53" i="40"/>
  <c r="E53" i="41"/>
  <c r="E56" i="40"/>
  <c r="E56" i="41"/>
  <c r="E47" i="40"/>
  <c r="E47" i="41"/>
  <c r="E77" i="27"/>
  <c r="E111" i="27"/>
  <c r="E47" i="51"/>
  <c r="E119" i="27"/>
  <c r="E53" i="25"/>
  <c r="E47" i="25"/>
  <c r="E47" i="26"/>
  <c r="E56" i="25"/>
  <c r="E119" i="23"/>
  <c r="E77" i="23"/>
  <c r="E111" i="23"/>
  <c r="E56" i="22"/>
  <c r="E47" i="21"/>
  <c r="E47" i="22"/>
  <c r="E53" i="21"/>
  <c r="E53" i="22"/>
  <c r="E119" i="20"/>
  <c r="E47" i="20"/>
  <c r="E77" i="20"/>
  <c r="E111" i="20"/>
  <c r="E53" i="13"/>
  <c r="E77" i="13"/>
  <c r="E56" i="13"/>
  <c r="E111" i="13"/>
  <c r="E47" i="13"/>
  <c r="E119" i="13"/>
  <c r="D111" i="4"/>
  <c r="D77" i="4"/>
  <c r="D119" i="4"/>
  <c r="D53" i="4"/>
  <c r="D56" i="4"/>
  <c r="D47" i="4"/>
  <c r="C60" i="10" l="1"/>
  <c r="H107" i="4"/>
  <c r="H114" i="4"/>
  <c r="H116" i="4"/>
  <c r="H28" i="4"/>
  <c r="H98" i="4" l="1"/>
  <c r="H117" i="4"/>
  <c r="H99" i="4"/>
  <c r="H24" i="4"/>
  <c r="H27" i="4"/>
  <c r="H78" i="4"/>
  <c r="D9" i="10"/>
  <c r="H124" i="4"/>
  <c r="H112" i="4"/>
  <c r="H88" i="4"/>
  <c r="H9" i="4"/>
  <c r="H8" i="4"/>
  <c r="H79" i="4"/>
  <c r="H122" i="4"/>
  <c r="H14" i="10"/>
  <c r="H37" i="4"/>
  <c r="H121" i="4"/>
  <c r="I121" i="4"/>
  <c r="I112" i="4"/>
  <c r="I9" i="4"/>
  <c r="I109" i="4"/>
  <c r="K49" i="10"/>
  <c r="H113" i="4"/>
  <c r="I108" i="4"/>
  <c r="H11" i="4"/>
  <c r="I122" i="4"/>
  <c r="I79" i="4"/>
  <c r="I100" i="4"/>
  <c r="H25" i="4"/>
  <c r="H125" i="4"/>
  <c r="H86" i="4"/>
  <c r="H42" i="10"/>
  <c r="H21" i="10"/>
  <c r="I120" i="4"/>
  <c r="I28" i="4"/>
  <c r="I32" i="4"/>
  <c r="I67" i="4"/>
  <c r="K11" i="10"/>
  <c r="I23" i="4"/>
  <c r="H22" i="10"/>
  <c r="H10" i="4"/>
  <c r="H38" i="4"/>
  <c r="I77" i="4"/>
  <c r="I88" i="4"/>
  <c r="I117" i="4"/>
  <c r="H67" i="4"/>
  <c r="H12" i="10"/>
  <c r="I116" i="4"/>
  <c r="H120" i="4"/>
  <c r="I110" i="4"/>
  <c r="I113" i="4"/>
  <c r="I78" i="4"/>
  <c r="K26" i="10"/>
  <c r="I98" i="4"/>
  <c r="I99" i="4"/>
  <c r="K9" i="10"/>
  <c r="H77" i="4"/>
  <c r="H24" i="10"/>
  <c r="I31" i="4"/>
  <c r="I24" i="4"/>
  <c r="K16" i="10"/>
  <c r="I30" i="4"/>
  <c r="H36" i="4"/>
  <c r="K45" i="10"/>
  <c r="H39" i="4"/>
  <c r="I107" i="4"/>
  <c r="I8" i="4"/>
  <c r="I114" i="4"/>
  <c r="I86" i="4"/>
  <c r="H10" i="10"/>
  <c r="I124" i="4"/>
  <c r="H100" i="4"/>
  <c r="H7" i="4"/>
  <c r="H23" i="4"/>
  <c r="H15" i="10"/>
  <c r="I125" i="4"/>
  <c r="M77" i="33" l="1"/>
  <c r="M77" i="37"/>
  <c r="M77" i="13"/>
  <c r="M77" i="29"/>
  <c r="M77" i="20"/>
  <c r="M77" i="23"/>
  <c r="M77" i="27"/>
  <c r="M9" i="72"/>
  <c r="M8" i="74"/>
  <c r="J23" i="4"/>
  <c r="J24" i="4"/>
  <c r="J110" i="4"/>
  <c r="M67" i="37"/>
  <c r="M67" i="18"/>
  <c r="M107" i="37"/>
  <c r="M32" i="37"/>
  <c r="M32" i="18"/>
  <c r="M79" i="37"/>
  <c r="M79" i="18"/>
  <c r="M124" i="37"/>
  <c r="M124" i="18"/>
  <c r="M88" i="37"/>
  <c r="M88" i="18"/>
  <c r="M78" i="37"/>
  <c r="M78" i="18"/>
  <c r="M100" i="37"/>
  <c r="M100" i="18"/>
  <c r="M86" i="37"/>
  <c r="M122" i="37"/>
  <c r="M109" i="37"/>
  <c r="M109" i="18"/>
  <c r="M99" i="37"/>
  <c r="M99" i="18"/>
  <c r="M113" i="37"/>
  <c r="M113" i="18"/>
  <c r="M117" i="37"/>
  <c r="M117" i="18"/>
  <c r="M28" i="37"/>
  <c r="M28" i="18"/>
  <c r="M114" i="37"/>
  <c r="M98" i="18"/>
  <c r="M110" i="37"/>
  <c r="M9" i="37"/>
  <c r="M9" i="18"/>
  <c r="M31" i="37"/>
  <c r="M31" i="18"/>
  <c r="M8" i="37"/>
  <c r="M8" i="18"/>
  <c r="M24" i="37"/>
  <c r="M24" i="18"/>
  <c r="M108" i="37"/>
  <c r="M108" i="18"/>
  <c r="M112" i="37"/>
  <c r="M112" i="18"/>
  <c r="J122" i="4"/>
  <c r="M23" i="37"/>
  <c r="M23" i="18"/>
  <c r="M121" i="37"/>
  <c r="M121" i="18"/>
  <c r="M125" i="37"/>
  <c r="M125" i="18"/>
  <c r="M30" i="37"/>
  <c r="M30" i="18"/>
  <c r="M116" i="37"/>
  <c r="M120" i="37"/>
  <c r="M120" i="18"/>
  <c r="J114" i="4"/>
  <c r="M98" i="37"/>
  <c r="M24" i="13"/>
  <c r="M24" i="24"/>
  <c r="M24" i="33"/>
  <c r="M24" i="29"/>
  <c r="M24" i="16"/>
  <c r="M88" i="13"/>
  <c r="M88" i="27"/>
  <c r="M88" i="29"/>
  <c r="M88" i="23"/>
  <c r="M88" i="33"/>
  <c r="J28" i="4"/>
  <c r="M28" i="20"/>
  <c r="M28" i="25"/>
  <c r="M28" i="23"/>
  <c r="M28" i="24"/>
  <c r="M28" i="51"/>
  <c r="M28" i="29"/>
  <c r="M28" i="16"/>
  <c r="M28" i="13"/>
  <c r="M28" i="33"/>
  <c r="M121" i="23"/>
  <c r="M121" i="13"/>
  <c r="M121" i="27"/>
  <c r="M121" i="29"/>
  <c r="M121" i="33"/>
  <c r="M121" i="20"/>
  <c r="M121" i="35"/>
  <c r="M125" i="23"/>
  <c r="M125" i="27"/>
  <c r="M125" i="13"/>
  <c r="M125" i="29"/>
  <c r="M125" i="33"/>
  <c r="M125" i="35"/>
  <c r="M124" i="13"/>
  <c r="M124" i="33"/>
  <c r="M114" i="33"/>
  <c r="M31" i="23"/>
  <c r="M31" i="13"/>
  <c r="M31" i="24"/>
  <c r="M31" i="35"/>
  <c r="M31" i="16"/>
  <c r="M31" i="29"/>
  <c r="M31" i="33"/>
  <c r="M78" i="23"/>
  <c r="M78" i="27"/>
  <c r="M78" i="13"/>
  <c r="M78" i="29"/>
  <c r="M78" i="33"/>
  <c r="M113" i="23"/>
  <c r="M113" i="13"/>
  <c r="M113" i="27"/>
  <c r="M113" i="20"/>
  <c r="M113" i="29"/>
  <c r="M113" i="33"/>
  <c r="M113" i="35"/>
  <c r="J116" i="4"/>
  <c r="M116" i="13"/>
  <c r="M116" i="23"/>
  <c r="M116" i="29"/>
  <c r="M116" i="33"/>
  <c r="M117" i="23"/>
  <c r="M117" i="27"/>
  <c r="M117" i="13"/>
  <c r="M117" i="29"/>
  <c r="M117" i="33"/>
  <c r="M117" i="35"/>
  <c r="M23" i="20"/>
  <c r="M23" i="23"/>
  <c r="M23" i="13"/>
  <c r="M23" i="35"/>
  <c r="M23" i="16"/>
  <c r="M23" i="29"/>
  <c r="M23" i="33"/>
  <c r="M32" i="13"/>
  <c r="M32" i="20"/>
  <c r="M32" i="33"/>
  <c r="M32" i="23"/>
  <c r="M32" i="29"/>
  <c r="M32" i="16"/>
  <c r="M79" i="13"/>
  <c r="M79" i="20"/>
  <c r="M79" i="23"/>
  <c r="M79" i="33"/>
  <c r="M79" i="29"/>
  <c r="M79" i="27"/>
  <c r="M8" i="20"/>
  <c r="M8" i="13"/>
  <c r="M8" i="22"/>
  <c r="M8" i="24"/>
  <c r="M8" i="51"/>
  <c r="M8" i="25"/>
  <c r="M8" i="41"/>
  <c r="M8" i="29"/>
  <c r="M8" i="33"/>
  <c r="M8" i="19"/>
  <c r="M8" i="16"/>
  <c r="M30" i="20"/>
  <c r="M30" i="13"/>
  <c r="M30" i="23"/>
  <c r="M30" i="33"/>
  <c r="M30" i="29"/>
  <c r="M30" i="35"/>
  <c r="M30" i="16"/>
  <c r="M99" i="23"/>
  <c r="M99" i="27"/>
  <c r="M99" i="29"/>
  <c r="M99" i="13"/>
  <c r="M99" i="33"/>
  <c r="M110" i="33"/>
  <c r="M120" i="13"/>
  <c r="M120" i="23"/>
  <c r="M120" i="27"/>
  <c r="M120" i="29"/>
  <c r="M120" i="33"/>
  <c r="M100" i="13"/>
  <c r="M100" i="20"/>
  <c r="M100" i="29"/>
  <c r="M100" i="33"/>
  <c r="M100" i="27"/>
  <c r="M100" i="23"/>
  <c r="M122" i="33"/>
  <c r="M108" i="13"/>
  <c r="M108" i="23"/>
  <c r="M108" i="33"/>
  <c r="M108" i="29"/>
  <c r="M108" i="27"/>
  <c r="M9" i="19"/>
  <c r="M9" i="25"/>
  <c r="M9" i="20"/>
  <c r="M9" i="22"/>
  <c r="M9" i="51"/>
  <c r="M9" i="13"/>
  <c r="M9" i="16"/>
  <c r="M9" i="29"/>
  <c r="M9" i="24"/>
  <c r="M9" i="41"/>
  <c r="M9" i="33"/>
  <c r="M86" i="35"/>
  <c r="M86" i="29"/>
  <c r="M86" i="13"/>
  <c r="M86" i="33"/>
  <c r="J107" i="4"/>
  <c r="M107" i="13"/>
  <c r="M107" i="35"/>
  <c r="M107" i="29"/>
  <c r="M107" i="33"/>
  <c r="M98" i="20"/>
  <c r="M98" i="13"/>
  <c r="M98" i="23"/>
  <c r="M98" i="27"/>
  <c r="M98" i="29"/>
  <c r="M98" i="33"/>
  <c r="M67" i="13"/>
  <c r="M67" i="23"/>
  <c r="M67" i="27"/>
  <c r="M67" i="29"/>
  <c r="M67" i="33"/>
  <c r="M109" i="27"/>
  <c r="M109" i="13"/>
  <c r="M109" i="23"/>
  <c r="M109" i="20"/>
  <c r="M109" i="29"/>
  <c r="M109" i="35"/>
  <c r="M109" i="33"/>
  <c r="M112" i="13"/>
  <c r="M112" i="23"/>
  <c r="M112" i="27"/>
  <c r="M112" i="33"/>
  <c r="M112" i="29"/>
  <c r="J108" i="4"/>
  <c r="M44" i="8"/>
  <c r="D41" i="9"/>
  <c r="N75" i="8"/>
  <c r="H66" i="9"/>
  <c r="B68" i="9"/>
  <c r="M45" i="8"/>
  <c r="D42" i="9"/>
  <c r="M40" i="8"/>
  <c r="D37" i="9"/>
  <c r="C54" i="9"/>
  <c r="N13" i="8"/>
  <c r="H52" i="9"/>
  <c r="N61" i="8"/>
  <c r="N47" i="8"/>
  <c r="G56" i="9"/>
  <c r="G32" i="9"/>
  <c r="M30" i="8"/>
  <c r="B72" i="9"/>
  <c r="D30" i="9"/>
  <c r="D14" i="9"/>
  <c r="B55" i="9"/>
  <c r="M14" i="8"/>
  <c r="M23" i="8"/>
  <c r="D23" i="9"/>
  <c r="B64" i="9"/>
  <c r="M38" i="8"/>
  <c r="B45" i="9"/>
  <c r="D35" i="9"/>
  <c r="G52" i="9"/>
  <c r="M61" i="8"/>
  <c r="G50" i="9"/>
  <c r="M59" i="8"/>
  <c r="I9" i="9"/>
  <c r="M74" i="8"/>
  <c r="G65" i="9"/>
  <c r="I24" i="9"/>
  <c r="H55" i="9"/>
  <c r="G60" i="9"/>
  <c r="I19" i="9"/>
  <c r="N9" i="8"/>
  <c r="C50" i="9"/>
  <c r="B71" i="9"/>
  <c r="M29" i="8"/>
  <c r="M90" i="8"/>
  <c r="I37" i="9"/>
  <c r="M71" i="8"/>
  <c r="G62" i="9"/>
  <c r="I21" i="9"/>
  <c r="N44" i="8"/>
  <c r="N11" i="8"/>
  <c r="C52" i="9"/>
  <c r="N23" i="8"/>
  <c r="C64" i="9"/>
  <c r="M20" i="8"/>
  <c r="B61" i="9"/>
  <c r="D20" i="9"/>
  <c r="H56" i="9"/>
  <c r="N42" i="8"/>
  <c r="D40" i="9"/>
  <c r="M43" i="8"/>
  <c r="N41" i="8"/>
  <c r="N28" i="8"/>
  <c r="C70" i="9"/>
  <c r="N63" i="8"/>
  <c r="H54" i="9"/>
  <c r="N46" i="8"/>
  <c r="M47" i="8"/>
  <c r="D44" i="9"/>
  <c r="B70" i="9"/>
  <c r="H32" i="9"/>
  <c r="I20" i="9"/>
  <c r="M70" i="8"/>
  <c r="G61" i="9"/>
  <c r="N10" i="8"/>
  <c r="C51" i="9"/>
  <c r="M89" i="8"/>
  <c r="I36" i="9"/>
  <c r="G55" i="9"/>
  <c r="H59" i="9"/>
  <c r="D43" i="9"/>
  <c r="M46" i="8"/>
  <c r="H64" i="9"/>
  <c r="I22" i="9"/>
  <c r="G63" i="9"/>
  <c r="D13" i="9"/>
  <c r="M13" i="8"/>
  <c r="B54" i="9"/>
  <c r="N90" i="8"/>
  <c r="B66" i="9"/>
  <c r="M25" i="8"/>
  <c r="D25" i="9"/>
  <c r="N20" i="8"/>
  <c r="C61" i="9"/>
  <c r="H61" i="9"/>
  <c r="N70" i="8"/>
  <c r="M21" i="8"/>
  <c r="D21" i="9"/>
  <c r="B62" i="9"/>
  <c r="N21" i="8"/>
  <c r="C62" i="9"/>
  <c r="D10" i="9"/>
  <c r="M10" i="8"/>
  <c r="B51" i="9"/>
  <c r="M91" i="8"/>
  <c r="I38" i="9"/>
  <c r="H58" i="9"/>
  <c r="G64" i="9"/>
  <c r="I27" i="9"/>
  <c r="M77" i="8"/>
  <c r="G69" i="9"/>
  <c r="N77" i="8"/>
  <c r="H69" i="9"/>
  <c r="N78" i="8"/>
  <c r="H70" i="9"/>
  <c r="N97" i="8"/>
  <c r="B50" i="9"/>
  <c r="D9" i="9"/>
  <c r="M9" i="8"/>
  <c r="N45" i="8"/>
  <c r="C68" i="9"/>
  <c r="H65" i="9"/>
  <c r="N74" i="8"/>
  <c r="N91" i="8"/>
  <c r="H51" i="9"/>
  <c r="N60" i="8"/>
  <c r="C56" i="9"/>
  <c r="N15" i="8"/>
  <c r="I41" i="9"/>
  <c r="M94" i="8"/>
  <c r="B58" i="9"/>
  <c r="M17" i="8"/>
  <c r="D17" i="9"/>
  <c r="C32" i="9"/>
  <c r="E31" i="9" s="1"/>
  <c r="N94" i="8"/>
  <c r="C72" i="9"/>
  <c r="N30" i="8"/>
  <c r="G68" i="9"/>
  <c r="I42" i="9"/>
  <c r="M95" i="8"/>
  <c r="C69" i="9"/>
  <c r="N27" i="8"/>
  <c r="N93" i="8"/>
  <c r="D22" i="9"/>
  <c r="B63" i="9"/>
  <c r="M22" i="8"/>
  <c r="N16" i="8"/>
  <c r="C57" i="9"/>
  <c r="N96" i="8"/>
  <c r="C45" i="9"/>
  <c r="N38" i="8"/>
  <c r="M42" i="8"/>
  <c r="D39" i="9"/>
  <c r="M75" i="8"/>
  <c r="I25" i="9"/>
  <c r="G66" i="9"/>
  <c r="N40" i="8"/>
  <c r="B65" i="9"/>
  <c r="D24" i="9"/>
  <c r="M24" i="8"/>
  <c r="H62" i="9"/>
  <c r="N71" i="8"/>
  <c r="D36" i="9"/>
  <c r="M39" i="8"/>
  <c r="N92" i="8"/>
  <c r="D28" i="9"/>
  <c r="M28" i="8"/>
  <c r="M60" i="8"/>
  <c r="I10" i="9"/>
  <c r="G51" i="9"/>
  <c r="H45" i="9"/>
  <c r="N88" i="8"/>
  <c r="C66" i="9"/>
  <c r="N25" i="8"/>
  <c r="N39" i="8"/>
  <c r="B57" i="9"/>
  <c r="D16" i="9"/>
  <c r="M16" i="8"/>
  <c r="N22" i="8"/>
  <c r="C63" i="9"/>
  <c r="N89" i="8"/>
  <c r="N19" i="8"/>
  <c r="C60" i="9"/>
  <c r="N29" i="8"/>
  <c r="H50" i="9"/>
  <c r="N59" i="8"/>
  <c r="I39" i="9"/>
  <c r="M92" i="8"/>
  <c r="D11" i="9"/>
  <c r="M11" i="8"/>
  <c r="B52" i="9"/>
  <c r="C55" i="9"/>
  <c r="N14" i="8"/>
  <c r="I35" i="9"/>
  <c r="G45" i="9"/>
  <c r="F27" i="10" s="1"/>
  <c r="M88" i="8"/>
  <c r="N17" i="8"/>
  <c r="C58" i="9"/>
  <c r="H68" i="9"/>
  <c r="N95" i="8"/>
  <c r="M27" i="8"/>
  <c r="D27" i="9"/>
  <c r="B69" i="9"/>
  <c r="H57" i="9"/>
  <c r="M96" i="8"/>
  <c r="I43" i="9"/>
  <c r="H63" i="9"/>
  <c r="D18" i="9"/>
  <c r="M18" i="8"/>
  <c r="B59" i="9"/>
  <c r="H71" i="9"/>
  <c r="N18" i="8"/>
  <c r="C59" i="9"/>
  <c r="M97" i="8"/>
  <c r="I44" i="9"/>
  <c r="B32" i="9"/>
  <c r="N43" i="8"/>
  <c r="M68" i="8"/>
  <c r="G59" i="9"/>
  <c r="M41" i="8"/>
  <c r="D38" i="9"/>
  <c r="D26" i="9"/>
  <c r="B56" i="9"/>
  <c r="M15" i="8"/>
  <c r="D15" i="9"/>
  <c r="D19" i="9"/>
  <c r="M19" i="8"/>
  <c r="B60" i="9"/>
  <c r="G71" i="9"/>
  <c r="H60" i="9"/>
  <c r="I13" i="9"/>
  <c r="G54" i="9"/>
  <c r="M63" i="8"/>
  <c r="I28" i="9"/>
  <c r="M78" i="8"/>
  <c r="G70" i="9"/>
  <c r="G57" i="9"/>
  <c r="I16" i="9"/>
  <c r="N24" i="8"/>
  <c r="C65" i="9"/>
  <c r="G58" i="9"/>
  <c r="I17" i="9"/>
  <c r="M93" i="8"/>
  <c r="I40" i="9"/>
  <c r="J109" i="4"/>
  <c r="J117" i="4"/>
  <c r="J125" i="4"/>
  <c r="J124" i="4"/>
  <c r="J120" i="4"/>
  <c r="J8" i="4"/>
  <c r="J112" i="4"/>
  <c r="J78" i="4"/>
  <c r="J9" i="4"/>
  <c r="J67" i="4"/>
  <c r="J86" i="4"/>
  <c r="J113" i="4"/>
  <c r="J88" i="4"/>
  <c r="J99" i="4"/>
  <c r="J100" i="4"/>
  <c r="J121" i="4"/>
  <c r="J77" i="4"/>
  <c r="J79" i="4"/>
  <c r="J98" i="4"/>
  <c r="K21" i="10"/>
  <c r="H75" i="4"/>
  <c r="H25" i="10"/>
  <c r="G55" i="10"/>
  <c r="H136" i="4"/>
  <c r="K42" i="10"/>
  <c r="G53" i="10"/>
  <c r="H29" i="4"/>
  <c r="K12" i="10"/>
  <c r="K14" i="10"/>
  <c r="K23" i="10"/>
  <c r="H111" i="4"/>
  <c r="K44" i="10"/>
  <c r="K24" i="10"/>
  <c r="G46" i="10"/>
  <c r="H43" i="10"/>
  <c r="H31" i="4"/>
  <c r="J31" i="4" s="1"/>
  <c r="H32" i="4"/>
  <c r="J32" i="4" s="1"/>
  <c r="J10" i="10"/>
  <c r="D10" i="10"/>
  <c r="J24" i="10"/>
  <c r="D24" i="10"/>
  <c r="I25" i="4"/>
  <c r="B60" i="10"/>
  <c r="D38" i="10"/>
  <c r="J38" i="10"/>
  <c r="I37" i="4"/>
  <c r="E37" i="16"/>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J34" i="10"/>
  <c r="H66" i="4"/>
  <c r="H32" i="10"/>
  <c r="F54" i="10"/>
  <c r="I22" i="4"/>
  <c r="K41" i="10"/>
  <c r="C46" i="10"/>
  <c r="H119" i="4"/>
  <c r="H137" i="4"/>
  <c r="I136" i="4"/>
  <c r="H68" i="4"/>
  <c r="I68" i="4"/>
  <c r="I38" i="4"/>
  <c r="K43" i="10"/>
  <c r="I10" i="4"/>
  <c r="H12" i="4"/>
  <c r="J26" i="10"/>
  <c r="L26" i="10" s="1"/>
  <c r="D26" i="10"/>
  <c r="I34" i="4"/>
  <c r="H9" i="10"/>
  <c r="J9" i="10"/>
  <c r="L9" i="10" s="1"/>
  <c r="J49" i="10"/>
  <c r="L49" i="10" s="1"/>
  <c r="D49" i="10"/>
  <c r="D21" i="10"/>
  <c r="J21" i="10"/>
  <c r="I39" i="4"/>
  <c r="I27" i="4"/>
  <c r="I36" i="4"/>
  <c r="E36" i="16"/>
  <c r="B35" i="10"/>
  <c r="J30" i="10"/>
  <c r="B52" i="10"/>
  <c r="D30" i="10"/>
  <c r="I7" i="4"/>
  <c r="K60" i="10"/>
  <c r="K38" i="10"/>
  <c r="H13" i="10"/>
  <c r="G35" i="10"/>
  <c r="G52" i="10"/>
  <c r="I35" i="4"/>
  <c r="D12" i="10"/>
  <c r="J12" i="10"/>
  <c r="I12" i="4"/>
  <c r="D43" i="10"/>
  <c r="J43" i="10"/>
  <c r="I134" i="4"/>
  <c r="I11" i="4"/>
  <c r="K20" i="10"/>
  <c r="D25" i="10"/>
  <c r="J25" i="10"/>
  <c r="D41" i="10"/>
  <c r="J41" i="10"/>
  <c r="B46" i="10"/>
  <c r="K31" i="10"/>
  <c r="C53" i="10"/>
  <c r="L39" i="9"/>
  <c r="J27" i="9" l="1"/>
  <c r="J19" i="9"/>
  <c r="J11" i="9"/>
  <c r="J26" i="9"/>
  <c r="J18" i="9"/>
  <c r="J9" i="9"/>
  <c r="J17" i="9"/>
  <c r="J10" i="9"/>
  <c r="J28" i="9"/>
  <c r="J12" i="9"/>
  <c r="J25" i="9"/>
  <c r="J24" i="9"/>
  <c r="J16" i="9"/>
  <c r="J31" i="9"/>
  <c r="J23" i="9"/>
  <c r="J15" i="9"/>
  <c r="J30" i="9"/>
  <c r="J22" i="9"/>
  <c r="J14" i="9"/>
  <c r="J29" i="9"/>
  <c r="J21" i="9"/>
  <c r="J13" i="9"/>
  <c r="J20" i="9"/>
  <c r="B17" i="10"/>
  <c r="N17" i="9"/>
  <c r="M28" i="9"/>
  <c r="N35" i="9"/>
  <c r="M36" i="9"/>
  <c r="L15" i="9"/>
  <c r="M7" i="72" l="1"/>
  <c r="M7" i="74"/>
  <c r="J39" i="9"/>
  <c r="E35" i="9"/>
  <c r="E16" i="9"/>
  <c r="E12" i="9"/>
  <c r="O28" i="9"/>
  <c r="M12" i="9"/>
  <c r="M19" i="9"/>
  <c r="M40" i="9"/>
  <c r="M24" i="9"/>
  <c r="O26" i="9"/>
  <c r="O27" i="9"/>
  <c r="L14" i="9"/>
  <c r="O29" i="9"/>
  <c r="O19" i="9"/>
  <c r="O18" i="9"/>
  <c r="N39" i="9"/>
  <c r="N38" i="9"/>
  <c r="O15" i="9"/>
  <c r="M42" i="9"/>
  <c r="L37" i="9"/>
  <c r="M31" i="9"/>
  <c r="N44" i="9"/>
  <c r="O36" i="9"/>
  <c r="M44" i="9"/>
  <c r="L42" i="9"/>
  <c r="O22" i="9"/>
  <c r="L9" i="9"/>
  <c r="M37" i="9"/>
  <c r="L25" i="9"/>
  <c r="L10" i="9"/>
  <c r="O12" i="9"/>
  <c r="N42" i="9"/>
  <c r="O41" i="9"/>
  <c r="N23" i="9"/>
  <c r="O43" i="9"/>
  <c r="M43" i="9"/>
  <c r="N15" i="9"/>
  <c r="M11" i="9"/>
  <c r="N31" i="9"/>
  <c r="M29" i="9"/>
  <c r="N27" i="9"/>
  <c r="N16" i="9"/>
  <c r="M38" i="9"/>
  <c r="O25" i="9"/>
  <c r="M16" i="9"/>
  <c r="O21" i="9"/>
  <c r="O44" i="9"/>
  <c r="L21" i="9"/>
  <c r="L18" i="9"/>
  <c r="N18" i="9"/>
  <c r="L24" i="9"/>
  <c r="L23" i="9"/>
  <c r="N21" i="9"/>
  <c r="N20" i="9"/>
  <c r="L29" i="9"/>
  <c r="N40" i="9"/>
  <c r="M22" i="9"/>
  <c r="N14" i="9"/>
  <c r="N28" i="9"/>
  <c r="M30" i="9"/>
  <c r="O20" i="9"/>
  <c r="O23" i="9"/>
  <c r="O9" i="9"/>
  <c r="L36" i="9"/>
  <c r="O14" i="9"/>
  <c r="O38" i="9"/>
  <c r="N43" i="9"/>
  <c r="N9" i="9"/>
  <c r="M23" i="9"/>
  <c r="L20" i="9"/>
  <c r="O35" i="9"/>
  <c r="M21" i="9"/>
  <c r="O17" i="9"/>
  <c r="N29" i="9"/>
  <c r="O16" i="9"/>
  <c r="M18" i="9"/>
  <c r="N36" i="9"/>
  <c r="L16" i="9"/>
  <c r="O39" i="9"/>
  <c r="N22" i="9"/>
  <c r="N41" i="9"/>
  <c r="N26" i="9"/>
  <c r="L12" i="9"/>
  <c r="O31" i="9"/>
  <c r="L28" i="9"/>
  <c r="O42" i="9"/>
  <c r="M41" i="9"/>
  <c r="N30" i="9"/>
  <c r="M17" i="9"/>
  <c r="M26" i="9"/>
  <c r="L35" i="9"/>
  <c r="N25" i="9"/>
  <c r="L30" i="9"/>
  <c r="O30" i="9"/>
  <c r="N12" i="9"/>
  <c r="L11" i="9"/>
  <c r="L40" i="9"/>
  <c r="O40" i="9"/>
  <c r="O37" i="9"/>
  <c r="M27" i="9"/>
  <c r="M9" i="9"/>
  <c r="L44" i="9"/>
  <c r="L19" i="9"/>
  <c r="N37" i="9"/>
  <c r="O11" i="9"/>
  <c r="L43" i="9"/>
  <c r="L26" i="9"/>
  <c r="M35" i="9"/>
  <c r="M20" i="9"/>
  <c r="L38" i="9"/>
  <c r="N11" i="9"/>
  <c r="L27" i="9"/>
  <c r="O24" i="9"/>
  <c r="N10" i="9"/>
  <c r="O10" i="9"/>
  <c r="M14" i="9"/>
  <c r="M39" i="9"/>
  <c r="L41" i="9"/>
  <c r="M15" i="9"/>
  <c r="M10" i="9"/>
  <c r="L22" i="9"/>
  <c r="M25" i="9"/>
  <c r="N24" i="9"/>
  <c r="J25" i="4" l="1"/>
  <c r="M35" i="37"/>
  <c r="M35" i="18"/>
  <c r="M22" i="37"/>
  <c r="M22" i="18"/>
  <c r="M29" i="37"/>
  <c r="M29" i="18"/>
  <c r="M135" i="37"/>
  <c r="M37" i="37"/>
  <c r="M66" i="37"/>
  <c r="M66" i="18"/>
  <c r="M111" i="37"/>
  <c r="M111" i="18"/>
  <c r="M10" i="37"/>
  <c r="M10" i="18"/>
  <c r="M75" i="37"/>
  <c r="M134" i="37"/>
  <c r="M36" i="37"/>
  <c r="M12" i="37"/>
  <c r="M12" i="18"/>
  <c r="M89" i="37"/>
  <c r="M89" i="18"/>
  <c r="M87" i="37"/>
  <c r="M87" i="18"/>
  <c r="M25" i="37"/>
  <c r="M25" i="18"/>
  <c r="M11" i="37"/>
  <c r="M11" i="18"/>
  <c r="M7" i="37"/>
  <c r="M7" i="18"/>
  <c r="M34" i="37"/>
  <c r="M34" i="18"/>
  <c r="M119" i="37"/>
  <c r="M119" i="18"/>
  <c r="M68" i="37"/>
  <c r="M68" i="18"/>
  <c r="M96" i="37"/>
  <c r="L24" i="10"/>
  <c r="L14" i="10"/>
  <c r="J39" i="4"/>
  <c r="J75" i="4"/>
  <c r="J96" i="4"/>
  <c r="L15" i="10"/>
  <c r="L51" i="9"/>
  <c r="M45" i="9"/>
  <c r="M70" i="9"/>
  <c r="O69" i="9"/>
  <c r="L55" i="9"/>
  <c r="M51" i="9"/>
  <c r="M57" i="9"/>
  <c r="O57" i="9"/>
  <c r="N63" i="9"/>
  <c r="O72" i="9"/>
  <c r="O56" i="9"/>
  <c r="M63" i="9"/>
  <c r="N57" i="9"/>
  <c r="N54" i="9"/>
  <c r="O71" i="9"/>
  <c r="M69" i="9"/>
  <c r="L66" i="9"/>
  <c r="L59" i="9"/>
  <c r="L65" i="9"/>
  <c r="M62" i="9"/>
  <c r="L71" i="9"/>
  <c r="M49" i="9"/>
  <c r="M32" i="9"/>
  <c r="O55" i="9"/>
  <c r="L45" i="9"/>
  <c r="L54" i="9"/>
  <c r="O68" i="9"/>
  <c r="L50" i="9"/>
  <c r="N60" i="9"/>
  <c r="M72" i="9"/>
  <c r="N49" i="9"/>
  <c r="N32" i="9"/>
  <c r="M64" i="9"/>
  <c r="O45" i="9"/>
  <c r="N56" i="9"/>
  <c r="O51" i="9"/>
  <c r="O50" i="9"/>
  <c r="L63" i="9"/>
  <c r="M60" i="9"/>
  <c r="N68" i="9"/>
  <c r="N72" i="9"/>
  <c r="M65" i="9"/>
  <c r="O65" i="9"/>
  <c r="N70" i="9"/>
  <c r="O61" i="9"/>
  <c r="L64" i="9"/>
  <c r="L70" i="9"/>
  <c r="L58" i="9"/>
  <c r="N66" i="9"/>
  <c r="N55" i="9"/>
  <c r="L68" i="9"/>
  <c r="O63" i="9"/>
  <c r="O62" i="9"/>
  <c r="O70" i="9"/>
  <c r="L61" i="9"/>
  <c r="O66" i="9"/>
  <c r="N51" i="9"/>
  <c r="L62" i="9"/>
  <c r="N50" i="9"/>
  <c r="M71" i="9"/>
  <c r="N65" i="9"/>
  <c r="M55" i="9"/>
  <c r="M68" i="9"/>
  <c r="O49" i="9"/>
  <c r="O32" i="9"/>
  <c r="M59" i="9"/>
  <c r="M61" i="9"/>
  <c r="L60" i="9"/>
  <c r="M50" i="9"/>
  <c r="N71" i="9"/>
  <c r="O60" i="9"/>
  <c r="N52" i="9"/>
  <c r="O58" i="9"/>
  <c r="M58" i="9"/>
  <c r="L69" i="9"/>
  <c r="M54" i="9"/>
  <c r="M56" i="9"/>
  <c r="N45" i="9"/>
  <c r="N64" i="9"/>
  <c r="N58" i="9"/>
  <c r="M52" i="9"/>
  <c r="N62" i="9"/>
  <c r="N61" i="9"/>
  <c r="L32" i="9"/>
  <c r="L49" i="9"/>
  <c r="M66" i="9"/>
  <c r="L56" i="9"/>
  <c r="O59" i="9"/>
  <c r="O54" i="9"/>
  <c r="O52" i="9"/>
  <c r="N69" i="9"/>
  <c r="O64" i="9"/>
  <c r="L52" i="9"/>
  <c r="L42" i="10"/>
  <c r="J11" i="4"/>
  <c r="M11" i="13"/>
  <c r="M11" i="33"/>
  <c r="M11" i="23"/>
  <c r="M11" i="29"/>
  <c r="M11" i="35"/>
  <c r="M11" i="16"/>
  <c r="M27" i="16"/>
  <c r="J10" i="4"/>
  <c r="M10" i="20"/>
  <c r="M10" i="23"/>
  <c r="M10" i="13"/>
  <c r="M10" i="24"/>
  <c r="M10" i="35"/>
  <c r="M10" i="51"/>
  <c r="M10" i="41"/>
  <c r="M10" i="16"/>
  <c r="M10" i="29"/>
  <c r="M10" i="33"/>
  <c r="M68" i="20"/>
  <c r="M68" i="13"/>
  <c r="M68" i="27"/>
  <c r="M68" i="23"/>
  <c r="M68" i="29"/>
  <c r="M68" i="35"/>
  <c r="M68" i="33"/>
  <c r="M136" i="26"/>
  <c r="M136" i="34"/>
  <c r="M119" i="23"/>
  <c r="M119" i="20"/>
  <c r="M119" i="27"/>
  <c r="M119" i="13"/>
  <c r="M119" i="35"/>
  <c r="M119" i="29"/>
  <c r="M119" i="33"/>
  <c r="M111" i="23"/>
  <c r="M111" i="20"/>
  <c r="M111" i="27"/>
  <c r="M111" i="35"/>
  <c r="M111" i="29"/>
  <c r="M111" i="13"/>
  <c r="M111" i="33"/>
  <c r="J7" i="4"/>
  <c r="M7" i="19"/>
  <c r="M7" i="13"/>
  <c r="M7" i="23"/>
  <c r="M7" i="22"/>
  <c r="M7" i="25"/>
  <c r="M7" i="20"/>
  <c r="M7" i="24"/>
  <c r="M7" i="29"/>
  <c r="M7" i="41"/>
  <c r="M7" i="16"/>
  <c r="M7" i="51"/>
  <c r="M7" i="35"/>
  <c r="M7" i="33"/>
  <c r="J22" i="4"/>
  <c r="M22" i="20"/>
  <c r="M22" i="13"/>
  <c r="M22" i="24"/>
  <c r="M22" i="51"/>
  <c r="M22" i="23"/>
  <c r="M22" i="29"/>
  <c r="M22" i="35"/>
  <c r="M22" i="33"/>
  <c r="M22" i="16"/>
  <c r="M29" i="23"/>
  <c r="M29" i="13"/>
  <c r="M29" i="29"/>
  <c r="M29" i="35"/>
  <c r="M29" i="24"/>
  <c r="M29" i="16"/>
  <c r="M29" i="20"/>
  <c r="M29" i="33"/>
  <c r="M137" i="26"/>
  <c r="M137" i="34"/>
  <c r="M87" i="13"/>
  <c r="M87" i="20"/>
  <c r="M87" i="23"/>
  <c r="M87" i="27"/>
  <c r="M87" i="33"/>
  <c r="M87" i="29"/>
  <c r="M87" i="35"/>
  <c r="M35" i="13"/>
  <c r="M35" i="23"/>
  <c r="M35" i="29"/>
  <c r="M35" i="35"/>
  <c r="M35" i="33"/>
  <c r="M35" i="16"/>
  <c r="M39" i="16"/>
  <c r="M39" i="13"/>
  <c r="M34" i="13"/>
  <c r="M34" i="23"/>
  <c r="M34" i="29"/>
  <c r="M34" i="35"/>
  <c r="M34" i="16"/>
  <c r="M34" i="33"/>
  <c r="M38" i="16"/>
  <c r="M66" i="13"/>
  <c r="M66" i="20"/>
  <c r="M66" i="27"/>
  <c r="M66" i="35"/>
  <c r="M66" i="33"/>
  <c r="M66" i="23"/>
  <c r="M66" i="29"/>
  <c r="M89" i="20"/>
  <c r="M89" i="13"/>
  <c r="M89" i="23"/>
  <c r="M89" i="27"/>
  <c r="M89" i="29"/>
  <c r="M89" i="35"/>
  <c r="M89" i="33"/>
  <c r="M96" i="33"/>
  <c r="M75" i="33"/>
  <c r="J37" i="4"/>
  <c r="M37" i="13"/>
  <c r="M37" i="16"/>
  <c r="I70" i="9"/>
  <c r="M134" i="26"/>
  <c r="M134" i="34"/>
  <c r="M12" i="13"/>
  <c r="M12" i="23"/>
  <c r="M12" i="29"/>
  <c r="M12" i="35"/>
  <c r="M12" i="16"/>
  <c r="M12" i="33"/>
  <c r="J36" i="4"/>
  <c r="M36" i="13"/>
  <c r="M36" i="16"/>
  <c r="L21" i="10"/>
  <c r="H53" i="10"/>
  <c r="M135" i="26"/>
  <c r="M135" i="34"/>
  <c r="M25" i="13"/>
  <c r="M25" i="20"/>
  <c r="M25" i="29"/>
  <c r="M25" i="16"/>
  <c r="M25" i="33"/>
  <c r="L31" i="10"/>
  <c r="L22" i="10"/>
  <c r="L12" i="10"/>
  <c r="L10" i="10"/>
  <c r="I68" i="9"/>
  <c r="I65" i="9"/>
  <c r="I62" i="9"/>
  <c r="I57" i="9"/>
  <c r="I54" i="9"/>
  <c r="I32" i="9"/>
  <c r="I50" i="9"/>
  <c r="D68" i="9"/>
  <c r="D45" i="9"/>
  <c r="D50" i="9"/>
  <c r="G17" i="10"/>
  <c r="E38" i="9"/>
  <c r="E42" i="9"/>
  <c r="E36" i="9"/>
  <c r="E37" i="9"/>
  <c r="E44" i="9"/>
  <c r="D32" i="9"/>
  <c r="E43" i="9"/>
  <c r="E41" i="9"/>
  <c r="F17" i="10"/>
  <c r="J17" i="10" s="1"/>
  <c r="E40" i="9"/>
  <c r="E39" i="9"/>
  <c r="B27" i="10"/>
  <c r="J27" i="10" s="1"/>
  <c r="J35" i="9"/>
  <c r="E21" i="9"/>
  <c r="C74" i="9"/>
  <c r="E53" i="9" s="1"/>
  <c r="E10" i="9"/>
  <c r="J41" i="9"/>
  <c r="E19" i="9"/>
  <c r="E15" i="9"/>
  <c r="G27" i="10"/>
  <c r="H27" i="10" s="1"/>
  <c r="E20" i="9"/>
  <c r="E13" i="9"/>
  <c r="H74" i="9"/>
  <c r="J53" i="9" s="1"/>
  <c r="E29" i="9"/>
  <c r="E23" i="9"/>
  <c r="E17" i="9"/>
  <c r="E18" i="9"/>
  <c r="B74" i="9"/>
  <c r="E25" i="9"/>
  <c r="E14" i="9"/>
  <c r="E9" i="9"/>
  <c r="C17" i="10"/>
  <c r="C27" i="10"/>
  <c r="E30" i="9"/>
  <c r="E11" i="9"/>
  <c r="E22" i="9"/>
  <c r="E24" i="9"/>
  <c r="E26" i="9"/>
  <c r="E27" i="9"/>
  <c r="E28" i="9"/>
  <c r="J42" i="9"/>
  <c r="J43" i="9"/>
  <c r="G74" i="9"/>
  <c r="J36" i="9"/>
  <c r="J37" i="9"/>
  <c r="J40" i="9"/>
  <c r="I45" i="9"/>
  <c r="J38" i="9"/>
  <c r="J44" i="9"/>
  <c r="J119" i="4"/>
  <c r="J137" i="4"/>
  <c r="J135" i="4"/>
  <c r="J111" i="4"/>
  <c r="J12" i="4"/>
  <c r="J66" i="4"/>
  <c r="J35" i="4"/>
  <c r="J134" i="4"/>
  <c r="J34" i="4"/>
  <c r="J136" i="4"/>
  <c r="J68" i="4"/>
  <c r="J89" i="4"/>
  <c r="J87" i="4"/>
  <c r="J29" i="4"/>
  <c r="K53" i="10"/>
  <c r="K55" i="10"/>
  <c r="L44" i="10"/>
  <c r="L23" i="10"/>
  <c r="H55" i="10"/>
  <c r="L30" i="10"/>
  <c r="G57" i="10"/>
  <c r="L32" i="10"/>
  <c r="H5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L17" i="9"/>
  <c r="N19" i="9"/>
  <c r="L31" i="9"/>
  <c r="D17" i="10" l="1"/>
  <c r="K17" i="10"/>
  <c r="L17" i="10" s="1"/>
  <c r="N59" i="9"/>
  <c r="L57" i="9"/>
  <c r="L72" i="9"/>
  <c r="J72" i="9"/>
  <c r="J67" i="9"/>
  <c r="E71" i="9"/>
  <c r="E67" i="9"/>
  <c r="L55" i="10"/>
  <c r="M74" i="9"/>
  <c r="O74" i="9"/>
  <c r="L74" i="9"/>
  <c r="N74" i="9"/>
  <c r="L53" i="10"/>
  <c r="J45" i="9"/>
  <c r="J32" i="9"/>
  <c r="I74" i="9"/>
  <c r="E45" i="9"/>
  <c r="D74" i="9"/>
  <c r="H17" i="10"/>
  <c r="E56" i="9"/>
  <c r="D56" i="9" s="1"/>
  <c r="E63" i="9"/>
  <c r="D63" i="9" s="1"/>
  <c r="E55" i="9"/>
  <c r="D55" i="9" s="1"/>
  <c r="E54" i="9"/>
  <c r="D54" i="9" s="1"/>
  <c r="J57" i="9"/>
  <c r="J56" i="9"/>
  <c r="D27" i="10"/>
  <c r="E58" i="9"/>
  <c r="D58" i="9" s="1"/>
  <c r="E60" i="9"/>
  <c r="D60" i="9" s="1"/>
  <c r="E59" i="9"/>
  <c r="D59" i="9" s="1"/>
  <c r="E65" i="9"/>
  <c r="D65" i="9" s="1"/>
  <c r="K27" i="10"/>
  <c r="L27" i="10" s="1"/>
  <c r="J68" i="9"/>
  <c r="I60" i="9"/>
  <c r="J52" i="9"/>
  <c r="J61" i="9"/>
  <c r="I61" i="9" s="1"/>
  <c r="E61" i="9"/>
  <c r="D61" i="9" s="1"/>
  <c r="E51" i="9"/>
  <c r="D51" i="9" s="1"/>
  <c r="E50" i="9"/>
  <c r="E68" i="9"/>
  <c r="E72" i="9"/>
  <c r="D72" i="9" s="1"/>
  <c r="E69" i="9"/>
  <c r="D69" i="9" s="1"/>
  <c r="E64" i="9"/>
  <c r="D64" i="9" s="1"/>
  <c r="J64" i="9"/>
  <c r="J51" i="9"/>
  <c r="I51" i="9" s="1"/>
  <c r="J58" i="9"/>
  <c r="I58" i="9" s="1"/>
  <c r="J65" i="9"/>
  <c r="J59" i="9"/>
  <c r="J66" i="9"/>
  <c r="I66" i="9" s="1"/>
  <c r="J54" i="9"/>
  <c r="J62" i="9"/>
  <c r="J71" i="9"/>
  <c r="J50" i="9"/>
  <c r="J63" i="9"/>
  <c r="I63" i="9" s="1"/>
  <c r="J55" i="9"/>
  <c r="J69" i="9"/>
  <c r="I69" i="9" s="1"/>
  <c r="J70" i="9"/>
  <c r="E62" i="9"/>
  <c r="D62" i="9" s="1"/>
  <c r="E66" i="9"/>
  <c r="D66" i="9" s="1"/>
  <c r="E52" i="9"/>
  <c r="D52" i="9" s="1"/>
  <c r="E57" i="9"/>
  <c r="D57" i="9" s="1"/>
  <c r="E70" i="9"/>
  <c r="D70" i="9" s="1"/>
  <c r="E32" i="9"/>
  <c r="K57" i="10"/>
  <c r="H57" i="10"/>
  <c r="L46" i="10"/>
  <c r="L35" i="10"/>
  <c r="L54" i="10"/>
  <c r="J57" i="10"/>
  <c r="D57" i="10"/>
  <c r="L52" i="10"/>
  <c r="J74" i="9" l="1"/>
  <c r="E74" i="9"/>
  <c r="L57" i="1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<sst xmlns="http://schemas.openxmlformats.org/spreadsheetml/2006/main" count="5690" uniqueCount="433">
  <si>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</si>
  <si>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</si>
  <si>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</si>
  <si>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</si>
  <si>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</si>
  <si>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</si>
  <si>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</si>
  <si>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</si>
  <si>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</si>
  <si>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</si>
  <si>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</si>
  <si>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</si>
  <si>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</si>
  <si>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</si>
  <si>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</si>
  <si>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</si>
  <si>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</si>
  <si>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</si>
  <si>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</si>
  <si>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</si>
  <si>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</si>
  <si>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</si>
  <si>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</si>
  <si>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</si>
  <si>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</si>
  <si>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</si>
  <si>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</si>
  <si>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</si>
  <si>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</si>
  <si>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</si>
  <si>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</si>
  <si>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</si>
  <si>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</si>
  <si>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</si>
  <si>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</si>
  <si>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</si>
  <si>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</si>
  <si>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</si>
  <si>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</si>
  <si>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</si>
  <si>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</si>
  <si>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</si>
  <si>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</si>
  <si>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</si>
  <si>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</si>
  <si>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</si>
  <si>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</si>
  <si>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</si>
  <si>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</si>
  <si>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</si>
  <si>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</si>
  <si>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</si>
  <si>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</si>
  <si>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</si>
  <si>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Danica Pensjon</t>
  </si>
  <si>
    <t>DNB Liv</t>
  </si>
  <si>
    <t>Eika Forsikring</t>
  </si>
  <si>
    <t>Frende Livsfors</t>
  </si>
  <si>
    <t>Frende Skade</t>
  </si>
  <si>
    <t>Gjensidige Fors</t>
  </si>
  <si>
    <t>Gjensidige Pensj</t>
  </si>
  <si>
    <t>Handelsb Liv</t>
  </si>
  <si>
    <t>If Skadefors</t>
  </si>
  <si>
    <t>KLP</t>
  </si>
  <si>
    <t>KLP Bedriftsp</t>
  </si>
  <si>
    <t>KLP Skadef</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</si>
  <si>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</si>
  <si>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</si>
  <si>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</si>
  <si>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</si>
  <si>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</si>
  <si>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</si>
  <si>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</si>
  <si>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</si>
  <si>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</si>
  <si>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</si>
  <si>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</si>
  <si>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</si>
  <si>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</si>
  <si>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</si>
  <si>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</si>
  <si>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</si>
  <si>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</si>
  <si>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</si>
  <si>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</si>
  <si>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</si>
  <si>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</si>
  <si>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</si>
  <si>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</si>
  <si>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</si>
  <si>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</si>
  <si>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</si>
  <si>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</si>
  <si>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</si>
  <si>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</si>
  <si>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</si>
  <si>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</si>
  <si>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</si>
  <si>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</si>
  <si>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</si>
  <si>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</si>
  <si>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</si>
  <si>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</si>
  <si>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</si>
  <si>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</si>
  <si>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</si>
  <si>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</si>
  <si>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</si>
  <si>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</si>
  <si>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</si>
  <si>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</si>
  <si>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</si>
  <si>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</si>
  <si>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</si>
  <si>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</si>
  <si>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</si>
  <si>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</si>
  <si>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</si>
  <si>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</si>
  <si>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</si>
  <si>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</si>
  <si>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</si>
  <si>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</si>
  <si>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</si>
  <si>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</si>
  <si>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Eika Gruppen AS</t>
  </si>
  <si>
    <t>Frende Livsforsikring AS</t>
  </si>
  <si>
    <t>Frende Skadeforsikring AS</t>
  </si>
  <si>
    <t>Gjensidige Forsikring ASA</t>
  </si>
  <si>
    <t>Gjensidige Pensjon og Sparing</t>
  </si>
  <si>
    <t>If Skadeforsikring nuf</t>
  </si>
  <si>
    <t>Livsforsikringsselskapet Nordea Liv Norge AS</t>
  </si>
  <si>
    <t>Telenor Forsikring AS</t>
  </si>
  <si>
    <t>SpareBank 1 Forsikring AS</t>
  </si>
  <si>
    <t>Storebrand ASA</t>
  </si>
  <si>
    <t>KLP Skadeforsikring</t>
  </si>
  <si>
    <t>Selskap</t>
  </si>
  <si>
    <t>Flytting fra andre</t>
  </si>
  <si>
    <t>Flytting til andre</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</si>
  <si>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</si>
  <si>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</si>
  <si>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</si>
  <si>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</si>
  <si>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</si>
  <si>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</si>
  <si>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</si>
  <si>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</si>
  <si>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</si>
  <si>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</si>
  <si>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</si>
  <si>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</si>
  <si>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</si>
  <si>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</si>
  <si>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</si>
  <si>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</si>
  <si>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</si>
  <si>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</si>
  <si>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</si>
  <si>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</si>
  <si>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</si>
  <si>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</si>
  <si>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</si>
  <si>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</si>
  <si>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</si>
  <si>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</si>
  <si>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</si>
  <si>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</si>
  <si>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</si>
  <si>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</si>
  <si>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</si>
  <si>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</si>
  <si>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</si>
  <si>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</si>
  <si>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</si>
  <si>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</si>
  <si>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</si>
  <si>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</si>
  <si>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</si>
  <si>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</si>
  <si>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</si>
  <si>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</si>
  <si>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</si>
  <si>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</si>
  <si>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</si>
  <si>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</si>
  <si>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Bedriftspensjon AS</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</si>
  <si>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</si>
  <si>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</si>
  <si>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</si>
  <si>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</si>
  <si>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</si>
  <si>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</si>
  <si>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</si>
  <si>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</si>
  <si>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</si>
  <si>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</si>
  <si>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</si>
  <si>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</si>
  <si>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</si>
  <si>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</si>
  <si>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</si>
  <si>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</si>
  <si>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</si>
  <si>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</si>
  <si>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</si>
  <si>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</si>
  <si>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</si>
  <si>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</si>
  <si>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</si>
  <si>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</si>
  <si>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</si>
  <si>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</si>
  <si>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</si>
  <si>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</si>
  <si>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</si>
  <si>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</si>
  <si>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</si>
  <si>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</si>
  <si>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</si>
  <si>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</si>
  <si>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</si>
  <si>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</si>
  <si>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</si>
  <si>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</si>
  <si>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</si>
  <si>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</si>
  <si>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</si>
  <si>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</si>
  <si>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</si>
  <si>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</si>
  <si>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</si>
  <si>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</si>
  <si>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</si>
  <si>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</si>
  <si>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</si>
  <si>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</si>
  <si>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</si>
  <si>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</si>
  <si>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</si>
  <si>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</si>
  <si>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</si>
  <si>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</si>
  <si>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</si>
  <si>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</si>
  <si>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</si>
  <si>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</si>
  <si>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</si>
  <si>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</si>
  <si>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</si>
  <si>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</si>
  <si>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</si>
  <si>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</si>
  <si>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</si>
  <si>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</si>
  <si>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</si>
  <si>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</si>
  <si>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</si>
  <si>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</si>
  <si>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</si>
  <si>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</si>
  <si>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</si>
  <si>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</si>
  <si>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</si>
  <si>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</si>
  <si>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</si>
  <si>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</si>
  <si>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</si>
  <si>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</si>
  <si>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</si>
  <si>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</si>
  <si>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</si>
  <si>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</si>
  <si>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</si>
  <si>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</si>
  <si>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</si>
  <si>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</si>
  <si>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</si>
  <si>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</si>
  <si>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</si>
  <si>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</si>
  <si>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</si>
  <si>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</si>
  <si>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</si>
  <si>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</si>
  <si>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</si>
  <si>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</si>
  <si>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</si>
  <si>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</si>
  <si>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</si>
  <si>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</si>
  <si>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</si>
  <si>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</si>
  <si>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</si>
  <si>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</si>
  <si>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</si>
  <si>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</si>
  <si>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</si>
  <si>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</si>
  <si>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</si>
  <si>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</si>
  <si>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</si>
  <si>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</si>
  <si>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</si>
  <si>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</si>
  <si>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</si>
  <si>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</si>
  <si>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</si>
  <si>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</si>
  <si>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</si>
  <si>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</si>
  <si>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</si>
  <si>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</si>
  <si>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</si>
  <si>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</si>
  <si>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</si>
  <si>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</si>
  <si>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</si>
  <si>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</si>
  <si>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</si>
  <si>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</si>
  <si>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</si>
  <si>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</si>
  <si>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</si>
  <si>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</si>
  <si>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</si>
  <si>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</si>
  <si>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</si>
  <si>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</si>
  <si>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</si>
  <si>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</si>
  <si>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</si>
  <si>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</si>
  <si>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</si>
  <si>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</si>
  <si>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</si>
  <si>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</si>
  <si>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</si>
  <si>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</si>
  <si>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</si>
  <si>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</si>
  <si>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</si>
  <si>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</si>
  <si>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</si>
  <si>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</si>
  <si>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</si>
  <si>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</si>
  <si>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</si>
  <si>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</si>
  <si>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</si>
  <si>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</si>
  <si>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</si>
  <si>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</si>
  <si>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</si>
  <si>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</si>
  <si>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</si>
  <si>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</si>
  <si>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</si>
  <si>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</si>
  <si>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</si>
  <si>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</si>
  <si>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</si>
  <si>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</si>
  <si>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</si>
  <si>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</si>
  <si>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 xml:space="preserve">    13.5 Andre tekniske avsetninger for skadeforsikringsvirksomheten</t>
  </si>
  <si>
    <t xml:space="preserve">    5.2 Overføring av premieres., tilleggsavsetn. til andre selskap/kasser</t>
  </si>
  <si>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</si>
  <si>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</si>
  <si>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</si>
  <si>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</si>
  <si>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</si>
  <si>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</si>
  <si>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</si>
  <si>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</si>
  <si>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</si>
  <si>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</si>
  <si>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</si>
  <si>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</si>
  <si>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</si>
  <si>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</si>
  <si>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</si>
  <si>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</si>
  <si>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</si>
  <si>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</si>
  <si>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</si>
  <si>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</si>
  <si>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</si>
  <si>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</si>
  <si>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</si>
  <si>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</si>
  <si>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</si>
  <si>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</si>
  <si>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</si>
  <si>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</si>
  <si>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</si>
  <si>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</si>
  <si>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</si>
  <si>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</si>
  <si>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</si>
  <si>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</si>
  <si>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13.4 Premiefond, innskuddsfond og fond for regulering av pensjoner mv.</t>
  </si>
  <si>
    <t xml:space="preserve">    14.1 Premiekapital mv.</t>
  </si>
  <si>
    <t xml:space="preserve">    14.2 Tilleggsavsetninger</t>
  </si>
  <si>
    <t xml:space="preserve">    14.3 Premiefond, innskuddsfond og fond for regulering av pensjoner mv.</t>
  </si>
  <si>
    <t>Fremtind Livsforsikring</t>
  </si>
  <si>
    <t>WaterCircle Forsikring</t>
  </si>
  <si>
    <t>Fremtind</t>
  </si>
  <si>
    <t>Fremtind Livsfors</t>
  </si>
  <si>
    <t>Landkreditt Fors.</t>
  </si>
  <si>
    <t>Insr</t>
  </si>
  <si>
    <t>Fremtind Liv</t>
  </si>
  <si>
    <t>Avkastningstall (%)</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</si>
  <si>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</si>
  <si>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</si>
  <si>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</si>
  <si>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Mer/mindre-verdier</t>
  </si>
  <si>
    <t>Landkreditt Forsikring</t>
  </si>
  <si>
    <t>WaterCircles Fors.</t>
  </si>
  <si>
    <t>WaterCicles Fors.</t>
  </si>
  <si>
    <t>30.06.</t>
  </si>
  <si>
    <t>WaterCircles Forsikring</t>
  </si>
  <si>
    <t>Figur 1  Brutto forfalt premie livprodukter  -  produkter uten investeringsvalg pr. 30.06.</t>
  </si>
  <si>
    <t>Figur 2  Brutto forfalt premie livprodukter  -  produkter med investeringsvalg pr. 30.06.</t>
  </si>
  <si>
    <t>Figur 3  Forsikringsforpliktelser i livsforsikring  -  produkter uten investeringsvalg pr. 30.06.</t>
  </si>
  <si>
    <t>Figur 4  Forsikringsforpliktelser i livsforsikring -  produkter med investeringsvalg pr. 30.06.</t>
  </si>
  <si>
    <t>Figur 5  Netto tilflytting livprodukter  -  produkter uten investeringsvalg pr. 30.06.</t>
  </si>
  <si>
    <t>Figur 6  Netto tilflytting livprodukter  -  produkter med investeringsvalg pr. 30.06.</t>
  </si>
  <si>
    <t>30.6.2019</t>
  </si>
  <si>
    <t>30.6.2020</t>
  </si>
  <si>
    <t/>
  </si>
  <si>
    <t>30.6.</t>
  </si>
  <si>
    <t>Frende Skadefors</t>
  </si>
  <si>
    <t>Landkreditt Fors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</si>
</sst>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 numFmtId="173" formatCode="#,##0.0000"/>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sz val="10"/>
      <color rgb="FFFF0000"/>
      <name val="Arial"/>
      <family val="2"/>
    </font>
    <font>
      <u/>
      <sz val="12"/>
      <name val="Times New Roman"/>
      <family val="1"/>
    </font>
    <font>
      <b/>
      <sz val="12"/>
      <color rgb="FFFF0000"/>
      <name val="Times New Roman"/>
      <family val="1"/>
    </font>
    <font>
      <sz val="10"/>
      <color theme="0"/>
      <name val="Times New Roman"/>
      <family val="1"/>
    </font>
    <font>
      <b/>
      <sz val="1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
      <patternFill patternType="solid">
        <fgColor rgb="FFFFC000"/>
        <bgColor indexed="64"/>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1">
    <xf numFmtId="0" fontId="0" fillId="0" borderId="0"/>
    <xf numFmtId="0" fontId="20" fillId="0" borderId="0"/>
    <xf numFmtId="164" fontId="26" fillId="0" borderId="0" applyFont="0" applyFill="0" applyBorder="0" applyAlignment="0" applyProtection="0"/>
    <xf numFmtId="0" fontId="44" fillId="0" borderId="0" applyNumberFormat="0" applyFill="0" applyBorder="0" applyAlignment="0" applyProtection="0">
      <alignment vertical="top"/>
      <protection locked="0"/>
    </xf>
    <xf numFmtId="0" fontId="13" fillId="0" borderId="0"/>
    <xf numFmtId="0" fontId="20" fillId="0" borderId="0"/>
    <xf numFmtId="0" fontId="12" fillId="0" borderId="0"/>
    <xf numFmtId="0" fontId="20" fillId="0" borderId="0"/>
    <xf numFmtId="0" fontId="11" fillId="0" borderId="0"/>
    <xf numFmtId="0" fontId="20" fillId="0" borderId="0"/>
    <xf numFmtId="0" fontId="26" fillId="0" borderId="0"/>
    <xf numFmtId="0" fontId="11"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 fillId="0" borderId="0" applyFont="0" applyFill="0" applyBorder="0" applyAlignment="0" applyProtection="0"/>
    <xf numFmtId="164" fontId="20" fillId="0" borderId="0" applyFont="0" applyFill="0" applyBorder="0" applyAlignment="0" applyProtection="0"/>
    <xf numFmtId="0" fontId="11" fillId="0" borderId="0"/>
    <xf numFmtId="0" fontId="20" fillId="0" borderId="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5" borderId="16" applyNumberFormat="0" applyFont="0" applyAlignment="0" applyProtection="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164" fontId="26" fillId="0" borderId="0" applyFont="0" applyFill="0" applyBorder="0" applyAlignment="0" applyProtection="0"/>
    <xf numFmtId="0" fontId="11"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0" fontId="3" fillId="0" borderId="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7" borderId="0" applyNumberFormat="0" applyBorder="0" applyAlignment="0" applyProtection="0"/>
    <xf numFmtId="0" fontId="15" fillId="0" borderId="0"/>
    <xf numFmtId="171" fontId="16" fillId="0" borderId="7" applyFont="0" applyFill="0" applyBorder="0" applyAlignment="0" applyProtection="0">
      <alignment horizontal="right"/>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cellStyleXfs>
  <cellXfs count="775">
    <xf numFmtId="0" fontId="0" fillId="0" borderId="0" xfId="0"/>
    <xf numFmtId="0" fontId="18" fillId="0" borderId="0" xfId="1" applyFont="1"/>
    <xf numFmtId="0" fontId="24" fillId="0" borderId="0" xfId="1" applyFont="1"/>
    <xf numFmtId="0" fontId="18" fillId="0" borderId="0" xfId="1" applyFont="1" applyFill="1"/>
    <xf numFmtId="0" fontId="18" fillId="0" borderId="0" xfId="1" applyFont="1" applyBorder="1"/>
    <xf numFmtId="49" fontId="18" fillId="0" borderId="0" xfId="1" applyNumberFormat="1" applyFont="1" applyFill="1" applyBorder="1" applyAlignment="1">
      <alignment horizontal="center"/>
    </xf>
    <xf numFmtId="165" fontId="18" fillId="0" borderId="0" xfId="1" applyNumberFormat="1" applyFont="1" applyFill="1" applyBorder="1"/>
    <xf numFmtId="0" fontId="18" fillId="0" borderId="0" xfId="1" applyFont="1" applyFill="1" applyBorder="1"/>
    <xf numFmtId="0" fontId="18" fillId="0" borderId="0" xfId="1" applyFont="1" applyFill="1" applyAlignment="1">
      <alignment horizontal="left"/>
    </xf>
    <xf numFmtId="165" fontId="16" fillId="3" borderId="5" xfId="1" applyNumberFormat="1" applyFont="1" applyFill="1" applyBorder="1" applyAlignment="1">
      <alignment horizontal="right"/>
    </xf>
    <xf numFmtId="0" fontId="18" fillId="0" borderId="6" xfId="1" applyFont="1" applyBorder="1"/>
    <xf numFmtId="165" fontId="16" fillId="3" borderId="2" xfId="1" applyNumberFormat="1" applyFont="1" applyFill="1" applyBorder="1" applyAlignment="1">
      <alignment horizontal="right"/>
    </xf>
    <xf numFmtId="0" fontId="16" fillId="0" borderId="4" xfId="1" applyFont="1" applyBorder="1"/>
    <xf numFmtId="0" fontId="16" fillId="0" borderId="3" xfId="1" applyFont="1" applyBorder="1"/>
    <xf numFmtId="0" fontId="16" fillId="0" borderId="7" xfId="1" applyFont="1" applyBorder="1"/>
    <xf numFmtId="0" fontId="16" fillId="0" borderId="6" xfId="1" applyFont="1" applyBorder="1" applyAlignment="1">
      <alignment horizontal="center"/>
    </xf>
    <xf numFmtId="0" fontId="16" fillId="0" borderId="11" xfId="1" applyFont="1" applyBorder="1" applyAlignment="1">
      <alignment horizontal="center"/>
    </xf>
    <xf numFmtId="0" fontId="16" fillId="0" borderId="5" xfId="1" applyFont="1" applyBorder="1" applyAlignment="1">
      <alignment horizontal="center"/>
    </xf>
    <xf numFmtId="0" fontId="16" fillId="0" borderId="11" xfId="1" applyFont="1" applyBorder="1"/>
    <xf numFmtId="0" fontId="16" fillId="0" borderId="7" xfId="1" applyFont="1" applyBorder="1" applyAlignment="1">
      <alignment horizontal="center"/>
    </xf>
    <xf numFmtId="14" fontId="17" fillId="0" borderId="4" xfId="1" applyNumberFormat="1" applyFont="1" applyBorder="1" applyAlignment="1">
      <alignment horizontal="center"/>
    </xf>
    <xf numFmtId="0" fontId="18" fillId="0" borderId="3" xfId="1" applyFont="1" applyBorder="1"/>
    <xf numFmtId="165" fontId="18" fillId="3" borderId="6" xfId="1" applyNumberFormat="1" applyFont="1" applyFill="1" applyBorder="1" applyAlignment="1">
      <alignment horizontal="right"/>
    </xf>
    <xf numFmtId="165" fontId="18" fillId="3" borderId="3" xfId="1" applyNumberFormat="1" applyFont="1" applyFill="1" applyBorder="1" applyAlignment="1">
      <alignment horizontal="right"/>
    </xf>
    <xf numFmtId="165" fontId="16" fillId="3" borderId="3" xfId="1" applyNumberFormat="1" applyFont="1" applyFill="1" applyBorder="1" applyAlignment="1">
      <alignment horizontal="right"/>
    </xf>
    <xf numFmtId="165" fontId="18" fillId="0" borderId="0" xfId="1" applyNumberFormat="1" applyFont="1" applyBorder="1"/>
    <xf numFmtId="3" fontId="18" fillId="0" borderId="0" xfId="1" applyNumberFormat="1" applyFont="1" applyBorder="1"/>
    <xf numFmtId="165" fontId="18" fillId="3" borderId="2" xfId="1" applyNumberFormat="1" applyFont="1" applyFill="1" applyBorder="1" applyAlignment="1">
      <alignment horizontal="right"/>
    </xf>
    <xf numFmtId="0" fontId="15" fillId="0" borderId="0" xfId="1" applyFont="1"/>
    <xf numFmtId="0" fontId="22" fillId="0" borderId="0" xfId="1" applyFont="1"/>
    <xf numFmtId="0" fontId="15" fillId="0" borderId="0" xfId="1" applyFont="1" applyFill="1"/>
    <xf numFmtId="0" fontId="15" fillId="0" borderId="0" xfId="1" applyFont="1" applyFill="1" applyBorder="1"/>
    <xf numFmtId="165" fontId="16" fillId="0" borderId="0" xfId="1" applyNumberFormat="1" applyFont="1" applyFill="1" applyBorder="1" applyAlignment="1">
      <alignment horizontal="right"/>
    </xf>
    <xf numFmtId="3" fontId="18" fillId="0" borderId="0" xfId="1" applyNumberFormat="1" applyFont="1" applyFill="1" applyBorder="1" applyAlignment="1">
      <alignment horizontal="center"/>
    </xf>
    <xf numFmtId="165" fontId="18" fillId="0" borderId="0" xfId="1" applyNumberFormat="1" applyFont="1" applyFill="1" applyBorder="1" applyAlignment="1">
      <alignment horizontal="right"/>
    </xf>
    <xf numFmtId="49" fontId="18" fillId="0" borderId="0" xfId="1" applyNumberFormat="1" applyFont="1" applyFill="1" applyBorder="1" applyAlignment="1">
      <alignment horizontal="right"/>
    </xf>
    <xf numFmtId="165" fontId="16" fillId="3" borderId="6" xfId="1" applyNumberFormat="1" applyFont="1" applyFill="1" applyBorder="1" applyAlignment="1">
      <alignment horizontal="right"/>
    </xf>
    <xf numFmtId="3" fontId="18" fillId="0" borderId="0" xfId="1" quotePrefix="1" applyNumberFormat="1" applyFont="1" applyFill="1" applyBorder="1" applyAlignment="1">
      <alignment horizontal="center"/>
    </xf>
    <xf numFmtId="0" fontId="18" fillId="0" borderId="3" xfId="1" applyFont="1" applyFill="1" applyBorder="1"/>
    <xf numFmtId="0" fontId="16" fillId="0" borderId="3" xfId="1" applyFont="1" applyFill="1" applyBorder="1"/>
    <xf numFmtId="0" fontId="16" fillId="0" borderId="0" xfId="1" applyFont="1" applyFill="1" applyBorder="1" applyAlignment="1">
      <alignment horizontal="center"/>
    </xf>
    <xf numFmtId="0" fontId="16" fillId="0" borderId="6" xfId="1" applyFont="1" applyBorder="1"/>
    <xf numFmtId="14" fontId="17" fillId="0" borderId="0" xfId="1" applyNumberFormat="1" applyFont="1" applyFill="1" applyBorder="1" applyAlignment="1">
      <alignment horizontal="center"/>
    </xf>
    <xf numFmtId="0" fontId="16" fillId="0" borderId="0" xfId="1" applyFont="1"/>
    <xf numFmtId="3" fontId="18" fillId="0" borderId="3" xfId="1" applyNumberFormat="1" applyFont="1" applyFill="1" applyBorder="1" applyAlignment="1">
      <alignment horizontal="right"/>
    </xf>
    <xf numFmtId="3" fontId="18" fillId="0" borderId="6" xfId="1" applyNumberFormat="1" applyFont="1" applyFill="1" applyBorder="1" applyAlignment="1">
      <alignment horizontal="right"/>
    </xf>
    <xf numFmtId="0" fontId="18" fillId="0" borderId="6" xfId="1" applyFont="1" applyFill="1" applyBorder="1"/>
    <xf numFmtId="0" fontId="16" fillId="0" borderId="0" xfId="1" applyFont="1" applyBorder="1"/>
    <xf numFmtId="3" fontId="19" fillId="0" borderId="0" xfId="1" applyNumberFormat="1" applyFont="1" applyFill="1" applyBorder="1" applyAlignment="1">
      <alignment horizontal="right"/>
    </xf>
    <xf numFmtId="0" fontId="18" fillId="0" borderId="4" xfId="1" applyFont="1" applyFill="1" applyBorder="1"/>
    <xf numFmtId="0" fontId="18" fillId="0" borderId="0" xfId="1" applyFont="1" applyFill="1" applyAlignment="1">
      <alignment horizontal="right"/>
    </xf>
    <xf numFmtId="0" fontId="20" fillId="0" borderId="0" xfId="1"/>
    <xf numFmtId="0" fontId="27" fillId="0" borderId="0" xfId="1" applyFont="1"/>
    <xf numFmtId="0" fontId="0" fillId="0" borderId="0" xfId="1" applyFont="1"/>
    <xf numFmtId="0" fontId="28" fillId="0" borderId="0" xfId="1" applyFont="1" applyAlignment="1">
      <alignment horizontal="righ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left"/>
    </xf>
    <xf numFmtId="0" fontId="32" fillId="0" borderId="0" xfId="1" applyFont="1" applyAlignment="1">
      <alignment horizontal="right"/>
    </xf>
    <xf numFmtId="0" fontId="20" fillId="0" borderId="0" xfId="1" applyAlignment="1">
      <alignment horizontal="right"/>
    </xf>
    <xf numFmtId="0" fontId="33" fillId="0" borderId="0" xfId="1" applyFont="1" applyAlignment="1">
      <alignment horizontal="left"/>
    </xf>
    <xf numFmtId="14" fontId="34" fillId="0" borderId="0" xfId="1" applyNumberFormat="1" applyFont="1" applyAlignment="1">
      <alignment horizontal="left"/>
    </xf>
    <xf numFmtId="0" fontId="34" fillId="0" borderId="0" xfId="1" applyFont="1" applyAlignment="1">
      <alignment horizontal="left"/>
    </xf>
    <xf numFmtId="0" fontId="35" fillId="0" borderId="0" xfId="1" applyFont="1" applyAlignment="1">
      <alignment vertical="center"/>
    </xf>
    <xf numFmtId="0" fontId="36" fillId="0" borderId="0" xfId="1" applyFont="1" applyAlignment="1">
      <alignment vertical="center"/>
    </xf>
    <xf numFmtId="0" fontId="37" fillId="0" borderId="0" xfId="1" applyFont="1"/>
    <xf numFmtId="14" fontId="38" fillId="0" borderId="0" xfId="1" applyNumberFormat="1" applyFont="1"/>
    <xf numFmtId="0" fontId="39" fillId="0" borderId="0" xfId="0" applyFont="1"/>
    <xf numFmtId="0" fontId="40" fillId="0" borderId="0" xfId="0" applyFont="1"/>
    <xf numFmtId="0" fontId="41" fillId="0" borderId="0" xfId="0" applyFont="1"/>
    <xf numFmtId="0" fontId="43" fillId="0" borderId="0" xfId="0" applyFont="1"/>
    <xf numFmtId="0" fontId="43" fillId="0" borderId="0" xfId="3" applyFont="1" applyAlignment="1" applyProtection="1"/>
    <xf numFmtId="0" fontId="45" fillId="0" borderId="0" xfId="0" applyFont="1"/>
    <xf numFmtId="0" fontId="18" fillId="0" borderId="0" xfId="3" applyFont="1" applyFill="1" applyAlignment="1" applyProtection="1"/>
    <xf numFmtId="0" fontId="31" fillId="0" borderId="0" xfId="0" applyFont="1"/>
    <xf numFmtId="0" fontId="46" fillId="0" borderId="0" xfId="0" applyFont="1"/>
    <xf numFmtId="0" fontId="47" fillId="0" borderId="0" xfId="0" applyFont="1"/>
    <xf numFmtId="3" fontId="31" fillId="0" borderId="0" xfId="0" applyNumberFormat="1" applyFont="1"/>
    <xf numFmtId="3" fontId="31" fillId="0" borderId="0" xfId="0" applyNumberFormat="1" applyFont="1" applyFill="1"/>
    <xf numFmtId="0" fontId="31" fillId="0" borderId="0" xfId="0" applyFont="1" applyFill="1"/>
    <xf numFmtId="0" fontId="42" fillId="0" borderId="0" xfId="0" applyFont="1"/>
    <xf numFmtId="0" fontId="37" fillId="0" borderId="0" xfId="0" applyFont="1"/>
    <xf numFmtId="14" fontId="14" fillId="0" borderId="13" xfId="0" applyNumberFormat="1" applyFont="1" applyFill="1" applyBorder="1" applyAlignment="1">
      <alignment horizontal="left"/>
    </xf>
    <xf numFmtId="0" fontId="31" fillId="0" borderId="10" xfId="0" applyFont="1" applyBorder="1"/>
    <xf numFmtId="0" fontId="31" fillId="0" borderId="8" xfId="0" applyFont="1" applyBorder="1"/>
    <xf numFmtId="0" fontId="31" fillId="0" borderId="9" xfId="0" applyFont="1" applyBorder="1"/>
    <xf numFmtId="0" fontId="31" fillId="0" borderId="3" xfId="0" applyFont="1" applyBorder="1"/>
    <xf numFmtId="0" fontId="18" fillId="0" borderId="0" xfId="0" applyFont="1"/>
    <xf numFmtId="3" fontId="46" fillId="0" borderId="7" xfId="0" applyNumberFormat="1" applyFont="1" applyFill="1" applyBorder="1"/>
    <xf numFmtId="0" fontId="46" fillId="0" borderId="0" xfId="0" applyFont="1" applyBorder="1" applyAlignment="1">
      <alignment horizontal="center"/>
    </xf>
    <xf numFmtId="0" fontId="46" fillId="0" borderId="3" xfId="0" applyFont="1" applyBorder="1" applyAlignment="1">
      <alignment horizontal="center"/>
    </xf>
    <xf numFmtId="3" fontId="46" fillId="0" borderId="3" xfId="0" applyNumberFormat="1" applyFont="1" applyFill="1" applyBorder="1"/>
    <xf numFmtId="0" fontId="16" fillId="0" borderId="4" xfId="0" applyFont="1" applyBorder="1" applyAlignment="1">
      <alignment horizontal="center"/>
    </xf>
    <xf numFmtId="0" fontId="16" fillId="0" borderId="1" xfId="0" applyFont="1" applyBorder="1" applyAlignment="1">
      <alignment horizontal="center"/>
    </xf>
    <xf numFmtId="0" fontId="16" fillId="0" borderId="7" xfId="0" applyFont="1" applyBorder="1" applyAlignment="1">
      <alignment horizontal="center"/>
    </xf>
    <xf numFmtId="0" fontId="16" fillId="0" borderId="3" xfId="0" applyFont="1" applyBorder="1" applyAlignment="1">
      <alignment horizontal="center"/>
    </xf>
    <xf numFmtId="3" fontId="49" fillId="4" borderId="6" xfId="0" applyNumberFormat="1" applyFont="1" applyFill="1" applyBorder="1"/>
    <xf numFmtId="0" fontId="14" fillId="0" borderId="11" xfId="0" applyFont="1" applyBorder="1" applyAlignment="1">
      <alignment horizontal="center"/>
    </xf>
    <xf numFmtId="0" fontId="16" fillId="0" borderId="11"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46" fillId="0" borderId="3" xfId="0" applyFont="1" applyBorder="1"/>
    <xf numFmtId="0" fontId="31" fillId="0" borderId="1" xfId="0" applyFont="1" applyBorder="1"/>
    <xf numFmtId="3" fontId="31" fillId="0" borderId="4" xfId="0" applyNumberFormat="1" applyFont="1" applyBorder="1"/>
    <xf numFmtId="3" fontId="31" fillId="0" borderId="4" xfId="0" applyNumberFormat="1" applyFont="1" applyBorder="1" applyAlignment="1">
      <alignment horizontal="right"/>
    </xf>
    <xf numFmtId="3" fontId="31" fillId="0" borderId="4" xfId="0" applyNumberFormat="1" applyFont="1" applyFill="1" applyBorder="1"/>
    <xf numFmtId="3" fontId="31" fillId="0" borderId="4" xfId="0" applyNumberFormat="1" applyFont="1" applyFill="1" applyBorder="1" applyAlignment="1">
      <alignment horizontal="right"/>
    </xf>
    <xf numFmtId="0" fontId="31" fillId="0" borderId="3" xfId="0" applyFont="1" applyFill="1" applyBorder="1"/>
    <xf numFmtId="0" fontId="31" fillId="0" borderId="4" xfId="0" applyFont="1" applyFill="1" applyBorder="1"/>
    <xf numFmtId="3" fontId="46" fillId="0" borderId="4" xfId="0" applyNumberFormat="1" applyFont="1" applyBorder="1"/>
    <xf numFmtId="3" fontId="46" fillId="0" borderId="4" xfId="0" applyNumberFormat="1" applyFont="1" applyBorder="1" applyAlignment="1">
      <alignment horizontal="right"/>
    </xf>
    <xf numFmtId="0" fontId="16" fillId="0" borderId="0" xfId="0" applyFont="1"/>
    <xf numFmtId="0" fontId="31" fillId="0" borderId="0" xfId="0" applyFont="1" applyBorder="1"/>
    <xf numFmtId="0" fontId="46" fillId="0" borderId="6" xfId="0" applyFont="1" applyBorder="1"/>
    <xf numFmtId="3" fontId="46" fillId="0" borderId="11" xfId="0" applyNumberFormat="1" applyFont="1" applyBorder="1"/>
    <xf numFmtId="3" fontId="46" fillId="0" borderId="11" xfId="0" applyNumberFormat="1" applyFont="1" applyBorder="1" applyAlignment="1">
      <alignment horizontal="right"/>
    </xf>
    <xf numFmtId="0" fontId="31" fillId="0" borderId="0" xfId="0" applyFont="1" applyAlignment="1">
      <alignment horizontal="left"/>
    </xf>
    <xf numFmtId="0" fontId="46" fillId="0" borderId="0" xfId="0" applyFont="1" applyAlignment="1">
      <alignment horizontal="left"/>
    </xf>
    <xf numFmtId="0" fontId="31" fillId="0" borderId="14" xfId="0" applyFont="1" applyBorder="1"/>
    <xf numFmtId="0" fontId="31" fillId="0" borderId="15" xfId="0" applyFont="1" applyBorder="1"/>
    <xf numFmtId="167" fontId="46" fillId="0" borderId="7" xfId="0" applyNumberFormat="1" applyFont="1" applyBorder="1" applyAlignment="1">
      <alignment horizontal="left"/>
    </xf>
    <xf numFmtId="0" fontId="46" fillId="0" borderId="2" xfId="0" applyFont="1" applyBorder="1" applyAlignment="1">
      <alignment horizontal="center"/>
    </xf>
    <xf numFmtId="167" fontId="46" fillId="0" borderId="3" xfId="0" applyNumberFormat="1" applyFont="1" applyBorder="1" applyAlignment="1">
      <alignment horizontal="left"/>
    </xf>
    <xf numFmtId="0" fontId="46" fillId="0" borderId="4" xfId="0" applyFont="1" applyBorder="1" applyAlignment="1">
      <alignment horizontal="center"/>
    </xf>
    <xf numFmtId="0" fontId="46" fillId="0" borderId="1" xfId="0" applyFont="1" applyBorder="1" applyAlignment="1">
      <alignment horizontal="center"/>
    </xf>
    <xf numFmtId="0" fontId="16" fillId="0" borderId="2" xfId="0" applyFont="1" applyBorder="1" applyAlignment="1">
      <alignment horizontal="center"/>
    </xf>
    <xf numFmtId="167" fontId="51" fillId="0" borderId="6" xfId="0" applyNumberFormat="1" applyFont="1" applyBorder="1" applyAlignment="1">
      <alignment horizontal="left"/>
    </xf>
    <xf numFmtId="0" fontId="14" fillId="0" borderId="6" xfId="0" applyFont="1" applyBorder="1" applyAlignment="1">
      <alignment horizontal="center"/>
    </xf>
    <xf numFmtId="0" fontId="16" fillId="0" borderId="12" xfId="0" applyFont="1" applyBorder="1" applyAlignment="1">
      <alignment horizontal="center"/>
    </xf>
    <xf numFmtId="3" fontId="31" fillId="0" borderId="1" xfId="0" applyNumberFormat="1" applyFont="1" applyBorder="1"/>
    <xf numFmtId="3" fontId="31" fillId="0" borderId="2" xfId="0" applyNumberFormat="1" applyFont="1" applyBorder="1"/>
    <xf numFmtId="3" fontId="52" fillId="0" borderId="4" xfId="0" applyNumberFormat="1" applyFont="1" applyFill="1" applyBorder="1" applyAlignment="1">
      <alignment horizontal="right"/>
    </xf>
    <xf numFmtId="0" fontId="47" fillId="0" borderId="0" xfId="0" applyFont="1" applyFill="1"/>
    <xf numFmtId="0" fontId="53" fillId="0" borderId="0" xfId="0" applyFont="1" applyFill="1"/>
    <xf numFmtId="3" fontId="54" fillId="0" borderId="0" xfId="0" applyNumberFormat="1" applyFont="1"/>
    <xf numFmtId="0" fontId="54" fillId="0" borderId="0" xfId="0" applyFont="1"/>
    <xf numFmtId="0" fontId="54" fillId="0" borderId="0" xfId="0" applyFont="1" applyFill="1"/>
    <xf numFmtId="0" fontId="46" fillId="0" borderId="4" xfId="0" applyFont="1" applyBorder="1"/>
    <xf numFmtId="3" fontId="46" fillId="0" borderId="0" xfId="0" applyNumberFormat="1" applyFont="1" applyBorder="1" applyAlignment="1">
      <alignment horizontal="right"/>
    </xf>
    <xf numFmtId="3" fontId="31" fillId="0" borderId="0" xfId="0" applyNumberFormat="1" applyFont="1" applyBorder="1"/>
    <xf numFmtId="3" fontId="16" fillId="0" borderId="4" xfId="1" applyNumberFormat="1" applyFont="1" applyBorder="1"/>
    <xf numFmtId="0" fontId="0" fillId="0" borderId="0" xfId="0"/>
    <xf numFmtId="3" fontId="15" fillId="0" borderId="0" xfId="1" applyNumberFormat="1" applyFont="1" applyFill="1" applyBorder="1"/>
    <xf numFmtId="3" fontId="16" fillId="0" borderId="0" xfId="1" applyNumberFormat="1" applyFont="1"/>
    <xf numFmtId="3" fontId="16" fillId="0" borderId="1" xfId="1" applyNumberFormat="1" applyFont="1" applyBorder="1"/>
    <xf numFmtId="3" fontId="18" fillId="0" borderId="0" xfId="1" applyNumberFormat="1" applyFont="1" applyFill="1" applyBorder="1" applyAlignment="1">
      <alignment horizontal="right"/>
    </xf>
    <xf numFmtId="3" fontId="18" fillId="0" borderId="0" xfId="1" applyNumberFormat="1" applyFont="1" applyFill="1" applyBorder="1"/>
    <xf numFmtId="3" fontId="14" fillId="0" borderId="0" xfId="1" applyNumberFormat="1" applyFont="1"/>
    <xf numFmtId="3" fontId="18" fillId="0" borderId="0" xfId="1" applyNumberFormat="1" applyFont="1" applyFill="1"/>
    <xf numFmtId="3" fontId="18" fillId="0" borderId="0" xfId="1" applyNumberFormat="1" applyFont="1"/>
    <xf numFmtId="3" fontId="16" fillId="0" borderId="5" xfId="1" applyNumberFormat="1" applyFont="1" applyBorder="1" applyAlignment="1">
      <alignment horizontal="center"/>
    </xf>
    <xf numFmtId="3" fontId="22" fillId="0" borderId="0" xfId="1" applyNumberFormat="1" applyFont="1"/>
    <xf numFmtId="3" fontId="17" fillId="0" borderId="4" xfId="1" applyNumberFormat="1" applyFont="1" applyBorder="1" applyAlignment="1">
      <alignment horizontal="center"/>
    </xf>
    <xf numFmtId="3" fontId="18" fillId="0" borderId="4" xfId="1" applyNumberFormat="1" applyFont="1" applyFill="1" applyBorder="1"/>
    <xf numFmtId="3" fontId="15" fillId="0" borderId="0" xfId="1" applyNumberFormat="1" applyFont="1" applyFill="1"/>
    <xf numFmtId="3" fontId="18" fillId="0" borderId="0" xfId="1" applyNumberFormat="1" applyFont="1" applyAlignment="1">
      <alignment horizontal="left"/>
    </xf>
    <xf numFmtId="3" fontId="16" fillId="0" borderId="6" xfId="1" applyNumberFormat="1" applyFont="1" applyBorder="1" applyAlignment="1">
      <alignment horizontal="center"/>
    </xf>
    <xf numFmtId="3" fontId="15" fillId="0" borderId="0" xfId="1" applyNumberFormat="1" applyFont="1"/>
    <xf numFmtId="3" fontId="16" fillId="0" borderId="3" xfId="1" applyNumberFormat="1" applyFont="1" applyBorder="1"/>
    <xf numFmtId="3" fontId="16" fillId="0" borderId="0" xfId="1" applyNumberFormat="1" applyFont="1" applyFill="1" applyBorder="1" applyAlignment="1">
      <alignment horizontal="right"/>
    </xf>
    <xf numFmtId="3" fontId="16" fillId="3" borderId="2" xfId="1" applyNumberFormat="1" applyFont="1" applyFill="1" applyBorder="1" applyAlignment="1">
      <alignment horizontal="right"/>
    </xf>
    <xf numFmtId="3" fontId="16" fillId="0" borderId="11" xfId="1" applyNumberFormat="1" applyFont="1" applyBorder="1" applyAlignment="1">
      <alignment horizontal="center"/>
    </xf>
    <xf numFmtId="3" fontId="16" fillId="0" borderId="7" xfId="1" applyNumberFormat="1" applyFont="1" applyBorder="1" applyAlignment="1">
      <alignment horizontal="center"/>
    </xf>
    <xf numFmtId="3" fontId="14" fillId="0" borderId="12" xfId="1" applyNumberFormat="1" applyFont="1" applyBorder="1"/>
    <xf numFmtId="3" fontId="18" fillId="0" borderId="0" xfId="1" applyNumberFormat="1" applyFont="1" applyFill="1" applyAlignment="1">
      <alignment horizontal="left"/>
    </xf>
    <xf numFmtId="3" fontId="14" fillId="0" borderId="0" xfId="1" applyNumberFormat="1" applyFont="1" applyBorder="1"/>
    <xf numFmtId="3" fontId="18" fillId="3" borderId="3" xfId="1" applyNumberFormat="1" applyFont="1" applyFill="1" applyBorder="1" applyAlignment="1">
      <alignment horizontal="right"/>
    </xf>
    <xf numFmtId="3" fontId="18" fillId="3" borderId="6" xfId="1" applyNumberFormat="1" applyFont="1" applyFill="1" applyBorder="1" applyAlignment="1">
      <alignment horizontal="right"/>
    </xf>
    <xf numFmtId="3" fontId="16" fillId="0" borderId="0" xfId="1" applyNumberFormat="1" applyFont="1" applyBorder="1"/>
    <xf numFmtId="3" fontId="16" fillId="3" borderId="6" xfId="1" applyNumberFormat="1" applyFont="1" applyFill="1" applyBorder="1" applyAlignment="1">
      <alignment horizontal="right"/>
    </xf>
    <xf numFmtId="3" fontId="16" fillId="3" borderId="5" xfId="1" applyNumberFormat="1" applyFont="1" applyFill="1" applyBorder="1" applyAlignment="1">
      <alignment horizontal="right"/>
    </xf>
    <xf numFmtId="3" fontId="16" fillId="3" borderId="3" xfId="1" applyNumberFormat="1" applyFont="1" applyFill="1" applyBorder="1" applyAlignment="1">
      <alignment horizontal="right"/>
    </xf>
    <xf numFmtId="3" fontId="18" fillId="0" borderId="10" xfId="1" applyNumberFormat="1" applyFont="1" applyBorder="1" applyAlignment="1">
      <alignment horizontal="left"/>
    </xf>
    <xf numFmtId="3" fontId="16" fillId="0" borderId="0" xfId="1" applyNumberFormat="1" applyFont="1" applyFill="1" applyBorder="1" applyAlignment="1">
      <alignment horizontal="center"/>
    </xf>
    <xf numFmtId="3" fontId="17" fillId="0" borderId="0" xfId="1" applyNumberFormat="1" applyFont="1" applyFill="1" applyBorder="1" applyAlignment="1">
      <alignment horizontal="center"/>
    </xf>
    <xf numFmtId="3" fontId="18" fillId="3" borderId="2" xfId="1" applyNumberFormat="1" applyFont="1" applyFill="1" applyBorder="1" applyAlignment="1">
      <alignment horizontal="right"/>
    </xf>
    <xf numFmtId="3" fontId="31" fillId="0" borderId="3" xfId="0" applyNumberFormat="1" applyFont="1" applyBorder="1"/>
    <xf numFmtId="3" fontId="31" fillId="0" borderId="3" xfId="0" applyNumberFormat="1" applyFont="1" applyFill="1" applyBorder="1"/>
    <xf numFmtId="3" fontId="46" fillId="0" borderId="3" xfId="0" applyNumberFormat="1" applyFont="1" applyBorder="1"/>
    <xf numFmtId="3" fontId="46" fillId="0" borderId="0" xfId="0" applyNumberFormat="1" applyFont="1" applyBorder="1"/>
    <xf numFmtId="3" fontId="31" fillId="0" borderId="4" xfId="2" applyNumberFormat="1" applyFont="1" applyBorder="1"/>
    <xf numFmtId="3" fontId="46" fillId="0" borderId="6" xfId="0" applyNumberFormat="1" applyFont="1" applyBorder="1"/>
    <xf numFmtId="3" fontId="31" fillId="0" borderId="0" xfId="0" applyNumberFormat="1" applyFont="1" applyBorder="1" applyAlignment="1">
      <alignment horizontal="right"/>
    </xf>
    <xf numFmtId="3" fontId="52" fillId="0" borderId="0" xfId="0" applyNumberFormat="1" applyFont="1" applyFill="1" applyBorder="1" applyAlignment="1">
      <alignment horizontal="right"/>
    </xf>
    <xf numFmtId="0" fontId="14" fillId="0" borderId="3" xfId="0" applyFont="1" applyBorder="1" applyAlignment="1">
      <alignment horizontal="center"/>
    </xf>
    <xf numFmtId="0" fontId="31" fillId="0" borderId="0" xfId="0" applyFont="1" applyFill="1" applyBorder="1"/>
    <xf numFmtId="3" fontId="18" fillId="2" borderId="3" xfId="1" applyNumberFormat="1" applyFont="1" applyFill="1" applyBorder="1" applyAlignment="1">
      <alignment horizontal="right"/>
    </xf>
    <xf numFmtId="0" fontId="18" fillId="0" borderId="0" xfId="0" applyFont="1" applyFill="1" applyBorder="1"/>
    <xf numFmtId="3" fontId="23" fillId="0" borderId="4" xfId="1" applyNumberFormat="1" applyFont="1" applyFill="1" applyBorder="1" applyAlignment="1">
      <alignment horizontal="right"/>
    </xf>
    <xf numFmtId="3" fontId="23" fillId="0" borderId="3" xfId="1" applyNumberFormat="1" applyFont="1" applyFill="1" applyBorder="1" applyAlignment="1">
      <alignment horizontal="right"/>
    </xf>
    <xf numFmtId="3" fontId="18" fillId="0" borderId="4" xfId="1" quotePrefix="1" applyNumberFormat="1" applyFont="1" applyFill="1" applyBorder="1" applyAlignment="1">
      <alignment horizontal="right"/>
    </xf>
    <xf numFmtId="167" fontId="46" fillId="0" borderId="4" xfId="0" applyNumberFormat="1" applyFont="1" applyBorder="1" applyAlignment="1">
      <alignment horizontal="left"/>
    </xf>
    <xf numFmtId="0" fontId="31" fillId="0" borderId="4" xfId="0" applyFont="1" applyBorder="1"/>
    <xf numFmtId="0" fontId="52" fillId="0" borderId="4" xfId="0" applyFont="1" applyFill="1" applyBorder="1"/>
    <xf numFmtId="0" fontId="46" fillId="0" borderId="11" xfId="0" applyFont="1" applyBorder="1"/>
    <xf numFmtId="3" fontId="31" fillId="0" borderId="3" xfId="0" applyNumberFormat="1" applyFont="1" applyBorder="1" applyAlignment="1">
      <alignment horizontal="right"/>
    </xf>
    <xf numFmtId="3" fontId="52" fillId="0" borderId="3" xfId="0" applyNumberFormat="1" applyFont="1" applyFill="1" applyBorder="1" applyAlignment="1">
      <alignment horizontal="right"/>
    </xf>
    <xf numFmtId="3" fontId="46" fillId="0" borderId="3" xfId="0" applyNumberFormat="1" applyFont="1" applyBorder="1" applyAlignment="1">
      <alignment horizontal="right"/>
    </xf>
    <xf numFmtId="3" fontId="46" fillId="0" borderId="6" xfId="0" applyNumberFormat="1" applyFont="1" applyBorder="1" applyAlignment="1">
      <alignment horizontal="right"/>
    </xf>
    <xf numFmtId="0" fontId="37" fillId="0" borderId="4" xfId="0" applyFont="1" applyBorder="1" applyAlignment="1">
      <alignment horizontal="right"/>
    </xf>
    <xf numFmtId="3" fontId="31" fillId="0" borderId="7" xfId="0" applyNumberFormat="1" applyFont="1" applyBorder="1" applyAlignment="1">
      <alignment horizontal="right"/>
    </xf>
    <xf numFmtId="3" fontId="31" fillId="0" borderId="14" xfId="0" applyNumberFormat="1" applyFont="1" applyBorder="1" applyAlignment="1">
      <alignment horizontal="right"/>
    </xf>
    <xf numFmtId="0" fontId="37" fillId="0" borderId="3" xfId="0" applyFont="1" applyBorder="1" applyAlignment="1">
      <alignment horizontal="right"/>
    </xf>
    <xf numFmtId="3" fontId="31" fillId="0" borderId="6" xfId="0" applyNumberFormat="1" applyFont="1" applyBorder="1" applyAlignment="1">
      <alignment horizontal="right"/>
    </xf>
    <xf numFmtId="3" fontId="16" fillId="0" borderId="0" xfId="0" applyNumberFormat="1" applyFont="1"/>
    <xf numFmtId="3" fontId="16" fillId="0" borderId="4" xfId="1" applyNumberFormat="1" applyFont="1" applyBorder="1" applyAlignment="1">
      <alignment horizontal="center"/>
    </xf>
    <xf numFmtId="3" fontId="18" fillId="0" borderId="0" xfId="0" applyNumberFormat="1" applyFont="1" applyBorder="1"/>
    <xf numFmtId="3" fontId="18" fillId="0" borderId="0" xfId="0" applyNumberFormat="1" applyFont="1"/>
    <xf numFmtId="3" fontId="16" fillId="0" borderId="0" xfId="0" applyNumberFormat="1" applyFont="1" applyBorder="1"/>
    <xf numFmtId="3" fontId="18" fillId="0" borderId="0" xfId="0" applyNumberFormat="1" applyFont="1" applyFill="1" applyBorder="1"/>
    <xf numFmtId="0" fontId="18" fillId="8" borderId="1" xfId="0" applyFont="1" applyFill="1" applyBorder="1"/>
    <xf numFmtId="0" fontId="18" fillId="8" borderId="15" xfId="0" applyFont="1" applyFill="1" applyBorder="1"/>
    <xf numFmtId="0" fontId="18" fillId="8" borderId="14" xfId="0" applyFont="1" applyFill="1" applyBorder="1"/>
    <xf numFmtId="0" fontId="16" fillId="8" borderId="1" xfId="0" applyFont="1" applyFill="1" applyBorder="1" applyAlignment="1">
      <alignment horizontal="center"/>
    </xf>
    <xf numFmtId="0" fontId="16" fillId="8" borderId="15" xfId="0" applyFont="1" applyFill="1" applyBorder="1" applyAlignment="1">
      <alignment horizontal="center"/>
    </xf>
    <xf numFmtId="0" fontId="16" fillId="8" borderId="14" xfId="0" applyFont="1" applyFill="1" applyBorder="1" applyAlignment="1">
      <alignment horizontal="center"/>
    </xf>
    <xf numFmtId="0" fontId="16" fillId="8" borderId="11" xfId="0" applyFont="1" applyFill="1" applyBorder="1" applyAlignment="1">
      <alignment horizontal="center"/>
    </xf>
    <xf numFmtId="0" fontId="16" fillId="8" borderId="5" xfId="0" applyFont="1" applyFill="1" applyBorder="1" applyAlignment="1">
      <alignment horizontal="center"/>
    </xf>
    <xf numFmtId="0" fontId="16" fillId="8" borderId="12" xfId="0" applyFont="1" applyFill="1" applyBorder="1" applyAlignment="1">
      <alignment horizontal="center"/>
    </xf>
    <xf numFmtId="0" fontId="16" fillId="8" borderId="3" xfId="0" applyFont="1" applyFill="1" applyBorder="1"/>
    <xf numFmtId="3" fontId="18" fillId="8" borderId="2" xfId="0" applyNumberFormat="1" applyFont="1" applyFill="1" applyBorder="1"/>
    <xf numFmtId="3" fontId="18" fillId="8" borderId="7" xfId="0" applyNumberFormat="1" applyFont="1" applyFill="1" applyBorder="1"/>
    <xf numFmtId="3" fontId="18" fillId="8" borderId="3" xfId="0" applyNumberFormat="1" applyFont="1" applyFill="1" applyBorder="1"/>
    <xf numFmtId="0" fontId="16" fillId="8" borderId="3" xfId="0" applyFont="1" applyFill="1" applyBorder="1" applyAlignment="1">
      <alignment horizontal="center"/>
    </xf>
    <xf numFmtId="0" fontId="16" fillId="8" borderId="2" xfId="0" applyFont="1" applyFill="1" applyBorder="1" applyAlignment="1">
      <alignment horizontal="center"/>
    </xf>
    <xf numFmtId="0" fontId="18" fillId="8" borderId="2" xfId="0" applyFont="1" applyFill="1" applyBorder="1"/>
    <xf numFmtId="0" fontId="18" fillId="8" borderId="3" xfId="0" applyFont="1" applyFill="1" applyBorder="1"/>
    <xf numFmtId="3" fontId="18" fillId="8" borderId="2" xfId="2" applyNumberFormat="1" applyFont="1" applyFill="1" applyBorder="1"/>
    <xf numFmtId="3" fontId="16" fillId="8" borderId="6" xfId="0" applyNumberFormat="1" applyFont="1" applyFill="1" applyBorder="1"/>
    <xf numFmtId="3" fontId="16" fillId="8" borderId="5" xfId="0" applyNumberFormat="1" applyFont="1" applyFill="1" applyBorder="1"/>
    <xf numFmtId="3" fontId="31" fillId="0" borderId="2" xfId="0" quotePrefix="1" applyNumberFormat="1" applyFont="1" applyBorder="1" applyAlignment="1">
      <alignment horizontal="right"/>
    </xf>
    <xf numFmtId="0" fontId="37" fillId="0" borderId="1" xfId="0" applyFont="1" applyBorder="1" applyAlignment="1">
      <alignment horizontal="right"/>
    </xf>
    <xf numFmtId="3" fontId="31" fillId="0" borderId="3" xfId="0" quotePrefix="1" applyNumberFormat="1" applyFont="1" applyBorder="1" applyAlignment="1">
      <alignment horizontal="right"/>
    </xf>
    <xf numFmtId="3" fontId="18" fillId="0" borderId="2" xfId="1" applyNumberFormat="1" applyFont="1" applyFill="1" applyBorder="1" applyAlignment="1">
      <alignment horizontal="right"/>
    </xf>
    <xf numFmtId="3" fontId="18" fillId="2" borderId="2" xfId="1" applyNumberFormat="1" applyFont="1" applyFill="1" applyBorder="1" applyAlignment="1">
      <alignment horizontal="right"/>
    </xf>
    <xf numFmtId="3" fontId="16" fillId="0" borderId="3" xfId="1" applyNumberFormat="1" applyFont="1" applyFill="1" applyBorder="1" applyAlignment="1">
      <alignment horizontal="right"/>
    </xf>
    <xf numFmtId="3" fontId="18" fillId="0" borderId="2" xfId="1" quotePrefix="1" applyNumberFormat="1" applyFont="1" applyFill="1" applyBorder="1" applyAlignment="1">
      <alignment horizontal="right"/>
    </xf>
    <xf numFmtId="3" fontId="18" fillId="0" borderId="6" xfId="1" quotePrefix="1" applyNumberFormat="1" applyFont="1" applyFill="1" applyBorder="1" applyAlignment="1">
      <alignment horizontal="right"/>
    </xf>
    <xf numFmtId="3" fontId="18" fillId="0" borderId="5" xfId="1" quotePrefix="1" applyNumberFormat="1" applyFont="1" applyFill="1" applyBorder="1" applyAlignment="1">
      <alignment horizontal="right"/>
    </xf>
    <xf numFmtId="3" fontId="18" fillId="3" borderId="0" xfId="1" applyNumberFormat="1" applyFont="1" applyFill="1" applyBorder="1" applyAlignment="1">
      <alignment horizontal="right"/>
    </xf>
    <xf numFmtId="165" fontId="56" fillId="7" borderId="3" xfId="844" applyNumberFormat="1" applyFont="1" applyBorder="1" applyAlignment="1">
      <alignment horizontal="right"/>
    </xf>
    <xf numFmtId="3" fontId="46" fillId="0" borderId="2" xfId="0" applyNumberFormat="1" applyFont="1" applyBorder="1"/>
    <xf numFmtId="3" fontId="14" fillId="0" borderId="9" xfId="1" applyNumberFormat="1" applyFont="1" applyBorder="1" applyAlignment="1">
      <alignment horizontal="center"/>
    </xf>
    <xf numFmtId="3" fontId="17" fillId="0" borderId="6" xfId="1" applyNumberFormat="1" applyFont="1" applyBorder="1" applyAlignment="1">
      <alignment horizontal="center"/>
    </xf>
    <xf numFmtId="3" fontId="16" fillId="0" borderId="3" xfId="1" applyNumberFormat="1" applyFont="1" applyBorder="1" applyAlignment="1">
      <alignment horizontal="center"/>
    </xf>
    <xf numFmtId="3" fontId="16" fillId="0" borderId="2" xfId="1" applyNumberFormat="1" applyFont="1" applyBorder="1" applyAlignment="1">
      <alignment horizontal="center"/>
    </xf>
    <xf numFmtId="3" fontId="14" fillId="0" borderId="1" xfId="1" applyNumberFormat="1" applyFont="1" applyBorder="1"/>
    <xf numFmtId="0" fontId="18" fillId="0" borderId="6" xfId="0" applyFont="1" applyBorder="1"/>
    <xf numFmtId="0" fontId="16" fillId="0" borderId="3" xfId="1" applyFont="1" applyBorder="1" applyAlignment="1">
      <alignment horizontal="center"/>
    </xf>
    <xf numFmtId="0" fontId="16" fillId="0" borderId="15" xfId="1" applyFont="1" applyBorder="1" applyAlignment="1">
      <alignment horizontal="center"/>
    </xf>
    <xf numFmtId="0" fontId="18" fillId="0" borderId="5" xfId="1" applyFont="1" applyFill="1" applyBorder="1"/>
    <xf numFmtId="0" fontId="18" fillId="0" borderId="9" xfId="1" applyFont="1" applyFill="1" applyBorder="1"/>
    <xf numFmtId="168" fontId="18" fillId="0" borderId="0" xfId="1" applyNumberFormat="1" applyFont="1" applyFill="1" applyBorder="1" applyAlignment="1">
      <alignment horizontal="center"/>
    </xf>
    <xf numFmtId="168" fontId="18" fillId="3" borderId="3" xfId="1" applyNumberFormat="1" applyFont="1" applyFill="1" applyBorder="1" applyAlignment="1">
      <alignment horizontal="right"/>
    </xf>
    <xf numFmtId="168" fontId="18" fillId="3" borderId="6" xfId="1" applyNumberFormat="1" applyFont="1" applyFill="1" applyBorder="1" applyAlignment="1">
      <alignment horizontal="right"/>
    </xf>
    <xf numFmtId="0" fontId="46" fillId="0" borderId="0" xfId="0" applyFont="1" applyBorder="1"/>
    <xf numFmtId="0" fontId="46" fillId="0" borderId="7" xfId="0" applyFont="1" applyBorder="1"/>
    <xf numFmtId="14" fontId="14" fillId="0" borderId="6" xfId="0" applyNumberFormat="1" applyFont="1" applyFill="1" applyBorder="1" applyAlignment="1">
      <alignment horizontal="left"/>
    </xf>
    <xf numFmtId="14" fontId="14" fillId="0" borderId="3" xfId="0" applyNumberFormat="1" applyFont="1" applyFill="1" applyBorder="1" applyAlignment="1">
      <alignment horizontal="center"/>
    </xf>
    <xf numFmtId="167" fontId="16" fillId="0" borderId="4" xfId="0" applyNumberFormat="1" applyFont="1" applyBorder="1" applyAlignment="1">
      <alignment horizontal="center"/>
    </xf>
    <xf numFmtId="167" fontId="16" fillId="0" borderId="11" xfId="0" applyNumberFormat="1" applyFont="1" applyBorder="1" applyAlignment="1">
      <alignment horizontal="center"/>
    </xf>
    <xf numFmtId="0" fontId="16" fillId="0" borderId="5" xfId="0" applyFont="1" applyBorder="1" applyAlignment="1">
      <alignment horizontal="center"/>
    </xf>
    <xf numFmtId="165" fontId="46" fillId="0" borderId="4" xfId="0" applyNumberFormat="1" applyFont="1" applyBorder="1" applyAlignment="1">
      <alignment horizontal="right"/>
    </xf>
    <xf numFmtId="165" fontId="46" fillId="0" borderId="3" xfId="0" applyNumberFormat="1" applyFont="1" applyBorder="1" applyAlignment="1">
      <alignment horizontal="right"/>
    </xf>
    <xf numFmtId="165" fontId="31" fillId="0" borderId="4" xfId="0" applyNumberFormat="1" applyFont="1" applyBorder="1" applyAlignment="1">
      <alignment horizontal="right"/>
    </xf>
    <xf numFmtId="165" fontId="31" fillId="0" borderId="3" xfId="0" applyNumberFormat="1" applyFont="1" applyBorder="1" applyAlignment="1">
      <alignment horizontal="right"/>
    </xf>
    <xf numFmtId="165" fontId="31" fillId="0" borderId="4" xfId="0" applyNumberFormat="1" applyFont="1" applyFill="1" applyBorder="1" applyAlignment="1">
      <alignment horizontal="right"/>
    </xf>
    <xf numFmtId="0" fontId="31" fillId="0" borderId="11" xfId="0" applyFont="1" applyBorder="1"/>
    <xf numFmtId="3" fontId="31" fillId="0" borderId="11" xfId="0" applyNumberFormat="1" applyFont="1" applyBorder="1"/>
    <xf numFmtId="165" fontId="31" fillId="0" borderId="11" xfId="0" applyNumberFormat="1" applyFont="1" applyBorder="1" applyAlignment="1">
      <alignment horizontal="right"/>
    </xf>
    <xf numFmtId="165" fontId="31" fillId="0" borderId="6" xfId="0" applyNumberFormat="1" applyFont="1" applyBorder="1" applyAlignment="1">
      <alignment horizontal="right"/>
    </xf>
    <xf numFmtId="3" fontId="46" fillId="0" borderId="3" xfId="0" applyNumberFormat="1" applyFont="1" applyFill="1" applyBorder="1" applyAlignment="1">
      <alignment horizontal="right"/>
    </xf>
    <xf numFmtId="0" fontId="43" fillId="9" borderId="0" xfId="0" applyFont="1" applyFill="1"/>
    <xf numFmtId="0" fontId="67" fillId="0" borderId="0" xfId="3" applyFont="1" applyAlignment="1" applyProtection="1"/>
    <xf numFmtId="0" fontId="42" fillId="0" borderId="0" xfId="0" applyFont="1" applyFill="1" applyAlignment="1">
      <alignment horizontal="center"/>
    </xf>
    <xf numFmtId="3" fontId="16" fillId="0" borderId="6" xfId="1" applyNumberFormat="1" applyFont="1" applyFill="1" applyBorder="1" applyAlignment="1">
      <alignment horizontal="right"/>
    </xf>
    <xf numFmtId="3" fontId="68" fillId="0" borderId="4" xfId="1" applyNumberFormat="1" applyFont="1" applyFill="1" applyBorder="1" applyAlignment="1">
      <alignment horizontal="right"/>
    </xf>
    <xf numFmtId="3" fontId="68" fillId="0" borderId="3" xfId="1" applyNumberFormat="1" applyFont="1" applyFill="1" applyBorder="1" applyAlignment="1">
      <alignment horizontal="right"/>
    </xf>
    <xf numFmtId="3" fontId="68" fillId="0" borderId="11" xfId="1" applyNumberFormat="1" applyFont="1" applyFill="1" applyBorder="1" applyAlignment="1">
      <alignment horizontal="right"/>
    </xf>
    <xf numFmtId="3" fontId="68" fillId="0" borderId="6" xfId="1" applyNumberFormat="1" applyFont="1" applyFill="1" applyBorder="1" applyAlignment="1">
      <alignment horizontal="right"/>
    </xf>
    <xf numFmtId="3" fontId="18" fillId="0" borderId="3" xfId="2" applyNumberFormat="1" applyFont="1" applyFill="1" applyBorder="1" applyAlignment="1">
      <alignment horizontal="right"/>
    </xf>
    <xf numFmtId="3" fontId="18" fillId="0" borderId="4" xfId="2" applyNumberFormat="1" applyFont="1" applyFill="1" applyBorder="1" applyAlignment="1">
      <alignment horizontal="right"/>
    </xf>
    <xf numFmtId="3" fontId="18" fillId="0" borderId="6" xfId="2" applyNumberFormat="1" applyFont="1" applyFill="1" applyBorder="1" applyAlignment="1">
      <alignment horizontal="right"/>
    </xf>
    <xf numFmtId="3" fontId="18" fillId="0" borderId="11" xfId="2" applyNumberFormat="1" applyFont="1" applyFill="1" applyBorder="1" applyAlignment="1">
      <alignment horizontal="right"/>
    </xf>
    <xf numFmtId="3" fontId="18" fillId="2" borderId="3" xfId="2" applyNumberFormat="1" applyFont="1" applyFill="1" applyBorder="1" applyAlignment="1">
      <alignment horizontal="right"/>
    </xf>
    <xf numFmtId="3" fontId="18" fillId="2" borderId="4" xfId="2" applyNumberFormat="1" applyFont="1" applyFill="1" applyBorder="1" applyAlignment="1">
      <alignment horizontal="right"/>
    </xf>
    <xf numFmtId="3" fontId="18" fillId="0" borderId="4" xfId="1" applyNumberFormat="1" applyFont="1" applyFill="1" applyBorder="1" applyAlignment="1">
      <alignment horizontal="right"/>
    </xf>
    <xf numFmtId="3" fontId="18" fillId="0" borderId="11" xfId="1" applyNumberFormat="1" applyFont="1" applyFill="1" applyBorder="1" applyAlignment="1">
      <alignment horizontal="right"/>
    </xf>
    <xf numFmtId="3" fontId="18" fillId="2" borderId="0" xfId="1" applyNumberFormat="1" applyFont="1" applyFill="1" applyBorder="1" applyAlignment="1">
      <alignment horizontal="right"/>
    </xf>
    <xf numFmtId="3" fontId="18" fillId="0" borderId="3" xfId="2" applyNumberFormat="1" applyFont="1" applyBorder="1" applyAlignment="1">
      <alignment horizontal="right"/>
    </xf>
    <xf numFmtId="3" fontId="18" fillId="0" borderId="4" xfId="2" applyNumberFormat="1" applyFont="1" applyBorder="1" applyAlignment="1">
      <alignment horizontal="right"/>
    </xf>
    <xf numFmtId="3" fontId="23" fillId="0" borderId="2" xfId="1" applyNumberFormat="1" applyFont="1" applyFill="1" applyBorder="1" applyAlignment="1">
      <alignment horizontal="right"/>
    </xf>
    <xf numFmtId="3" fontId="23" fillId="0" borderId="0" xfId="1" applyNumberFormat="1" applyFont="1" applyFill="1" applyBorder="1" applyAlignment="1">
      <alignment horizontal="right"/>
    </xf>
    <xf numFmtId="3" fontId="19" fillId="2" borderId="2" xfId="1" applyNumberFormat="1" applyFont="1" applyFill="1" applyBorder="1" applyAlignment="1">
      <alignment horizontal="right"/>
    </xf>
    <xf numFmtId="3" fontId="19" fillId="2" borderId="0" xfId="1" applyNumberFormat="1" applyFont="1" applyFill="1" applyBorder="1" applyAlignment="1">
      <alignment horizontal="right"/>
    </xf>
    <xf numFmtId="3" fontId="18" fillId="0" borderId="3" xfId="2" applyNumberFormat="1" applyFont="1" applyBorder="1" applyAlignment="1">
      <alignment horizontal="left"/>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9" xfId="1" applyNumberFormat="1" applyFont="1" applyBorder="1" applyAlignment="1">
      <alignment horizontal="center"/>
    </xf>
    <xf numFmtId="3" fontId="16" fillId="0" borderId="1" xfId="1" applyNumberFormat="1" applyFont="1" applyBorder="1" applyAlignment="1">
      <alignment horizontal="center"/>
    </xf>
    <xf numFmtId="3" fontId="16" fillId="0" borderId="7" xfId="2" applyNumberFormat="1" applyFont="1" applyFill="1" applyBorder="1" applyAlignment="1">
      <alignment horizontal="right"/>
    </xf>
    <xf numFmtId="3" fontId="16" fillId="0" borderId="1" xfId="2" applyNumberFormat="1" applyFont="1" applyFill="1" applyBorder="1" applyAlignment="1">
      <alignment horizontal="right"/>
    </xf>
    <xf numFmtId="3" fontId="16" fillId="0" borderId="2" xfId="1" applyNumberFormat="1" applyFont="1" applyFill="1" applyBorder="1" applyAlignment="1">
      <alignment horizontal="right"/>
    </xf>
    <xf numFmtId="3" fontId="16" fillId="0" borderId="4" xfId="1" applyNumberFormat="1" applyFont="1" applyFill="1" applyBorder="1" applyAlignment="1">
      <alignment horizontal="right"/>
    </xf>
    <xf numFmtId="3" fontId="16" fillId="0" borderId="3" xfId="2" applyNumberFormat="1" applyFont="1" applyFill="1" applyBorder="1" applyAlignment="1">
      <alignment horizontal="right"/>
    </xf>
    <xf numFmtId="3" fontId="16" fillId="0" borderId="4" xfId="2" applyNumberFormat="1" applyFont="1" applyFill="1" applyBorder="1" applyAlignment="1">
      <alignment horizontal="right"/>
    </xf>
    <xf numFmtId="3" fontId="16" fillId="0" borderId="6" xfId="2" applyNumberFormat="1" applyFont="1" applyFill="1" applyBorder="1" applyAlignment="1">
      <alignment horizontal="right"/>
    </xf>
    <xf numFmtId="3" fontId="16" fillId="0" borderId="11" xfId="2" applyNumberFormat="1" applyFont="1" applyFill="1" applyBorder="1" applyAlignment="1">
      <alignment horizontal="right"/>
    </xf>
    <xf numFmtId="3" fontId="16" fillId="0" borderId="5" xfId="1" applyNumberFormat="1" applyFont="1" applyFill="1" applyBorder="1" applyAlignment="1">
      <alignment horizontal="right"/>
    </xf>
    <xf numFmtId="3" fontId="16" fillId="0" borderId="11" xfId="1" applyNumberFormat="1" applyFont="1" applyFill="1" applyBorder="1" applyAlignment="1">
      <alignment horizontal="right"/>
    </xf>
    <xf numFmtId="3" fontId="16" fillId="0" borderId="7" xfId="1" applyNumberFormat="1" applyFont="1" applyFill="1" applyBorder="1" applyAlignment="1">
      <alignment horizontal="right"/>
    </xf>
    <xf numFmtId="3" fontId="16" fillId="0" borderId="1" xfId="1" applyNumberFormat="1" applyFont="1" applyFill="1" applyBorder="1" applyAlignment="1">
      <alignment horizontal="right"/>
    </xf>
    <xf numFmtId="3" fontId="16" fillId="0" borderId="15" xfId="1" applyNumberFormat="1" applyFont="1" applyFill="1" applyBorder="1" applyAlignment="1">
      <alignment horizontal="right"/>
    </xf>
    <xf numFmtId="3" fontId="16" fillId="2" borderId="2" xfId="1" applyNumberFormat="1" applyFont="1" applyFill="1" applyBorder="1" applyAlignment="1">
      <alignment horizontal="right"/>
    </xf>
    <xf numFmtId="3" fontId="16" fillId="2" borderId="0" xfId="1" applyNumberFormat="1" applyFont="1" applyFill="1" applyBorder="1" applyAlignment="1">
      <alignment horizontal="right"/>
    </xf>
    <xf numFmtId="3" fontId="16" fillId="2" borderId="4" xfId="1" applyNumberFormat="1" applyFont="1" applyFill="1" applyBorder="1" applyAlignment="1">
      <alignment horizontal="right"/>
    </xf>
    <xf numFmtId="3" fontId="16" fillId="2" borderId="5" xfId="1" applyNumberFormat="1" applyFont="1" applyFill="1" applyBorder="1" applyAlignment="1">
      <alignment horizontal="right"/>
    </xf>
    <xf numFmtId="3" fontId="16" fillId="2" borderId="11" xfId="1" applyNumberFormat="1" applyFont="1" applyFill="1" applyBorder="1" applyAlignment="1">
      <alignment horizontal="right"/>
    </xf>
    <xf numFmtId="3" fontId="16" fillId="2" borderId="3" xfId="1" applyNumberFormat="1" applyFont="1" applyFill="1" applyBorder="1" applyAlignment="1">
      <alignment horizontal="right"/>
    </xf>
    <xf numFmtId="3" fontId="16" fillId="2" borderId="2" xfId="1" quotePrefix="1" applyNumberFormat="1" applyFont="1" applyFill="1" applyBorder="1" applyAlignment="1">
      <alignment horizontal="right"/>
    </xf>
    <xf numFmtId="3" fontId="16" fillId="2" borderId="6" xfId="1" applyNumberFormat="1" applyFont="1" applyFill="1" applyBorder="1" applyAlignment="1">
      <alignment horizontal="right"/>
    </xf>
    <xf numFmtId="14" fontId="17" fillId="0" borderId="10" xfId="1" applyNumberFormat="1" applyFont="1" applyBorder="1" applyAlignment="1"/>
    <xf numFmtId="0" fontId="0" fillId="0" borderId="8" xfId="0" applyBorder="1" applyAlignment="1"/>
    <xf numFmtId="3" fontId="16" fillId="0" borderId="2" xfId="1" quotePrefix="1" applyNumberFormat="1" applyFont="1" applyFill="1" applyBorder="1" applyAlignment="1">
      <alignment horizontal="right"/>
    </xf>
    <xf numFmtId="0" fontId="57" fillId="0" borderId="0" xfId="1" applyFont="1" applyFill="1"/>
    <xf numFmtId="0" fontId="15" fillId="0" borderId="0" xfId="1" applyFont="1" applyFill="1" applyAlignment="1">
      <alignment horizontal="right" vertical="top"/>
    </xf>
    <xf numFmtId="0" fontId="15" fillId="0" borderId="0" xfId="1" applyFont="1" applyAlignment="1">
      <alignment vertical="top" wrapText="1"/>
    </xf>
    <xf numFmtId="0" fontId="15" fillId="0" borderId="0" xfId="1" applyFont="1" applyFill="1" applyAlignment="1">
      <alignment horizontal="right"/>
    </xf>
    <xf numFmtId="0" fontId="15" fillId="0" borderId="0" xfId="1" applyFont="1" applyFill="1" applyAlignment="1">
      <alignment vertical="top" wrapText="1"/>
    </xf>
    <xf numFmtId="0" fontId="24" fillId="0" borderId="0" xfId="1" applyFont="1" applyFill="1"/>
    <xf numFmtId="0" fontId="15" fillId="0" borderId="0" xfId="1" applyFont="1" applyFill="1" applyAlignment="1">
      <alignment wrapText="1"/>
    </xf>
    <xf numFmtId="0" fontId="14" fillId="0" borderId="0" xfId="1" applyFont="1" applyFill="1" applyAlignment="1">
      <alignment horizontal="left"/>
    </xf>
    <xf numFmtId="3" fontId="31" fillId="4" borderId="3" xfId="0" applyNumberFormat="1" applyFont="1" applyFill="1" applyBorder="1" applyAlignment="1" applyProtection="1">
      <alignment horizontal="right"/>
      <protection locked="0"/>
    </xf>
    <xf numFmtId="0" fontId="69" fillId="0" borderId="0" xfId="0" applyFont="1" applyAlignment="1">
      <alignment horizontal="left" vertical="center" readingOrder="1"/>
    </xf>
    <xf numFmtId="0" fontId="18" fillId="0" borderId="0" xfId="1" applyFont="1" applyFill="1" applyBorder="1" applyAlignment="1">
      <alignment horizontal="left"/>
    </xf>
    <xf numFmtId="0" fontId="72" fillId="0" borderId="0" xfId="1" applyFont="1" applyFill="1" applyAlignment="1">
      <alignment horizontal="left"/>
    </xf>
    <xf numFmtId="0" fontId="19" fillId="0" borderId="0" xfId="1" applyFont="1" applyFill="1"/>
    <xf numFmtId="0" fontId="43" fillId="9" borderId="0" xfId="3" applyFont="1" applyFill="1" applyAlignment="1" applyProtection="1"/>
    <xf numFmtId="0" fontId="65" fillId="0" borderId="0" xfId="0" applyFont="1" applyFill="1"/>
    <xf numFmtId="0" fontId="66" fillId="0" borderId="0" xfId="0" applyFont="1" applyFill="1"/>
    <xf numFmtId="0" fontId="43" fillId="0" borderId="0" xfId="0" applyFont="1" applyFill="1"/>
    <xf numFmtId="0" fontId="41" fillId="0" borderId="0" xfId="0" applyFont="1" applyFill="1"/>
    <xf numFmtId="0" fontId="39" fillId="0" borderId="0" xfId="0" applyFont="1" applyFill="1"/>
    <xf numFmtId="0" fontId="43" fillId="0" borderId="0" xfId="3" applyFont="1" applyFill="1" applyAlignment="1" applyProtection="1"/>
    <xf numFmtId="3" fontId="16" fillId="3" borderId="7" xfId="1" applyNumberFormat="1" applyFont="1" applyFill="1" applyBorder="1" applyAlignment="1">
      <alignment horizontal="right"/>
    </xf>
    <xf numFmtId="0" fontId="74" fillId="0" borderId="0" xfId="1" applyFont="1" applyBorder="1" applyAlignment="1">
      <alignment horizontal="left"/>
    </xf>
    <xf numFmtId="3" fontId="68" fillId="0" borderId="2" xfId="1" applyNumberFormat="1" applyFont="1" applyFill="1" applyBorder="1" applyAlignment="1">
      <alignment horizontal="right"/>
    </xf>
    <xf numFmtId="3" fontId="60" fillId="0" borderId="2" xfId="1" applyNumberFormat="1" applyFont="1" applyFill="1" applyBorder="1" applyAlignment="1">
      <alignment horizontal="right"/>
    </xf>
    <xf numFmtId="0" fontId="73" fillId="0" borderId="0" xfId="0" applyFont="1" applyFill="1" applyAlignment="1">
      <alignment horizontal="left" vertical="center" readingOrder="1"/>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4" xfId="1" applyNumberFormat="1" applyFont="1" applyFill="1" applyBorder="1" applyAlignment="1">
      <alignment horizontal="center"/>
    </xf>
    <xf numFmtId="171" fontId="16" fillId="0" borderId="7" xfId="846" applyFont="1" applyFill="1" applyBorder="1" applyAlignment="1">
      <alignment horizontal="right"/>
    </xf>
    <xf numFmtId="171" fontId="16" fillId="0" borderId="1" xfId="846" applyFont="1" applyFill="1" applyBorder="1" applyAlignment="1">
      <alignment horizontal="right"/>
    </xf>
    <xf numFmtId="171" fontId="18" fillId="0" borderId="3" xfId="846" applyFont="1" applyBorder="1" applyAlignment="1">
      <alignment horizontal="right"/>
    </xf>
    <xf numFmtId="171" fontId="18" fillId="0" borderId="3" xfId="846" applyFont="1" applyFill="1" applyBorder="1" applyAlignment="1">
      <alignment horizontal="right"/>
    </xf>
    <xf numFmtId="171" fontId="18" fillId="0" borderId="4" xfId="846" applyFont="1" applyFill="1" applyBorder="1" applyAlignment="1">
      <alignment horizontal="right"/>
    </xf>
    <xf numFmtId="171" fontId="16" fillId="0" borderId="3" xfId="846" applyFont="1" applyFill="1" applyBorder="1" applyAlignment="1">
      <alignment horizontal="right"/>
    </xf>
    <xf numFmtId="171" fontId="16" fillId="0" borderId="4" xfId="846" applyFont="1" applyFill="1" applyBorder="1" applyAlignment="1">
      <alignment horizontal="right"/>
    </xf>
    <xf numFmtId="171" fontId="16" fillId="0" borderId="6" xfId="846" applyFont="1" applyFill="1" applyBorder="1" applyAlignment="1">
      <alignment horizontal="right"/>
    </xf>
    <xf numFmtId="171" fontId="16" fillId="0" borderId="11" xfId="846" applyFont="1" applyFill="1" applyBorder="1" applyAlignment="1">
      <alignment horizontal="right"/>
    </xf>
    <xf numFmtId="171" fontId="18" fillId="3" borderId="7" xfId="846" applyFont="1" applyFill="1" applyBorder="1" applyAlignment="1">
      <alignment horizontal="right"/>
    </xf>
    <xf numFmtId="171" fontId="18" fillId="3" borderId="2" xfId="846" applyFont="1" applyFill="1" applyBorder="1" applyAlignment="1">
      <alignment horizontal="right"/>
    </xf>
    <xf numFmtId="171" fontId="16" fillId="0" borderId="2" xfId="846" applyFont="1" applyFill="1" applyBorder="1" applyAlignment="1">
      <alignment horizontal="right"/>
    </xf>
    <xf numFmtId="171" fontId="18" fillId="3" borderId="3" xfId="846" applyFont="1" applyFill="1" applyBorder="1" applyAlignment="1">
      <alignment horizontal="right"/>
    </xf>
    <xf numFmtId="171" fontId="18" fillId="2" borderId="3" xfId="846" applyFont="1" applyFill="1" applyBorder="1" applyAlignment="1">
      <alignment horizontal="right"/>
    </xf>
    <xf numFmtId="171" fontId="18" fillId="2" borderId="4" xfId="846" applyFont="1" applyFill="1" applyBorder="1" applyAlignment="1">
      <alignment horizontal="right"/>
    </xf>
    <xf numFmtId="171" fontId="18" fillId="0" borderId="2" xfId="846" applyFont="1" applyFill="1" applyBorder="1" applyAlignment="1">
      <alignment horizontal="right"/>
    </xf>
    <xf numFmtId="171" fontId="18" fillId="3" borderId="6" xfId="846" applyFont="1" applyFill="1" applyBorder="1" applyAlignment="1">
      <alignment horizontal="right"/>
    </xf>
    <xf numFmtId="171" fontId="16" fillId="0" borderId="5" xfId="846" applyFont="1" applyFill="1" applyBorder="1" applyAlignment="1">
      <alignment horizontal="right"/>
    </xf>
    <xf numFmtId="171" fontId="16" fillId="0" borderId="15" xfId="846" applyFont="1" applyFill="1" applyBorder="1" applyAlignment="1">
      <alignment horizontal="right"/>
    </xf>
    <xf numFmtId="171" fontId="16" fillId="2" borderId="2" xfId="846" applyFont="1" applyFill="1" applyBorder="1" applyAlignment="1">
      <alignment horizontal="right"/>
    </xf>
    <xf numFmtId="171" fontId="16" fillId="2" borderId="0" xfId="846" applyFont="1" applyFill="1" applyBorder="1" applyAlignment="1">
      <alignment horizontal="right"/>
    </xf>
    <xf numFmtId="171" fontId="16" fillId="2" borderId="4" xfId="846" applyFont="1" applyFill="1" applyBorder="1" applyAlignment="1">
      <alignment horizontal="right"/>
    </xf>
    <xf numFmtId="171" fontId="16" fillId="2" borderId="5" xfId="846" applyFont="1" applyFill="1" applyBorder="1" applyAlignment="1">
      <alignment horizontal="right"/>
    </xf>
    <xf numFmtId="171" fontId="16" fillId="2" borderId="11" xfId="846" applyFont="1" applyFill="1" applyBorder="1" applyAlignment="1">
      <alignment horizontal="right"/>
    </xf>
    <xf numFmtId="171" fontId="18" fillId="0" borderId="4" xfId="846" applyFont="1" applyBorder="1" applyAlignment="1">
      <alignment horizontal="right"/>
    </xf>
    <xf numFmtId="171" fontId="18" fillId="0" borderId="6" xfId="846" applyFont="1" applyFill="1" applyBorder="1" applyAlignment="1">
      <alignment horizontal="right"/>
    </xf>
    <xf numFmtId="171" fontId="18" fillId="0" borderId="11" xfId="846" applyFont="1" applyFill="1" applyBorder="1" applyAlignment="1">
      <alignment horizontal="right"/>
    </xf>
    <xf numFmtId="171" fontId="68" fillId="0" borderId="2" xfId="846" applyFont="1" applyFill="1" applyBorder="1" applyAlignment="1">
      <alignment horizontal="right"/>
    </xf>
    <xf numFmtId="171" fontId="18" fillId="0" borderId="0" xfId="846" applyFont="1" applyFill="1" applyBorder="1" applyAlignment="1">
      <alignment horizontal="right"/>
    </xf>
    <xf numFmtId="171" fontId="23" fillId="0" borderId="2" xfId="846" applyFont="1" applyFill="1" applyBorder="1" applyAlignment="1">
      <alignment horizontal="right"/>
    </xf>
    <xf numFmtId="171" fontId="23" fillId="0" borderId="0" xfId="846" applyFont="1" applyFill="1" applyBorder="1" applyAlignment="1">
      <alignment horizontal="right"/>
    </xf>
    <xf numFmtId="171" fontId="19" fillId="2" borderId="2" xfId="846" applyFont="1" applyFill="1" applyBorder="1" applyAlignment="1">
      <alignment horizontal="right"/>
    </xf>
    <xf numFmtId="171" fontId="19" fillId="2" borderId="0" xfId="846" applyFont="1" applyFill="1" applyBorder="1" applyAlignment="1">
      <alignment horizontal="right"/>
    </xf>
    <xf numFmtId="171" fontId="18" fillId="2" borderId="2" xfId="846" applyFont="1" applyFill="1" applyBorder="1" applyAlignment="1">
      <alignment horizontal="right"/>
    </xf>
    <xf numFmtId="171" fontId="18" fillId="2" borderId="0" xfId="846" applyFont="1" applyFill="1" applyBorder="1" applyAlignment="1">
      <alignment horizontal="right"/>
    </xf>
    <xf numFmtId="171" fontId="16" fillId="0" borderId="0" xfId="846" applyFont="1" applyFill="1" applyBorder="1" applyAlignment="1">
      <alignment horizontal="right"/>
    </xf>
    <xf numFmtId="171" fontId="18" fillId="3" borderId="5" xfId="846" applyFont="1" applyFill="1" applyBorder="1" applyAlignment="1">
      <alignment horizontal="right"/>
    </xf>
    <xf numFmtId="171" fontId="18" fillId="3" borderId="0" xfId="846" applyFont="1" applyFill="1" applyBorder="1" applyAlignment="1">
      <alignment horizontal="right"/>
    </xf>
    <xf numFmtId="171" fontId="18" fillId="3" borderId="1" xfId="846" applyFont="1" applyFill="1" applyBorder="1" applyAlignment="1">
      <alignment horizontal="right"/>
    </xf>
    <xf numFmtId="171" fontId="18" fillId="3" borderId="4" xfId="846" applyFont="1" applyFill="1" applyBorder="1" applyAlignment="1">
      <alignment horizontal="right"/>
    </xf>
    <xf numFmtId="171" fontId="18" fillId="3" borderId="11" xfId="846" applyFont="1" applyFill="1" applyBorder="1" applyAlignment="1">
      <alignment horizontal="right"/>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165" fontId="31" fillId="0" borderId="3" xfId="0" applyNumberFormat="1" applyFont="1" applyBorder="1"/>
    <xf numFmtId="165" fontId="46" fillId="0" borderId="3" xfId="0" applyNumberFormat="1" applyFont="1" applyBorder="1"/>
    <xf numFmtId="165" fontId="31" fillId="0" borderId="3" xfId="0" applyNumberFormat="1" applyFont="1" applyFill="1" applyBorder="1"/>
    <xf numFmtId="165" fontId="46" fillId="0" borderId="6" xfId="0" applyNumberFormat="1" applyFont="1" applyBorder="1"/>
    <xf numFmtId="172" fontId="18" fillId="3" borderId="2" xfId="846" applyNumberFormat="1" applyFont="1" applyFill="1" applyBorder="1" applyAlignment="1">
      <alignment horizontal="right"/>
    </xf>
    <xf numFmtId="172" fontId="18" fillId="3" borderId="3" xfId="846" applyNumberFormat="1" applyFont="1" applyFill="1" applyBorder="1" applyAlignment="1">
      <alignment horizontal="right"/>
    </xf>
    <xf numFmtId="172" fontId="18" fillId="3" borderId="6" xfId="846" applyNumberFormat="1" applyFont="1" applyFill="1" applyBorder="1" applyAlignment="1">
      <alignment horizontal="right"/>
    </xf>
    <xf numFmtId="165" fontId="16" fillId="0" borderId="6" xfId="1" applyNumberFormat="1" applyFont="1" applyBorder="1" applyAlignment="1">
      <alignment horizontal="center"/>
    </xf>
    <xf numFmtId="165" fontId="18" fillId="3" borderId="0" xfId="1" applyNumberFormat="1" applyFont="1" applyFill="1" applyBorder="1" applyAlignment="1">
      <alignment horizontal="right"/>
    </xf>
    <xf numFmtId="165" fontId="18" fillId="3" borderId="5" xfId="1" applyNumberFormat="1" applyFont="1" applyFill="1" applyBorder="1" applyAlignment="1">
      <alignment horizontal="right"/>
    </xf>
    <xf numFmtId="0" fontId="18" fillId="0" borderId="4" xfId="1" applyFont="1" applyBorder="1"/>
    <xf numFmtId="0" fontId="16" fillId="0" borderId="0" xfId="1" applyFont="1" applyFill="1"/>
    <xf numFmtId="49" fontId="16" fillId="0" borderId="0" xfId="1" applyNumberFormat="1" applyFont="1" applyFill="1" applyBorder="1" applyAlignment="1">
      <alignment horizontal="right"/>
    </xf>
    <xf numFmtId="49" fontId="16" fillId="0" borderId="0" xfId="1" applyNumberFormat="1" applyFont="1" applyFill="1" applyBorder="1" applyAlignment="1">
      <alignment horizontal="center"/>
    </xf>
    <xf numFmtId="3" fontId="16" fillId="0" borderId="0" xfId="1" quotePrefix="1" applyNumberFormat="1" applyFont="1" applyFill="1" applyBorder="1" applyAlignment="1">
      <alignment horizontal="center"/>
    </xf>
    <xf numFmtId="171" fontId="16" fillId="3" borderId="7" xfId="846" applyFont="1" applyFill="1" applyBorder="1" applyAlignment="1">
      <alignment horizontal="right"/>
    </xf>
    <xf numFmtId="172" fontId="16" fillId="3" borderId="2" xfId="846" applyNumberFormat="1" applyFont="1" applyFill="1" applyBorder="1" applyAlignment="1">
      <alignment horizontal="right"/>
    </xf>
    <xf numFmtId="3" fontId="16" fillId="0" borderId="0" xfId="1" applyNumberFormat="1" applyFont="1" applyFill="1"/>
    <xf numFmtId="168" fontId="16" fillId="3" borderId="7" xfId="1" applyNumberFormat="1" applyFont="1" applyFill="1" applyBorder="1" applyAlignment="1">
      <alignment horizontal="right"/>
    </xf>
    <xf numFmtId="168" fontId="16" fillId="3" borderId="3" xfId="1" applyNumberFormat="1" applyFont="1" applyFill="1" applyBorder="1" applyAlignment="1">
      <alignment horizontal="right"/>
    </xf>
    <xf numFmtId="168" fontId="16" fillId="3" borderId="6" xfId="1" applyNumberFormat="1" applyFont="1" applyFill="1" applyBorder="1" applyAlignment="1">
      <alignment horizontal="right"/>
    </xf>
    <xf numFmtId="3" fontId="16" fillId="3" borderId="0" xfId="1" applyNumberFormat="1" applyFont="1" applyFill="1" applyBorder="1" applyAlignment="1">
      <alignment horizontal="right"/>
    </xf>
    <xf numFmtId="3" fontId="16" fillId="3" borderId="1" xfId="1" applyNumberFormat="1" applyFont="1" applyFill="1" applyBorder="1" applyAlignment="1">
      <alignment horizontal="right"/>
    </xf>
    <xf numFmtId="3" fontId="16" fillId="3" borderId="4" xfId="1" applyNumberFormat="1" applyFont="1" applyFill="1" applyBorder="1" applyAlignment="1">
      <alignment horizontal="right"/>
    </xf>
    <xf numFmtId="3" fontId="16" fillId="3" borderId="11" xfId="1" applyNumberFormat="1" applyFont="1" applyFill="1" applyBorder="1" applyAlignment="1">
      <alignment horizontal="right"/>
    </xf>
    <xf numFmtId="165" fontId="16" fillId="3" borderId="0" xfId="1" applyNumberFormat="1" applyFont="1" applyFill="1" applyBorder="1" applyAlignment="1">
      <alignment horizontal="right"/>
    </xf>
    <xf numFmtId="0" fontId="14" fillId="0" borderId="0" xfId="1" applyFont="1" applyBorder="1" applyAlignment="1">
      <alignment horizontal="center"/>
    </xf>
    <xf numFmtId="3" fontId="61" fillId="4" borderId="3" xfId="0"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protection locked="0"/>
    </xf>
    <xf numFmtId="3" fontId="31" fillId="4" borderId="4" xfId="847"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xf>
    <xf numFmtId="3" fontId="46" fillId="4" borderId="3" xfId="0" applyNumberFormat="1" applyFont="1" applyFill="1" applyBorder="1" applyAlignment="1" applyProtection="1">
      <alignment horizontal="right"/>
      <protection locked="0"/>
    </xf>
    <xf numFmtId="3" fontId="46" fillId="0" borderId="3" xfId="0" applyNumberFormat="1" applyFont="1" applyBorder="1" applyAlignment="1" applyProtection="1">
      <alignment horizontal="right"/>
      <protection locked="0"/>
    </xf>
    <xf numFmtId="3" fontId="46" fillId="0" borderId="3" xfId="0" applyNumberFormat="1" applyFont="1" applyFill="1" applyBorder="1" applyAlignment="1" applyProtection="1">
      <alignment horizontal="right"/>
      <protection locked="0"/>
    </xf>
    <xf numFmtId="3" fontId="31" fillId="0" borderId="4" xfId="0" applyNumberFormat="1" applyFont="1" applyFill="1" applyBorder="1" applyAlignment="1" applyProtection="1">
      <alignment horizontal="right"/>
      <protection locked="0"/>
    </xf>
    <xf numFmtId="3" fontId="31" fillId="0" borderId="3" xfId="0" applyNumberFormat="1" applyFont="1" applyFill="1" applyBorder="1" applyAlignment="1" applyProtection="1">
      <alignment horizontal="right"/>
      <protection locked="0"/>
    </xf>
    <xf numFmtId="3" fontId="31" fillId="0" borderId="4" xfId="0" applyNumberFormat="1" applyFont="1" applyFill="1" applyBorder="1" applyAlignment="1" applyProtection="1">
      <alignment horizontal="right"/>
    </xf>
    <xf numFmtId="3" fontId="31" fillId="0" borderId="3" xfId="845" applyNumberFormat="1" applyFont="1" applyFill="1" applyBorder="1" applyAlignment="1" applyProtection="1">
      <alignment horizontal="right"/>
      <protection locked="0"/>
    </xf>
    <xf numFmtId="3" fontId="31" fillId="0" borderId="3" xfId="0" applyNumberFormat="1" applyFont="1" applyBorder="1" applyAlignment="1" applyProtection="1">
      <alignment horizontal="right"/>
      <protection locked="0"/>
    </xf>
    <xf numFmtId="3" fontId="31" fillId="4" borderId="3" xfId="845" applyNumberFormat="1" applyFont="1" applyFill="1" applyBorder="1" applyAlignment="1" applyProtection="1">
      <alignment horizontal="right"/>
      <protection locked="0"/>
    </xf>
    <xf numFmtId="3" fontId="46" fillId="4" borderId="4" xfId="0" applyNumberFormat="1" applyFont="1" applyFill="1" applyBorder="1" applyAlignment="1" applyProtection="1">
      <alignment horizontal="right"/>
      <protection locked="0"/>
    </xf>
    <xf numFmtId="3" fontId="46" fillId="4" borderId="4" xfId="0" applyNumberFormat="1" applyFont="1" applyFill="1" applyBorder="1" applyAlignment="1" applyProtection="1">
      <alignment horizontal="right"/>
    </xf>
    <xf numFmtId="3" fontId="46" fillId="4" borderId="3" xfId="845" applyNumberFormat="1" applyFont="1" applyFill="1" applyBorder="1" applyAlignment="1" applyProtection="1">
      <alignment horizontal="right"/>
      <protection locked="0"/>
    </xf>
    <xf numFmtId="3" fontId="46" fillId="0" borderId="4" xfId="0" applyNumberFormat="1" applyFont="1" applyFill="1" applyBorder="1" applyAlignment="1" applyProtection="1">
      <alignment horizontal="right"/>
    </xf>
    <xf numFmtId="3" fontId="46" fillId="0" borderId="6" xfId="0" applyNumberFormat="1" applyFont="1" applyBorder="1" applyAlignment="1" applyProtection="1">
      <alignment horizontal="right"/>
      <protection locked="0"/>
    </xf>
    <xf numFmtId="3" fontId="46" fillId="4" borderId="6" xfId="0" applyNumberFormat="1" applyFont="1" applyFill="1" applyBorder="1" applyAlignment="1" applyProtection="1">
      <alignment horizontal="right"/>
      <protection locked="0"/>
    </xf>
    <xf numFmtId="3" fontId="46" fillId="4" borderId="6" xfId="845" applyNumberFormat="1" applyFont="1" applyFill="1" applyBorder="1" applyAlignment="1" applyProtection="1">
      <alignment horizontal="right"/>
      <protection locked="0"/>
    </xf>
    <xf numFmtId="3" fontId="51" fillId="4" borderId="11" xfId="0" applyNumberFormat="1" applyFont="1" applyFill="1" applyBorder="1" applyProtection="1">
      <protection locked="0"/>
    </xf>
    <xf numFmtId="169" fontId="16" fillId="0" borderId="6" xfId="0" applyNumberFormat="1" applyFont="1" applyFill="1" applyBorder="1" applyAlignment="1" applyProtection="1">
      <alignment horizontal="center"/>
      <protection locked="0"/>
    </xf>
    <xf numFmtId="3" fontId="61" fillId="4" borderId="4" xfId="0" applyNumberFormat="1" applyFont="1" applyFill="1" applyBorder="1" applyProtection="1">
      <protection locked="0"/>
    </xf>
    <xf numFmtId="0" fontId="46" fillId="0" borderId="4" xfId="0" applyFont="1" applyFill="1" applyBorder="1" applyProtection="1">
      <protection locked="0"/>
    </xf>
    <xf numFmtId="3" fontId="46" fillId="4" borderId="4" xfId="0" applyNumberFormat="1" applyFont="1" applyFill="1" applyBorder="1" applyProtection="1">
      <protection locked="0"/>
    </xf>
    <xf numFmtId="0" fontId="31" fillId="0" borderId="4" xfId="0" applyFont="1" applyFill="1" applyBorder="1" applyProtection="1">
      <protection locked="0"/>
    </xf>
    <xf numFmtId="0" fontId="31" fillId="0" borderId="3" xfId="0" applyFont="1" applyFill="1" applyBorder="1" applyProtection="1">
      <protection locked="0"/>
    </xf>
    <xf numFmtId="0" fontId="20" fillId="0" borderId="3" xfId="0" applyFont="1" applyFill="1" applyBorder="1" applyProtection="1">
      <protection locked="0"/>
    </xf>
    <xf numFmtId="0" fontId="46" fillId="0" borderId="11" xfId="0" applyFont="1" applyFill="1" applyBorder="1" applyProtection="1">
      <protection locked="0"/>
    </xf>
    <xf numFmtId="0" fontId="31" fillId="0" borderId="0" xfId="0" applyFont="1" applyProtection="1">
      <protection locked="0"/>
    </xf>
    <xf numFmtId="0" fontId="0" fillId="0" borderId="0" xfId="0" applyProtection="1">
      <protection locked="0"/>
    </xf>
    <xf numFmtId="0" fontId="20" fillId="0" borderId="0" xfId="0" applyFont="1" applyProtection="1">
      <protection locked="0"/>
    </xf>
    <xf numFmtId="3" fontId="31" fillId="0" borderId="0" xfId="0" applyNumberFormat="1" applyFont="1" applyBorder="1" applyProtection="1">
      <protection locked="0"/>
    </xf>
    <xf numFmtId="0" fontId="62" fillId="0" borderId="0" xfId="0" applyFont="1" applyProtection="1">
      <protection locked="0"/>
    </xf>
    <xf numFmtId="3" fontId="63" fillId="0" borderId="0" xfId="0" applyNumberFormat="1" applyFont="1" applyBorder="1" applyProtection="1">
      <protection locked="0"/>
    </xf>
    <xf numFmtId="0" fontId="42" fillId="0" borderId="0" xfId="0" applyFont="1" applyProtection="1">
      <protection locked="0"/>
    </xf>
    <xf numFmtId="0" fontId="18" fillId="0" borderId="0" xfId="3" applyFont="1" applyFill="1" applyAlignment="1" applyProtection="1">
      <protection locked="0"/>
    </xf>
    <xf numFmtId="0" fontId="58" fillId="0" borderId="0" xfId="0" applyFont="1" applyProtection="1">
      <protection locked="0"/>
    </xf>
    <xf numFmtId="165" fontId="0" fillId="0" borderId="0" xfId="0" applyNumberFormat="1" applyProtection="1">
      <protection locked="0"/>
    </xf>
    <xf numFmtId="3" fontId="59" fillId="4" borderId="12" xfId="0" applyNumberFormat="1" applyFont="1" applyFill="1" applyBorder="1" applyProtection="1">
      <protection locked="0"/>
    </xf>
    <xf numFmtId="3" fontId="60" fillId="4" borderId="0" xfId="0" applyNumberFormat="1" applyFont="1" applyFill="1" applyBorder="1" applyProtection="1">
      <protection locked="0"/>
    </xf>
    <xf numFmtId="165" fontId="0" fillId="0" borderId="0" xfId="0" applyNumberFormat="1" applyBorder="1" applyProtection="1">
      <protection locked="0"/>
    </xf>
    <xf numFmtId="14" fontId="14" fillId="0" borderId="7" xfId="0" applyNumberFormat="1" applyFont="1" applyFill="1" applyBorder="1" applyAlignment="1" applyProtection="1">
      <alignment horizontal="left"/>
      <protection locked="0"/>
    </xf>
    <xf numFmtId="3" fontId="14" fillId="0" borderId="8" xfId="0" quotePrefix="1" applyNumberFormat="1" applyFont="1" applyFill="1" applyBorder="1" applyProtection="1">
      <protection locked="0"/>
    </xf>
    <xf numFmtId="3" fontId="14" fillId="0" borderId="9" xfId="0" quotePrefix="1" applyNumberFormat="1" applyFont="1" applyFill="1" applyBorder="1" applyProtection="1">
      <protection locked="0"/>
    </xf>
    <xf numFmtId="3" fontId="14" fillId="0" borderId="10" xfId="0" quotePrefix="1" applyNumberFormat="1" applyFont="1" applyFill="1" applyBorder="1" applyProtection="1">
      <protection locked="0"/>
    </xf>
    <xf numFmtId="0" fontId="18" fillId="0" borderId="8" xfId="0" applyFont="1" applyBorder="1" applyProtection="1">
      <protection locked="0"/>
    </xf>
    <xf numFmtId="0" fontId="18" fillId="0" borderId="10" xfId="0" applyFont="1" applyBorder="1" applyProtection="1">
      <protection locked="0"/>
    </xf>
    <xf numFmtId="0" fontId="18" fillId="0" borderId="9" xfId="0" applyFont="1" applyBorder="1" applyProtection="1">
      <protection locked="0"/>
    </xf>
    <xf numFmtId="165" fontId="18" fillId="4" borderId="0" xfId="0" applyNumberFormat="1" applyFont="1" applyFill="1" applyBorder="1" applyProtection="1">
      <protection locked="0"/>
    </xf>
    <xf numFmtId="0" fontId="18" fillId="4" borderId="0" xfId="0" applyFont="1" applyFill="1" applyBorder="1" applyProtection="1">
      <protection locked="0"/>
    </xf>
    <xf numFmtId="3" fontId="46" fillId="0" borderId="1" xfId="0" applyNumberFormat="1" applyFont="1" applyFill="1" applyBorder="1" applyProtection="1">
      <protection locked="0"/>
    </xf>
    <xf numFmtId="0" fontId="0" fillId="0" borderId="0" xfId="0" applyBorder="1" applyProtection="1">
      <protection locked="0"/>
    </xf>
    <xf numFmtId="0" fontId="46" fillId="4" borderId="0" xfId="0" applyNumberFormat="1" applyFont="1" applyFill="1" applyBorder="1" applyAlignment="1" applyProtection="1">
      <alignment horizontal="center"/>
      <protection locked="0"/>
    </xf>
    <xf numFmtId="3" fontId="46" fillId="0" borderId="4" xfId="0" applyNumberFormat="1" applyFont="1" applyFill="1" applyBorder="1" applyProtection="1">
      <protection locked="0"/>
    </xf>
    <xf numFmtId="0" fontId="16" fillId="0" borderId="7" xfId="0" applyNumberFormat="1" applyFont="1" applyFill="1" applyBorder="1" applyAlignment="1" applyProtection="1">
      <alignment horizontal="center"/>
      <protection locked="0"/>
    </xf>
    <xf numFmtId="169" fontId="14" fillId="4" borderId="0" xfId="0" applyNumberFormat="1" applyFont="1" applyFill="1" applyBorder="1" applyAlignment="1" applyProtection="1">
      <alignment horizontal="center"/>
      <protection locked="0"/>
    </xf>
    <xf numFmtId="0" fontId="14" fillId="4" borderId="0" xfId="0" applyNumberFormat="1" applyFont="1" applyFill="1" applyBorder="1" applyAlignment="1" applyProtection="1">
      <alignment horizontal="center"/>
      <protection locked="0"/>
    </xf>
    <xf numFmtId="0" fontId="20" fillId="0" borderId="0" xfId="0" applyFont="1" applyBorder="1" applyProtection="1">
      <protection locked="0"/>
    </xf>
    <xf numFmtId="0" fontId="20" fillId="0" borderId="0" xfId="0" applyFont="1" applyFill="1" applyBorder="1" applyProtection="1">
      <protection locked="0"/>
    </xf>
    <xf numFmtId="0" fontId="20" fillId="0" borderId="0" xfId="0" applyFont="1" applyFill="1" applyProtection="1">
      <protection locked="0"/>
    </xf>
    <xf numFmtId="3" fontId="20" fillId="0" borderId="0" xfId="0" applyNumberFormat="1" applyFont="1" applyFill="1" applyProtection="1">
      <protection locked="0"/>
    </xf>
    <xf numFmtId="3" fontId="20" fillId="0" borderId="0" xfId="0" applyNumberFormat="1" applyFont="1" applyProtection="1">
      <protection locked="0"/>
    </xf>
    <xf numFmtId="3" fontId="20" fillId="0" borderId="0" xfId="0" applyNumberFormat="1" applyFont="1" applyBorder="1" applyProtection="1">
      <protection locked="0"/>
    </xf>
    <xf numFmtId="0" fontId="50" fillId="0" borderId="0" xfId="0" applyFont="1" applyBorder="1" applyProtection="1">
      <protection locked="0"/>
    </xf>
    <xf numFmtId="3" fontId="50" fillId="0" borderId="0" xfId="0" applyNumberFormat="1" applyFont="1" applyProtection="1">
      <protection locked="0"/>
    </xf>
    <xf numFmtId="0" fontId="50" fillId="0" borderId="0" xfId="0" applyFont="1" applyProtection="1">
      <protection locked="0"/>
    </xf>
    <xf numFmtId="0" fontId="62" fillId="0" borderId="0" xfId="0" applyFont="1" applyBorder="1" applyProtection="1">
      <protection locked="0"/>
    </xf>
    <xf numFmtId="0" fontId="15" fillId="0" borderId="0" xfId="0" applyFont="1" applyProtection="1">
      <protection locked="0"/>
    </xf>
    <xf numFmtId="0" fontId="64" fillId="0" borderId="0" xfId="0" applyFont="1" applyProtection="1">
      <protection locked="0"/>
    </xf>
    <xf numFmtId="0" fontId="42" fillId="0" borderId="0" xfId="1" applyFont="1" applyProtection="1">
      <protection locked="0"/>
    </xf>
    <xf numFmtId="0" fontId="58" fillId="0" borderId="0" xfId="1" applyFont="1" applyProtection="1">
      <protection locked="0"/>
    </xf>
    <xf numFmtId="0" fontId="20" fillId="0" borderId="0" xfId="1" applyProtection="1">
      <protection locked="0"/>
    </xf>
    <xf numFmtId="0" fontId="20" fillId="0" borderId="0" xfId="1" applyFont="1" applyProtection="1">
      <protection locked="0"/>
    </xf>
    <xf numFmtId="3" fontId="46" fillId="4" borderId="0" xfId="1" applyNumberFormat="1" applyFont="1" applyFill="1" applyProtection="1">
      <protection locked="0"/>
    </xf>
    <xf numFmtId="3" fontId="16" fillId="4" borderId="0" xfId="1" applyNumberFormat="1" applyFont="1" applyFill="1" applyProtection="1">
      <protection locked="0"/>
    </xf>
    <xf numFmtId="3" fontId="14" fillId="0" borderId="8" xfId="1" quotePrefix="1" applyNumberFormat="1" applyFont="1" applyFill="1" applyBorder="1" applyAlignment="1" applyProtection="1">
      <alignment horizontal="center"/>
      <protection locked="0"/>
    </xf>
    <xf numFmtId="3" fontId="14" fillId="0" borderId="9" xfId="1" quotePrefix="1" applyNumberFormat="1" applyFont="1" applyFill="1" applyBorder="1" applyAlignment="1" applyProtection="1">
      <alignment horizontal="center"/>
      <protection locked="0"/>
    </xf>
    <xf numFmtId="3" fontId="14" fillId="0" borderId="10" xfId="1" quotePrefix="1" applyNumberFormat="1" applyFont="1" applyFill="1" applyBorder="1" applyAlignment="1" applyProtection="1">
      <alignment horizontal="center"/>
      <protection locked="0"/>
    </xf>
    <xf numFmtId="0" fontId="18" fillId="0" borderId="8" xfId="1" applyFont="1" applyBorder="1" applyProtection="1">
      <protection locked="0"/>
    </xf>
    <xf numFmtId="0" fontId="18" fillId="0" borderId="10" xfId="1" applyFont="1" applyBorder="1" applyProtection="1">
      <protection locked="0"/>
    </xf>
    <xf numFmtId="0" fontId="18" fillId="0" borderId="9" xfId="1" applyFont="1" applyBorder="1" applyProtection="1">
      <protection locked="0"/>
    </xf>
    <xf numFmtId="0" fontId="18" fillId="4" borderId="10" xfId="1" applyFont="1" applyFill="1" applyBorder="1" applyProtection="1">
      <protection locked="0"/>
    </xf>
    <xf numFmtId="0" fontId="18" fillId="4" borderId="8" xfId="1" applyFont="1" applyFill="1" applyBorder="1" applyProtection="1">
      <protection locked="0"/>
    </xf>
    <xf numFmtId="0" fontId="18" fillId="4" borderId="9" xfId="1" applyFont="1" applyFill="1" applyBorder="1" applyProtection="1">
      <protection locked="0"/>
    </xf>
    <xf numFmtId="0" fontId="20" fillId="0" borderId="9" xfId="1" applyFont="1" applyBorder="1" applyProtection="1">
      <protection locked="0"/>
    </xf>
    <xf numFmtId="3" fontId="46" fillId="0" borderId="1" xfId="1" applyNumberFormat="1" applyFont="1" applyFill="1" applyBorder="1" applyProtection="1">
      <protection locked="0"/>
    </xf>
    <xf numFmtId="3" fontId="46" fillId="0" borderId="4" xfId="1" applyNumberFormat="1" applyFont="1" applyFill="1" applyBorder="1" applyProtection="1">
      <protection locked="0"/>
    </xf>
    <xf numFmtId="0" fontId="16" fillId="0" borderId="7" xfId="1" applyNumberFormat="1" applyFont="1" applyFill="1" applyBorder="1" applyAlignment="1" applyProtection="1">
      <alignment horizontal="center"/>
      <protection locked="0"/>
    </xf>
    <xf numFmtId="3" fontId="51" fillId="4" borderId="6" xfId="1" applyNumberFormat="1" applyFont="1" applyFill="1" applyBorder="1" applyProtection="1">
      <protection locked="0"/>
    </xf>
    <xf numFmtId="169" fontId="16" fillId="0" borderId="6" xfId="1" applyNumberFormat="1" applyFont="1" applyFill="1" applyBorder="1" applyAlignment="1" applyProtection="1">
      <alignment horizontal="center"/>
      <protection locked="0"/>
    </xf>
    <xf numFmtId="3" fontId="31" fillId="4" borderId="1" xfId="1" applyNumberFormat="1" applyFont="1" applyFill="1" applyBorder="1" applyAlignment="1" applyProtection="1">
      <alignment horizontal="right"/>
      <protection locked="0"/>
    </xf>
    <xf numFmtId="3" fontId="31" fillId="4" borderId="7" xfId="1" applyNumberFormat="1" applyFont="1" applyFill="1" applyBorder="1" applyAlignment="1" applyProtection="1">
      <alignment horizontal="right"/>
      <protection locked="0"/>
    </xf>
    <xf numFmtId="3" fontId="31" fillId="4" borderId="1" xfId="15" applyNumberFormat="1" applyFont="1" applyFill="1" applyBorder="1" applyAlignment="1" applyProtection="1">
      <alignment horizontal="right"/>
      <protection locked="0"/>
    </xf>
    <xf numFmtId="0" fontId="31" fillId="4" borderId="7" xfId="1" applyFont="1" applyFill="1" applyBorder="1" applyAlignment="1" applyProtection="1">
      <alignment horizontal="right"/>
      <protection locked="0"/>
    </xf>
    <xf numFmtId="0" fontId="31" fillId="0" borderId="4" xfId="1" applyFont="1" applyFill="1" applyBorder="1" applyProtection="1">
      <protection locked="0"/>
    </xf>
    <xf numFmtId="3" fontId="31" fillId="4" borderId="4" xfId="1" applyNumberFormat="1" applyFont="1" applyFill="1" applyBorder="1" applyAlignment="1" applyProtection="1">
      <alignment horizontal="right"/>
      <protection locked="0"/>
    </xf>
    <xf numFmtId="3" fontId="31" fillId="4" borderId="3" xfId="1" applyNumberFormat="1" applyFont="1" applyFill="1" applyBorder="1" applyAlignment="1" applyProtection="1">
      <alignment horizontal="right"/>
      <protection locked="0"/>
    </xf>
    <xf numFmtId="3" fontId="31" fillId="4" borderId="4" xfId="15" applyNumberFormat="1" applyFont="1" applyFill="1" applyBorder="1" applyAlignment="1" applyProtection="1">
      <alignment horizontal="right"/>
      <protection locked="0"/>
    </xf>
    <xf numFmtId="0" fontId="31" fillId="4" borderId="3" xfId="1" applyFont="1" applyFill="1" applyBorder="1" applyAlignment="1" applyProtection="1">
      <alignment horizontal="right"/>
      <protection locked="0"/>
    </xf>
    <xf numFmtId="3" fontId="31" fillId="0" borderId="3" xfId="1" applyNumberFormat="1" applyFont="1" applyFill="1" applyBorder="1" applyAlignment="1" applyProtection="1">
      <alignment horizontal="right"/>
      <protection locked="0"/>
    </xf>
    <xf numFmtId="0" fontId="31" fillId="0" borderId="3" xfId="1" applyFont="1" applyBorder="1" applyAlignment="1" applyProtection="1">
      <alignment horizontal="right"/>
      <protection locked="0"/>
    </xf>
    <xf numFmtId="166" fontId="31" fillId="0" borderId="3" xfId="847" applyNumberFormat="1" applyFont="1" applyBorder="1" applyAlignment="1" applyProtection="1">
      <alignment horizontal="right"/>
      <protection locked="0"/>
    </xf>
    <xf numFmtId="3" fontId="31" fillId="10" borderId="3" xfId="1" applyNumberFormat="1" applyFont="1" applyFill="1" applyBorder="1" applyAlignment="1" applyProtection="1">
      <alignment horizontal="right"/>
      <protection locked="0"/>
    </xf>
    <xf numFmtId="170" fontId="31" fillId="0" borderId="3" xfId="847" applyNumberFormat="1" applyFont="1" applyBorder="1" applyAlignment="1" applyProtection="1">
      <alignment horizontal="right"/>
      <protection locked="0"/>
    </xf>
    <xf numFmtId="0" fontId="31" fillId="0" borderId="3" xfId="1" applyFont="1" applyFill="1" applyBorder="1" applyAlignment="1" applyProtection="1">
      <alignment horizontal="right"/>
      <protection locked="0"/>
    </xf>
    <xf numFmtId="166" fontId="31" fillId="4" borderId="4" xfId="847" applyNumberFormat="1" applyFont="1" applyFill="1" applyBorder="1" applyAlignment="1" applyProtection="1">
      <alignment horizontal="right"/>
      <protection locked="0"/>
    </xf>
    <xf numFmtId="166" fontId="31" fillId="4" borderId="3" xfId="847" applyNumberFormat="1" applyFont="1" applyFill="1" applyBorder="1" applyAlignment="1" applyProtection="1">
      <alignment horizontal="right"/>
      <protection locked="0"/>
    </xf>
    <xf numFmtId="0" fontId="20" fillId="0" borderId="0" xfId="1" applyFont="1" applyFill="1" applyProtection="1">
      <protection locked="0"/>
    </xf>
    <xf numFmtId="0" fontId="46" fillId="0" borderId="11" xfId="1" applyFont="1" applyFill="1" applyBorder="1" applyProtection="1">
      <protection locked="0"/>
    </xf>
    <xf numFmtId="3" fontId="46" fillId="4" borderId="6" xfId="1" applyNumberFormat="1" applyFont="1" applyFill="1" applyBorder="1" applyAlignment="1" applyProtection="1">
      <alignment horizontal="right"/>
      <protection locked="0"/>
    </xf>
    <xf numFmtId="0" fontId="50" fillId="0" borderId="0" xfId="1" applyFont="1" applyProtection="1">
      <protection locked="0"/>
    </xf>
    <xf numFmtId="0" fontId="46" fillId="0" borderId="4" xfId="1" applyFont="1" applyFill="1" applyBorder="1" applyProtection="1">
      <protection locked="0"/>
    </xf>
    <xf numFmtId="3" fontId="46" fillId="4" borderId="4" xfId="15" applyNumberFormat="1" applyFont="1" applyFill="1" applyBorder="1" applyAlignment="1" applyProtection="1">
      <alignment horizontal="right"/>
      <protection locked="0"/>
    </xf>
    <xf numFmtId="3" fontId="46" fillId="4" borderId="3" xfId="1" applyNumberFormat="1" applyFont="1" applyFill="1" applyBorder="1" applyAlignment="1" applyProtection="1">
      <alignment horizontal="right"/>
      <protection locked="0"/>
    </xf>
    <xf numFmtId="3" fontId="46" fillId="4" borderId="7" xfId="1" applyNumberFormat="1" applyFont="1" applyFill="1" applyBorder="1" applyAlignment="1" applyProtection="1">
      <alignment horizontal="right"/>
      <protection locked="0"/>
    </xf>
    <xf numFmtId="0" fontId="46" fillId="4" borderId="7" xfId="1" applyFont="1" applyFill="1" applyBorder="1" applyAlignment="1" applyProtection="1">
      <alignment horizontal="right"/>
      <protection locked="0"/>
    </xf>
    <xf numFmtId="0" fontId="46" fillId="4" borderId="15" xfId="1" applyFont="1" applyFill="1" applyBorder="1" applyAlignment="1" applyProtection="1">
      <alignment horizontal="right"/>
      <protection locked="0"/>
    </xf>
    <xf numFmtId="0" fontId="50" fillId="0" borderId="7" xfId="1" applyFont="1" applyBorder="1" applyAlignment="1" applyProtection="1">
      <alignment horizontal="right"/>
      <protection locked="0"/>
    </xf>
    <xf numFmtId="0" fontId="46" fillId="4" borderId="3" xfId="1" applyFont="1" applyFill="1" applyBorder="1" applyAlignment="1" applyProtection="1">
      <alignment horizontal="right"/>
      <protection locked="0"/>
    </xf>
    <xf numFmtId="0" fontId="46" fillId="4" borderId="2" xfId="1" applyFont="1" applyFill="1" applyBorder="1" applyAlignment="1" applyProtection="1">
      <alignment horizontal="right"/>
      <protection locked="0"/>
    </xf>
    <xf numFmtId="0" fontId="50" fillId="0" borderId="3" xfId="1" applyFont="1" applyBorder="1" applyAlignment="1" applyProtection="1">
      <alignment horizontal="right"/>
      <protection locked="0"/>
    </xf>
    <xf numFmtId="0" fontId="31" fillId="4" borderId="2" xfId="1" applyFont="1" applyFill="1" applyBorder="1" applyAlignment="1" applyProtection="1">
      <alignment horizontal="right"/>
      <protection locked="0"/>
    </xf>
    <xf numFmtId="0" fontId="31" fillId="0" borderId="0" xfId="1" applyFont="1" applyProtection="1">
      <protection locked="0"/>
    </xf>
    <xf numFmtId="3" fontId="31" fillId="4" borderId="2" xfId="1" applyNumberFormat="1" applyFont="1" applyFill="1" applyBorder="1" applyAlignment="1" applyProtection="1">
      <alignment horizontal="right"/>
      <protection locked="0"/>
    </xf>
    <xf numFmtId="3" fontId="46" fillId="4" borderId="2" xfId="1" applyNumberFormat="1" applyFont="1" applyFill="1" applyBorder="1" applyAlignment="1" applyProtection="1">
      <alignment horizontal="right"/>
      <protection locked="0"/>
    </xf>
    <xf numFmtId="0" fontId="46" fillId="0" borderId="0" xfId="1" applyFont="1" applyProtection="1">
      <protection locked="0"/>
    </xf>
    <xf numFmtId="3" fontId="46" fillId="4" borderId="11" xfId="15" applyNumberFormat="1" applyFont="1" applyFill="1" applyBorder="1" applyAlignment="1" applyProtection="1">
      <alignment horizontal="right"/>
      <protection locked="0"/>
    </xf>
    <xf numFmtId="0" fontId="46" fillId="4" borderId="6" xfId="1" applyFont="1" applyFill="1" applyBorder="1" applyAlignment="1" applyProtection="1">
      <alignment horizontal="right"/>
      <protection locked="0"/>
    </xf>
    <xf numFmtId="0" fontId="46" fillId="4" borderId="5" xfId="1" applyFont="1" applyFill="1" applyBorder="1" applyAlignment="1" applyProtection="1">
      <alignment horizontal="right"/>
      <protection locked="0"/>
    </xf>
    <xf numFmtId="0" fontId="46" fillId="0" borderId="6" xfId="1" applyFont="1" applyBorder="1" applyAlignment="1" applyProtection="1">
      <alignment horizontal="right"/>
      <protection locked="0"/>
    </xf>
    <xf numFmtId="0" fontId="46" fillId="0" borderId="7" xfId="1" applyFont="1" applyFill="1" applyBorder="1" applyProtection="1">
      <protection locked="0"/>
    </xf>
    <xf numFmtId="3" fontId="46" fillId="4" borderId="1" xfId="14" applyNumberFormat="1" applyFont="1" applyFill="1" applyBorder="1" applyAlignment="1" applyProtection="1">
      <alignment horizontal="right"/>
      <protection locked="0"/>
    </xf>
    <xf numFmtId="3" fontId="46" fillId="4" borderId="1" xfId="1" applyNumberFormat="1" applyFont="1" applyFill="1" applyBorder="1" applyAlignment="1" applyProtection="1">
      <alignment horizontal="right"/>
      <protection locked="0"/>
    </xf>
    <xf numFmtId="0" fontId="46" fillId="4" borderId="1" xfId="1" applyFont="1" applyFill="1" applyBorder="1" applyAlignment="1" applyProtection="1">
      <alignment horizontal="right"/>
      <protection locked="0"/>
    </xf>
    <xf numFmtId="0" fontId="46" fillId="0" borderId="7" xfId="1" applyFont="1" applyBorder="1" applyAlignment="1" applyProtection="1">
      <alignment horizontal="right"/>
      <protection locked="0"/>
    </xf>
    <xf numFmtId="0" fontId="46" fillId="0" borderId="0" xfId="1" applyFont="1" applyFill="1" applyProtection="1">
      <protection locked="0"/>
    </xf>
    <xf numFmtId="0" fontId="31" fillId="0" borderId="0" xfId="1" applyFont="1" applyFill="1" applyProtection="1">
      <protection locked="0"/>
    </xf>
    <xf numFmtId="0" fontId="62" fillId="0" borderId="0" xfId="1" applyFont="1" applyBorder="1" applyProtection="1">
      <protection locked="0"/>
    </xf>
    <xf numFmtId="0" fontId="62" fillId="0" borderId="0" xfId="1" applyFont="1" applyProtection="1">
      <protection locked="0"/>
    </xf>
    <xf numFmtId="0" fontId="71" fillId="0" borderId="0" xfId="1" applyFont="1" applyProtection="1">
      <protection locked="0"/>
    </xf>
    <xf numFmtId="0" fontId="71" fillId="0" borderId="0" xfId="1" applyFont="1" applyBorder="1" applyProtection="1">
      <protection locked="0"/>
    </xf>
    <xf numFmtId="4" fontId="71" fillId="0" borderId="0" xfId="1" applyNumberFormat="1" applyFont="1" applyProtection="1">
      <protection locked="0"/>
    </xf>
    <xf numFmtId="3" fontId="71" fillId="0" borderId="0" xfId="1" applyNumberFormat="1" applyFont="1" applyProtection="1">
      <protection locked="0"/>
    </xf>
    <xf numFmtId="3" fontId="31" fillId="0" borderId="6" xfId="7" applyNumberFormat="1" applyFont="1" applyFill="1" applyBorder="1" applyAlignment="1" applyProtection="1">
      <alignment horizontal="right"/>
      <protection locked="0"/>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Fill="1" applyBorder="1" applyAlignment="1">
      <alignment horizontal="center"/>
    </xf>
    <xf numFmtId="0" fontId="18" fillId="0" borderId="6" xfId="0" applyFont="1" applyFill="1" applyBorder="1"/>
    <xf numFmtId="3" fontId="18" fillId="0" borderId="3" xfId="847" applyNumberFormat="1" applyFont="1" applyBorder="1" applyAlignment="1">
      <alignment horizontal="left"/>
    </xf>
    <xf numFmtId="0" fontId="16" fillId="0" borderId="6" xfId="1" applyFont="1" applyFill="1" applyBorder="1"/>
    <xf numFmtId="3" fontId="18" fillId="0" borderId="3" xfId="847" applyNumberFormat="1" applyFont="1" applyFill="1" applyBorder="1" applyAlignment="1">
      <alignment horizontal="left"/>
    </xf>
    <xf numFmtId="0" fontId="16" fillId="0" borderId="4" xfId="1" applyFont="1" applyFill="1" applyBorder="1"/>
    <xf numFmtId="0" fontId="16" fillId="0" borderId="11" xfId="1" applyFont="1" applyFill="1" applyBorder="1"/>
    <xf numFmtId="0" fontId="46" fillId="2" borderId="3" xfId="0" applyFont="1" applyFill="1" applyBorder="1" applyProtection="1">
      <protection locked="0"/>
    </xf>
    <xf numFmtId="0" fontId="46" fillId="2" borderId="6" xfId="0" applyFont="1" applyFill="1" applyBorder="1" applyProtection="1">
      <protection locked="0"/>
    </xf>
    <xf numFmtId="3" fontId="31" fillId="4" borderId="1" xfId="0" applyNumberFormat="1" applyFont="1" applyFill="1" applyBorder="1" applyAlignment="1" applyProtection="1">
      <alignment horizontal="right"/>
      <protection locked="0"/>
    </xf>
    <xf numFmtId="1" fontId="14" fillId="0" borderId="11" xfId="1" applyNumberFormat="1" applyFont="1" applyBorder="1" applyAlignment="1">
      <alignment horizontal="center"/>
    </xf>
    <xf numFmtId="0" fontId="31" fillId="0" borderId="3" xfId="0" applyFont="1" applyBorder="1" applyAlignment="1" applyProtection="1">
      <alignment horizontal="right"/>
      <protection locked="0"/>
    </xf>
    <xf numFmtId="3" fontId="31" fillId="4" borderId="7" xfId="0" applyNumberFormat="1" applyFont="1" applyFill="1" applyBorder="1" applyAlignment="1" applyProtection="1">
      <alignment horizontal="right"/>
      <protection locked="0"/>
    </xf>
    <xf numFmtId="1" fontId="31" fillId="0" borderId="3" xfId="0" applyNumberFormat="1" applyFont="1" applyBorder="1" applyAlignment="1" applyProtection="1">
      <alignment horizontal="right"/>
      <protection locked="0"/>
    </xf>
    <xf numFmtId="0" fontId="31" fillId="0" borderId="0" xfId="7" applyFont="1" applyProtection="1">
      <protection locked="0"/>
    </xf>
    <xf numFmtId="4"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protection locked="0"/>
    </xf>
    <xf numFmtId="3" fontId="31" fillId="4" borderId="6" xfId="7" applyNumberFormat="1" applyFont="1" applyFill="1" applyBorder="1" applyAlignment="1" applyProtection="1">
      <alignment horizontal="right"/>
      <protection locked="0"/>
    </xf>
    <xf numFmtId="171" fontId="16" fillId="0" borderId="3" xfId="846" applyFont="1" applyBorder="1" applyAlignment="1">
      <alignment horizontal="right"/>
    </xf>
    <xf numFmtId="3" fontId="46" fillId="0" borderId="6" xfId="0" applyNumberFormat="1" applyFont="1" applyFill="1" applyBorder="1" applyAlignment="1" applyProtection="1">
      <alignment horizontal="right"/>
    </xf>
    <xf numFmtId="0" fontId="31" fillId="2" borderId="3" xfId="0" applyFont="1" applyFill="1" applyBorder="1" applyProtection="1">
      <protection locked="0"/>
    </xf>
    <xf numFmtId="0" fontId="31" fillId="2" borderId="6" xfId="0" applyFont="1" applyFill="1" applyBorder="1" applyProtection="1">
      <protection locked="0"/>
    </xf>
    <xf numFmtId="1" fontId="14" fillId="0" borderId="11" xfId="1" applyNumberFormat="1" applyFont="1" applyFill="1" applyBorder="1" applyAlignment="1">
      <alignment horizontal="center"/>
    </xf>
    <xf numFmtId="3" fontId="14" fillId="0" borderId="0" xfId="1" applyNumberFormat="1" applyFont="1" applyFill="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Fill="1" applyBorder="1"/>
    <xf numFmtId="3" fontId="15" fillId="0" borderId="0" xfId="1" applyNumberFormat="1" applyFont="1" applyFill="1" applyBorder="1" applyAlignment="1">
      <alignment horizontal="center"/>
    </xf>
    <xf numFmtId="0" fontId="31" fillId="11" borderId="0" xfId="0" applyFont="1" applyFill="1"/>
    <xf numFmtId="3" fontId="31" fillId="4" borderId="1" xfId="0" applyNumberFormat="1" applyFont="1" applyFill="1" applyBorder="1" applyAlignment="1">
      <alignment horizontal="right"/>
    </xf>
    <xf numFmtId="3" fontId="31" fillId="4" borderId="4" xfId="0" applyNumberFormat="1" applyFont="1" applyFill="1" applyBorder="1" applyAlignment="1">
      <alignment horizontal="right"/>
    </xf>
    <xf numFmtId="3" fontId="31" fillId="4" borderId="3" xfId="0" applyNumberFormat="1" applyFont="1" applyFill="1" applyBorder="1" applyAlignment="1">
      <alignment horizontal="right"/>
    </xf>
    <xf numFmtId="3" fontId="31" fillId="0" borderId="4" xfId="0" applyNumberFormat="1" applyFont="1" applyBorder="1" applyAlignment="1" applyProtection="1">
      <alignment horizontal="right"/>
      <protection locked="0"/>
    </xf>
    <xf numFmtId="0" fontId="42" fillId="0" borderId="0" xfId="7" applyFont="1" applyProtection="1">
      <protection locked="0"/>
    </xf>
    <xf numFmtId="0" fontId="18" fillId="0" borderId="0" xfId="3" applyFont="1" applyAlignment="1">
      <protection locked="0"/>
    </xf>
    <xf numFmtId="0" fontId="20" fillId="0" borderId="0" xfId="7" applyProtection="1">
      <protection locked="0"/>
    </xf>
    <xf numFmtId="165" fontId="20" fillId="0" borderId="0" xfId="7" applyNumberFormat="1" applyProtection="1">
      <protection locked="0"/>
    </xf>
    <xf numFmtId="3" fontId="59" fillId="4" borderId="0" xfId="7" applyNumberFormat="1" applyFont="1" applyFill="1" applyProtection="1">
      <protection locked="0"/>
    </xf>
    <xf numFmtId="14" fontId="14" fillId="0" borderId="7" xfId="7" applyNumberFormat="1" applyFont="1" applyBorder="1" applyAlignment="1" applyProtection="1">
      <alignment horizontal="left"/>
      <protection locked="0"/>
    </xf>
    <xf numFmtId="0" fontId="18" fillId="0" borderId="10" xfId="7" applyFont="1" applyBorder="1" applyProtection="1">
      <protection locked="0"/>
    </xf>
    <xf numFmtId="0" fontId="18" fillId="0" borderId="8" xfId="7" applyFont="1" applyBorder="1" applyProtection="1">
      <protection locked="0"/>
    </xf>
    <xf numFmtId="0" fontId="18" fillId="0" borderId="9" xfId="7" applyFont="1" applyBorder="1" applyProtection="1">
      <protection locked="0"/>
    </xf>
    <xf numFmtId="0" fontId="70" fillId="0" borderId="8" xfId="7" applyFont="1" applyBorder="1" applyAlignment="1" applyProtection="1">
      <alignment horizontal="center"/>
      <protection locked="0"/>
    </xf>
    <xf numFmtId="165" fontId="18" fillId="4" borderId="0" xfId="7" applyNumberFormat="1" applyFont="1" applyFill="1" applyProtection="1">
      <protection locked="0"/>
    </xf>
    <xf numFmtId="0" fontId="18" fillId="4" borderId="0" xfId="7" applyFont="1" applyFill="1" applyProtection="1">
      <protection locked="0"/>
    </xf>
    <xf numFmtId="3" fontId="46" fillId="0" borderId="1" xfId="7" applyNumberFormat="1" applyFont="1" applyBorder="1" applyProtection="1">
      <protection locked="0"/>
    </xf>
    <xf numFmtId="0" fontId="46" fillId="4" borderId="0" xfId="7" applyFont="1" applyFill="1" applyAlignment="1" applyProtection="1">
      <alignment horizontal="center"/>
      <protection locked="0"/>
    </xf>
    <xf numFmtId="3" fontId="46" fillId="0" borderId="4" xfId="7" applyNumberFormat="1" applyFont="1" applyBorder="1" applyProtection="1">
      <protection locked="0"/>
    </xf>
    <xf numFmtId="0" fontId="16" fillId="0" borderId="1" xfId="7" applyFont="1" applyBorder="1" applyAlignment="1" applyProtection="1">
      <alignment horizontal="center"/>
      <protection locked="0"/>
    </xf>
    <xf numFmtId="0" fontId="16" fillId="0" borderId="7" xfId="7" applyFont="1" applyBorder="1" applyAlignment="1" applyProtection="1">
      <alignment horizontal="center"/>
      <protection locked="0"/>
    </xf>
    <xf numFmtId="3" fontId="51" fillId="4" borderId="11" xfId="7" applyNumberFormat="1" applyFont="1" applyFill="1" applyBorder="1" applyProtection="1">
      <protection locked="0"/>
    </xf>
    <xf numFmtId="0" fontId="14" fillId="0" borderId="6" xfId="7" applyFont="1" applyBorder="1" applyAlignment="1" applyProtection="1">
      <alignment horizontal="center"/>
      <protection locked="0"/>
    </xf>
    <xf numFmtId="169" fontId="16" fillId="0" borderId="6" xfId="7" applyNumberFormat="1" applyFont="1" applyBorder="1" applyAlignment="1" applyProtection="1">
      <alignment horizontal="center"/>
      <protection locked="0"/>
    </xf>
    <xf numFmtId="169" fontId="14" fillId="4" borderId="0" xfId="7" applyNumberFormat="1" applyFont="1" applyFill="1" applyAlignment="1" applyProtection="1">
      <alignment horizontal="center"/>
      <protection locked="0"/>
    </xf>
    <xf numFmtId="0" fontId="14" fillId="4" borderId="0" xfId="7" applyFont="1" applyFill="1" applyAlignment="1" applyProtection="1">
      <alignment horizontal="center"/>
      <protection locked="0"/>
    </xf>
    <xf numFmtId="0" fontId="46" fillId="0" borderId="7" xfId="7" applyFont="1" applyBorder="1" applyProtection="1">
      <protection locked="0"/>
    </xf>
    <xf numFmtId="4" fontId="31" fillId="4" borderId="7" xfId="7" applyNumberFormat="1" applyFont="1" applyFill="1" applyBorder="1" applyAlignment="1">
      <alignment horizontal="right"/>
    </xf>
    <xf numFmtId="4" fontId="31" fillId="4" borderId="7" xfId="7" applyNumberFormat="1" applyFont="1" applyFill="1" applyBorder="1" applyAlignment="1" applyProtection="1">
      <alignment horizontal="right"/>
      <protection locked="0"/>
    </xf>
    <xf numFmtId="4" fontId="31" fillId="4" borderId="3" xfId="7" applyNumberFormat="1" applyFont="1" applyFill="1" applyBorder="1" applyAlignment="1">
      <alignment horizontal="right"/>
    </xf>
    <xf numFmtId="4" fontId="31" fillId="4" borderId="4" xfId="7" applyNumberFormat="1" applyFont="1" applyFill="1" applyBorder="1" applyAlignment="1">
      <alignment horizontal="right"/>
    </xf>
    <xf numFmtId="0" fontId="31" fillId="0" borderId="3" xfId="7" applyFont="1" applyBorder="1" applyProtection="1">
      <protection locked="0"/>
    </xf>
    <xf numFmtId="3" fontId="31" fillId="4" borderId="3" xfId="7" applyNumberFormat="1" applyFont="1" applyFill="1" applyBorder="1" applyAlignment="1">
      <alignment horizontal="right"/>
    </xf>
    <xf numFmtId="3" fontId="31" fillId="4" borderId="4" xfId="7" applyNumberFormat="1" applyFont="1" applyFill="1" applyBorder="1" applyAlignment="1">
      <alignment horizontal="right"/>
    </xf>
    <xf numFmtId="0" fontId="31" fillId="0" borderId="6" xfId="7" applyFont="1" applyBorder="1" applyProtection="1">
      <protection locked="0"/>
    </xf>
    <xf numFmtId="3" fontId="31" fillId="4" borderId="6" xfId="7" applyNumberFormat="1" applyFont="1" applyFill="1" applyBorder="1" applyAlignment="1">
      <alignment horizontal="right"/>
    </xf>
    <xf numFmtId="3" fontId="31" fillId="0" borderId="11" xfId="7" applyNumberFormat="1" applyFont="1" applyBorder="1" applyAlignment="1">
      <alignment horizontal="right"/>
    </xf>
    <xf numFmtId="3" fontId="31" fillId="4" borderId="11" xfId="7" applyNumberFormat="1" applyFont="1" applyFill="1" applyBorder="1" applyAlignment="1">
      <alignment horizontal="right"/>
    </xf>
    <xf numFmtId="0" fontId="31" fillId="0" borderId="3" xfId="0" applyFont="1" applyBorder="1" applyAlignment="1">
      <alignment horizontal="right"/>
    </xf>
    <xf numFmtId="0" fontId="14" fillId="0" borderId="6" xfId="0" applyFont="1" applyBorder="1" applyAlignment="1" applyProtection="1">
      <alignment horizontal="center"/>
      <protection locked="0"/>
    </xf>
    <xf numFmtId="0" fontId="14" fillId="0" borderId="11" xfId="0" applyFont="1" applyBorder="1" applyAlignment="1" applyProtection="1">
      <alignment horizontal="center"/>
      <protection locked="0"/>
    </xf>
    <xf numFmtId="0" fontId="14" fillId="0" borderId="6" xfId="0" applyFont="1" applyFill="1" applyBorder="1" applyAlignment="1" applyProtection="1">
      <alignment horizontal="center"/>
      <protection locked="0"/>
    </xf>
    <xf numFmtId="3" fontId="31" fillId="4" borderId="0" xfId="0" applyNumberFormat="1" applyFont="1" applyFill="1" applyAlignment="1">
      <alignment horizontal="right"/>
    </xf>
    <xf numFmtId="3" fontId="31" fillId="4" borderId="0" xfId="0" applyNumberFormat="1" applyFont="1" applyFill="1" applyAlignment="1" applyProtection="1">
      <alignment horizontal="right"/>
      <protection locked="0"/>
    </xf>
    <xf numFmtId="3" fontId="61" fillId="4" borderId="3" xfId="0" applyNumberFormat="1" applyFont="1" applyFill="1" applyBorder="1" applyAlignment="1">
      <alignment horizontal="right"/>
    </xf>
    <xf numFmtId="3" fontId="46" fillId="4" borderId="3" xfId="0" applyNumberFormat="1" applyFont="1" applyFill="1" applyBorder="1" applyAlignment="1">
      <alignment horizontal="right"/>
    </xf>
    <xf numFmtId="3" fontId="31" fillId="4" borderId="7" xfId="0" applyNumberFormat="1" applyFont="1" applyFill="1" applyBorder="1" applyAlignment="1">
      <alignment horizontal="right"/>
    </xf>
    <xf numFmtId="1" fontId="31" fillId="0" borderId="3" xfId="0" applyNumberFormat="1" applyFont="1" applyBorder="1" applyAlignment="1">
      <alignment horizontal="right"/>
    </xf>
    <xf numFmtId="3" fontId="46" fillId="4" borderId="4" xfId="15" applyNumberFormat="1" applyFont="1" applyFill="1" applyBorder="1" applyAlignment="1" applyProtection="1">
      <alignment horizontal="right"/>
    </xf>
    <xf numFmtId="3" fontId="31" fillId="4" borderId="4" xfId="15" applyNumberFormat="1" applyFont="1" applyFill="1" applyBorder="1" applyAlignment="1" applyProtection="1">
      <alignment horizontal="right"/>
    </xf>
    <xf numFmtId="3" fontId="46" fillId="4" borderId="11" xfId="15" applyNumberFormat="1" applyFont="1" applyFill="1" applyBorder="1" applyAlignment="1" applyProtection="1">
      <alignment horizontal="right"/>
    </xf>
    <xf numFmtId="3" fontId="46" fillId="4" borderId="1" xfId="15" applyNumberFormat="1" applyFont="1" applyFill="1" applyBorder="1" applyAlignment="1" applyProtection="1">
      <alignment horizontal="right"/>
      <protection locked="0"/>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166" fontId="31" fillId="0" borderId="3" xfId="847" applyNumberFormat="1" applyFont="1" applyBorder="1" applyAlignment="1" applyProtection="1">
      <alignment horizontal="right"/>
    </xf>
    <xf numFmtId="166" fontId="31" fillId="4" borderId="4" xfId="847" applyNumberFormat="1" applyFont="1" applyFill="1" applyBorder="1" applyAlignment="1" applyProtection="1">
      <alignment horizontal="right"/>
    </xf>
    <xf numFmtId="166" fontId="31" fillId="4" borderId="3" xfId="847" applyNumberFormat="1" applyFont="1" applyFill="1" applyBorder="1" applyAlignment="1" applyProtection="1">
      <alignment horizontal="right"/>
    </xf>
    <xf numFmtId="170" fontId="31" fillId="0" borderId="3" xfId="847" applyNumberFormat="1" applyFont="1" applyBorder="1" applyAlignment="1" applyProtection="1">
      <alignment horizontal="right"/>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4" fontId="31" fillId="4" borderId="3" xfId="7" applyNumberFormat="1" applyFont="1" applyFill="1" applyBorder="1" applyAlignment="1" applyProtection="1">
      <alignment horizontal="right"/>
    </xf>
    <xf numFmtId="4"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xf>
    <xf numFmtId="3" fontId="31" fillId="4" borderId="6" xfId="7" applyNumberFormat="1" applyFont="1" applyFill="1" applyBorder="1" applyAlignment="1" applyProtection="1">
      <alignment horizontal="right"/>
    </xf>
    <xf numFmtId="3" fontId="31" fillId="4" borderId="6" xfId="7" applyNumberFormat="1" applyFont="1" applyFill="1" applyBorder="1" applyAlignment="1" applyProtection="1">
      <alignment horizontal="right"/>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3" fontId="31" fillId="4" borderId="1" xfId="15" applyNumberFormat="1" applyFont="1" applyFill="1" applyBorder="1" applyAlignment="1" applyProtection="1">
      <alignment horizontal="right"/>
    </xf>
    <xf numFmtId="3" fontId="31" fillId="4" borderId="4" xfId="847" applyNumberFormat="1" applyFont="1" applyFill="1" applyBorder="1" applyAlignment="1" applyProtection="1">
      <alignment horizontal="right"/>
    </xf>
    <xf numFmtId="3" fontId="31" fillId="0" borderId="4" xfId="847" applyNumberFormat="1" applyFont="1" applyBorder="1" applyAlignment="1" applyProtection="1">
      <alignment horizontal="right"/>
    </xf>
    <xf numFmtId="3" fontId="31" fillId="0" borderId="4" xfId="847" applyNumberFormat="1" applyFont="1" applyFill="1" applyBorder="1" applyAlignment="1" applyProtection="1">
      <alignment horizontal="right"/>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0" fontId="57" fillId="0" borderId="0" xfId="0" applyFont="1" applyFill="1"/>
    <xf numFmtId="165" fontId="75" fillId="7" borderId="3" xfId="844" applyNumberFormat="1" applyFont="1" applyBorder="1" applyAlignment="1">
      <alignment horizontal="right"/>
    </xf>
    <xf numFmtId="3" fontId="18" fillId="0" borderId="8" xfId="1" applyNumberFormat="1" applyFont="1" applyFill="1" applyBorder="1"/>
    <xf numFmtId="3" fontId="31" fillId="0" borderId="11" xfId="0" applyNumberFormat="1" applyFont="1" applyFill="1" applyBorder="1"/>
    <xf numFmtId="3" fontId="16" fillId="0" borderId="6" xfId="1" applyNumberFormat="1" applyFont="1" applyFill="1" applyBorder="1"/>
    <xf numFmtId="3" fontId="16" fillId="0" borderId="11" xfId="1" applyNumberFormat="1" applyFont="1" applyFill="1" applyBorder="1"/>
    <xf numFmtId="165" fontId="52" fillId="0" borderId="3" xfId="0" applyNumberFormat="1" applyFont="1" applyBorder="1"/>
    <xf numFmtId="173" fontId="20" fillId="0" borderId="0" xfId="0" applyNumberFormat="1" applyFont="1" applyProtection="1">
      <protection locked="0"/>
    </xf>
    <xf numFmtId="173" fontId="0" fillId="0" borderId="0" xfId="0" applyNumberFormat="1" applyProtection="1">
      <protection locked="0"/>
    </xf>
    <xf numFmtId="14" fontId="31" fillId="0" borderId="0" xfId="1" applyNumberFormat="1" applyFont="1" applyAlignment="1">
      <alignment horizontal="center"/>
    </xf>
    <xf numFmtId="0" fontId="16" fillId="8" borderId="0" xfId="0" applyFont="1" applyFill="1" applyBorder="1" applyAlignment="1">
      <alignment horizontal="center"/>
    </xf>
    <xf numFmtId="0" fontId="16" fillId="8" borderId="2" xfId="0" applyFont="1" applyFill="1" applyBorder="1" applyAlignment="1">
      <alignment horizontal="center"/>
    </xf>
    <xf numFmtId="0" fontId="46" fillId="0" borderId="12" xfId="0" applyFont="1" applyBorder="1" applyAlignment="1">
      <alignment horizontal="left"/>
    </xf>
    <xf numFmtId="0" fontId="46" fillId="0" borderId="10" xfId="0" applyFont="1" applyBorder="1" applyAlignment="1">
      <alignment horizontal="center"/>
    </xf>
    <xf numFmtId="0" fontId="46" fillId="0" borderId="8" xfId="0" applyFont="1" applyBorder="1" applyAlignment="1">
      <alignment horizontal="center"/>
    </xf>
    <xf numFmtId="0" fontId="46" fillId="0" borderId="9" xfId="0" applyFont="1" applyBorder="1" applyAlignment="1">
      <alignment horizontal="center"/>
    </xf>
    <xf numFmtId="0" fontId="16" fillId="8" borderId="4" xfId="0" applyFont="1" applyFill="1" applyBorder="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0" fontId="46" fillId="0" borderId="1" xfId="0" applyFont="1" applyBorder="1" applyAlignment="1">
      <alignment horizontal="center"/>
    </xf>
    <xf numFmtId="14" fontId="14" fillId="0" borderId="11" xfId="0" applyNumberFormat="1" applyFont="1" applyFill="1" applyBorder="1" applyAlignment="1">
      <alignment horizontal="center"/>
    </xf>
    <xf numFmtId="14" fontId="14" fillId="0" borderId="12" xfId="0" applyNumberFormat="1" applyFont="1" applyFill="1" applyBorder="1" applyAlignment="1">
      <alignment horizontal="center"/>
    </xf>
    <xf numFmtId="14" fontId="14" fillId="0" borderId="5" xfId="0" applyNumberFormat="1" applyFont="1" applyFill="1" applyBorder="1" applyAlignment="1">
      <alignment horizontal="center"/>
    </xf>
    <xf numFmtId="3" fontId="46" fillId="0" borderId="11" xfId="0" applyNumberFormat="1" applyFont="1" applyBorder="1" applyAlignment="1">
      <alignment horizontal="center"/>
    </xf>
    <xf numFmtId="3" fontId="46" fillId="0" borderId="12" xfId="0" applyNumberFormat="1" applyFont="1" applyBorder="1" applyAlignment="1">
      <alignment horizontal="center"/>
    </xf>
    <xf numFmtId="3" fontId="46" fillId="0" borderId="5" xfId="0" applyNumberFormat="1" applyFont="1" applyBorder="1" applyAlignment="1">
      <alignment horizontal="center"/>
    </xf>
    <xf numFmtId="0" fontId="16" fillId="0" borderId="10" xfId="1" applyFont="1" applyBorder="1" applyAlignment="1">
      <alignment horizontal="center"/>
    </xf>
    <xf numFmtId="0" fontId="16" fillId="0" borderId="8" xfId="1" applyFont="1" applyBorder="1" applyAlignment="1">
      <alignment horizontal="center"/>
    </xf>
    <xf numFmtId="0" fontId="16" fillId="0" borderId="9" xfId="1" applyFont="1" applyBorder="1" applyAlignment="1">
      <alignment horizontal="center"/>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12" xfId="1" applyNumberFormat="1" applyFont="1" applyBorder="1" applyAlignment="1">
      <alignment horizontal="center"/>
    </xf>
    <xf numFmtId="3" fontId="14" fillId="0" borderId="14" xfId="1" applyNumberFormat="1" applyFont="1" applyFill="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1" xfId="1" applyNumberFormat="1" applyFont="1" applyFill="1" applyBorder="1" applyAlignment="1" applyProtection="1">
      <alignment horizontal="center"/>
      <protection locked="0"/>
    </xf>
    <xf numFmtId="0" fontId="46" fillId="0" borderId="12" xfId="1" applyNumberFormat="1" applyFont="1" applyFill="1" applyBorder="1" applyAlignment="1" applyProtection="1">
      <alignment horizontal="center"/>
      <protection locked="0"/>
    </xf>
    <xf numFmtId="0" fontId="46" fillId="0" borderId="5" xfId="1" applyNumberFormat="1" applyFont="1" applyFill="1" applyBorder="1" applyAlignment="1" applyProtection="1">
      <alignment horizontal="center"/>
      <protection locked="0"/>
    </xf>
    <xf numFmtId="0" fontId="46" fillId="0" borderId="1" xfId="1" applyFont="1" applyFill="1" applyBorder="1" applyAlignment="1" applyProtection="1">
      <alignment horizontal="center"/>
      <protection locked="0"/>
    </xf>
    <xf numFmtId="0" fontId="46" fillId="0" borderId="14" xfId="1" applyFont="1" applyFill="1" applyBorder="1" applyAlignment="1" applyProtection="1">
      <alignment horizontal="center"/>
      <protection locked="0"/>
    </xf>
    <xf numFmtId="0" fontId="46" fillId="0" borderId="15" xfId="1" applyFont="1" applyFill="1" applyBorder="1" applyAlignment="1" applyProtection="1">
      <alignment horizontal="center"/>
      <protection locked="0"/>
    </xf>
    <xf numFmtId="0" fontId="46" fillId="0" borderId="11" xfId="1" applyFont="1" applyFill="1" applyBorder="1" applyAlignment="1" applyProtection="1">
      <alignment horizontal="center"/>
      <protection locked="0"/>
    </xf>
    <xf numFmtId="0" fontId="46" fillId="0" borderId="12" xfId="1" applyFont="1" applyFill="1" applyBorder="1" applyAlignment="1" applyProtection="1">
      <alignment horizontal="center"/>
      <protection locked="0"/>
    </xf>
    <xf numFmtId="0" fontId="46" fillId="0" borderId="5" xfId="1" applyFont="1" applyFill="1" applyBorder="1" applyAlignment="1" applyProtection="1">
      <alignment horizontal="center"/>
      <protection locked="0"/>
    </xf>
    <xf numFmtId="0" fontId="46" fillId="0" borderId="11" xfId="0" applyNumberFormat="1" applyFont="1" applyFill="1" applyBorder="1" applyAlignment="1" applyProtection="1">
      <alignment horizontal="center"/>
      <protection locked="0"/>
    </xf>
    <xf numFmtId="0" fontId="46" fillId="0" borderId="12" xfId="0" applyNumberFormat="1" applyFont="1" applyFill="1" applyBorder="1" applyAlignment="1" applyProtection="1">
      <alignment horizontal="center"/>
      <protection locked="0"/>
    </xf>
    <xf numFmtId="0" fontId="46" fillId="0" borderId="5" xfId="0" applyNumberFormat="1" applyFont="1" applyFill="1" applyBorder="1" applyAlignment="1" applyProtection="1">
      <alignment horizontal="center"/>
      <protection locked="0"/>
    </xf>
    <xf numFmtId="0" fontId="46" fillId="4" borderId="0" xfId="0"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4" borderId="0" xfId="7" applyFont="1" applyFill="1" applyAlignment="1" applyProtection="1">
      <alignment horizontal="center"/>
      <protection locked="0"/>
    </xf>
    <xf numFmtId="0" fontId="46" fillId="0" borderId="11" xfId="7" applyFont="1" applyFill="1" applyBorder="1" applyAlignment="1" applyProtection="1">
      <alignment horizontal="center"/>
      <protection locked="0"/>
    </xf>
    <xf numFmtId="0" fontId="46" fillId="0" borderId="12" xfId="7" applyFont="1" applyFill="1" applyBorder="1" applyAlignment="1" applyProtection="1">
      <alignment horizontal="center"/>
      <protection locked="0"/>
    </xf>
    <xf numFmtId="0" fontId="46" fillId="0" borderId="5" xfId="7" applyFont="1" applyFill="1" applyBorder="1" applyAlignment="1" applyProtection="1">
      <alignment horizontal="center"/>
      <protection locked="0"/>
    </xf>
    <xf numFmtId="0" fontId="46" fillId="0" borderId="11" xfId="7" applyFont="1" applyBorder="1" applyAlignment="1" applyProtection="1">
      <alignment horizontal="center"/>
      <protection locked="0"/>
    </xf>
    <xf numFmtId="0" fontId="46" fillId="0" borderId="12" xfId="7" applyFont="1" applyBorder="1" applyAlignment="1" applyProtection="1">
      <alignment horizontal="center"/>
      <protection locked="0"/>
    </xf>
    <xf numFmtId="0" fontId="46" fillId="0" borderId="5" xfId="7" applyFont="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0" fontId="46" fillId="0" borderId="1" xfId="7" applyFont="1" applyBorder="1" applyAlignment="1" applyProtection="1">
      <alignment horizontal="center"/>
      <protection locked="0"/>
    </xf>
    <xf numFmtId="0" fontId="46" fillId="0" borderId="14" xfId="7" applyFont="1" applyBorder="1" applyAlignment="1" applyProtection="1">
      <alignment horizontal="center"/>
      <protection locked="0"/>
    </xf>
    <xf numFmtId="0" fontId="46" fillId="0" borderId="15" xfId="7" applyFont="1" applyBorder="1" applyAlignment="1" applyProtection="1">
      <alignment horizontal="center"/>
      <protection locked="0"/>
    </xf>
  </cellXfs>
  <cellStyles count="851">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Komma 2 3" xfId="849" xr:uid="{0D7BB789-C0BC-4F58-B366-11FD845789ED}"/>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9" xfId="117" xr:uid="{00000000-0005-0000-0000-000091000000}"/>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27" xfId="850" xr:uid="{ED50C316-25E5-4ED7-8355-A3104735F1B2}"/>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Tusenskille 2" xfId="14" xr:uid="{00000000-0005-0000-0000-00003C020000}"/>
    <cellStyle name="Tusenskille 2 2" xfId="15" xr:uid="{00000000-0005-0000-0000-00003D020000}"/>
    <cellStyle name="Tusenskille 2 2 2" xfId="751" xr:uid="{00000000-0005-0000-0000-00003E020000}"/>
    <cellStyle name="Tusenskille 2 2 3" xfId="848"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167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onnections" Target="connection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47" Type="http://schemas.openxmlformats.org/officeDocument/2006/relationships/customXml" Target="../customXml/item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46"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Figurer!$M$8</c:f>
              <c:strCache>
                <c:ptCount val="1"/>
                <c:pt idx="0">
                  <c:v>2019</c:v>
                </c:pt>
              </c:strCache>
            </c:strRef>
          </c:tx>
          <c:invertIfNegative val="0"/>
          <c:cat>
            <c:strRef>
              <c:f>Figurer!$L$9:$L$31</c:f>
              <c:strCache>
                <c:ptCount val="23"/>
                <c:pt idx="0">
                  <c:v>Danica Pensjon</c:v>
                </c:pt>
                <c:pt idx="1">
                  <c:v>DNB Liv</c:v>
                </c:pt>
                <c:pt idx="2">
                  <c:v>Eika Forsikring</c:v>
                </c:pt>
                <c:pt idx="3">
                  <c:v>Fremtind Livsfors</c:v>
                </c:pt>
                <c:pt idx="4">
                  <c:v>Frende Livsfors</c:v>
                </c:pt>
                <c:pt idx="5">
                  <c:v>Frende Skade</c:v>
                </c:pt>
                <c:pt idx="6">
                  <c:v>Gjensidige Fors</c:v>
                </c:pt>
                <c:pt idx="7">
                  <c:v>Gjensidige Pensj</c:v>
                </c:pt>
                <c:pt idx="8">
                  <c:v>Handelsb Liv</c:v>
                </c:pt>
                <c:pt idx="9">
                  <c:v>If Skadefors</c:v>
                </c:pt>
                <c:pt idx="10">
                  <c:v>Insr</c:v>
                </c:pt>
                <c:pt idx="11">
                  <c:v>KLP</c:v>
                </c:pt>
                <c:pt idx="12">
                  <c:v>KLP Bedriftsp</c:v>
                </c:pt>
                <c:pt idx="13">
                  <c:v>KLP Skadef</c:v>
                </c:pt>
                <c:pt idx="14">
                  <c:v>Landkreditt Fors.</c:v>
                </c:pt>
                <c:pt idx="15">
                  <c:v>Nordea Liv</c:v>
                </c:pt>
                <c:pt idx="16">
                  <c:v>OPF</c:v>
                </c:pt>
                <c:pt idx="17">
                  <c:v>Protector Fors</c:v>
                </c:pt>
                <c:pt idx="18">
                  <c:v>SpareBank 1</c:v>
                </c:pt>
                <c:pt idx="19">
                  <c:v>Storebrand </c:v>
                </c:pt>
                <c:pt idx="20">
                  <c:v>Telenor Fors</c:v>
                </c:pt>
                <c:pt idx="21">
                  <c:v>Tryg Fors</c:v>
                </c:pt>
                <c:pt idx="22">
                  <c:v>WaterCircles Fors.</c:v>
                </c:pt>
              </c:strCache>
            </c:strRef>
          </c:cat>
          <c:val>
            <c:numRef>
              <c:f>Figurer!$M$9:$M$31</c:f>
              <c:numCache>
                <c:formatCode>#,##0</c:formatCode>
                <c:ptCount val="23"/>
                <c:pt idx="0">
                  <c:v>211735.83299999998</c:v>
                </c:pt>
                <c:pt idx="1">
                  <c:v>2712593.4569999999</c:v>
                </c:pt>
                <c:pt idx="2">
                  <c:v>185587</c:v>
                </c:pt>
                <c:pt idx="3">
                  <c:v>0</c:v>
                </c:pt>
                <c:pt idx="4">
                  <c:v>491921</c:v>
                </c:pt>
                <c:pt idx="5">
                  <c:v>1977</c:v>
                </c:pt>
                <c:pt idx="6">
                  <c:v>1200340</c:v>
                </c:pt>
                <c:pt idx="7">
                  <c:v>350587.6</c:v>
                </c:pt>
                <c:pt idx="8">
                  <c:v>18102</c:v>
                </c:pt>
                <c:pt idx="9">
                  <c:v>278836.821</c:v>
                </c:pt>
                <c:pt idx="10">
                  <c:v>9667.0010000000002</c:v>
                </c:pt>
                <c:pt idx="11">
                  <c:v>21744313.454720002</c:v>
                </c:pt>
                <c:pt idx="12">
                  <c:v>47990</c:v>
                </c:pt>
                <c:pt idx="13">
                  <c:v>154391</c:v>
                </c:pt>
                <c:pt idx="14">
                  <c:v>26907</c:v>
                </c:pt>
                <c:pt idx="15">
                  <c:v>924775.23482409364</c:v>
                </c:pt>
                <c:pt idx="16">
                  <c:v>1806904</c:v>
                </c:pt>
                <c:pt idx="17">
                  <c:v>254608.63609938539</c:v>
                </c:pt>
                <c:pt idx="18">
                  <c:v>1574350.09069</c:v>
                </c:pt>
                <c:pt idx="19">
                  <c:v>3421913.84</c:v>
                </c:pt>
                <c:pt idx="20">
                  <c:v>0</c:v>
                </c:pt>
                <c:pt idx="21">
                  <c:v>543064</c:v>
                </c:pt>
                <c:pt idx="22">
                  <c:v>0</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2020</c:v>
                </c:pt>
              </c:strCache>
            </c:strRef>
          </c:tx>
          <c:invertIfNegative val="0"/>
          <c:cat>
            <c:strRef>
              <c:f>Figurer!$L$9:$L$31</c:f>
              <c:strCache>
                <c:ptCount val="23"/>
                <c:pt idx="0">
                  <c:v>Danica Pensjon</c:v>
                </c:pt>
                <c:pt idx="1">
                  <c:v>DNB Liv</c:v>
                </c:pt>
                <c:pt idx="2">
                  <c:v>Eika Forsikring</c:v>
                </c:pt>
                <c:pt idx="3">
                  <c:v>Fremtind Livsfors</c:v>
                </c:pt>
                <c:pt idx="4">
                  <c:v>Frende Livsfors</c:v>
                </c:pt>
                <c:pt idx="5">
                  <c:v>Frende Skade</c:v>
                </c:pt>
                <c:pt idx="6">
                  <c:v>Gjensidige Fors</c:v>
                </c:pt>
                <c:pt idx="7">
                  <c:v>Gjensidige Pensj</c:v>
                </c:pt>
                <c:pt idx="8">
                  <c:v>Handelsb Liv</c:v>
                </c:pt>
                <c:pt idx="9">
                  <c:v>If Skadefors</c:v>
                </c:pt>
                <c:pt idx="10">
                  <c:v>Insr</c:v>
                </c:pt>
                <c:pt idx="11">
                  <c:v>KLP</c:v>
                </c:pt>
                <c:pt idx="12">
                  <c:v>KLP Bedriftsp</c:v>
                </c:pt>
                <c:pt idx="13">
                  <c:v>KLP Skadef</c:v>
                </c:pt>
                <c:pt idx="14">
                  <c:v>Landkreditt Fors.</c:v>
                </c:pt>
                <c:pt idx="15">
                  <c:v>Nordea Liv</c:v>
                </c:pt>
                <c:pt idx="16">
                  <c:v>OPF</c:v>
                </c:pt>
                <c:pt idx="17">
                  <c:v>Protector Fors</c:v>
                </c:pt>
                <c:pt idx="18">
                  <c:v>SpareBank 1</c:v>
                </c:pt>
                <c:pt idx="19">
                  <c:v>Storebrand </c:v>
                </c:pt>
                <c:pt idx="20">
                  <c:v>Telenor Fors</c:v>
                </c:pt>
                <c:pt idx="21">
                  <c:v>Tryg Fors</c:v>
                </c:pt>
                <c:pt idx="22">
                  <c:v>WaterCircles Fors.</c:v>
                </c:pt>
              </c:strCache>
            </c:strRef>
          </c:cat>
          <c:val>
            <c:numRef>
              <c:f>Figurer!$N$9:$N$31</c:f>
              <c:numCache>
                <c:formatCode>#,##0</c:formatCode>
                <c:ptCount val="23"/>
                <c:pt idx="0">
                  <c:v>216417.99</c:v>
                </c:pt>
                <c:pt idx="1">
                  <c:v>2034045.9950000001</c:v>
                </c:pt>
                <c:pt idx="2">
                  <c:v>196946</c:v>
                </c:pt>
                <c:pt idx="3">
                  <c:v>1494137.5873699998</c:v>
                </c:pt>
                <c:pt idx="4">
                  <c:v>505403</c:v>
                </c:pt>
                <c:pt idx="5">
                  <c:v>622.01300000000003</c:v>
                </c:pt>
                <c:pt idx="6">
                  <c:v>1264393</c:v>
                </c:pt>
                <c:pt idx="7">
                  <c:v>362148.4</c:v>
                </c:pt>
                <c:pt idx="8">
                  <c:v>17644.029899999998</c:v>
                </c:pt>
                <c:pt idx="9">
                  <c:v>301902.74099999998</c:v>
                </c:pt>
                <c:pt idx="10">
                  <c:v>8168</c:v>
                </c:pt>
                <c:pt idx="11">
                  <c:v>14225527.382959999</c:v>
                </c:pt>
                <c:pt idx="12">
                  <c:v>50104</c:v>
                </c:pt>
                <c:pt idx="13">
                  <c:v>173861.997</c:v>
                </c:pt>
                <c:pt idx="14">
                  <c:v>36699</c:v>
                </c:pt>
                <c:pt idx="15">
                  <c:v>903440.00756638078</c:v>
                </c:pt>
                <c:pt idx="16">
                  <c:v>1571000</c:v>
                </c:pt>
                <c:pt idx="17">
                  <c:v>263606.18193381856</c:v>
                </c:pt>
                <c:pt idx="18">
                  <c:v>405824.04193999991</c:v>
                </c:pt>
                <c:pt idx="19">
                  <c:v>3394274.7289999998</c:v>
                </c:pt>
                <c:pt idx="20">
                  <c:v>0</c:v>
                </c:pt>
                <c:pt idx="21">
                  <c:v>558832.35693999997</c:v>
                </c:pt>
                <c:pt idx="22">
                  <c:v>1120</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Figurer!$M$37</c:f>
              <c:strCache>
                <c:ptCount val="1"/>
                <c:pt idx="0">
                  <c:v>2019</c:v>
                </c:pt>
              </c:strCache>
            </c:strRef>
          </c:tx>
          <c:invertIfNegative val="0"/>
          <c:cat>
            <c:strRef>
              <c:f>Figurer!$L$38:$L$47</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Figurer!$M$38:$M$47</c:f>
              <c:numCache>
                <c:formatCode>#,##0</c:formatCode>
                <c:ptCount val="10"/>
                <c:pt idx="0">
                  <c:v>974428.50600000005</c:v>
                </c:pt>
                <c:pt idx="1">
                  <c:v>4802393.8430000003</c:v>
                </c:pt>
                <c:pt idx="2">
                  <c:v>196043</c:v>
                </c:pt>
                <c:pt idx="3">
                  <c:v>1561713.2</c:v>
                </c:pt>
                <c:pt idx="4">
                  <c:v>89130.341</c:v>
                </c:pt>
                <c:pt idx="5">
                  <c:v>267105</c:v>
                </c:pt>
                <c:pt idx="6">
                  <c:v>5841396.8032999998</c:v>
                </c:pt>
                <c:pt idx="7">
                  <c:v>69806.938299999994</c:v>
                </c:pt>
                <c:pt idx="8">
                  <c:v>2141160.6392800002</c:v>
                </c:pt>
                <c:pt idx="9">
                  <c:v>5450501.3129999992</c:v>
                </c:pt>
              </c:numCache>
            </c:numRef>
          </c:val>
          <c:extLst>
            <c:ext xmlns:c16="http://schemas.microsoft.com/office/drawing/2014/chart" uri="{C3380CC4-5D6E-409C-BE32-E72D297353CC}">
              <c16:uniqueId val="{00000000-3971-4F9A-B5A3-CF52C774B823}"/>
            </c:ext>
          </c:extLst>
        </c:ser>
        <c:ser>
          <c:idx val="1"/>
          <c:order val="1"/>
          <c:tx>
            <c:strRef>
              <c:f>Figurer!$N$37</c:f>
              <c:strCache>
                <c:ptCount val="1"/>
                <c:pt idx="0">
                  <c:v>2020</c:v>
                </c:pt>
              </c:strCache>
            </c:strRef>
          </c:tx>
          <c:invertIfNegative val="0"/>
          <c:cat>
            <c:strRef>
              <c:f>Figurer!$L$38:$L$47</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Figurer!$N$38:$N$47</c:f>
              <c:numCache>
                <c:formatCode>#,##0</c:formatCode>
                <c:ptCount val="10"/>
                <c:pt idx="0">
                  <c:v>1049553.1030000001</c:v>
                </c:pt>
                <c:pt idx="1">
                  <c:v>4882926.4189999998</c:v>
                </c:pt>
                <c:pt idx="2">
                  <c:v>211959</c:v>
                </c:pt>
                <c:pt idx="3">
                  <c:v>1579911</c:v>
                </c:pt>
                <c:pt idx="4">
                  <c:v>32970.711000000003</c:v>
                </c:pt>
                <c:pt idx="5">
                  <c:v>310599</c:v>
                </c:pt>
                <c:pt idx="6">
                  <c:v>5863550.9649199992</c:v>
                </c:pt>
                <c:pt idx="7">
                  <c:v>67197.383550000013</c:v>
                </c:pt>
                <c:pt idx="8">
                  <c:v>2338484.3714999999</c:v>
                </c:pt>
                <c:pt idx="9">
                  <c:v>6396691.7459999993</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Figurer!$M$58</c:f>
              <c:strCache>
                <c:ptCount val="1"/>
                <c:pt idx="0">
                  <c:v>2019</c:v>
                </c:pt>
              </c:strCache>
            </c:strRef>
          </c:tx>
          <c:invertIfNegative val="0"/>
          <c:cat>
            <c:strRef>
              <c:f>Figurer!$L$59:$L$79</c:f>
              <c:strCache>
                <c:ptCount val="21"/>
                <c:pt idx="0">
                  <c:v>Danica Pensjon</c:v>
                </c:pt>
                <c:pt idx="1">
                  <c:v>DNB Liv</c:v>
                </c:pt>
                <c:pt idx="2">
                  <c:v>Eika Forsikring</c:v>
                </c:pt>
                <c:pt idx="3">
                  <c:v>Fremtind Livsfors</c:v>
                </c:pt>
                <c:pt idx="4">
                  <c:v>Frende Livsfors</c:v>
                </c:pt>
                <c:pt idx="5">
                  <c:v>Frende Skadefors</c:v>
                </c:pt>
                <c:pt idx="6">
                  <c:v>Gjensidige Fors</c:v>
                </c:pt>
                <c:pt idx="7">
                  <c:v>Gjensidige Pensj</c:v>
                </c:pt>
                <c:pt idx="8">
                  <c:v>Handelsb Liv</c:v>
                </c:pt>
                <c:pt idx="9">
                  <c:v>If Skadefors</c:v>
                </c:pt>
                <c:pt idx="10">
                  <c:v>Insr</c:v>
                </c:pt>
                <c:pt idx="11">
                  <c:v>KLP</c:v>
                </c:pt>
                <c:pt idx="12">
                  <c:v>KLP Bedriftsp</c:v>
                </c:pt>
                <c:pt idx="13">
                  <c:v>KLP Skadef</c:v>
                </c:pt>
                <c:pt idx="14">
                  <c:v>Landkreditt Fors</c:v>
                </c:pt>
                <c:pt idx="15">
                  <c:v>Nordea Liv</c:v>
                </c:pt>
                <c:pt idx="16">
                  <c:v>OPF</c:v>
                </c:pt>
                <c:pt idx="17">
                  <c:v>Protector Fors</c:v>
                </c:pt>
                <c:pt idx="18">
                  <c:v>SpareBank 1</c:v>
                </c:pt>
                <c:pt idx="19">
                  <c:v>Storebrand </c:v>
                </c:pt>
                <c:pt idx="20">
                  <c:v>WaterCicles Fors.</c:v>
                </c:pt>
              </c:strCache>
            </c:strRef>
          </c:cat>
          <c:val>
            <c:numRef>
              <c:f>Figurer!$M$59:$M$79</c:f>
              <c:numCache>
                <c:formatCode>#,##0</c:formatCode>
                <c:ptCount val="21"/>
                <c:pt idx="0">
                  <c:v>1199454.547</c:v>
                </c:pt>
                <c:pt idx="1">
                  <c:v>199601126.12900001</c:v>
                </c:pt>
                <c:pt idx="2">
                  <c:v>0</c:v>
                </c:pt>
                <c:pt idx="3">
                  <c:v>0</c:v>
                </c:pt>
                <c:pt idx="4">
                  <c:v>1044889</c:v>
                </c:pt>
                <c:pt idx="5">
                  <c:v>0</c:v>
                </c:pt>
                <c:pt idx="6">
                  <c:v>0</c:v>
                </c:pt>
                <c:pt idx="7">
                  <c:v>6946187</c:v>
                </c:pt>
                <c:pt idx="8">
                  <c:v>16959.64603199068</c:v>
                </c:pt>
                <c:pt idx="9">
                  <c:v>0</c:v>
                </c:pt>
                <c:pt idx="10">
                  <c:v>2349.1471643053901</c:v>
                </c:pt>
                <c:pt idx="11">
                  <c:v>491892859.81856</c:v>
                </c:pt>
                <c:pt idx="12">
                  <c:v>1731438</c:v>
                </c:pt>
                <c:pt idx="13">
                  <c:v>30106</c:v>
                </c:pt>
                <c:pt idx="14">
                  <c:v>0</c:v>
                </c:pt>
                <c:pt idx="15">
                  <c:v>51019701.999889746</c:v>
                </c:pt>
                <c:pt idx="16">
                  <c:v>75627238.392739996</c:v>
                </c:pt>
                <c:pt idx="17">
                  <c:v>0</c:v>
                </c:pt>
                <c:pt idx="18">
                  <c:v>20684132.106460001</c:v>
                </c:pt>
                <c:pt idx="19">
                  <c:v>181337324.64900002</c:v>
                </c:pt>
                <c:pt idx="20">
                  <c:v>0</c:v>
                </c:pt>
              </c:numCache>
            </c:numRef>
          </c:val>
          <c:extLst>
            <c:ext xmlns:c16="http://schemas.microsoft.com/office/drawing/2014/chart" uri="{C3380CC4-5D6E-409C-BE32-E72D297353CC}">
              <c16:uniqueId val="{00000000-F5D7-4882-A9B6-45C2F0317A05}"/>
            </c:ext>
          </c:extLst>
        </c:ser>
        <c:ser>
          <c:idx val="1"/>
          <c:order val="1"/>
          <c:tx>
            <c:strRef>
              <c:f>Figurer!$N$58</c:f>
              <c:strCache>
                <c:ptCount val="1"/>
                <c:pt idx="0">
                  <c:v>2020</c:v>
                </c:pt>
              </c:strCache>
            </c:strRef>
          </c:tx>
          <c:invertIfNegative val="0"/>
          <c:cat>
            <c:strRef>
              <c:f>Figurer!$L$59:$L$79</c:f>
              <c:strCache>
                <c:ptCount val="21"/>
                <c:pt idx="0">
                  <c:v>Danica Pensjon</c:v>
                </c:pt>
                <c:pt idx="1">
                  <c:v>DNB Liv</c:v>
                </c:pt>
                <c:pt idx="2">
                  <c:v>Eika Forsikring</c:v>
                </c:pt>
                <c:pt idx="3">
                  <c:v>Fremtind Livsfors</c:v>
                </c:pt>
                <c:pt idx="4">
                  <c:v>Frende Livsfors</c:v>
                </c:pt>
                <c:pt idx="5">
                  <c:v>Frende Skadefors</c:v>
                </c:pt>
                <c:pt idx="6">
                  <c:v>Gjensidige Fors</c:v>
                </c:pt>
                <c:pt idx="7">
                  <c:v>Gjensidige Pensj</c:v>
                </c:pt>
                <c:pt idx="8">
                  <c:v>Handelsb Liv</c:v>
                </c:pt>
                <c:pt idx="9">
                  <c:v>If Skadefors</c:v>
                </c:pt>
                <c:pt idx="10">
                  <c:v>Insr</c:v>
                </c:pt>
                <c:pt idx="11">
                  <c:v>KLP</c:v>
                </c:pt>
                <c:pt idx="12">
                  <c:v>KLP Bedriftsp</c:v>
                </c:pt>
                <c:pt idx="13">
                  <c:v>KLP Skadef</c:v>
                </c:pt>
                <c:pt idx="14">
                  <c:v>Landkreditt Fors</c:v>
                </c:pt>
                <c:pt idx="15">
                  <c:v>Nordea Liv</c:v>
                </c:pt>
                <c:pt idx="16">
                  <c:v>OPF</c:v>
                </c:pt>
                <c:pt idx="17">
                  <c:v>Protector Fors</c:v>
                </c:pt>
                <c:pt idx="18">
                  <c:v>SpareBank 1</c:v>
                </c:pt>
                <c:pt idx="19">
                  <c:v>Storebrand </c:v>
                </c:pt>
                <c:pt idx="20">
                  <c:v>WaterCicles Fors.</c:v>
                </c:pt>
              </c:strCache>
            </c:strRef>
          </c:cat>
          <c:val>
            <c:numRef>
              <c:f>Figurer!$N$59:$N$79</c:f>
              <c:numCache>
                <c:formatCode>#,##0</c:formatCode>
                <c:ptCount val="21"/>
                <c:pt idx="0">
                  <c:v>1259550.713</c:v>
                </c:pt>
                <c:pt idx="1">
                  <c:v>195862400</c:v>
                </c:pt>
                <c:pt idx="2">
                  <c:v>0</c:v>
                </c:pt>
                <c:pt idx="3">
                  <c:v>3587824.3847499997</c:v>
                </c:pt>
                <c:pt idx="4">
                  <c:v>1132352</c:v>
                </c:pt>
                <c:pt idx="5">
                  <c:v>0</c:v>
                </c:pt>
                <c:pt idx="6">
                  <c:v>0</c:v>
                </c:pt>
                <c:pt idx="7">
                  <c:v>7375058.7999999998</c:v>
                </c:pt>
                <c:pt idx="8">
                  <c:v>24707.77272555888</c:v>
                </c:pt>
                <c:pt idx="9">
                  <c:v>0</c:v>
                </c:pt>
                <c:pt idx="10">
                  <c:v>0</c:v>
                </c:pt>
                <c:pt idx="11">
                  <c:v>516931786.69641</c:v>
                </c:pt>
                <c:pt idx="12">
                  <c:v>1786281</c:v>
                </c:pt>
                <c:pt idx="13">
                  <c:v>45976.864999999998</c:v>
                </c:pt>
                <c:pt idx="14">
                  <c:v>0</c:v>
                </c:pt>
                <c:pt idx="15">
                  <c:v>51856098.771231338</c:v>
                </c:pt>
                <c:pt idx="16">
                  <c:v>77112000</c:v>
                </c:pt>
                <c:pt idx="17">
                  <c:v>0</c:v>
                </c:pt>
                <c:pt idx="18">
                  <c:v>19251355.335700002</c:v>
                </c:pt>
                <c:pt idx="19">
                  <c:v>182079379.46500003</c:v>
                </c:pt>
                <c:pt idx="20">
                  <c:v>0</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Figurer!$M$87</c:f>
              <c:strCache>
                <c:ptCount val="1"/>
                <c:pt idx="0">
                  <c:v>2019</c:v>
                </c:pt>
              </c:strCache>
            </c:strRef>
          </c:tx>
          <c:invertIfNegative val="0"/>
          <c:cat>
            <c:strRef>
              <c:f>Figurer!$L$88:$L$97</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Figurer!$M$88:$M$97</c:f>
              <c:numCache>
                <c:formatCode>#,##0</c:formatCode>
                <c:ptCount val="10"/>
                <c:pt idx="0">
                  <c:v>19030607.528999999</c:v>
                </c:pt>
                <c:pt idx="1">
                  <c:v>89715002.026999995</c:v>
                </c:pt>
                <c:pt idx="2">
                  <c:v>3826787</c:v>
                </c:pt>
                <c:pt idx="3">
                  <c:v>27221258.799999997</c:v>
                </c:pt>
                <c:pt idx="4">
                  <c:v>2587219.1831499999</c:v>
                </c:pt>
                <c:pt idx="5">
                  <c:v>4242225</c:v>
                </c:pt>
                <c:pt idx="6">
                  <c:v>68352090.000000089</c:v>
                </c:pt>
                <c:pt idx="7">
                  <c:v>2307693.03969</c:v>
                </c:pt>
                <c:pt idx="8">
                  <c:v>32200221.129759997</c:v>
                </c:pt>
                <c:pt idx="9">
                  <c:v>103774197.524</c:v>
                </c:pt>
              </c:numCache>
            </c:numRef>
          </c:val>
          <c:extLst>
            <c:ext xmlns:c16="http://schemas.microsoft.com/office/drawing/2014/chart" uri="{C3380CC4-5D6E-409C-BE32-E72D297353CC}">
              <c16:uniqueId val="{00000000-62B1-4395-80F9-424B1553CC96}"/>
            </c:ext>
          </c:extLst>
        </c:ser>
        <c:ser>
          <c:idx val="1"/>
          <c:order val="1"/>
          <c:tx>
            <c:strRef>
              <c:f>Figurer!$N$87</c:f>
              <c:strCache>
                <c:ptCount val="1"/>
                <c:pt idx="0">
                  <c:v>2020</c:v>
                </c:pt>
              </c:strCache>
            </c:strRef>
          </c:tx>
          <c:invertIfNegative val="0"/>
          <c:cat>
            <c:strRef>
              <c:f>Figurer!$L$88:$L$97</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Figurer!$N$88:$N$97</c:f>
              <c:numCache>
                <c:formatCode>#,##0</c:formatCode>
                <c:ptCount val="10"/>
                <c:pt idx="0">
                  <c:v>20948913.260000002</c:v>
                </c:pt>
                <c:pt idx="1">
                  <c:v>95193910.070999995</c:v>
                </c:pt>
                <c:pt idx="2">
                  <c:v>4269268</c:v>
                </c:pt>
                <c:pt idx="3">
                  <c:v>29754862.800000001</c:v>
                </c:pt>
                <c:pt idx="4">
                  <c:v>1933154.62115</c:v>
                </c:pt>
                <c:pt idx="5">
                  <c:v>5167910</c:v>
                </c:pt>
                <c:pt idx="6">
                  <c:v>79687040</c:v>
                </c:pt>
                <c:pt idx="7">
                  <c:v>2514066.6801399998</c:v>
                </c:pt>
                <c:pt idx="8">
                  <c:v>36536483.392659999</c:v>
                </c:pt>
                <c:pt idx="9">
                  <c:v>117297307.31699999</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Figurer!$M$114</c:f>
              <c:strCache>
                <c:ptCount val="1"/>
                <c:pt idx="0">
                  <c:v>2019</c:v>
                </c:pt>
              </c:strCache>
            </c:strRef>
          </c:tx>
          <c:invertIfNegative val="0"/>
          <c:cat>
            <c:strRef>
              <c:f>Figurer!$L$115:$L$122</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Figurer!$M$115:$M$122</c:f>
              <c:numCache>
                <c:formatCode>#,##0</c:formatCode>
                <c:ptCount val="8"/>
                <c:pt idx="0">
                  <c:v>6109.9529999999995</c:v>
                </c:pt>
                <c:pt idx="1">
                  <c:v>104640</c:v>
                </c:pt>
                <c:pt idx="2">
                  <c:v>29298.6</c:v>
                </c:pt>
                <c:pt idx="3">
                  <c:v>-248064.62399999998</c:v>
                </c:pt>
                <c:pt idx="4">
                  <c:v>878</c:v>
                </c:pt>
                <c:pt idx="5">
                  <c:v>-14915.333700000001</c:v>
                </c:pt>
                <c:pt idx="6">
                  <c:v>-13521.344899999996</c:v>
                </c:pt>
                <c:pt idx="7">
                  <c:v>-83232.047999999981</c:v>
                </c:pt>
              </c:numCache>
            </c:numRef>
          </c:val>
          <c:extLst>
            <c:ext xmlns:c16="http://schemas.microsoft.com/office/drawing/2014/chart" uri="{C3380CC4-5D6E-409C-BE32-E72D297353CC}">
              <c16:uniqueId val="{00000000-2BF8-4278-857F-91A0E7196849}"/>
            </c:ext>
          </c:extLst>
        </c:ser>
        <c:ser>
          <c:idx val="1"/>
          <c:order val="1"/>
          <c:tx>
            <c:strRef>
              <c:f>Figurer!$N$114</c:f>
              <c:strCache>
                <c:ptCount val="1"/>
                <c:pt idx="0">
                  <c:v>2020</c:v>
                </c:pt>
              </c:strCache>
            </c:strRef>
          </c:tx>
          <c:invertIfNegative val="0"/>
          <c:cat>
            <c:strRef>
              <c:f>Figurer!$L$115:$L$122</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Figurer!$N$115:$N$122</c:f>
              <c:numCache>
                <c:formatCode>#,##0</c:formatCode>
                <c:ptCount val="8"/>
                <c:pt idx="0">
                  <c:v>30468.184000000001</c:v>
                </c:pt>
                <c:pt idx="1">
                  <c:v>-148121</c:v>
                </c:pt>
                <c:pt idx="2">
                  <c:v>-54118.6</c:v>
                </c:pt>
                <c:pt idx="3">
                  <c:v>-4327427.5370000005</c:v>
                </c:pt>
                <c:pt idx="4">
                  <c:v>3361</c:v>
                </c:pt>
                <c:pt idx="5">
                  <c:v>-6168.5379399999701</c:v>
                </c:pt>
                <c:pt idx="6">
                  <c:v>23.559269999999742</c:v>
                </c:pt>
                <c:pt idx="7">
                  <c:v>202498.86700000003</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Figurer!$M$139</c:f>
              <c:strCache>
                <c:ptCount val="1"/>
                <c:pt idx="0">
                  <c:v>2019</c:v>
                </c:pt>
              </c:strCache>
            </c:strRef>
          </c:tx>
          <c:invertIfNegative val="0"/>
          <c:cat>
            <c:strRef>
              <c:f>Figurer!$L$140:$L$148</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Figurer!$M$140:$M$148</c:f>
              <c:numCache>
                <c:formatCode>#,##0</c:formatCode>
                <c:ptCount val="9"/>
                <c:pt idx="0">
                  <c:v>247084.22200000001</c:v>
                </c:pt>
                <c:pt idx="1">
                  <c:v>410023</c:v>
                </c:pt>
                <c:pt idx="2">
                  <c:v>45724</c:v>
                </c:pt>
                <c:pt idx="3">
                  <c:v>-401668.09999999986</c:v>
                </c:pt>
                <c:pt idx="4">
                  <c:v>263995</c:v>
                </c:pt>
                <c:pt idx="5">
                  <c:v>400449.70821000007</c:v>
                </c:pt>
                <c:pt idx="6">
                  <c:v>47887.002579999993</c:v>
                </c:pt>
                <c:pt idx="7">
                  <c:v>273876.59715999989</c:v>
                </c:pt>
                <c:pt idx="8">
                  <c:v>-1195960.9420000003</c:v>
                </c:pt>
              </c:numCache>
            </c:numRef>
          </c:val>
          <c:extLst>
            <c:ext xmlns:c16="http://schemas.microsoft.com/office/drawing/2014/chart" uri="{C3380CC4-5D6E-409C-BE32-E72D297353CC}">
              <c16:uniqueId val="{00000000-B400-4C26-965B-0553A4A37873}"/>
            </c:ext>
          </c:extLst>
        </c:ser>
        <c:ser>
          <c:idx val="1"/>
          <c:order val="1"/>
          <c:tx>
            <c:strRef>
              <c:f>Figurer!$N$139</c:f>
              <c:strCache>
                <c:ptCount val="1"/>
                <c:pt idx="0">
                  <c:v>2020</c:v>
                </c:pt>
              </c:strCache>
            </c:strRef>
          </c:tx>
          <c:invertIfNegative val="0"/>
          <c:cat>
            <c:strRef>
              <c:f>Figurer!$L$140:$L$148</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Figurer!$N$140:$N$148</c:f>
              <c:numCache>
                <c:formatCode>#,##0</c:formatCode>
                <c:ptCount val="9"/>
                <c:pt idx="0">
                  <c:v>184923.24699999997</c:v>
                </c:pt>
                <c:pt idx="1">
                  <c:v>-3785522</c:v>
                </c:pt>
                <c:pt idx="2">
                  <c:v>-19904</c:v>
                </c:pt>
                <c:pt idx="3">
                  <c:v>-781255.79999999993</c:v>
                </c:pt>
                <c:pt idx="4">
                  <c:v>162061</c:v>
                </c:pt>
                <c:pt idx="5">
                  <c:v>2363395.0276000001</c:v>
                </c:pt>
                <c:pt idx="6">
                  <c:v>53104.750159999996</c:v>
                </c:pt>
                <c:pt idx="7">
                  <c:v>249798.30333999998</c:v>
                </c:pt>
                <c:pt idx="8">
                  <c:v>1810308.1159999995</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2020 </a:t>
          </a:r>
          <a:r>
            <a:rPr lang="nb-NO" sz="1100" b="0">
              <a:effectLst/>
              <a:latin typeface="Arial"/>
              <a:ea typeface="ＭＳ 明朝"/>
              <a:cs typeface="Times New Roman"/>
            </a:rPr>
            <a:t>(04.09.2020)</a:t>
          </a:r>
          <a:r>
            <a:rPr lang="nb-NO" sz="1600" b="1">
              <a:effectLst/>
              <a:latin typeface="Arial"/>
              <a:ea typeface="ＭＳ 明朝"/>
              <a:cs typeface="Times New Roman"/>
            </a:rPr>
            <a:t> </a:t>
          </a:r>
          <a:endParaRPr lang="nb-NO" sz="120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Fremtind</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Insr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Landkreditt 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WaterCircle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endParaRPr kumimoji="0" lang="nb-NO" sz="1200" b="0" i="0" u="none" strike="noStrike" kern="0" cap="none" spc="0" normalizeH="0" baseline="0" noProof="0">
            <a:ln>
              <a:noFill/>
            </a:ln>
            <a:solidFill>
              <a:srgbClr val="000000"/>
            </a:solidFill>
            <a:effectLst/>
            <a:uLnTx/>
            <a:uFillTx/>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Danica Pensjonsforsikring</a:t>
          </a:r>
        </a:p>
        <a:p>
          <a:r>
            <a:rPr lang="nb-NO" sz="1100">
              <a:solidFill>
                <a:schemeClr val="dk1"/>
              </a:solidFill>
              <a:effectLst/>
              <a:latin typeface="+mn-lt"/>
              <a:ea typeface="+mn-ea"/>
              <a:cs typeface="+mn-cs"/>
            </a:rPr>
            <a:t>Data</a:t>
          </a:r>
          <a:r>
            <a:rPr lang="nb-NO" sz="1100" baseline="0">
              <a:solidFill>
                <a:schemeClr val="dk1"/>
              </a:solidFill>
              <a:effectLst/>
              <a:latin typeface="+mn-lt"/>
              <a:ea typeface="+mn-ea"/>
              <a:cs typeface="+mn-cs"/>
            </a:rPr>
            <a:t> b</a:t>
          </a:r>
          <a:r>
            <a:rPr lang="nb-NO" sz="1100">
              <a:solidFill>
                <a:schemeClr val="dk1"/>
              </a:solidFill>
              <a:effectLst/>
              <a:latin typeface="+mn-lt"/>
              <a:ea typeface="+mn-ea"/>
              <a:cs typeface="+mn-cs"/>
            </a:rPr>
            <a:t>le innrapportert før endelig styrebehandling, og det må derfor tas forbehold om eventuelle endringer.</a:t>
          </a:r>
          <a:endParaRPr lang="nb-NO" sz="1100" u="none">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Fremtind Livsforsikring</a:t>
          </a:r>
        </a:p>
        <a:p>
          <a:r>
            <a:rPr lang="nb-NO" sz="1100" u="none">
              <a:latin typeface="Times New Roman" panose="02020603050405020304" pitchFamily="18" charset="0"/>
              <a:cs typeface="Times New Roman" panose="02020603050405020304" pitchFamily="18" charset="0"/>
            </a:rPr>
            <a:t>Selskapet</a:t>
          </a:r>
          <a:r>
            <a:rPr lang="nb-NO" sz="1100" u="none" baseline="0">
              <a:latin typeface="Times New Roman" panose="02020603050405020304" pitchFamily="18" charset="0"/>
              <a:cs typeface="Times New Roman" panose="02020603050405020304" pitchFamily="18" charset="0"/>
            </a:rPr>
            <a:t> inngår i statistikken fra 1. kvartal 2020.</a:t>
          </a:r>
        </a:p>
        <a:p>
          <a:endParaRPr lang="nb-NO" sz="1100" u="none" baseline="0">
            <a:latin typeface="Times New Roman" panose="02020603050405020304" pitchFamily="18" charset="0"/>
            <a:cs typeface="Times New Roman" panose="02020603050405020304" pitchFamily="18" charset="0"/>
          </a:endParaRPr>
        </a:p>
        <a:p>
          <a:pPr marL="0" indent="0"/>
          <a:r>
            <a:rPr lang="nb-NO" sz="1100" u="sng">
              <a:solidFill>
                <a:schemeClr val="dk1"/>
              </a:solidFill>
              <a:latin typeface="Times New Roman" panose="02020603050405020304" pitchFamily="18" charset="0"/>
              <a:ea typeface="+mn-ea"/>
              <a:cs typeface="Times New Roman" panose="02020603050405020304" pitchFamily="18" charset="0"/>
            </a:rPr>
            <a:t>WaterCircle Forsikring</a:t>
          </a:r>
        </a:p>
        <a:p>
          <a:pPr marL="0" indent="0"/>
          <a:r>
            <a:rPr lang="nb-NO" sz="1100" u="none">
              <a:solidFill>
                <a:schemeClr val="dk1"/>
              </a:solidFill>
              <a:latin typeface="Times New Roman" panose="02020603050405020304" pitchFamily="18" charset="0"/>
              <a:ea typeface="+mn-ea"/>
              <a:cs typeface="Times New Roman" panose="02020603050405020304" pitchFamily="18" charset="0"/>
            </a:rPr>
            <a:t>Selskapet inngår i statistikken fra 1. kvartal 2020.</a:t>
          </a: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20/Q2-2020/Mottatte/SpareBank%201%20Forsikr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s>
    <sheetDataSet>
      <sheetData sheetId="0"/>
      <sheetData sheetId="1"/>
      <sheetData sheetId="2"/>
      <sheetData sheetId="3"/>
      <sheetData sheetId="4"/>
      <sheetData sheetId="5">
        <row r="68">
          <cell r="AJ68">
            <v>4257.0320000000002</v>
          </cell>
        </row>
        <row r="69">
          <cell r="AJ69">
            <v>750.06799999999998</v>
          </cell>
        </row>
        <row r="71">
          <cell r="AJ71">
            <v>1000</v>
          </cell>
        </row>
        <row r="74">
          <cell r="AJ74">
            <v>1296.3869999999999</v>
          </cell>
        </row>
        <row r="75">
          <cell r="AJ75">
            <v>2366.6179999999999</v>
          </cell>
        </row>
        <row r="78">
          <cell r="AJ78">
            <v>-192.1444221899998</v>
          </cell>
        </row>
        <row r="79">
          <cell r="AJ79">
            <v>21483.41957781</v>
          </cell>
        </row>
      </sheetData>
      <sheetData sheetId="6"/>
      <sheetData sheetId="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16" workbookViewId="0">
      <selection activeCell="J43" sqref="J43"/>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714"/>
      <c r="C43" s="714"/>
      <c r="D43" s="714"/>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125</v>
      </c>
      <c r="D1" s="26"/>
      <c r="E1" s="26"/>
      <c r="F1" s="26"/>
      <c r="G1" s="26"/>
      <c r="H1" s="26"/>
      <c r="I1" s="26"/>
      <c r="J1" s="26"/>
      <c r="K1" s="26"/>
      <c r="L1" s="26"/>
      <c r="M1" s="26"/>
    </row>
    <row r="2" spans="1:14" ht="15.75" x14ac:dyDescent="0.25">
      <c r="A2" s="165" t="s">
        <v>28</v>
      </c>
      <c r="B2" s="736"/>
      <c r="C2" s="736"/>
      <c r="D2" s="736"/>
      <c r="E2" s="298"/>
      <c r="F2" s="736"/>
      <c r="G2" s="736"/>
      <c r="H2" s="736"/>
      <c r="I2" s="298"/>
      <c r="J2" s="736"/>
      <c r="K2" s="736"/>
      <c r="L2" s="736"/>
      <c r="M2" s="298"/>
    </row>
    <row r="3" spans="1:14" ht="15.75" x14ac:dyDescent="0.25">
      <c r="A3" s="163"/>
      <c r="B3" s="298"/>
      <c r="C3" s="298"/>
      <c r="D3" s="298"/>
      <c r="E3" s="298"/>
      <c r="F3" s="298"/>
      <c r="G3" s="298"/>
      <c r="H3" s="298"/>
      <c r="I3" s="298"/>
      <c r="J3" s="298"/>
      <c r="K3" s="298"/>
      <c r="L3" s="298"/>
      <c r="M3" s="298"/>
    </row>
    <row r="4" spans="1:14" x14ac:dyDescent="0.2">
      <c r="A4" s="144"/>
      <c r="B4" s="737" t="s">
        <v>0</v>
      </c>
      <c r="C4" s="738"/>
      <c r="D4" s="738"/>
      <c r="E4" s="300"/>
      <c r="F4" s="737" t="s">
        <v>1</v>
      </c>
      <c r="G4" s="738"/>
      <c r="H4" s="738"/>
      <c r="I4" s="303"/>
      <c r="J4" s="737" t="s">
        <v>2</v>
      </c>
      <c r="K4" s="738"/>
      <c r="L4" s="738"/>
      <c r="M4" s="303"/>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v>185587</v>
      </c>
      <c r="C7" s="306">
        <v>196946</v>
      </c>
      <c r="D7" s="349">
        <f>IF(B7=0, "    ---- ", IF(ABS(ROUND(100/B7*C7-100,1))&lt;999,ROUND(100/B7*C7-100,1),IF(ROUND(100/B7*C7-100,1)&gt;999,999,-999)))</f>
        <v>6.1</v>
      </c>
      <c r="E7" s="11">
        <f>IFERROR(100/'Skjema total MA'!C7*C7,0)</f>
        <v>7.3287855047970467</v>
      </c>
      <c r="F7" s="305"/>
      <c r="G7" s="306"/>
      <c r="H7" s="349"/>
      <c r="I7" s="160"/>
      <c r="J7" s="307">
        <f t="shared" ref="J7:K9" si="0">SUM(B7,F7)</f>
        <v>185587</v>
      </c>
      <c r="K7" s="308">
        <f t="shared" si="0"/>
        <v>196946</v>
      </c>
      <c r="L7" s="426">
        <f>IF(J7=0, "    ---- ", IF(ABS(ROUND(100/J7*K7-100,1))&lt;999,ROUND(100/J7*K7-100,1),IF(ROUND(100/J7*K7-100,1)&gt;999,999,-999)))</f>
        <v>6.1</v>
      </c>
      <c r="M7" s="11">
        <f>IFERROR(100/'Skjema total MA'!I7*K7,0)</f>
        <v>2.6578160670803865</v>
      </c>
    </row>
    <row r="8" spans="1:14" ht="15.75" x14ac:dyDescent="0.2">
      <c r="A8" s="21" t="s">
        <v>25</v>
      </c>
      <c r="B8" s="280">
        <v>92640</v>
      </c>
      <c r="C8" s="281">
        <v>98856</v>
      </c>
      <c r="D8" s="166">
        <f t="shared" ref="D8:D9" si="1">IF(B8=0, "    ---- ", IF(ABS(ROUND(100/B8*C8-100,1))&lt;999,ROUND(100/B8*C8-100,1),IF(ROUND(100/B8*C8-100,1)&gt;999,999,-999)))</f>
        <v>6.7</v>
      </c>
      <c r="E8" s="27">
        <f>IFERROR(100/'Skjema total MA'!C8*C8,0)</f>
        <v>5.4797751735603839</v>
      </c>
      <c r="F8" s="284"/>
      <c r="G8" s="285"/>
      <c r="H8" s="166"/>
      <c r="I8" s="175"/>
      <c r="J8" s="233">
        <f t="shared" si="0"/>
        <v>92640</v>
      </c>
      <c r="K8" s="286">
        <f t="shared" si="0"/>
        <v>98856</v>
      </c>
      <c r="L8" s="166">
        <f t="shared" ref="L8:L9" si="2">IF(J8=0, "    ---- ", IF(ABS(ROUND(100/J8*K8-100,1))&lt;999,ROUND(100/J8*K8-100,1),IF(ROUND(100/J8*K8-100,1)&gt;999,999,-999)))</f>
        <v>6.7</v>
      </c>
      <c r="M8" s="27">
        <f>IFERROR(100/'Skjema total MA'!I8*K8,0)</f>
        <v>5.4797751735603839</v>
      </c>
    </row>
    <row r="9" spans="1:14" ht="15.75" x14ac:dyDescent="0.2">
      <c r="A9" s="21" t="s">
        <v>24</v>
      </c>
      <c r="B9" s="280">
        <v>92946</v>
      </c>
      <c r="C9" s="281">
        <v>98090</v>
      </c>
      <c r="D9" s="166">
        <f t="shared" si="1"/>
        <v>5.5</v>
      </c>
      <c r="E9" s="27">
        <f>IFERROR(100/'Skjema total MA'!C9*C9,0)</f>
        <v>18.864526881042568</v>
      </c>
      <c r="F9" s="284"/>
      <c r="G9" s="285"/>
      <c r="H9" s="166"/>
      <c r="I9" s="175"/>
      <c r="J9" s="233">
        <f t="shared" si="0"/>
        <v>92946</v>
      </c>
      <c r="K9" s="286">
        <f t="shared" si="0"/>
        <v>98090</v>
      </c>
      <c r="L9" s="166">
        <f t="shared" si="2"/>
        <v>5.5</v>
      </c>
      <c r="M9" s="27">
        <f>IFERROR(100/'Skjema total MA'!I9*K9,0)</f>
        <v>18.864526881042568</v>
      </c>
    </row>
    <row r="10" spans="1:14" ht="15.75" x14ac:dyDescent="0.2">
      <c r="A10" s="13" t="s">
        <v>367</v>
      </c>
      <c r="B10" s="309"/>
      <c r="C10" s="310"/>
      <c r="D10" s="171"/>
      <c r="E10" s="11"/>
      <c r="F10" s="309"/>
      <c r="G10" s="310"/>
      <c r="H10" s="171"/>
      <c r="I10" s="160"/>
      <c r="J10" s="307"/>
      <c r="K10" s="308"/>
      <c r="L10" s="427"/>
      <c r="M10" s="11"/>
    </row>
    <row r="11" spans="1:14" s="43" customFormat="1" ht="15.75" x14ac:dyDescent="0.2">
      <c r="A11" s="13" t="s">
        <v>368</v>
      </c>
      <c r="B11" s="309"/>
      <c r="C11" s="310"/>
      <c r="D11" s="171"/>
      <c r="E11" s="11"/>
      <c r="F11" s="309"/>
      <c r="G11" s="310"/>
      <c r="H11" s="171"/>
      <c r="I11" s="160"/>
      <c r="J11" s="307"/>
      <c r="K11" s="308"/>
      <c r="L11" s="427"/>
      <c r="M11" s="11"/>
      <c r="N11" s="143"/>
    </row>
    <row r="12" spans="1:14" s="43" customFormat="1" ht="15.75" x14ac:dyDescent="0.2">
      <c r="A12" s="41" t="s">
        <v>369</v>
      </c>
      <c r="B12" s="311"/>
      <c r="C12" s="312"/>
      <c r="D12" s="169"/>
      <c r="E12" s="36"/>
      <c r="F12" s="311"/>
      <c r="G12" s="312"/>
      <c r="H12" s="169"/>
      <c r="I12" s="169"/>
      <c r="J12" s="313"/>
      <c r="K12" s="314"/>
      <c r="L12" s="428"/>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426"/>
      <c r="M22" s="24"/>
    </row>
    <row r="23" spans="1:14" ht="15.75" x14ac:dyDescent="0.2">
      <c r="A23" s="587" t="s">
        <v>370</v>
      </c>
      <c r="B23" s="280"/>
      <c r="C23" s="280"/>
      <c r="D23" s="166"/>
      <c r="E23" s="11"/>
      <c r="F23" s="289"/>
      <c r="G23" s="289"/>
      <c r="H23" s="166"/>
      <c r="I23" s="416"/>
      <c r="J23" s="289"/>
      <c r="K23" s="289"/>
      <c r="L23" s="166"/>
      <c r="M23" s="23"/>
    </row>
    <row r="24" spans="1:14" ht="15.75" x14ac:dyDescent="0.2">
      <c r="A24" s="587" t="s">
        <v>371</v>
      </c>
      <c r="B24" s="280"/>
      <c r="C24" s="280"/>
      <c r="D24" s="166"/>
      <c r="E24" s="11"/>
      <c r="F24" s="289"/>
      <c r="G24" s="289"/>
      <c r="H24" s="166"/>
      <c r="I24" s="416"/>
      <c r="J24" s="289"/>
      <c r="K24" s="289"/>
      <c r="L24" s="166"/>
      <c r="M24" s="23"/>
    </row>
    <row r="25" spans="1:14" ht="15.75" x14ac:dyDescent="0.2">
      <c r="A25" s="587" t="s">
        <v>372</v>
      </c>
      <c r="B25" s="280"/>
      <c r="C25" s="280"/>
      <c r="D25" s="166"/>
      <c r="E25" s="11"/>
      <c r="F25" s="289"/>
      <c r="G25" s="289"/>
      <c r="H25" s="166"/>
      <c r="I25" s="416"/>
      <c r="J25" s="289"/>
      <c r="K25" s="289"/>
      <c r="L25" s="166"/>
      <c r="M25" s="23"/>
    </row>
    <row r="26" spans="1:14" ht="15.75" x14ac:dyDescent="0.2">
      <c r="A26" s="587" t="s">
        <v>373</v>
      </c>
      <c r="B26" s="280"/>
      <c r="C26" s="280"/>
      <c r="D26" s="166"/>
      <c r="E26" s="11"/>
      <c r="F26" s="289"/>
      <c r="G26" s="289"/>
      <c r="H26" s="166"/>
      <c r="I26" s="416"/>
      <c r="J26" s="289"/>
      <c r="K26" s="289"/>
      <c r="L26" s="166"/>
      <c r="M26" s="23"/>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c r="C28" s="286"/>
      <c r="D28" s="166"/>
      <c r="E28" s="11"/>
      <c r="F28" s="233"/>
      <c r="G28" s="286"/>
      <c r="H28" s="166"/>
      <c r="I28" s="27"/>
      <c r="J28" s="44"/>
      <c r="K28" s="44"/>
      <c r="L28" s="253"/>
      <c r="M28" s="23"/>
    </row>
    <row r="29" spans="1:14" s="3" customFormat="1" ht="15.75" x14ac:dyDescent="0.2">
      <c r="A29" s="13" t="s">
        <v>367</v>
      </c>
      <c r="B29" s="235"/>
      <c r="C29" s="235"/>
      <c r="D29" s="171"/>
      <c r="E29" s="11"/>
      <c r="F29" s="307"/>
      <c r="G29" s="307"/>
      <c r="H29" s="171"/>
      <c r="I29" s="11"/>
      <c r="J29" s="235"/>
      <c r="K29" s="235"/>
      <c r="L29" s="427"/>
      <c r="M29" s="24"/>
      <c r="N29" s="148"/>
    </row>
    <row r="30" spans="1:14" s="3" customFormat="1" ht="15.75" x14ac:dyDescent="0.2">
      <c r="A30" s="587" t="s">
        <v>370</v>
      </c>
      <c r="B30" s="280"/>
      <c r="C30" s="280"/>
      <c r="D30" s="166"/>
      <c r="E30" s="11"/>
      <c r="F30" s="289"/>
      <c r="G30" s="289"/>
      <c r="H30" s="166"/>
      <c r="I30" s="416"/>
      <c r="J30" s="289"/>
      <c r="K30" s="289"/>
      <c r="L30" s="166"/>
      <c r="M30" s="23"/>
      <c r="N30" s="148"/>
    </row>
    <row r="31" spans="1:14" s="3" customFormat="1" ht="15.75" x14ac:dyDescent="0.2">
      <c r="A31" s="587" t="s">
        <v>371</v>
      </c>
      <c r="B31" s="280"/>
      <c r="C31" s="280"/>
      <c r="D31" s="166"/>
      <c r="E31" s="11"/>
      <c r="F31" s="289"/>
      <c r="G31" s="289"/>
      <c r="H31" s="166"/>
      <c r="I31" s="416"/>
      <c r="J31" s="289"/>
      <c r="K31" s="289"/>
      <c r="L31" s="166"/>
      <c r="M31" s="23"/>
      <c r="N31" s="148"/>
    </row>
    <row r="32" spans="1:14" ht="15.75" x14ac:dyDescent="0.2">
      <c r="A32" s="587" t="s">
        <v>372</v>
      </c>
      <c r="B32" s="280"/>
      <c r="C32" s="280"/>
      <c r="D32" s="166"/>
      <c r="E32" s="11"/>
      <c r="F32" s="289"/>
      <c r="G32" s="289"/>
      <c r="H32" s="166"/>
      <c r="I32" s="416"/>
      <c r="J32" s="289"/>
      <c r="K32" s="289"/>
      <c r="L32" s="166"/>
      <c r="M32" s="23"/>
    </row>
    <row r="33" spans="1:14" ht="15.75" x14ac:dyDescent="0.2">
      <c r="A33" s="587" t="s">
        <v>373</v>
      </c>
      <c r="B33" s="280"/>
      <c r="C33" s="280"/>
      <c r="D33" s="166"/>
      <c r="E33" s="11"/>
      <c r="F33" s="289"/>
      <c r="G33" s="289"/>
      <c r="H33" s="166"/>
      <c r="I33" s="416"/>
      <c r="J33" s="289"/>
      <c r="K33" s="289"/>
      <c r="L33" s="166"/>
      <c r="M33" s="23"/>
    </row>
    <row r="34" spans="1:14" ht="15.75" x14ac:dyDescent="0.2">
      <c r="A34" s="13" t="s">
        <v>368</v>
      </c>
      <c r="B34" s="235"/>
      <c r="C34" s="308"/>
      <c r="D34" s="171"/>
      <c r="E34" s="11"/>
      <c r="F34" s="307"/>
      <c r="G34" s="308"/>
      <c r="H34" s="171"/>
      <c r="I34" s="11"/>
      <c r="J34" s="235"/>
      <c r="K34" s="235"/>
      <c r="L34" s="427"/>
      <c r="M34" s="24"/>
    </row>
    <row r="35" spans="1:14" ht="15.75" x14ac:dyDescent="0.2">
      <c r="A35" s="13" t="s">
        <v>369</v>
      </c>
      <c r="B35" s="235"/>
      <c r="C35" s="308"/>
      <c r="D35" s="171"/>
      <c r="E35" s="11"/>
      <c r="F35" s="307"/>
      <c r="G35" s="308"/>
      <c r="H35" s="171"/>
      <c r="I35" s="11"/>
      <c r="J35" s="235"/>
      <c r="K35" s="235"/>
      <c r="L35" s="427"/>
      <c r="M35" s="24"/>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c r="C47" s="310"/>
      <c r="D47" s="426"/>
      <c r="E47" s="11"/>
      <c r="F47" s="145"/>
      <c r="G47" s="33"/>
      <c r="H47" s="159"/>
      <c r="I47" s="159"/>
      <c r="J47" s="37"/>
      <c r="K47" s="37"/>
      <c r="L47" s="159"/>
      <c r="M47" s="159"/>
      <c r="N47" s="148"/>
    </row>
    <row r="48" spans="1:14" s="3" customFormat="1" ht="15.75" x14ac:dyDescent="0.2">
      <c r="A48" s="38" t="s">
        <v>378</v>
      </c>
      <c r="B48" s="280"/>
      <c r="C48" s="281"/>
      <c r="D48" s="253"/>
      <c r="E48" s="27"/>
      <c r="F48" s="145"/>
      <c r="G48" s="33"/>
      <c r="H48" s="145"/>
      <c r="I48" s="145"/>
      <c r="J48" s="33"/>
      <c r="K48" s="33"/>
      <c r="L48" s="159"/>
      <c r="M48" s="159"/>
      <c r="N48" s="148"/>
    </row>
    <row r="49" spans="1:14" s="3" customFormat="1" ht="15.75" x14ac:dyDescent="0.2">
      <c r="A49" s="38" t="s">
        <v>379</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c r="C53" s="310"/>
      <c r="D53" s="427"/>
      <c r="E53" s="11"/>
      <c r="F53" s="145"/>
      <c r="G53" s="33"/>
      <c r="H53" s="145"/>
      <c r="I53" s="145"/>
      <c r="J53" s="33"/>
      <c r="K53" s="33"/>
      <c r="L53" s="159"/>
      <c r="M53" s="159"/>
      <c r="N53" s="148"/>
    </row>
    <row r="54" spans="1:14" s="3" customFormat="1" ht="15.75" x14ac:dyDescent="0.2">
      <c r="A54" s="38" t="s">
        <v>378</v>
      </c>
      <c r="B54" s="280"/>
      <c r="C54" s="281"/>
      <c r="D54" s="253"/>
      <c r="E54" s="27"/>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c r="C56" s="310"/>
      <c r="D56" s="427"/>
      <c r="E56" s="11"/>
      <c r="F56" s="145"/>
      <c r="G56" s="33"/>
      <c r="H56" s="145"/>
      <c r="I56" s="145"/>
      <c r="J56" s="33"/>
      <c r="K56" s="33"/>
      <c r="L56" s="159"/>
      <c r="M56" s="159"/>
      <c r="N56" s="148"/>
    </row>
    <row r="57" spans="1:14" s="3" customFormat="1" ht="15.75" x14ac:dyDescent="0.2">
      <c r="A57" s="38" t="s">
        <v>378</v>
      </c>
      <c r="B57" s="280"/>
      <c r="C57" s="281"/>
      <c r="D57" s="253"/>
      <c r="E57" s="27"/>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c r="C66" s="352"/>
      <c r="D66" s="349"/>
      <c r="E66" s="11"/>
      <c r="F66" s="351"/>
      <c r="G66" s="351"/>
      <c r="H66" s="349"/>
      <c r="I66" s="11"/>
      <c r="J66" s="308"/>
      <c r="K66" s="315"/>
      <c r="L66" s="427"/>
      <c r="M66" s="11"/>
    </row>
    <row r="67" spans="1:14" x14ac:dyDescent="0.2">
      <c r="A67" s="41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c r="G86" s="145"/>
      <c r="H86" s="166"/>
      <c r="I86" s="27"/>
      <c r="J86" s="286"/>
      <c r="K86" s="44"/>
      <c r="L86" s="253"/>
      <c r="M86" s="27"/>
    </row>
    <row r="87" spans="1:13" ht="15.75" x14ac:dyDescent="0.2">
      <c r="A87" s="13" t="s">
        <v>367</v>
      </c>
      <c r="B87" s="352"/>
      <c r="C87" s="352"/>
      <c r="D87" s="171"/>
      <c r="E87" s="11"/>
      <c r="F87" s="351"/>
      <c r="G87" s="351"/>
      <c r="H87" s="171"/>
      <c r="I87" s="11"/>
      <c r="J87" s="308"/>
      <c r="K87" s="235"/>
      <c r="L87" s="427"/>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row>
    <row r="98" spans="1:13" ht="15.75" x14ac:dyDescent="0.2">
      <c r="A98" s="21" t="s">
        <v>384</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c r="G107" s="145"/>
      <c r="H107" s="166"/>
      <c r="I107" s="27"/>
      <c r="J107" s="286"/>
      <c r="K107" s="44"/>
      <c r="L107" s="253"/>
      <c r="M107" s="27"/>
    </row>
    <row r="108" spans="1:13" ht="15.75" x14ac:dyDescent="0.2">
      <c r="A108" s="21" t="s">
        <v>386</v>
      </c>
      <c r="B108" s="233"/>
      <c r="C108" s="233"/>
      <c r="D108" s="166"/>
      <c r="E108" s="27"/>
      <c r="F108" s="233"/>
      <c r="G108" s="233"/>
      <c r="H108" s="166"/>
      <c r="I108" s="27"/>
      <c r="J108" s="286"/>
      <c r="K108" s="44"/>
      <c r="L108" s="253"/>
      <c r="M108" s="27"/>
    </row>
    <row r="109" spans="1:13" ht="15.75" x14ac:dyDescent="0.2">
      <c r="A109" s="21" t="s">
        <v>387</v>
      </c>
      <c r="B109" s="233"/>
      <c r="C109" s="233"/>
      <c r="D109" s="166"/>
      <c r="E109" s="27"/>
      <c r="F109" s="233"/>
      <c r="G109" s="233"/>
      <c r="H109" s="166"/>
      <c r="I109" s="27"/>
      <c r="J109" s="286"/>
      <c r="K109" s="44"/>
      <c r="L109" s="253"/>
      <c r="M109" s="27"/>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c r="C111" s="159"/>
      <c r="D111" s="171"/>
      <c r="E111" s="11"/>
      <c r="F111" s="307"/>
      <c r="G111" s="159"/>
      <c r="H111" s="171"/>
      <c r="I111" s="11"/>
      <c r="J111" s="308"/>
      <c r="K111" s="235"/>
      <c r="L111" s="427"/>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c r="C116" s="233"/>
      <c r="D116" s="166"/>
      <c r="E116" s="27"/>
      <c r="F116" s="233"/>
      <c r="G116" s="233"/>
      <c r="H116" s="166"/>
      <c r="I116" s="27"/>
      <c r="J116" s="286"/>
      <c r="K116" s="44"/>
      <c r="L116" s="253"/>
      <c r="M116" s="27"/>
    </row>
    <row r="117" spans="1:14" ht="15.75" x14ac:dyDescent="0.2">
      <c r="A117" s="21" t="s">
        <v>390</v>
      </c>
      <c r="B117" s="233"/>
      <c r="C117" s="233"/>
      <c r="D117" s="166"/>
      <c r="E117" s="27"/>
      <c r="F117" s="233"/>
      <c r="G117" s="233"/>
      <c r="H117" s="166"/>
      <c r="I117" s="27"/>
      <c r="J117" s="286"/>
      <c r="K117" s="44"/>
      <c r="L117" s="253"/>
      <c r="M117" s="27"/>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c r="C119" s="159"/>
      <c r="D119" s="171"/>
      <c r="E119" s="11"/>
      <c r="F119" s="307"/>
      <c r="G119" s="159"/>
      <c r="H119" s="171"/>
      <c r="I119" s="11"/>
      <c r="J119" s="308"/>
      <c r="K119" s="235"/>
      <c r="L119" s="427"/>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c r="G125" s="233"/>
      <c r="H125" s="166"/>
      <c r="I125" s="27"/>
      <c r="J125" s="286"/>
      <c r="K125" s="44"/>
      <c r="L125" s="253"/>
      <c r="M125" s="27"/>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527" priority="132">
      <formula>kvartal &lt; 4</formula>
    </cfRule>
  </conditionalFormatting>
  <conditionalFormatting sqref="B69">
    <cfRule type="expression" dxfId="1526" priority="100">
      <formula>kvartal &lt; 4</formula>
    </cfRule>
  </conditionalFormatting>
  <conditionalFormatting sqref="C69">
    <cfRule type="expression" dxfId="1525" priority="99">
      <formula>kvartal &lt; 4</formula>
    </cfRule>
  </conditionalFormatting>
  <conditionalFormatting sqref="B72">
    <cfRule type="expression" dxfId="1524" priority="98">
      <formula>kvartal &lt; 4</formula>
    </cfRule>
  </conditionalFormatting>
  <conditionalFormatting sqref="C72">
    <cfRule type="expression" dxfId="1523" priority="97">
      <formula>kvartal &lt; 4</formula>
    </cfRule>
  </conditionalFormatting>
  <conditionalFormatting sqref="B80">
    <cfRule type="expression" dxfId="1522" priority="96">
      <formula>kvartal &lt; 4</formula>
    </cfRule>
  </conditionalFormatting>
  <conditionalFormatting sqref="C80">
    <cfRule type="expression" dxfId="1521" priority="95">
      <formula>kvartal &lt; 4</formula>
    </cfRule>
  </conditionalFormatting>
  <conditionalFormatting sqref="B83">
    <cfRule type="expression" dxfId="1520" priority="94">
      <formula>kvartal &lt; 4</formula>
    </cfRule>
  </conditionalFormatting>
  <conditionalFormatting sqref="C83">
    <cfRule type="expression" dxfId="1519" priority="93">
      <formula>kvartal &lt; 4</formula>
    </cfRule>
  </conditionalFormatting>
  <conditionalFormatting sqref="B90">
    <cfRule type="expression" dxfId="1518" priority="84">
      <formula>kvartal &lt; 4</formula>
    </cfRule>
  </conditionalFormatting>
  <conditionalFormatting sqref="C90">
    <cfRule type="expression" dxfId="1517" priority="83">
      <formula>kvartal &lt; 4</formula>
    </cfRule>
  </conditionalFormatting>
  <conditionalFormatting sqref="B93">
    <cfRule type="expression" dxfId="1516" priority="82">
      <formula>kvartal &lt; 4</formula>
    </cfRule>
  </conditionalFormatting>
  <conditionalFormatting sqref="C93">
    <cfRule type="expression" dxfId="1515" priority="81">
      <formula>kvartal &lt; 4</formula>
    </cfRule>
  </conditionalFormatting>
  <conditionalFormatting sqref="B101">
    <cfRule type="expression" dxfId="1514" priority="80">
      <formula>kvartal &lt; 4</formula>
    </cfRule>
  </conditionalFormatting>
  <conditionalFormatting sqref="C101">
    <cfRule type="expression" dxfId="1513" priority="79">
      <formula>kvartal &lt; 4</formula>
    </cfRule>
  </conditionalFormatting>
  <conditionalFormatting sqref="B104">
    <cfRule type="expression" dxfId="1512" priority="78">
      <formula>kvartal &lt; 4</formula>
    </cfRule>
  </conditionalFormatting>
  <conditionalFormatting sqref="C104">
    <cfRule type="expression" dxfId="1511" priority="77">
      <formula>kvartal &lt; 4</formula>
    </cfRule>
  </conditionalFormatting>
  <conditionalFormatting sqref="B115">
    <cfRule type="expression" dxfId="1510" priority="76">
      <formula>kvartal &lt; 4</formula>
    </cfRule>
  </conditionalFormatting>
  <conditionalFormatting sqref="C115">
    <cfRule type="expression" dxfId="1509" priority="75">
      <formula>kvartal &lt; 4</formula>
    </cfRule>
  </conditionalFormatting>
  <conditionalFormatting sqref="B123">
    <cfRule type="expression" dxfId="1508" priority="74">
      <formula>kvartal &lt; 4</formula>
    </cfRule>
  </conditionalFormatting>
  <conditionalFormatting sqref="C123">
    <cfRule type="expression" dxfId="1507" priority="73">
      <formula>kvartal &lt; 4</formula>
    </cfRule>
  </conditionalFormatting>
  <conditionalFormatting sqref="F70">
    <cfRule type="expression" dxfId="1506" priority="72">
      <formula>kvartal &lt; 4</formula>
    </cfRule>
  </conditionalFormatting>
  <conditionalFormatting sqref="G70">
    <cfRule type="expression" dxfId="1505" priority="71">
      <formula>kvartal &lt; 4</formula>
    </cfRule>
  </conditionalFormatting>
  <conditionalFormatting sqref="F71:G71">
    <cfRule type="expression" dxfId="1504" priority="70">
      <formula>kvartal &lt; 4</formula>
    </cfRule>
  </conditionalFormatting>
  <conditionalFormatting sqref="F73:G74">
    <cfRule type="expression" dxfId="1503" priority="69">
      <formula>kvartal &lt; 4</formula>
    </cfRule>
  </conditionalFormatting>
  <conditionalFormatting sqref="F81:G82">
    <cfRule type="expression" dxfId="1502" priority="68">
      <formula>kvartal &lt; 4</formula>
    </cfRule>
  </conditionalFormatting>
  <conditionalFormatting sqref="F84:G85">
    <cfRule type="expression" dxfId="1501" priority="67">
      <formula>kvartal &lt; 4</formula>
    </cfRule>
  </conditionalFormatting>
  <conditionalFormatting sqref="F91:G92">
    <cfRule type="expression" dxfId="1500" priority="62">
      <formula>kvartal &lt; 4</formula>
    </cfRule>
  </conditionalFormatting>
  <conditionalFormatting sqref="F94:G95">
    <cfRule type="expression" dxfId="1499" priority="61">
      <formula>kvartal &lt; 4</formula>
    </cfRule>
  </conditionalFormatting>
  <conditionalFormatting sqref="F102:G103">
    <cfRule type="expression" dxfId="1498" priority="60">
      <formula>kvartal &lt; 4</formula>
    </cfRule>
  </conditionalFormatting>
  <conditionalFormatting sqref="F105:G106">
    <cfRule type="expression" dxfId="1497" priority="59">
      <formula>kvartal &lt; 4</formula>
    </cfRule>
  </conditionalFormatting>
  <conditionalFormatting sqref="F115">
    <cfRule type="expression" dxfId="1496" priority="58">
      <formula>kvartal &lt; 4</formula>
    </cfRule>
  </conditionalFormatting>
  <conditionalFormatting sqref="G115">
    <cfRule type="expression" dxfId="1495" priority="57">
      <formula>kvartal &lt; 4</formula>
    </cfRule>
  </conditionalFormatting>
  <conditionalFormatting sqref="F123:G123">
    <cfRule type="expression" dxfId="1494" priority="56">
      <formula>kvartal &lt; 4</formula>
    </cfRule>
  </conditionalFormatting>
  <conditionalFormatting sqref="F69:G69">
    <cfRule type="expression" dxfId="1493" priority="55">
      <formula>kvartal &lt; 4</formula>
    </cfRule>
  </conditionalFormatting>
  <conditionalFormatting sqref="F72:G72">
    <cfRule type="expression" dxfId="1492" priority="54">
      <formula>kvartal &lt; 4</formula>
    </cfRule>
  </conditionalFormatting>
  <conditionalFormatting sqref="F80:G80">
    <cfRule type="expression" dxfId="1491" priority="53">
      <formula>kvartal &lt; 4</formula>
    </cfRule>
  </conditionalFormatting>
  <conditionalFormatting sqref="F83:G83">
    <cfRule type="expression" dxfId="1490" priority="52">
      <formula>kvartal &lt; 4</formula>
    </cfRule>
  </conditionalFormatting>
  <conditionalFormatting sqref="F90:G90">
    <cfRule type="expression" dxfId="1489" priority="46">
      <formula>kvartal &lt; 4</formula>
    </cfRule>
  </conditionalFormatting>
  <conditionalFormatting sqref="F93">
    <cfRule type="expression" dxfId="1488" priority="45">
      <formula>kvartal &lt; 4</formula>
    </cfRule>
  </conditionalFormatting>
  <conditionalFormatting sqref="G93">
    <cfRule type="expression" dxfId="1487" priority="44">
      <formula>kvartal &lt; 4</formula>
    </cfRule>
  </conditionalFormatting>
  <conditionalFormatting sqref="F101">
    <cfRule type="expression" dxfId="1486" priority="43">
      <formula>kvartal &lt; 4</formula>
    </cfRule>
  </conditionalFormatting>
  <conditionalFormatting sqref="G101">
    <cfRule type="expression" dxfId="1485" priority="42">
      <formula>kvartal &lt; 4</formula>
    </cfRule>
  </conditionalFormatting>
  <conditionalFormatting sqref="G104">
    <cfRule type="expression" dxfId="1484" priority="41">
      <formula>kvartal &lt; 4</formula>
    </cfRule>
  </conditionalFormatting>
  <conditionalFormatting sqref="F104">
    <cfRule type="expression" dxfId="1483" priority="40">
      <formula>kvartal &lt; 4</formula>
    </cfRule>
  </conditionalFormatting>
  <conditionalFormatting sqref="J69:K73">
    <cfRule type="expression" dxfId="1482" priority="39">
      <formula>kvartal &lt; 4</formula>
    </cfRule>
  </conditionalFormatting>
  <conditionalFormatting sqref="J74:K74">
    <cfRule type="expression" dxfId="1481" priority="38">
      <formula>kvartal &lt; 4</formula>
    </cfRule>
  </conditionalFormatting>
  <conditionalFormatting sqref="J80:K85">
    <cfRule type="expression" dxfId="1480" priority="37">
      <formula>kvartal &lt; 4</formula>
    </cfRule>
  </conditionalFormatting>
  <conditionalFormatting sqref="J90:K95">
    <cfRule type="expression" dxfId="1479" priority="34">
      <formula>kvartal &lt; 4</formula>
    </cfRule>
  </conditionalFormatting>
  <conditionalFormatting sqref="J101:K106">
    <cfRule type="expression" dxfId="1478" priority="33">
      <formula>kvartal &lt; 4</formula>
    </cfRule>
  </conditionalFormatting>
  <conditionalFormatting sqref="J115:K115">
    <cfRule type="expression" dxfId="1477" priority="32">
      <formula>kvartal &lt; 4</formula>
    </cfRule>
  </conditionalFormatting>
  <conditionalFormatting sqref="J123:K123">
    <cfRule type="expression" dxfId="1476" priority="31">
      <formula>kvartal &lt; 4</formula>
    </cfRule>
  </conditionalFormatting>
  <conditionalFormatting sqref="A50:A52">
    <cfRule type="expression" dxfId="1475" priority="12">
      <formula>kvartal &lt; 4</formula>
    </cfRule>
  </conditionalFormatting>
  <conditionalFormatting sqref="A69:A74">
    <cfRule type="expression" dxfId="1474" priority="10">
      <formula>kvartal &lt; 4</formula>
    </cfRule>
  </conditionalFormatting>
  <conditionalFormatting sqref="A80:A85">
    <cfRule type="expression" dxfId="1473" priority="9">
      <formula>kvartal &lt; 4</formula>
    </cfRule>
  </conditionalFormatting>
  <conditionalFormatting sqref="A90:A95">
    <cfRule type="expression" dxfId="1472" priority="6">
      <formula>kvartal &lt; 4</formula>
    </cfRule>
  </conditionalFormatting>
  <conditionalFormatting sqref="A101:A106">
    <cfRule type="expression" dxfId="1471" priority="5">
      <formula>kvartal &lt; 4</formula>
    </cfRule>
  </conditionalFormatting>
  <conditionalFormatting sqref="A115">
    <cfRule type="expression" dxfId="1470" priority="4">
      <formula>kvartal &lt; 4</formula>
    </cfRule>
  </conditionalFormatting>
  <conditionalFormatting sqref="A123">
    <cfRule type="expression" dxfId="1469" priority="3">
      <formula>kvartal &lt; 4</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N144"/>
  <sheetViews>
    <sheetView showGridLines="0" zoomScale="120" zoomScaleNormal="120" workbookViewId="0">
      <pane xSplit="1" topLeftCell="B1" activePane="topRight" state="frozen"/>
      <selection activeCell="C1" sqref="C1"/>
      <selection pane="topRight" activeCell="B1" sqref="B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404</v>
      </c>
      <c r="D1" s="26"/>
      <c r="E1" s="26"/>
      <c r="F1" s="26"/>
      <c r="G1" s="26"/>
      <c r="H1" s="26"/>
      <c r="I1" s="26"/>
      <c r="J1" s="26"/>
      <c r="K1" s="26"/>
      <c r="L1" s="26"/>
      <c r="M1" s="26"/>
    </row>
    <row r="2" spans="1:14" ht="15.75" x14ac:dyDescent="0.25">
      <c r="A2" s="165" t="s">
        <v>28</v>
      </c>
      <c r="B2" s="358"/>
      <c r="C2" s="358"/>
      <c r="D2" s="358"/>
      <c r="E2" s="358"/>
      <c r="F2" s="358"/>
      <c r="G2" s="358"/>
      <c r="H2" s="358"/>
      <c r="I2" s="358"/>
      <c r="J2" s="358"/>
      <c r="K2" s="358"/>
      <c r="L2" s="358"/>
      <c r="M2" s="358"/>
    </row>
    <row r="3" spans="1:14" ht="15.75" x14ac:dyDescent="0.25">
      <c r="A3" s="163"/>
      <c r="B3" s="358"/>
      <c r="C3" s="358"/>
      <c r="D3" s="358"/>
      <c r="E3" s="358"/>
      <c r="F3" s="358"/>
      <c r="G3" s="358"/>
      <c r="H3" s="358"/>
      <c r="I3" s="358"/>
      <c r="J3" s="358"/>
      <c r="K3" s="358"/>
      <c r="L3" s="358"/>
      <c r="M3" s="358"/>
    </row>
    <row r="4" spans="1:14" x14ac:dyDescent="0.2">
      <c r="A4" s="144"/>
      <c r="B4" s="737" t="s">
        <v>0</v>
      </c>
      <c r="C4" s="738"/>
      <c r="D4" s="738"/>
      <c r="E4" s="355"/>
      <c r="F4" s="737" t="s">
        <v>1</v>
      </c>
      <c r="G4" s="738"/>
      <c r="H4" s="738"/>
      <c r="I4" s="356"/>
      <c r="J4" s="737" t="s">
        <v>2</v>
      </c>
      <c r="K4" s="738"/>
      <c r="L4" s="738"/>
      <c r="M4" s="356"/>
    </row>
    <row r="5" spans="1:14" x14ac:dyDescent="0.2">
      <c r="A5" s="158"/>
      <c r="B5" s="152" t="s">
        <v>427</v>
      </c>
      <c r="C5" s="152" t="s">
        <v>428</v>
      </c>
      <c r="D5" s="244" t="s">
        <v>3</v>
      </c>
      <c r="E5" s="304" t="s">
        <v>29</v>
      </c>
      <c r="F5" s="152" t="s">
        <v>427</v>
      </c>
      <c r="G5" s="152" t="s">
        <v>428</v>
      </c>
      <c r="H5" s="244" t="s">
        <v>3</v>
      </c>
      <c r="I5" s="304"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61"/>
      <c r="C7" s="362">
        <v>597132.06811999995</v>
      </c>
      <c r="D7" s="370" t="str">
        <f t="shared" ref="D7:D12" si="0">IF(AND(_xlfn.NUMBERVALUE(B7)=0,_xlfn.NUMBERVALUE(C7)=0),,IF(B7=0, "    ---- ", IF(ABS(ROUND(100/B7*C7-100,1))&lt;999,IF(ROUND(100/B7*C7-100,1)=0,"    ---- ",ROUND(100/B7*C7-100,1)),IF(ROUND(100/B7*C7-100,1)&gt;999,999,-999))))</f>
        <v xml:space="preserve">    ---- </v>
      </c>
      <c r="E7" s="371">
        <f>IFERROR(100/'Skjema total MA'!C7*C7,0)</f>
        <v>22.22057236647273</v>
      </c>
      <c r="F7" s="361"/>
      <c r="G7" s="362"/>
      <c r="H7" s="370"/>
      <c r="I7" s="371"/>
      <c r="J7" s="372">
        <f t="shared" ref="J7:K12" si="1">SUM(B7,F7)</f>
        <v>0</v>
      </c>
      <c r="K7" s="367">
        <f t="shared" si="1"/>
        <v>597132.06811999995</v>
      </c>
      <c r="L7" s="370" t="str">
        <f t="shared" ref="L7:L12" si="2">IF(AND(_xlfn.NUMBERVALUE(J7)=0,_xlfn.NUMBERVALUE(K7)=0),,IF(J7=0, "    ---- ", IF(ABS(ROUND(100/J7*K7-100,1))&lt;999,IF(ROUND(100/J7*K7-100,1)=0,"    ---- ",ROUND(100/J7*K7-100,1)),IF(ROUND(100/J7*K7-100,1)&gt;999,999,-999))))</f>
        <v xml:space="preserve">    ---- </v>
      </c>
      <c r="M7" s="371">
        <f>IFERROR(100/'Skjema total MA'!I7*K7,0)</f>
        <v>8.0583876027859205</v>
      </c>
    </row>
    <row r="8" spans="1:14" ht="15.75" x14ac:dyDescent="0.2">
      <c r="A8" s="21" t="s">
        <v>25</v>
      </c>
      <c r="B8" s="364"/>
      <c r="C8" s="365">
        <v>550215.79584000004</v>
      </c>
      <c r="D8" s="373" t="str">
        <f t="shared" si="0"/>
        <v xml:space="preserve">    ---- </v>
      </c>
      <c r="E8" s="371">
        <f>IFERROR(100/'Skjema total MA'!C8*C8,0)</f>
        <v>30.499502894561793</v>
      </c>
      <c r="F8" s="374"/>
      <c r="G8" s="375"/>
      <c r="H8" s="373"/>
      <c r="I8" s="371"/>
      <c r="J8" s="376">
        <f t="shared" si="1"/>
        <v>0</v>
      </c>
      <c r="K8" s="365">
        <f t="shared" si="1"/>
        <v>550215.79584000004</v>
      </c>
      <c r="L8" s="373" t="str">
        <f t="shared" si="2"/>
        <v xml:space="preserve">    ---- </v>
      </c>
      <c r="M8" s="371">
        <f>IFERROR(100/'Skjema total MA'!I8*K8,0)</f>
        <v>30.499502894561793</v>
      </c>
    </row>
    <row r="9" spans="1:14" ht="15.75" x14ac:dyDescent="0.2">
      <c r="A9" s="21" t="s">
        <v>24</v>
      </c>
      <c r="B9" s="364"/>
      <c r="C9" s="365">
        <v>46916.272279999997</v>
      </c>
      <c r="D9" s="373" t="str">
        <f t="shared" si="0"/>
        <v xml:space="preserve">    ---- </v>
      </c>
      <c r="E9" s="371">
        <f>IFERROR(100/'Skjema total MA'!C9*C9,0)</f>
        <v>9.0228696053050506</v>
      </c>
      <c r="F9" s="374"/>
      <c r="G9" s="375"/>
      <c r="H9" s="373"/>
      <c r="I9" s="371"/>
      <c r="J9" s="376">
        <f t="shared" si="1"/>
        <v>0</v>
      </c>
      <c r="K9" s="365">
        <f t="shared" si="1"/>
        <v>46916.272279999997</v>
      </c>
      <c r="L9" s="373" t="str">
        <f t="shared" si="2"/>
        <v xml:space="preserve">    ---- </v>
      </c>
      <c r="M9" s="371">
        <f>IFERROR(100/'Skjema total MA'!I9*K9,0)</f>
        <v>9.0228696053050506</v>
      </c>
    </row>
    <row r="10" spans="1:14" ht="15.75" x14ac:dyDescent="0.2">
      <c r="A10" s="13" t="s">
        <v>367</v>
      </c>
      <c r="B10" s="366"/>
      <c r="C10" s="367">
        <v>526222.54143999994</v>
      </c>
      <c r="D10" s="373" t="str">
        <f t="shared" si="0"/>
        <v xml:space="preserve">    ---- </v>
      </c>
      <c r="E10" s="371">
        <f>IFERROR(100/'Skjema total MA'!C10*C10,0)</f>
        <v>2.8608632557295777</v>
      </c>
      <c r="F10" s="366"/>
      <c r="G10" s="367"/>
      <c r="H10" s="373"/>
      <c r="I10" s="371"/>
      <c r="J10" s="372">
        <f t="shared" si="1"/>
        <v>0</v>
      </c>
      <c r="K10" s="367">
        <f t="shared" si="1"/>
        <v>526222.54143999994</v>
      </c>
      <c r="L10" s="373" t="str">
        <f t="shared" si="2"/>
        <v xml:space="preserve">    ---- </v>
      </c>
      <c r="M10" s="371">
        <f>IFERROR(100/'Skjema total MA'!I10*K10,0)</f>
        <v>0.74881174004280315</v>
      </c>
    </row>
    <row r="11" spans="1:14" s="43" customFormat="1" ht="15.75" x14ac:dyDescent="0.2">
      <c r="A11" s="13" t="s">
        <v>368</v>
      </c>
      <c r="B11" s="366"/>
      <c r="C11" s="367"/>
      <c r="D11" s="373">
        <f t="shared" si="0"/>
        <v>0</v>
      </c>
      <c r="E11" s="371">
        <f>IFERROR(100/'Skjema total MA'!C11*C11,0)</f>
        <v>0</v>
      </c>
      <c r="F11" s="366"/>
      <c r="G11" s="367"/>
      <c r="H11" s="373"/>
      <c r="I11" s="371"/>
      <c r="J11" s="372">
        <f t="shared" si="1"/>
        <v>0</v>
      </c>
      <c r="K11" s="367">
        <f t="shared" si="1"/>
        <v>0</v>
      </c>
      <c r="L11" s="373">
        <f t="shared" si="2"/>
        <v>0</v>
      </c>
      <c r="M11" s="371">
        <f>IFERROR(100/'Skjema total MA'!I11*K11,0)</f>
        <v>0</v>
      </c>
      <c r="N11" s="143"/>
    </row>
    <row r="12" spans="1:14" s="43" customFormat="1" ht="15.75" x14ac:dyDescent="0.2">
      <c r="A12" s="41" t="s">
        <v>369</v>
      </c>
      <c r="B12" s="368"/>
      <c r="C12" s="369"/>
      <c r="D12" s="377">
        <f t="shared" si="0"/>
        <v>0</v>
      </c>
      <c r="E12" s="377">
        <f>IFERROR(100/'Skjema total MA'!C12*C12,0)</f>
        <v>0</v>
      </c>
      <c r="F12" s="368"/>
      <c r="G12" s="369"/>
      <c r="H12" s="377"/>
      <c r="I12" s="377"/>
      <c r="J12" s="378">
        <f t="shared" si="1"/>
        <v>0</v>
      </c>
      <c r="K12" s="369">
        <f t="shared" si="1"/>
        <v>0</v>
      </c>
      <c r="L12" s="377">
        <f t="shared" si="2"/>
        <v>0</v>
      </c>
      <c r="M12" s="377">
        <f>IFERROR(100/'Skjema total MA'!I12*K12,0)</f>
        <v>0</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357"/>
      <c r="C18" s="357"/>
      <c r="D18" s="357"/>
      <c r="E18" s="358"/>
      <c r="F18" s="357"/>
      <c r="G18" s="357"/>
      <c r="H18" s="357"/>
      <c r="I18" s="358"/>
      <c r="J18" s="357"/>
      <c r="K18" s="357"/>
      <c r="L18" s="357"/>
      <c r="M18" s="358"/>
    </row>
    <row r="19" spans="1:14" x14ac:dyDescent="0.2">
      <c r="A19" s="144"/>
      <c r="B19" s="737" t="s">
        <v>0</v>
      </c>
      <c r="C19" s="738"/>
      <c r="D19" s="738"/>
      <c r="E19" s="355"/>
      <c r="F19" s="737" t="s">
        <v>1</v>
      </c>
      <c r="G19" s="738"/>
      <c r="H19" s="738"/>
      <c r="I19" s="356"/>
      <c r="J19" s="737" t="s">
        <v>2</v>
      </c>
      <c r="K19" s="738"/>
      <c r="L19" s="738"/>
      <c r="M19" s="356"/>
    </row>
    <row r="20" spans="1:14" x14ac:dyDescent="0.2">
      <c r="A20" s="140" t="s">
        <v>5</v>
      </c>
      <c r="B20" s="152" t="s">
        <v>427</v>
      </c>
      <c r="C20" s="152" t="s">
        <v>428</v>
      </c>
      <c r="D20" s="162" t="s">
        <v>3</v>
      </c>
      <c r="E20" s="304" t="s">
        <v>29</v>
      </c>
      <c r="F20" s="152" t="s">
        <v>427</v>
      </c>
      <c r="G20" s="152" t="s">
        <v>428</v>
      </c>
      <c r="H20" s="162" t="s">
        <v>3</v>
      </c>
      <c r="I20" s="304"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603"/>
      <c r="C22" s="603">
        <v>291211.95121999999</v>
      </c>
      <c r="D22" s="370" t="str">
        <f t="shared" ref="D22:D39" si="3">IF(AND(_xlfn.NUMBERVALUE(B22)=0,_xlfn.NUMBERVALUE(C22)=0),,IF(B22=0, "    ---- ", IF(ABS(ROUND(100/B22*C22-100,1))&lt;999,IF(ROUND(100/B22*C22-100,1)=0,"    ---- ",ROUND(100/B22*C22-100,1)),IF(ROUND(100/B22*C22-100,1)&gt;999,999,-999))))</f>
        <v xml:space="preserve">    ---- </v>
      </c>
      <c r="E22" s="371">
        <f>IFERROR(100/'Skjema total MA'!C22*C22,0)</f>
        <v>29.485835441204259</v>
      </c>
      <c r="F22" s="379"/>
      <c r="G22" s="379"/>
      <c r="H22" s="370"/>
      <c r="I22" s="371"/>
      <c r="J22" s="361">
        <f t="shared" ref="J22:K35" si="4">SUM(B22,F22)</f>
        <v>0</v>
      </c>
      <c r="K22" s="361">
        <f t="shared" si="4"/>
        <v>291211.95121999999</v>
      </c>
      <c r="L22" s="370" t="str">
        <f t="shared" ref="L22:L39" si="5">IF(AND(_xlfn.NUMBERVALUE(J22)=0,_xlfn.NUMBERVALUE(K22)=0),,IF(J22=0, "    ---- ", IF(ABS(ROUND(100/J22*K22-100,1))&lt;999,IF(ROUND(100/J22*K22-100,1)=0,"    ---- ",ROUND(100/J22*K22-100,1)),IF(ROUND(100/J22*K22-100,1)&gt;999,999,-999))))</f>
        <v xml:space="preserve">    ---- </v>
      </c>
      <c r="M22" s="371">
        <f>IFERROR(100/'Skjema total MA'!I22*K22,0)</f>
        <v>17.867903077142113</v>
      </c>
    </row>
    <row r="23" spans="1:14" ht="15.75" x14ac:dyDescent="0.2">
      <c r="A23" s="587" t="s">
        <v>370</v>
      </c>
      <c r="B23" s="363"/>
      <c r="C23" s="363">
        <v>0</v>
      </c>
      <c r="D23" s="373">
        <f t="shared" si="3"/>
        <v>0</v>
      </c>
      <c r="E23" s="371">
        <f>IFERROR(100/'Skjema total MA'!C23*C23,0)</f>
        <v>0</v>
      </c>
      <c r="F23" s="363"/>
      <c r="G23" s="363"/>
      <c r="H23" s="373"/>
      <c r="I23" s="371"/>
      <c r="J23" s="363">
        <f t="shared" ref="J23:J27" si="6">SUM(B23,F23)</f>
        <v>0</v>
      </c>
      <c r="K23" s="363">
        <f t="shared" ref="K23:K27" si="7">SUM(C23,G23)</f>
        <v>0</v>
      </c>
      <c r="L23" s="373">
        <f t="shared" si="5"/>
        <v>0</v>
      </c>
      <c r="M23" s="371">
        <f>IFERROR(100/'Skjema total MA'!I23*K23,0)</f>
        <v>0</v>
      </c>
    </row>
    <row r="24" spans="1:14" ht="15.75" x14ac:dyDescent="0.2">
      <c r="A24" s="587" t="s">
        <v>371</v>
      </c>
      <c r="B24" s="363"/>
      <c r="C24" s="363">
        <v>0</v>
      </c>
      <c r="D24" s="373">
        <f t="shared" si="3"/>
        <v>0</v>
      </c>
      <c r="E24" s="371">
        <f>IFERROR(100/'Skjema total MA'!C24*C24,0)</f>
        <v>0</v>
      </c>
      <c r="F24" s="363"/>
      <c r="G24" s="363"/>
      <c r="H24" s="373"/>
      <c r="I24" s="371"/>
      <c r="J24" s="363">
        <f t="shared" si="6"/>
        <v>0</v>
      </c>
      <c r="K24" s="363">
        <f t="shared" si="7"/>
        <v>0</v>
      </c>
      <c r="L24" s="373">
        <f t="shared" si="5"/>
        <v>0</v>
      </c>
      <c r="M24" s="371">
        <f>IFERROR(100/'Skjema total MA'!I24*K24,0)</f>
        <v>0</v>
      </c>
    </row>
    <row r="25" spans="1:14" ht="15.75" x14ac:dyDescent="0.2">
      <c r="A25" s="587" t="s">
        <v>372</v>
      </c>
      <c r="B25" s="363"/>
      <c r="C25" s="363">
        <v>0</v>
      </c>
      <c r="D25" s="373">
        <f t="shared" si="3"/>
        <v>0</v>
      </c>
      <c r="E25" s="371">
        <f>IFERROR(100/'Skjema total MA'!C25*C25,0)</f>
        <v>0</v>
      </c>
      <c r="F25" s="363"/>
      <c r="G25" s="363"/>
      <c r="H25" s="373"/>
      <c r="I25" s="371"/>
      <c r="J25" s="363">
        <f t="shared" si="6"/>
        <v>0</v>
      </c>
      <c r="K25" s="363">
        <f t="shared" si="7"/>
        <v>0</v>
      </c>
      <c r="L25" s="373">
        <f t="shared" si="5"/>
        <v>0</v>
      </c>
      <c r="M25" s="371">
        <f>IFERROR(100/'Skjema total MA'!I25*K25,0)</f>
        <v>0</v>
      </c>
    </row>
    <row r="26" spans="1:14" ht="15.75" x14ac:dyDescent="0.2">
      <c r="A26" s="587" t="s">
        <v>373</v>
      </c>
      <c r="B26" s="363"/>
      <c r="C26" s="363">
        <v>0</v>
      </c>
      <c r="D26" s="373">
        <f t="shared" ref="D26" si="8">IF(AND(_xlfn.NUMBERVALUE(B26)=0,_xlfn.NUMBERVALUE(C26)=0),,IF(B26=0, "    ---- ", IF(ABS(ROUND(100/B26*C26-100,1))&lt;999,IF(ROUND(100/B26*C26-100,1)=0,"    ---- ",ROUND(100/B26*C26-100,1)),IF(ROUND(100/B26*C26-100,1)&gt;999,999,-999))))</f>
        <v>0</v>
      </c>
      <c r="E26" s="371">
        <f>IFERROR(100/'Skjema total MA'!C26*C26,0)</f>
        <v>0</v>
      </c>
      <c r="F26" s="363"/>
      <c r="G26" s="363"/>
      <c r="H26" s="373"/>
      <c r="I26" s="371"/>
      <c r="J26" s="363">
        <f t="shared" si="6"/>
        <v>0</v>
      </c>
      <c r="K26" s="363">
        <f t="shared" si="7"/>
        <v>0</v>
      </c>
      <c r="L26" s="373">
        <f t="shared" ref="L26" si="9">IF(AND(_xlfn.NUMBERVALUE(J26)=0,_xlfn.NUMBERVALUE(K26)=0),,IF(J26=0, "    ---- ", IF(ABS(ROUND(100/J26*K26-100,1))&lt;999,IF(ROUND(100/J26*K26-100,1)=0,"    ---- ",ROUND(100/J26*K26-100,1)),IF(ROUND(100/J26*K26-100,1)&gt;999,999,-999))))</f>
        <v>0</v>
      </c>
      <c r="M26" s="371">
        <f>IFERROR(100/'Skjema total MA'!I26*K26,0)</f>
        <v>0</v>
      </c>
    </row>
    <row r="27" spans="1:14" x14ac:dyDescent="0.2">
      <c r="A27" s="587" t="s">
        <v>11</v>
      </c>
      <c r="B27" s="363"/>
      <c r="C27" s="363">
        <v>0</v>
      </c>
      <c r="D27" s="373">
        <f t="shared" si="3"/>
        <v>0</v>
      </c>
      <c r="E27" s="371">
        <f>IFERROR(100/'Skjema total MA'!C27*C27,0)</f>
        <v>0</v>
      </c>
      <c r="F27" s="363"/>
      <c r="G27" s="363"/>
      <c r="H27" s="373"/>
      <c r="I27" s="371"/>
      <c r="J27" s="363">
        <f t="shared" si="6"/>
        <v>0</v>
      </c>
      <c r="K27" s="363">
        <f t="shared" si="7"/>
        <v>0</v>
      </c>
      <c r="L27" s="373">
        <f t="shared" si="5"/>
        <v>0</v>
      </c>
      <c r="M27" s="371">
        <f>IFERROR(100/'Skjema total MA'!I27*K27,0)</f>
        <v>0</v>
      </c>
    </row>
    <row r="28" spans="1:14" ht="15.75" x14ac:dyDescent="0.2">
      <c r="A28" s="49" t="s">
        <v>278</v>
      </c>
      <c r="B28" s="363"/>
      <c r="C28" s="363">
        <v>291211.95121999999</v>
      </c>
      <c r="D28" s="373" t="str">
        <f t="shared" si="3"/>
        <v xml:space="preserve">    ---- </v>
      </c>
      <c r="E28" s="371">
        <f>IFERROR(100/'Skjema total MA'!C28*C28,0)</f>
        <v>27.003307988372182</v>
      </c>
      <c r="F28" s="376"/>
      <c r="G28" s="365"/>
      <c r="H28" s="373"/>
      <c r="I28" s="371"/>
      <c r="J28" s="364">
        <f t="shared" si="4"/>
        <v>0</v>
      </c>
      <c r="K28" s="364">
        <f t="shared" si="4"/>
        <v>291211.95121999999</v>
      </c>
      <c r="L28" s="373" t="str">
        <f t="shared" si="5"/>
        <v xml:space="preserve">    ---- </v>
      </c>
      <c r="M28" s="371">
        <f>IFERROR(100/'Skjema total MA'!I28*K28,0)</f>
        <v>27.003307988372182</v>
      </c>
    </row>
    <row r="29" spans="1:14" s="3" customFormat="1" ht="15.75" x14ac:dyDescent="0.2">
      <c r="A29" s="13" t="s">
        <v>367</v>
      </c>
      <c r="B29" s="366"/>
      <c r="C29" s="366">
        <v>3061601.8433099999</v>
      </c>
      <c r="D29" s="373" t="str">
        <f t="shared" si="3"/>
        <v xml:space="preserve">    ---- </v>
      </c>
      <c r="E29" s="371">
        <f>IFERROR(100/'Skjema total MA'!C29*C29,0)</f>
        <v>6.5994497455975907</v>
      </c>
      <c r="F29" s="372"/>
      <c r="G29" s="372"/>
      <c r="H29" s="373"/>
      <c r="I29" s="371"/>
      <c r="J29" s="366">
        <f t="shared" si="4"/>
        <v>0</v>
      </c>
      <c r="K29" s="366">
        <f t="shared" si="4"/>
        <v>3061601.8433099999</v>
      </c>
      <c r="L29" s="373" t="str">
        <f t="shared" si="5"/>
        <v xml:space="preserve">    ---- </v>
      </c>
      <c r="M29" s="371">
        <f>IFERROR(100/'Skjema total MA'!I29*K29,0)</f>
        <v>4.4829628827748982</v>
      </c>
      <c r="N29" s="148"/>
    </row>
    <row r="30" spans="1:14" s="3" customFormat="1" ht="15.75" x14ac:dyDescent="0.2">
      <c r="A30" s="587" t="s">
        <v>370</v>
      </c>
      <c r="B30" s="363"/>
      <c r="C30" s="363">
        <v>0</v>
      </c>
      <c r="D30" s="373">
        <f t="shared" si="3"/>
        <v>0</v>
      </c>
      <c r="E30" s="371">
        <f>IFERROR(100/'Skjema total MA'!C30*C30,0)</f>
        <v>0</v>
      </c>
      <c r="F30" s="363"/>
      <c r="G30" s="363"/>
      <c r="H30" s="373"/>
      <c r="I30" s="371"/>
      <c r="J30" s="363">
        <f t="shared" ref="J30:J33" si="10">SUM(B30,F30)</f>
        <v>0</v>
      </c>
      <c r="K30" s="363">
        <f t="shared" ref="K30:K33" si="11">SUM(C30,G30)</f>
        <v>0</v>
      </c>
      <c r="L30" s="373">
        <f t="shared" si="5"/>
        <v>0</v>
      </c>
      <c r="M30" s="371">
        <f>IFERROR(100/'Skjema total MA'!I30*K30,0)</f>
        <v>0</v>
      </c>
      <c r="N30" s="148"/>
    </row>
    <row r="31" spans="1:14" s="3" customFormat="1" ht="15.75" x14ac:dyDescent="0.2">
      <c r="A31" s="587" t="s">
        <v>371</v>
      </c>
      <c r="B31" s="363"/>
      <c r="C31" s="363">
        <v>0</v>
      </c>
      <c r="D31" s="373">
        <f t="shared" si="3"/>
        <v>0</v>
      </c>
      <c r="E31" s="371">
        <f>IFERROR(100/'Skjema total MA'!C31*C31,0)</f>
        <v>0</v>
      </c>
      <c r="F31" s="363"/>
      <c r="G31" s="363"/>
      <c r="H31" s="373"/>
      <c r="I31" s="371"/>
      <c r="J31" s="363">
        <f t="shared" si="10"/>
        <v>0</v>
      </c>
      <c r="K31" s="363">
        <f t="shared" si="11"/>
        <v>0</v>
      </c>
      <c r="L31" s="373">
        <f t="shared" si="5"/>
        <v>0</v>
      </c>
      <c r="M31" s="371">
        <f>IFERROR(100/'Skjema total MA'!I31*K31,0)</f>
        <v>0</v>
      </c>
      <c r="N31" s="148"/>
    </row>
    <row r="32" spans="1:14" ht="15.75" x14ac:dyDescent="0.2">
      <c r="A32" s="587" t="s">
        <v>372</v>
      </c>
      <c r="B32" s="363"/>
      <c r="C32" s="363">
        <v>0</v>
      </c>
      <c r="D32" s="373">
        <f t="shared" si="3"/>
        <v>0</v>
      </c>
      <c r="E32" s="371">
        <f>IFERROR(100/'Skjema total MA'!C32*C32,0)</f>
        <v>0</v>
      </c>
      <c r="F32" s="363"/>
      <c r="G32" s="363"/>
      <c r="H32" s="373"/>
      <c r="I32" s="371"/>
      <c r="J32" s="363">
        <f t="shared" si="10"/>
        <v>0</v>
      </c>
      <c r="K32" s="363">
        <f t="shared" si="11"/>
        <v>0</v>
      </c>
      <c r="L32" s="373">
        <f t="shared" si="5"/>
        <v>0</v>
      </c>
      <c r="M32" s="371">
        <f>IFERROR(100/'Skjema total MA'!I32*K32,0)</f>
        <v>0</v>
      </c>
    </row>
    <row r="33" spans="1:14" ht="15.75" x14ac:dyDescent="0.2">
      <c r="A33" s="587" t="s">
        <v>373</v>
      </c>
      <c r="B33" s="363"/>
      <c r="C33" s="363">
        <v>0</v>
      </c>
      <c r="D33" s="373">
        <f t="shared" ref="D33" si="12">IF(AND(_xlfn.NUMBERVALUE(B33)=0,_xlfn.NUMBERVALUE(C33)=0),,IF(B33=0, "    ---- ", IF(ABS(ROUND(100/B33*C33-100,1))&lt;999,IF(ROUND(100/B33*C33-100,1)=0,"    ---- ",ROUND(100/B33*C33-100,1)),IF(ROUND(100/B33*C33-100,1)&gt;999,999,-999))))</f>
        <v>0</v>
      </c>
      <c r="E33" s="371">
        <f>IFERROR(100/'Skjema total MA'!C33*C33,0)</f>
        <v>0</v>
      </c>
      <c r="F33" s="363"/>
      <c r="G33" s="363"/>
      <c r="H33" s="373"/>
      <c r="I33" s="371"/>
      <c r="J33" s="363">
        <f t="shared" si="10"/>
        <v>0</v>
      </c>
      <c r="K33" s="363">
        <f t="shared" si="11"/>
        <v>0</v>
      </c>
      <c r="L33" s="373">
        <f t="shared" ref="L33" si="13">IF(AND(_xlfn.NUMBERVALUE(J33)=0,_xlfn.NUMBERVALUE(K33)=0),,IF(J33=0, "    ---- ", IF(ABS(ROUND(100/J33*K33-100,1))&lt;999,IF(ROUND(100/J33*K33-100,1)=0,"    ---- ",ROUND(100/J33*K33-100,1)),IF(ROUND(100/J33*K33-100,1)&gt;999,999,-999))))</f>
        <v>0</v>
      </c>
      <c r="M33" s="371">
        <f>IFERROR(100/'Skjema total MA'!I33*K33,0)</f>
        <v>0</v>
      </c>
    </row>
    <row r="34" spans="1:14" ht="15.75" x14ac:dyDescent="0.2">
      <c r="A34" s="13" t="s">
        <v>368</v>
      </c>
      <c r="B34" s="366"/>
      <c r="C34" s="367">
        <v>0</v>
      </c>
      <c r="D34" s="373">
        <f t="shared" si="3"/>
        <v>0</v>
      </c>
      <c r="E34" s="371">
        <f>IFERROR(100/'Skjema total MA'!C34*C34,0)</f>
        <v>0</v>
      </c>
      <c r="F34" s="372"/>
      <c r="G34" s="367"/>
      <c r="H34" s="373"/>
      <c r="I34" s="371"/>
      <c r="J34" s="366">
        <f t="shared" si="4"/>
        <v>0</v>
      </c>
      <c r="K34" s="366">
        <f t="shared" si="4"/>
        <v>0</v>
      </c>
      <c r="L34" s="373">
        <f t="shared" si="5"/>
        <v>0</v>
      </c>
      <c r="M34" s="371">
        <f>IFERROR(100/'Skjema total MA'!I34*K34,0)</f>
        <v>0</v>
      </c>
    </row>
    <row r="35" spans="1:14" ht="15.75" x14ac:dyDescent="0.2">
      <c r="A35" s="13" t="s">
        <v>369</v>
      </c>
      <c r="B35" s="366"/>
      <c r="C35" s="367">
        <v>0</v>
      </c>
      <c r="D35" s="373">
        <f t="shared" si="3"/>
        <v>0</v>
      </c>
      <c r="E35" s="371">
        <f>IFERROR(100/'Skjema total MA'!C35*C35,0)</f>
        <v>0</v>
      </c>
      <c r="F35" s="372"/>
      <c r="G35" s="367"/>
      <c r="H35" s="373"/>
      <c r="I35" s="371"/>
      <c r="J35" s="366">
        <f t="shared" si="4"/>
        <v>0</v>
      </c>
      <c r="K35" s="366">
        <f t="shared" si="4"/>
        <v>0</v>
      </c>
      <c r="L35" s="373">
        <f t="shared" si="5"/>
        <v>0</v>
      </c>
      <c r="M35" s="371">
        <f>IFERROR(100/'Skjema total MA'!I35*K35,0)</f>
        <v>0</v>
      </c>
    </row>
    <row r="36" spans="1:14" ht="15.75" x14ac:dyDescent="0.2">
      <c r="A36" s="12" t="s">
        <v>286</v>
      </c>
      <c r="B36" s="366"/>
      <c r="C36" s="367">
        <v>0</v>
      </c>
      <c r="D36" s="373">
        <f t="shared" si="3"/>
        <v>0</v>
      </c>
      <c r="E36" s="371">
        <f>100/'Skjema total MA'!C36*C36</f>
        <v>0</v>
      </c>
      <c r="F36" s="380"/>
      <c r="G36" s="381"/>
      <c r="H36" s="373"/>
      <c r="I36" s="371"/>
      <c r="J36" s="366">
        <f t="shared" ref="J36:J39" si="14">SUM(B36,F36)</f>
        <v>0</v>
      </c>
      <c r="K36" s="366">
        <f t="shared" ref="K36:K39" si="15">SUM(C36,G36)</f>
        <v>0</v>
      </c>
      <c r="L36" s="373">
        <f t="shared" si="5"/>
        <v>0</v>
      </c>
      <c r="M36" s="371">
        <f>IFERROR(100/'Skjema total MA'!I36*K36,0)</f>
        <v>0</v>
      </c>
    </row>
    <row r="37" spans="1:14" ht="15.75" x14ac:dyDescent="0.2">
      <c r="A37" s="12" t="s">
        <v>375</v>
      </c>
      <c r="B37" s="366"/>
      <c r="C37" s="367">
        <v>0</v>
      </c>
      <c r="D37" s="373">
        <f t="shared" si="3"/>
        <v>0</v>
      </c>
      <c r="E37" s="371">
        <f>100/'Skjema total MA'!C37*C37</f>
        <v>0</v>
      </c>
      <c r="F37" s="380"/>
      <c r="G37" s="382"/>
      <c r="H37" s="373"/>
      <c r="I37" s="371"/>
      <c r="J37" s="366">
        <f t="shared" si="14"/>
        <v>0</v>
      </c>
      <c r="K37" s="366">
        <f t="shared" si="15"/>
        <v>0</v>
      </c>
      <c r="L37" s="373">
        <f t="shared" si="5"/>
        <v>0</v>
      </c>
      <c r="M37" s="371">
        <f>IFERROR(100/'Skjema total MA'!I37*K37,0)</f>
        <v>0</v>
      </c>
    </row>
    <row r="38" spans="1:14" ht="15.75" x14ac:dyDescent="0.2">
      <c r="A38" s="12" t="s">
        <v>376</v>
      </c>
      <c r="B38" s="366"/>
      <c r="C38" s="367">
        <v>0</v>
      </c>
      <c r="D38" s="373">
        <f t="shared" si="3"/>
        <v>0</v>
      </c>
      <c r="E38" s="166">
        <f>IFERROR(100/'Skjema total MA'!C37*C38,0)</f>
        <v>0</v>
      </c>
      <c r="F38" s="380"/>
      <c r="G38" s="381"/>
      <c r="H38" s="373"/>
      <c r="I38" s="371"/>
      <c r="J38" s="366">
        <f t="shared" si="14"/>
        <v>0</v>
      </c>
      <c r="K38" s="366">
        <f t="shared" si="15"/>
        <v>0</v>
      </c>
      <c r="L38" s="373">
        <f t="shared" si="5"/>
        <v>0</v>
      </c>
      <c r="M38" s="371">
        <f>IFERROR(100/'Skjema total MA'!I38*K38,0)</f>
        <v>0</v>
      </c>
    </row>
    <row r="39" spans="1:14" ht="15.75" x14ac:dyDescent="0.2">
      <c r="A39" s="18" t="s">
        <v>377</v>
      </c>
      <c r="B39" s="368"/>
      <c r="C39" s="369">
        <v>0</v>
      </c>
      <c r="D39" s="377">
        <f t="shared" si="3"/>
        <v>0</v>
      </c>
      <c r="E39" s="167">
        <f>IFERROR(100/'Skjema total MA'!C38*C39,0)</f>
        <v>0</v>
      </c>
      <c r="F39" s="383"/>
      <c r="G39" s="384"/>
      <c r="H39" s="377"/>
      <c r="I39" s="371"/>
      <c r="J39" s="366">
        <f t="shared" si="14"/>
        <v>0</v>
      </c>
      <c r="K39" s="366">
        <f t="shared" si="15"/>
        <v>0</v>
      </c>
      <c r="L39" s="377">
        <f t="shared" si="5"/>
        <v>0</v>
      </c>
      <c r="M39" s="377">
        <f>IFERROR(100/'Skjema total MA'!I39*K39,0)</f>
        <v>0</v>
      </c>
    </row>
    <row r="40" spans="1:14" ht="15.75" x14ac:dyDescent="0.25">
      <c r="A40" s="47"/>
      <c r="B40" s="252"/>
      <c r="C40" s="252"/>
      <c r="D40" s="360"/>
      <c r="E40" s="360"/>
      <c r="F40" s="360"/>
      <c r="G40" s="360"/>
      <c r="H40" s="360"/>
      <c r="I40" s="360"/>
      <c r="J40" s="360"/>
      <c r="K40" s="360"/>
      <c r="L40" s="360"/>
      <c r="M40" s="359"/>
    </row>
    <row r="41" spans="1:14" x14ac:dyDescent="0.2">
      <c r="A41" s="155"/>
    </row>
    <row r="42" spans="1:14" ht="15.75" x14ac:dyDescent="0.25">
      <c r="A42" s="147" t="s">
        <v>275</v>
      </c>
      <c r="B42" s="358"/>
      <c r="C42" s="358"/>
      <c r="D42" s="358"/>
      <c r="E42" s="358"/>
      <c r="F42" s="359"/>
      <c r="G42" s="359"/>
      <c r="H42" s="359"/>
      <c r="I42" s="359"/>
      <c r="J42" s="359"/>
      <c r="K42" s="359"/>
      <c r="L42" s="359"/>
      <c r="M42" s="359"/>
    </row>
    <row r="43" spans="1:14" ht="15.75" x14ac:dyDescent="0.25">
      <c r="A43" s="163"/>
      <c r="B43" s="357"/>
      <c r="C43" s="357"/>
      <c r="D43" s="357"/>
      <c r="E43" s="357"/>
      <c r="F43" s="359"/>
      <c r="G43" s="359"/>
      <c r="H43" s="359"/>
      <c r="I43" s="359"/>
      <c r="J43" s="359"/>
      <c r="K43" s="359"/>
      <c r="L43" s="359"/>
      <c r="M43" s="359"/>
    </row>
    <row r="44" spans="1:14" ht="15.75" x14ac:dyDescent="0.25">
      <c r="A44" s="246"/>
      <c r="B44" s="737" t="s">
        <v>0</v>
      </c>
      <c r="C44" s="738"/>
      <c r="D44" s="738"/>
      <c r="E44" s="242"/>
      <c r="F44" s="359"/>
      <c r="G44" s="359"/>
      <c r="H44" s="359"/>
      <c r="I44" s="359"/>
      <c r="J44" s="359"/>
      <c r="K44" s="359"/>
      <c r="L44" s="359"/>
      <c r="M44" s="359"/>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419" customFormat="1" ht="15.75" x14ac:dyDescent="0.2">
      <c r="A47" s="14" t="s">
        <v>23</v>
      </c>
      <c r="B47" s="366"/>
      <c r="C47" s="367">
        <v>605793.56802999997</v>
      </c>
      <c r="D47" s="423" t="str">
        <f>IF(AND(_xlfn.NUMBERVALUE(B47)=0,_xlfn.NUMBERVALUE(C47)=0),,IF(B47=0, "    ---- ", IF(ABS(ROUND(100/B47*C47-100,1))&lt;999,IF(ROUND(100/B47*C47-100,1)=0,"    ---- ",ROUND(100/B47*C47-100,1)),IF(ROUND(100/B47*C47-100,1)&gt;999,999,-999))))</f>
        <v xml:space="preserve">    ---- </v>
      </c>
      <c r="E47" s="424">
        <f>IFERROR(100/'Skjema total MA'!C47*C47,0)</f>
        <v>16.586828650194146</v>
      </c>
      <c r="F47" s="159"/>
      <c r="G47" s="173"/>
      <c r="H47" s="159"/>
      <c r="I47" s="159"/>
      <c r="J47" s="422"/>
      <c r="K47" s="422"/>
      <c r="L47" s="159"/>
      <c r="M47" s="159"/>
      <c r="N47" s="425"/>
    </row>
    <row r="48" spans="1:14" s="3" customFormat="1" ht="15.75" x14ac:dyDescent="0.2">
      <c r="A48" s="38" t="s">
        <v>378</v>
      </c>
      <c r="B48" s="364"/>
      <c r="C48" s="365">
        <v>87932.991269999999</v>
      </c>
      <c r="D48" s="373" t="str">
        <f t="shared" ref="D48:D58" si="16">IF(AND(_xlfn.NUMBERVALUE(B48)=0,_xlfn.NUMBERVALUE(C48)=0),,IF(B48=0, "    ---- ", IF(ABS(ROUND(100/B48*C48-100,1))&lt;999,IF(ROUND(100/B48*C48-100,1)=0,"    ---- ",ROUND(100/B48*C48-100,1)),IF(ROUND(100/B48*C48-100,1)&gt;999,999,-999))))</f>
        <v xml:space="preserve">    ---- </v>
      </c>
      <c r="E48" s="412">
        <f>IFERROR(100/'Skjema total MA'!C48*C48,0)</f>
        <v>4.2512746766622289</v>
      </c>
      <c r="F48" s="145"/>
      <c r="G48" s="33"/>
      <c r="H48" s="145"/>
      <c r="I48" s="145"/>
      <c r="J48" s="33"/>
      <c r="K48" s="33"/>
      <c r="L48" s="159"/>
      <c r="M48" s="159"/>
      <c r="N48" s="148"/>
    </row>
    <row r="49" spans="1:14" s="3" customFormat="1" ht="15.75" x14ac:dyDescent="0.2">
      <c r="A49" s="38" t="s">
        <v>379</v>
      </c>
      <c r="B49" s="364"/>
      <c r="C49" s="365">
        <v>517860.57676000003</v>
      </c>
      <c r="D49" s="373" t="str">
        <f t="shared" si="16"/>
        <v xml:space="preserve">    ---- </v>
      </c>
      <c r="E49" s="412">
        <f>IFERROR(100/'Skjema total MA'!C49*C49,0)</f>
        <v>32.695993572035633</v>
      </c>
      <c r="F49" s="145"/>
      <c r="G49" s="33"/>
      <c r="H49" s="145"/>
      <c r="I49" s="145"/>
      <c r="J49" s="37"/>
      <c r="K49" s="37"/>
      <c r="L49" s="159"/>
      <c r="M49" s="159"/>
      <c r="N49" s="148"/>
    </row>
    <row r="50" spans="1:14" s="3" customFormat="1" x14ac:dyDescent="0.2">
      <c r="A50" s="295" t="s">
        <v>6</v>
      </c>
      <c r="B50" s="363"/>
      <c r="C50" s="385" t="s">
        <v>429</v>
      </c>
      <c r="D50" s="373"/>
      <c r="E50" s="413"/>
      <c r="F50" s="145"/>
      <c r="G50" s="33"/>
      <c r="H50" s="145"/>
      <c r="I50" s="145"/>
      <c r="J50" s="33"/>
      <c r="K50" s="33"/>
      <c r="L50" s="159"/>
      <c r="M50" s="159"/>
      <c r="N50" s="148"/>
    </row>
    <row r="51" spans="1:14" s="3" customFormat="1" x14ac:dyDescent="0.2">
      <c r="A51" s="295" t="s">
        <v>7</v>
      </c>
      <c r="B51" s="363"/>
      <c r="C51" s="385" t="s">
        <v>429</v>
      </c>
      <c r="D51" s="373"/>
      <c r="E51" s="413"/>
      <c r="F51" s="145"/>
      <c r="G51" s="33"/>
      <c r="H51" s="145"/>
      <c r="I51" s="145"/>
      <c r="J51" s="33"/>
      <c r="K51" s="33"/>
      <c r="L51" s="159"/>
      <c r="M51" s="159"/>
      <c r="N51" s="148"/>
    </row>
    <row r="52" spans="1:14" s="3" customFormat="1" x14ac:dyDescent="0.2">
      <c r="A52" s="295" t="s">
        <v>8</v>
      </c>
      <c r="B52" s="363"/>
      <c r="C52" s="385" t="s">
        <v>429</v>
      </c>
      <c r="D52" s="373"/>
      <c r="E52" s="413"/>
      <c r="F52" s="145"/>
      <c r="G52" s="33"/>
      <c r="H52" s="145"/>
      <c r="I52" s="145"/>
      <c r="J52" s="33"/>
      <c r="K52" s="33"/>
      <c r="L52" s="159"/>
      <c r="M52" s="159"/>
      <c r="N52" s="148"/>
    </row>
    <row r="53" spans="1:14" s="3" customFormat="1" ht="15.75" x14ac:dyDescent="0.2">
      <c r="A53" s="39" t="s">
        <v>380</v>
      </c>
      <c r="B53" s="366"/>
      <c r="C53" s="367">
        <v>1717</v>
      </c>
      <c r="D53" s="373" t="str">
        <f t="shared" si="16"/>
        <v xml:space="preserve">    ---- </v>
      </c>
      <c r="E53" s="412">
        <f>IFERROR(100/'Skjema total MA'!C53*C53,0)</f>
        <v>1.3104882788501075</v>
      </c>
      <c r="F53" s="145"/>
      <c r="G53" s="33"/>
      <c r="H53" s="145"/>
      <c r="I53" s="145"/>
      <c r="J53" s="33"/>
      <c r="K53" s="33"/>
      <c r="L53" s="159"/>
      <c r="M53" s="159"/>
      <c r="N53" s="148"/>
    </row>
    <row r="54" spans="1:14" s="3" customFormat="1" ht="15.75" x14ac:dyDescent="0.2">
      <c r="A54" s="38" t="s">
        <v>378</v>
      </c>
      <c r="B54" s="364"/>
      <c r="C54" s="365">
        <v>1717</v>
      </c>
      <c r="D54" s="373" t="str">
        <f t="shared" si="16"/>
        <v xml:space="preserve">    ---- </v>
      </c>
      <c r="E54" s="412">
        <f>IFERROR(100/'Skjema total MA'!C54*C54,0)</f>
        <v>1.3104882788501075</v>
      </c>
      <c r="F54" s="145"/>
      <c r="G54" s="33"/>
      <c r="H54" s="145"/>
      <c r="I54" s="145"/>
      <c r="J54" s="33"/>
      <c r="K54" s="33"/>
      <c r="L54" s="159"/>
      <c r="M54" s="159"/>
      <c r="N54" s="148"/>
    </row>
    <row r="55" spans="1:14" s="3" customFormat="1" ht="15.75" x14ac:dyDescent="0.2">
      <c r="A55" s="38" t="s">
        <v>379</v>
      </c>
      <c r="B55" s="364"/>
      <c r="C55" s="365">
        <v>0</v>
      </c>
      <c r="D55" s="373">
        <f t="shared" si="16"/>
        <v>0</v>
      </c>
      <c r="E55" s="412">
        <f>IFERROR(100/'Skjema total MA'!C55*C55,0)</f>
        <v>0</v>
      </c>
      <c r="F55" s="145"/>
      <c r="G55" s="33"/>
      <c r="H55" s="145"/>
      <c r="I55" s="145"/>
      <c r="J55" s="33"/>
      <c r="K55" s="33"/>
      <c r="L55" s="159"/>
      <c r="M55" s="159"/>
      <c r="N55" s="148"/>
    </row>
    <row r="56" spans="1:14" s="3" customFormat="1" ht="15.75" x14ac:dyDescent="0.2">
      <c r="A56" s="39" t="s">
        <v>381</v>
      </c>
      <c r="B56" s="366"/>
      <c r="C56" s="367">
        <v>1201</v>
      </c>
      <c r="D56" s="373" t="str">
        <f t="shared" si="16"/>
        <v xml:space="preserve">    ---- </v>
      </c>
      <c r="E56" s="412">
        <f>IFERROR(100/'Skjema total MA'!C56*C56,0)</f>
        <v>1.0785286401574146</v>
      </c>
      <c r="F56" s="145"/>
      <c r="G56" s="33"/>
      <c r="H56" s="145"/>
      <c r="I56" s="145"/>
      <c r="J56" s="33"/>
      <c r="K56" s="33"/>
      <c r="L56" s="159"/>
      <c r="M56" s="159"/>
      <c r="N56" s="148"/>
    </row>
    <row r="57" spans="1:14" s="3" customFormat="1" ht="15.75" x14ac:dyDescent="0.2">
      <c r="A57" s="38" t="s">
        <v>378</v>
      </c>
      <c r="B57" s="364"/>
      <c r="C57" s="365">
        <v>1201</v>
      </c>
      <c r="D57" s="373" t="str">
        <f t="shared" si="16"/>
        <v xml:space="preserve">    ---- </v>
      </c>
      <c r="E57" s="412">
        <f>IFERROR(100/'Skjema total MA'!C57*C57,0)</f>
        <v>1.0785615717348831</v>
      </c>
      <c r="F57" s="145"/>
      <c r="G57" s="33"/>
      <c r="H57" s="145"/>
      <c r="I57" s="145"/>
      <c r="J57" s="33"/>
      <c r="K57" s="33"/>
      <c r="L57" s="159"/>
      <c r="M57" s="159"/>
      <c r="N57" s="148"/>
    </row>
    <row r="58" spans="1:14" s="3" customFormat="1" ht="15.75" x14ac:dyDescent="0.2">
      <c r="A58" s="46" t="s">
        <v>379</v>
      </c>
      <c r="B58" s="386"/>
      <c r="C58" s="387">
        <v>0</v>
      </c>
      <c r="D58" s="377">
        <f t="shared" si="16"/>
        <v>0</v>
      </c>
      <c r="E58" s="414">
        <f>IFERROR(100/'Skjema total MA'!C58*C58,0)</f>
        <v>0</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357"/>
      <c r="C62" s="357"/>
      <c r="D62" s="357"/>
      <c r="E62" s="358"/>
      <c r="F62" s="357"/>
      <c r="G62" s="357"/>
      <c r="H62" s="357"/>
      <c r="I62" s="358"/>
      <c r="J62" s="357"/>
      <c r="K62" s="357"/>
      <c r="L62" s="357"/>
      <c r="M62" s="358"/>
    </row>
    <row r="63" spans="1:14" x14ac:dyDescent="0.2">
      <c r="A63" s="144"/>
      <c r="B63" s="737" t="s">
        <v>0</v>
      </c>
      <c r="C63" s="738"/>
      <c r="D63" s="742"/>
      <c r="E63" s="354"/>
      <c r="F63" s="738" t="s">
        <v>1</v>
      </c>
      <c r="G63" s="738"/>
      <c r="H63" s="738"/>
      <c r="I63" s="356"/>
      <c r="J63" s="737" t="s">
        <v>2</v>
      </c>
      <c r="K63" s="738"/>
      <c r="L63" s="738"/>
      <c r="M63" s="356"/>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88"/>
      <c r="C66" s="388"/>
      <c r="D66" s="370"/>
      <c r="E66" s="371"/>
      <c r="F66" s="388"/>
      <c r="G66" s="388"/>
      <c r="H66" s="370"/>
      <c r="I66" s="371"/>
      <c r="J66" s="367"/>
      <c r="K66" s="361"/>
      <c r="L66" s="373"/>
      <c r="M66" s="371"/>
    </row>
    <row r="67" spans="1:14" x14ac:dyDescent="0.2">
      <c r="A67" s="21" t="s">
        <v>9</v>
      </c>
      <c r="B67" s="364"/>
      <c r="C67" s="389"/>
      <c r="D67" s="373"/>
      <c r="E67" s="371"/>
      <c r="F67" s="376"/>
      <c r="G67" s="389"/>
      <c r="H67" s="373"/>
      <c r="I67" s="371"/>
      <c r="J67" s="365"/>
      <c r="K67" s="364"/>
      <c r="L67" s="373"/>
      <c r="M67" s="371"/>
    </row>
    <row r="68" spans="1:14" x14ac:dyDescent="0.2">
      <c r="A68" s="21" t="s">
        <v>10</v>
      </c>
      <c r="B68" s="390"/>
      <c r="C68" s="391"/>
      <c r="D68" s="373"/>
      <c r="E68" s="371"/>
      <c r="F68" s="390"/>
      <c r="G68" s="391"/>
      <c r="H68" s="373"/>
      <c r="I68" s="371"/>
      <c r="J68" s="365"/>
      <c r="K68" s="364"/>
      <c r="L68" s="373"/>
      <c r="M68" s="371"/>
    </row>
    <row r="69" spans="1:14" ht="15.75" x14ac:dyDescent="0.2">
      <c r="A69" s="295" t="s">
        <v>382</v>
      </c>
      <c r="B69" s="364"/>
      <c r="C69" s="364"/>
      <c r="D69" s="373"/>
      <c r="E69" s="398"/>
      <c r="F69" s="364"/>
      <c r="G69" s="364"/>
      <c r="H69" s="373"/>
      <c r="I69" s="371"/>
      <c r="J69" s="363"/>
      <c r="K69" s="363"/>
      <c r="L69" s="373"/>
      <c r="M69" s="371"/>
    </row>
    <row r="70" spans="1:14" x14ac:dyDescent="0.2">
      <c r="A70" s="295" t="s">
        <v>12</v>
      </c>
      <c r="B70" s="392"/>
      <c r="C70" s="393"/>
      <c r="D70" s="373"/>
      <c r="E70" s="398"/>
      <c r="F70" s="364"/>
      <c r="G70" s="364"/>
      <c r="H70" s="373"/>
      <c r="I70" s="371"/>
      <c r="J70" s="363"/>
      <c r="K70" s="363"/>
      <c r="L70" s="373"/>
      <c r="M70" s="371"/>
    </row>
    <row r="71" spans="1:14" x14ac:dyDescent="0.2">
      <c r="A71" s="295" t="s">
        <v>13</v>
      </c>
      <c r="B71" s="394"/>
      <c r="C71" s="395"/>
      <c r="D71" s="373"/>
      <c r="E71" s="398"/>
      <c r="F71" s="364"/>
      <c r="G71" s="364"/>
      <c r="H71" s="373"/>
      <c r="I71" s="371"/>
      <c r="J71" s="363"/>
      <c r="K71" s="363"/>
      <c r="L71" s="373"/>
      <c r="M71" s="371"/>
    </row>
    <row r="72" spans="1:14" ht="15.75" x14ac:dyDescent="0.2">
      <c r="A72" s="295" t="s">
        <v>383</v>
      </c>
      <c r="B72" s="364"/>
      <c r="C72" s="364"/>
      <c r="D72" s="373"/>
      <c r="E72" s="398"/>
      <c r="F72" s="364"/>
      <c r="G72" s="364"/>
      <c r="H72" s="373"/>
      <c r="I72" s="371"/>
      <c r="J72" s="363"/>
      <c r="K72" s="363"/>
      <c r="L72" s="373"/>
      <c r="M72" s="371"/>
    </row>
    <row r="73" spans="1:14" x14ac:dyDescent="0.2">
      <c r="A73" s="295" t="s">
        <v>12</v>
      </c>
      <c r="B73" s="394"/>
      <c r="C73" s="395"/>
      <c r="D73" s="373"/>
      <c r="E73" s="398"/>
      <c r="F73" s="364"/>
      <c r="G73" s="364"/>
      <c r="H73" s="373"/>
      <c r="I73" s="371"/>
      <c r="J73" s="363"/>
      <c r="K73" s="363"/>
      <c r="L73" s="373"/>
      <c r="M73" s="371"/>
    </row>
    <row r="74" spans="1:14" s="3" customFormat="1" x14ac:dyDescent="0.2">
      <c r="A74" s="295" t="s">
        <v>13</v>
      </c>
      <c r="B74" s="394"/>
      <c r="C74" s="395"/>
      <c r="D74" s="373"/>
      <c r="E74" s="398"/>
      <c r="F74" s="364"/>
      <c r="G74" s="364"/>
      <c r="H74" s="373"/>
      <c r="I74" s="371"/>
      <c r="J74" s="363"/>
      <c r="K74" s="363"/>
      <c r="L74" s="373"/>
      <c r="M74" s="371"/>
      <c r="N74" s="148"/>
    </row>
    <row r="75" spans="1:14" s="3" customFormat="1" x14ac:dyDescent="0.2">
      <c r="A75" s="21" t="s">
        <v>352</v>
      </c>
      <c r="B75" s="376"/>
      <c r="C75" s="389"/>
      <c r="D75" s="373"/>
      <c r="E75" s="371"/>
      <c r="F75" s="376"/>
      <c r="G75" s="389"/>
      <c r="H75" s="373"/>
      <c r="I75" s="371"/>
      <c r="J75" s="365"/>
      <c r="K75" s="364"/>
      <c r="L75" s="373"/>
      <c r="M75" s="371"/>
      <c r="N75" s="148"/>
    </row>
    <row r="76" spans="1:14" s="3" customFormat="1" x14ac:dyDescent="0.2">
      <c r="A76" s="21" t="s">
        <v>351</v>
      </c>
      <c r="B76" s="376"/>
      <c r="C76" s="389"/>
      <c r="D76" s="373"/>
      <c r="E76" s="371"/>
      <c r="F76" s="376"/>
      <c r="G76" s="389"/>
      <c r="H76" s="373"/>
      <c r="I76" s="371"/>
      <c r="J76" s="365"/>
      <c r="K76" s="364"/>
      <c r="L76" s="373"/>
      <c r="M76" s="371"/>
      <c r="N76" s="148"/>
    </row>
    <row r="77" spans="1:14" ht="15.75" x14ac:dyDescent="0.2">
      <c r="A77" s="21" t="s">
        <v>384</v>
      </c>
      <c r="B77" s="376"/>
      <c r="C77" s="376"/>
      <c r="D77" s="373"/>
      <c r="E77" s="371"/>
      <c r="F77" s="376"/>
      <c r="G77" s="389"/>
      <c r="H77" s="373"/>
      <c r="I77" s="371"/>
      <c r="J77" s="365"/>
      <c r="K77" s="364"/>
      <c r="L77" s="373"/>
      <c r="M77" s="371"/>
    </row>
    <row r="78" spans="1:14" x14ac:dyDescent="0.2">
      <c r="A78" s="21" t="s">
        <v>9</v>
      </c>
      <c r="B78" s="376"/>
      <c r="C78" s="389"/>
      <c r="D78" s="373"/>
      <c r="E78" s="371"/>
      <c r="F78" s="376"/>
      <c r="G78" s="389"/>
      <c r="H78" s="373"/>
      <c r="I78" s="371"/>
      <c r="J78" s="365"/>
      <c r="K78" s="364"/>
      <c r="L78" s="373"/>
      <c r="M78" s="371"/>
    </row>
    <row r="79" spans="1:14" x14ac:dyDescent="0.2">
      <c r="A79" s="21" t="s">
        <v>10</v>
      </c>
      <c r="B79" s="390"/>
      <c r="C79" s="391"/>
      <c r="D79" s="373"/>
      <c r="E79" s="371"/>
      <c r="F79" s="390"/>
      <c r="G79" s="391"/>
      <c r="H79" s="373"/>
      <c r="I79" s="371"/>
      <c r="J79" s="365"/>
      <c r="K79" s="364"/>
      <c r="L79" s="373"/>
      <c r="M79" s="371"/>
    </row>
    <row r="80" spans="1:14" ht="15.75" x14ac:dyDescent="0.2">
      <c r="A80" s="295" t="s">
        <v>382</v>
      </c>
      <c r="B80" s="364"/>
      <c r="C80" s="364"/>
      <c r="D80" s="373"/>
      <c r="E80" s="398"/>
      <c r="F80" s="364"/>
      <c r="G80" s="364"/>
      <c r="H80" s="373"/>
      <c r="I80" s="371"/>
      <c r="J80" s="363"/>
      <c r="K80" s="363"/>
      <c r="L80" s="373"/>
      <c r="M80" s="371"/>
    </row>
    <row r="81" spans="1:13" x14ac:dyDescent="0.2">
      <c r="A81" s="295" t="s">
        <v>12</v>
      </c>
      <c r="B81" s="394"/>
      <c r="C81" s="395"/>
      <c r="D81" s="373"/>
      <c r="E81" s="398"/>
      <c r="F81" s="364"/>
      <c r="G81" s="364"/>
      <c r="H81" s="373"/>
      <c r="I81" s="371"/>
      <c r="J81" s="363"/>
      <c r="K81" s="363"/>
      <c r="L81" s="373"/>
      <c r="M81" s="371"/>
    </row>
    <row r="82" spans="1:13" x14ac:dyDescent="0.2">
      <c r="A82" s="295" t="s">
        <v>13</v>
      </c>
      <c r="B82" s="394"/>
      <c r="C82" s="395"/>
      <c r="D82" s="373"/>
      <c r="E82" s="398"/>
      <c r="F82" s="364"/>
      <c r="G82" s="364"/>
      <c r="H82" s="373"/>
      <c r="I82" s="371"/>
      <c r="J82" s="363"/>
      <c r="K82" s="363"/>
      <c r="L82" s="373"/>
      <c r="M82" s="371"/>
    </row>
    <row r="83" spans="1:13" ht="15.75" x14ac:dyDescent="0.2">
      <c r="A83" s="295" t="s">
        <v>383</v>
      </c>
      <c r="B83" s="364"/>
      <c r="C83" s="364"/>
      <c r="D83" s="373"/>
      <c r="E83" s="398"/>
      <c r="F83" s="364"/>
      <c r="G83" s="364"/>
      <c r="H83" s="373"/>
      <c r="I83" s="371"/>
      <c r="J83" s="363"/>
      <c r="K83" s="363"/>
      <c r="L83" s="373"/>
      <c r="M83" s="371"/>
    </row>
    <row r="84" spans="1:13" x14ac:dyDescent="0.2">
      <c r="A84" s="295" t="s">
        <v>12</v>
      </c>
      <c r="B84" s="394"/>
      <c r="C84" s="395"/>
      <c r="D84" s="373"/>
      <c r="E84" s="398"/>
      <c r="F84" s="364"/>
      <c r="G84" s="364"/>
      <c r="H84" s="373"/>
      <c r="I84" s="371"/>
      <c r="J84" s="363"/>
      <c r="K84" s="363"/>
      <c r="L84" s="373"/>
      <c r="M84" s="371"/>
    </row>
    <row r="85" spans="1:13" x14ac:dyDescent="0.2">
      <c r="A85" s="295" t="s">
        <v>13</v>
      </c>
      <c r="B85" s="394"/>
      <c r="C85" s="395"/>
      <c r="D85" s="373"/>
      <c r="E85" s="398"/>
      <c r="F85" s="364"/>
      <c r="G85" s="364"/>
      <c r="H85" s="373"/>
      <c r="I85" s="371"/>
      <c r="J85" s="363"/>
      <c r="K85" s="363"/>
      <c r="L85" s="373"/>
      <c r="M85" s="371"/>
    </row>
    <row r="86" spans="1:13" ht="15.75" x14ac:dyDescent="0.2">
      <c r="A86" s="21" t="s">
        <v>385</v>
      </c>
      <c r="B86" s="376"/>
      <c r="C86" s="389"/>
      <c r="D86" s="373"/>
      <c r="E86" s="371"/>
      <c r="F86" s="376"/>
      <c r="G86" s="389"/>
      <c r="H86" s="373"/>
      <c r="I86" s="371"/>
      <c r="J86" s="365"/>
      <c r="K86" s="364"/>
      <c r="L86" s="373"/>
      <c r="M86" s="371"/>
    </row>
    <row r="87" spans="1:13" ht="15.75" x14ac:dyDescent="0.2">
      <c r="A87" s="13" t="s">
        <v>367</v>
      </c>
      <c r="B87" s="388"/>
      <c r="C87" s="388"/>
      <c r="D87" s="373"/>
      <c r="E87" s="371"/>
      <c r="F87" s="388"/>
      <c r="G87" s="388"/>
      <c r="H87" s="373"/>
      <c r="I87" s="371"/>
      <c r="J87" s="367"/>
      <c r="K87" s="366"/>
      <c r="L87" s="373"/>
      <c r="M87" s="371"/>
    </row>
    <row r="88" spans="1:13" x14ac:dyDescent="0.2">
      <c r="A88" s="21" t="s">
        <v>9</v>
      </c>
      <c r="B88" s="376"/>
      <c r="C88" s="389"/>
      <c r="D88" s="373"/>
      <c r="E88" s="371"/>
      <c r="F88" s="376"/>
      <c r="G88" s="389"/>
      <c r="H88" s="373"/>
      <c r="I88" s="371"/>
      <c r="J88" s="365"/>
      <c r="K88" s="364"/>
      <c r="L88" s="373"/>
      <c r="M88" s="371"/>
    </row>
    <row r="89" spans="1:13" x14ac:dyDescent="0.2">
      <c r="A89" s="21" t="s">
        <v>10</v>
      </c>
      <c r="B89" s="376"/>
      <c r="C89" s="389"/>
      <c r="D89" s="373"/>
      <c r="E89" s="371"/>
      <c r="F89" s="376"/>
      <c r="G89" s="389"/>
      <c r="H89" s="373"/>
      <c r="I89" s="371"/>
      <c r="J89" s="365"/>
      <c r="K89" s="364"/>
      <c r="L89" s="373"/>
      <c r="M89" s="371"/>
    </row>
    <row r="90" spans="1:13" ht="15.75" x14ac:dyDescent="0.2">
      <c r="A90" s="295" t="s">
        <v>382</v>
      </c>
      <c r="B90" s="364"/>
      <c r="C90" s="364"/>
      <c r="D90" s="373"/>
      <c r="E90" s="398"/>
      <c r="F90" s="364"/>
      <c r="G90" s="364"/>
      <c r="H90" s="373"/>
      <c r="I90" s="371"/>
      <c r="J90" s="363"/>
      <c r="K90" s="363"/>
      <c r="L90" s="373"/>
      <c r="M90" s="371"/>
    </row>
    <row r="91" spans="1:13" x14ac:dyDescent="0.2">
      <c r="A91" s="295" t="s">
        <v>12</v>
      </c>
      <c r="B91" s="394"/>
      <c r="C91" s="395"/>
      <c r="D91" s="373"/>
      <c r="E91" s="398"/>
      <c r="F91" s="364"/>
      <c r="G91" s="364"/>
      <c r="H91" s="373"/>
      <c r="I91" s="371"/>
      <c r="J91" s="363"/>
      <c r="K91" s="363"/>
      <c r="L91" s="373"/>
      <c r="M91" s="371"/>
    </row>
    <row r="92" spans="1:13" x14ac:dyDescent="0.2">
      <c r="A92" s="295" t="s">
        <v>13</v>
      </c>
      <c r="B92" s="394"/>
      <c r="C92" s="395"/>
      <c r="D92" s="373"/>
      <c r="E92" s="398"/>
      <c r="F92" s="364"/>
      <c r="G92" s="364"/>
      <c r="H92" s="373"/>
      <c r="I92" s="371"/>
      <c r="J92" s="363"/>
      <c r="K92" s="363"/>
      <c r="L92" s="373"/>
      <c r="M92" s="371"/>
    </row>
    <row r="93" spans="1:13" ht="15.75" x14ac:dyDescent="0.2">
      <c r="A93" s="295" t="s">
        <v>383</v>
      </c>
      <c r="B93" s="364"/>
      <c r="C93" s="364"/>
      <c r="D93" s="373"/>
      <c r="E93" s="398"/>
      <c r="F93" s="364"/>
      <c r="G93" s="364"/>
      <c r="H93" s="373"/>
      <c r="I93" s="371"/>
      <c r="J93" s="363"/>
      <c r="K93" s="363"/>
      <c r="L93" s="373"/>
      <c r="M93" s="371"/>
    </row>
    <row r="94" spans="1:13" x14ac:dyDescent="0.2">
      <c r="A94" s="295" t="s">
        <v>12</v>
      </c>
      <c r="B94" s="394"/>
      <c r="C94" s="395"/>
      <c r="D94" s="373"/>
      <c r="E94" s="398"/>
      <c r="F94" s="364"/>
      <c r="G94" s="364"/>
      <c r="H94" s="373"/>
      <c r="I94" s="371"/>
      <c r="J94" s="363"/>
      <c r="K94" s="363"/>
      <c r="L94" s="373"/>
      <c r="M94" s="371"/>
    </row>
    <row r="95" spans="1:13" x14ac:dyDescent="0.2">
      <c r="A95" s="295" t="s">
        <v>13</v>
      </c>
      <c r="B95" s="394"/>
      <c r="C95" s="395"/>
      <c r="D95" s="373"/>
      <c r="E95" s="398"/>
      <c r="F95" s="364"/>
      <c r="G95" s="364"/>
      <c r="H95" s="373"/>
      <c r="I95" s="371"/>
      <c r="J95" s="363"/>
      <c r="K95" s="363"/>
      <c r="L95" s="373"/>
      <c r="M95" s="371"/>
    </row>
    <row r="96" spans="1:13" x14ac:dyDescent="0.2">
      <c r="A96" s="21" t="s">
        <v>350</v>
      </c>
      <c r="B96" s="376"/>
      <c r="C96" s="389"/>
      <c r="D96" s="373"/>
      <c r="E96" s="371"/>
      <c r="F96" s="376"/>
      <c r="G96" s="389"/>
      <c r="H96" s="373"/>
      <c r="I96" s="371"/>
      <c r="J96" s="365"/>
      <c r="K96" s="364"/>
      <c r="L96" s="373"/>
      <c r="M96" s="371"/>
    </row>
    <row r="97" spans="1:13" x14ac:dyDescent="0.2">
      <c r="A97" s="21" t="s">
        <v>349</v>
      </c>
      <c r="B97" s="376"/>
      <c r="C97" s="389"/>
      <c r="D97" s="373"/>
      <c r="E97" s="371"/>
      <c r="F97" s="376"/>
      <c r="G97" s="389"/>
      <c r="H97" s="373"/>
      <c r="I97" s="371"/>
      <c r="J97" s="365"/>
      <c r="K97" s="364"/>
      <c r="L97" s="373"/>
      <c r="M97" s="371"/>
    </row>
    <row r="98" spans="1:13" ht="15.75" x14ac:dyDescent="0.2">
      <c r="A98" s="21" t="s">
        <v>384</v>
      </c>
      <c r="B98" s="376"/>
      <c r="C98" s="376"/>
      <c r="D98" s="373"/>
      <c r="E98" s="371"/>
      <c r="F98" s="390"/>
      <c r="G98" s="390"/>
      <c r="H98" s="373"/>
      <c r="I98" s="371"/>
      <c r="J98" s="365"/>
      <c r="K98" s="364"/>
      <c r="L98" s="373"/>
      <c r="M98" s="371"/>
    </row>
    <row r="99" spans="1:13" x14ac:dyDescent="0.2">
      <c r="A99" s="21" t="s">
        <v>9</v>
      </c>
      <c r="B99" s="390"/>
      <c r="C99" s="391"/>
      <c r="D99" s="373"/>
      <c r="E99" s="371"/>
      <c r="F99" s="376"/>
      <c r="G99" s="389"/>
      <c r="H99" s="373"/>
      <c r="I99" s="371"/>
      <c r="J99" s="365"/>
      <c r="K99" s="364"/>
      <c r="L99" s="373"/>
      <c r="M99" s="371"/>
    </row>
    <row r="100" spans="1:13" x14ac:dyDescent="0.2">
      <c r="A100" s="21" t="s">
        <v>10</v>
      </c>
      <c r="B100" s="390"/>
      <c r="C100" s="391"/>
      <c r="D100" s="373"/>
      <c r="E100" s="371"/>
      <c r="F100" s="376"/>
      <c r="G100" s="376"/>
      <c r="H100" s="373"/>
      <c r="I100" s="371"/>
      <c r="J100" s="365"/>
      <c r="K100" s="364"/>
      <c r="L100" s="373"/>
      <c r="M100" s="371"/>
    </row>
    <row r="101" spans="1:13" ht="15.75" x14ac:dyDescent="0.2">
      <c r="A101" s="295" t="s">
        <v>382</v>
      </c>
      <c r="B101" s="364"/>
      <c r="C101" s="364"/>
      <c r="D101" s="373"/>
      <c r="E101" s="398"/>
      <c r="F101" s="364"/>
      <c r="G101" s="364"/>
      <c r="H101" s="373"/>
      <c r="I101" s="371"/>
      <c r="J101" s="363"/>
      <c r="K101" s="363"/>
      <c r="L101" s="373"/>
      <c r="M101" s="371"/>
    </row>
    <row r="102" spans="1:13" x14ac:dyDescent="0.2">
      <c r="A102" s="295" t="s">
        <v>12</v>
      </c>
      <c r="B102" s="394"/>
      <c r="C102" s="395"/>
      <c r="D102" s="373"/>
      <c r="E102" s="398"/>
      <c r="F102" s="364"/>
      <c r="G102" s="364"/>
      <c r="H102" s="373"/>
      <c r="I102" s="371"/>
      <c r="J102" s="363"/>
      <c r="K102" s="363"/>
      <c r="L102" s="373"/>
      <c r="M102" s="371"/>
    </row>
    <row r="103" spans="1:13" x14ac:dyDescent="0.2">
      <c r="A103" s="295" t="s">
        <v>13</v>
      </c>
      <c r="B103" s="394"/>
      <c r="C103" s="395"/>
      <c r="D103" s="373"/>
      <c r="E103" s="398"/>
      <c r="F103" s="364"/>
      <c r="G103" s="364"/>
      <c r="H103" s="373"/>
      <c r="I103" s="371"/>
      <c r="J103" s="363"/>
      <c r="K103" s="363"/>
      <c r="L103" s="373"/>
      <c r="M103" s="371"/>
    </row>
    <row r="104" spans="1:13" ht="15.75" x14ac:dyDescent="0.2">
      <c r="A104" s="295" t="s">
        <v>383</v>
      </c>
      <c r="B104" s="364"/>
      <c r="C104" s="364"/>
      <c r="D104" s="373"/>
      <c r="E104" s="398"/>
      <c r="F104" s="364"/>
      <c r="G104" s="364"/>
      <c r="H104" s="373"/>
      <c r="I104" s="371"/>
      <c r="J104" s="363"/>
      <c r="K104" s="363"/>
      <c r="L104" s="373"/>
      <c r="M104" s="371"/>
    </row>
    <row r="105" spans="1:13" x14ac:dyDescent="0.2">
      <c r="A105" s="295" t="s">
        <v>12</v>
      </c>
      <c r="B105" s="394"/>
      <c r="C105" s="395"/>
      <c r="D105" s="373"/>
      <c r="E105" s="398"/>
      <c r="F105" s="364"/>
      <c r="G105" s="364"/>
      <c r="H105" s="373"/>
      <c r="I105" s="371"/>
      <c r="J105" s="363"/>
      <c r="K105" s="363"/>
      <c r="L105" s="373"/>
      <c r="M105" s="371"/>
    </row>
    <row r="106" spans="1:13" x14ac:dyDescent="0.2">
      <c r="A106" s="295" t="s">
        <v>13</v>
      </c>
      <c r="B106" s="394"/>
      <c r="C106" s="395"/>
      <c r="D106" s="373"/>
      <c r="E106" s="398"/>
      <c r="F106" s="364"/>
      <c r="G106" s="364"/>
      <c r="H106" s="373"/>
      <c r="I106" s="371"/>
      <c r="J106" s="363"/>
      <c r="K106" s="363"/>
      <c r="L106" s="373"/>
      <c r="M106" s="371"/>
    </row>
    <row r="107" spans="1:13" ht="15.75" x14ac:dyDescent="0.2">
      <c r="A107" s="21" t="s">
        <v>385</v>
      </c>
      <c r="B107" s="376"/>
      <c r="C107" s="389"/>
      <c r="D107" s="373"/>
      <c r="E107" s="371"/>
      <c r="F107" s="376"/>
      <c r="G107" s="389"/>
      <c r="H107" s="373"/>
      <c r="I107" s="371"/>
      <c r="J107" s="365"/>
      <c r="K107" s="364"/>
      <c r="L107" s="373"/>
      <c r="M107" s="371"/>
    </row>
    <row r="108" spans="1:13" ht="15.75" x14ac:dyDescent="0.2">
      <c r="A108" s="21" t="s">
        <v>386</v>
      </c>
      <c r="B108" s="376"/>
      <c r="C108" s="376"/>
      <c r="D108" s="373"/>
      <c r="E108" s="371"/>
      <c r="F108" s="376"/>
      <c r="G108" s="376"/>
      <c r="H108" s="373"/>
      <c r="I108" s="371"/>
      <c r="J108" s="365"/>
      <c r="K108" s="364"/>
      <c r="L108" s="373"/>
      <c r="M108" s="371"/>
    </row>
    <row r="109" spans="1:13" ht="15.75" x14ac:dyDescent="0.2">
      <c r="A109" s="21" t="s">
        <v>387</v>
      </c>
      <c r="B109" s="376"/>
      <c r="C109" s="376"/>
      <c r="D109" s="373"/>
      <c r="E109" s="371"/>
      <c r="F109" s="376"/>
      <c r="G109" s="376"/>
      <c r="H109" s="373"/>
      <c r="I109" s="371"/>
      <c r="J109" s="365"/>
      <c r="K109" s="364"/>
      <c r="L109" s="373"/>
      <c r="M109" s="371"/>
    </row>
    <row r="110" spans="1:13" ht="15.75" x14ac:dyDescent="0.2">
      <c r="A110" s="21" t="s">
        <v>388</v>
      </c>
      <c r="B110" s="376"/>
      <c r="C110" s="376"/>
      <c r="D110" s="373"/>
      <c r="E110" s="371"/>
      <c r="F110" s="376"/>
      <c r="G110" s="376"/>
      <c r="H110" s="373"/>
      <c r="I110" s="371"/>
      <c r="J110" s="365"/>
      <c r="K110" s="364"/>
      <c r="L110" s="373"/>
      <c r="M110" s="371"/>
    </row>
    <row r="111" spans="1:13" ht="15.75" x14ac:dyDescent="0.2">
      <c r="A111" s="13" t="s">
        <v>368</v>
      </c>
      <c r="B111" s="372"/>
      <c r="C111" s="396"/>
      <c r="D111" s="373"/>
      <c r="E111" s="371"/>
      <c r="F111" s="372"/>
      <c r="G111" s="396"/>
      <c r="H111" s="373"/>
      <c r="I111" s="371"/>
      <c r="J111" s="367"/>
      <c r="K111" s="366"/>
      <c r="L111" s="373"/>
      <c r="M111" s="371"/>
    </row>
    <row r="112" spans="1:13" x14ac:dyDescent="0.2">
      <c r="A112" s="21" t="s">
        <v>9</v>
      </c>
      <c r="B112" s="376"/>
      <c r="C112" s="389"/>
      <c r="D112" s="373"/>
      <c r="E112" s="371"/>
      <c r="F112" s="376"/>
      <c r="G112" s="389"/>
      <c r="H112" s="373"/>
      <c r="I112" s="371"/>
      <c r="J112" s="365"/>
      <c r="K112" s="364"/>
      <c r="L112" s="373"/>
      <c r="M112" s="371"/>
    </row>
    <row r="113" spans="1:14" x14ac:dyDescent="0.2">
      <c r="A113" s="21" t="s">
        <v>10</v>
      </c>
      <c r="B113" s="376"/>
      <c r="C113" s="389"/>
      <c r="D113" s="373"/>
      <c r="E113" s="371"/>
      <c r="F113" s="376"/>
      <c r="G113" s="389"/>
      <c r="H113" s="373"/>
      <c r="I113" s="371"/>
      <c r="J113" s="365"/>
      <c r="K113" s="364"/>
      <c r="L113" s="373"/>
      <c r="M113" s="371"/>
    </row>
    <row r="114" spans="1:14" x14ac:dyDescent="0.2">
      <c r="A114" s="21" t="s">
        <v>26</v>
      </c>
      <c r="B114" s="376"/>
      <c r="C114" s="389"/>
      <c r="D114" s="373"/>
      <c r="E114" s="371"/>
      <c r="F114" s="376"/>
      <c r="G114" s="389"/>
      <c r="H114" s="373"/>
      <c r="I114" s="371"/>
      <c r="J114" s="365"/>
      <c r="K114" s="364"/>
      <c r="L114" s="373"/>
      <c r="M114" s="371"/>
    </row>
    <row r="115" spans="1:14" x14ac:dyDescent="0.2">
      <c r="A115" s="295" t="s">
        <v>15</v>
      </c>
      <c r="B115" s="364"/>
      <c r="C115" s="364"/>
      <c r="D115" s="373"/>
      <c r="E115" s="398"/>
      <c r="F115" s="364"/>
      <c r="G115" s="364"/>
      <c r="H115" s="373"/>
      <c r="I115" s="371"/>
      <c r="J115" s="363"/>
      <c r="K115" s="363"/>
      <c r="L115" s="373"/>
      <c r="M115" s="371"/>
    </row>
    <row r="116" spans="1:14" ht="15.75" x14ac:dyDescent="0.2">
      <c r="A116" s="21" t="s">
        <v>389</v>
      </c>
      <c r="B116" s="376"/>
      <c r="C116" s="376"/>
      <c r="D116" s="373"/>
      <c r="E116" s="371"/>
      <c r="F116" s="376"/>
      <c r="G116" s="376"/>
      <c r="H116" s="373"/>
      <c r="I116" s="371"/>
      <c r="J116" s="365"/>
      <c r="K116" s="364"/>
      <c r="L116" s="373"/>
      <c r="M116" s="371"/>
    </row>
    <row r="117" spans="1:14" ht="15.75" x14ac:dyDescent="0.2">
      <c r="A117" s="21" t="s">
        <v>390</v>
      </c>
      <c r="B117" s="376"/>
      <c r="C117" s="376"/>
      <c r="D117" s="373"/>
      <c r="E117" s="371"/>
      <c r="F117" s="376"/>
      <c r="G117" s="376"/>
      <c r="H117" s="373"/>
      <c r="I117" s="371"/>
      <c r="J117" s="365"/>
      <c r="K117" s="364"/>
      <c r="L117" s="373"/>
      <c r="M117" s="371"/>
    </row>
    <row r="118" spans="1:14" ht="15.75" x14ac:dyDescent="0.2">
      <c r="A118" s="21" t="s">
        <v>388</v>
      </c>
      <c r="B118" s="376"/>
      <c r="C118" s="376"/>
      <c r="D118" s="373"/>
      <c r="E118" s="371"/>
      <c r="F118" s="376"/>
      <c r="G118" s="376"/>
      <c r="H118" s="373"/>
      <c r="I118" s="371"/>
      <c r="J118" s="365"/>
      <c r="K118" s="364"/>
      <c r="L118" s="373"/>
      <c r="M118" s="371"/>
    </row>
    <row r="119" spans="1:14" ht="15.75" x14ac:dyDescent="0.2">
      <c r="A119" s="13" t="s">
        <v>369</v>
      </c>
      <c r="B119" s="372"/>
      <c r="C119" s="396"/>
      <c r="D119" s="373"/>
      <c r="E119" s="371"/>
      <c r="F119" s="372"/>
      <c r="G119" s="396"/>
      <c r="H119" s="373"/>
      <c r="I119" s="371"/>
      <c r="J119" s="367"/>
      <c r="K119" s="366"/>
      <c r="L119" s="373"/>
      <c r="M119" s="371"/>
    </row>
    <row r="120" spans="1:14" x14ac:dyDescent="0.2">
      <c r="A120" s="21" t="s">
        <v>9</v>
      </c>
      <c r="B120" s="376"/>
      <c r="C120" s="389"/>
      <c r="D120" s="373"/>
      <c r="E120" s="371"/>
      <c r="F120" s="376"/>
      <c r="G120" s="389"/>
      <c r="H120" s="373"/>
      <c r="I120" s="371"/>
      <c r="J120" s="365"/>
      <c r="K120" s="364"/>
      <c r="L120" s="373"/>
      <c r="M120" s="371"/>
    </row>
    <row r="121" spans="1:14" x14ac:dyDescent="0.2">
      <c r="A121" s="21" t="s">
        <v>10</v>
      </c>
      <c r="B121" s="376"/>
      <c r="C121" s="389"/>
      <c r="D121" s="373"/>
      <c r="E121" s="371"/>
      <c r="F121" s="376"/>
      <c r="G121" s="389"/>
      <c r="H121" s="373"/>
      <c r="I121" s="371"/>
      <c r="J121" s="365"/>
      <c r="K121" s="364"/>
      <c r="L121" s="373"/>
      <c r="M121" s="371"/>
    </row>
    <row r="122" spans="1:14" x14ac:dyDescent="0.2">
      <c r="A122" s="21" t="s">
        <v>26</v>
      </c>
      <c r="B122" s="376"/>
      <c r="C122" s="389"/>
      <c r="D122" s="373"/>
      <c r="E122" s="371"/>
      <c r="F122" s="376"/>
      <c r="G122" s="389"/>
      <c r="H122" s="373"/>
      <c r="I122" s="371"/>
      <c r="J122" s="365"/>
      <c r="K122" s="364"/>
      <c r="L122" s="373"/>
      <c r="M122" s="371"/>
    </row>
    <row r="123" spans="1:14" x14ac:dyDescent="0.2">
      <c r="A123" s="295" t="s">
        <v>14</v>
      </c>
      <c r="B123" s="364"/>
      <c r="C123" s="364"/>
      <c r="D123" s="373"/>
      <c r="E123" s="398"/>
      <c r="F123" s="364"/>
      <c r="G123" s="364"/>
      <c r="H123" s="373"/>
      <c r="I123" s="371"/>
      <c r="J123" s="363"/>
      <c r="K123" s="363"/>
      <c r="L123" s="373"/>
      <c r="M123" s="371"/>
    </row>
    <row r="124" spans="1:14" ht="15.75" x14ac:dyDescent="0.2">
      <c r="A124" s="21" t="s">
        <v>395</v>
      </c>
      <c r="B124" s="376"/>
      <c r="C124" s="376"/>
      <c r="D124" s="373"/>
      <c r="E124" s="371"/>
      <c r="F124" s="376"/>
      <c r="G124" s="376"/>
      <c r="H124" s="373"/>
      <c r="I124" s="371"/>
      <c r="J124" s="365"/>
      <c r="K124" s="364"/>
      <c r="L124" s="373"/>
      <c r="M124" s="371"/>
    </row>
    <row r="125" spans="1:14" ht="15.75" x14ac:dyDescent="0.2">
      <c r="A125" s="21" t="s">
        <v>387</v>
      </c>
      <c r="B125" s="376"/>
      <c r="C125" s="376"/>
      <c r="D125" s="373"/>
      <c r="E125" s="371"/>
      <c r="F125" s="376"/>
      <c r="G125" s="376"/>
      <c r="H125" s="373"/>
      <c r="I125" s="371"/>
      <c r="J125" s="365"/>
      <c r="K125" s="364"/>
      <c r="L125" s="373"/>
      <c r="M125" s="371"/>
    </row>
    <row r="126" spans="1:14" ht="15.75" x14ac:dyDescent="0.2">
      <c r="A126" s="10" t="s">
        <v>388</v>
      </c>
      <c r="B126" s="386"/>
      <c r="C126" s="386"/>
      <c r="D126" s="377"/>
      <c r="E126" s="397"/>
      <c r="F126" s="386"/>
      <c r="G126" s="386"/>
      <c r="H126" s="377"/>
      <c r="I126" s="377"/>
      <c r="J126" s="387"/>
      <c r="K126" s="386"/>
      <c r="L126" s="377"/>
      <c r="M126" s="377"/>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357"/>
      <c r="C130" s="357"/>
      <c r="D130" s="357"/>
      <c r="E130" s="358"/>
      <c r="F130" s="357"/>
      <c r="G130" s="357"/>
      <c r="H130" s="357"/>
      <c r="I130" s="358"/>
      <c r="J130" s="357"/>
      <c r="K130" s="357"/>
      <c r="L130" s="357"/>
      <c r="M130" s="358"/>
    </row>
    <row r="131" spans="1:14" s="3" customFormat="1" x14ac:dyDescent="0.2">
      <c r="A131" s="144"/>
      <c r="B131" s="737" t="s">
        <v>0</v>
      </c>
      <c r="C131" s="738"/>
      <c r="D131" s="738"/>
      <c r="E131" s="355"/>
      <c r="F131" s="737" t="s">
        <v>1</v>
      </c>
      <c r="G131" s="738"/>
      <c r="H131" s="738"/>
      <c r="I131" s="356"/>
      <c r="J131" s="737" t="s">
        <v>2</v>
      </c>
      <c r="K131" s="738"/>
      <c r="L131" s="738"/>
      <c r="M131" s="356"/>
      <c r="N131" s="148"/>
    </row>
    <row r="132" spans="1:14" s="3" customFormat="1" x14ac:dyDescent="0.2">
      <c r="A132" s="140"/>
      <c r="B132" s="152" t="s">
        <v>427</v>
      </c>
      <c r="C132" s="152" t="s">
        <v>428</v>
      </c>
      <c r="D132" s="244" t="s">
        <v>3</v>
      </c>
      <c r="E132" s="304" t="s">
        <v>29</v>
      </c>
      <c r="F132" s="152" t="s">
        <v>427</v>
      </c>
      <c r="G132" s="152" t="s">
        <v>428</v>
      </c>
      <c r="H132" s="205" t="s">
        <v>3</v>
      </c>
      <c r="I132" s="304"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366"/>
      <c r="C134" s="367"/>
      <c r="D134" s="370"/>
      <c r="E134" s="371"/>
      <c r="F134" s="361"/>
      <c r="G134" s="362"/>
      <c r="H134" s="399"/>
      <c r="I134" s="371"/>
      <c r="J134" s="379"/>
      <c r="K134" s="379"/>
      <c r="L134" s="370"/>
      <c r="M134" s="371"/>
      <c r="N134" s="148"/>
    </row>
    <row r="135" spans="1:14" s="3" customFormat="1" ht="15.75" x14ac:dyDescent="0.2">
      <c r="A135" s="13" t="s">
        <v>396</v>
      </c>
      <c r="B135" s="366"/>
      <c r="C135" s="367"/>
      <c r="D135" s="373"/>
      <c r="E135" s="371"/>
      <c r="F135" s="366"/>
      <c r="G135" s="367"/>
      <c r="H135" s="400"/>
      <c r="I135" s="371"/>
      <c r="J135" s="372"/>
      <c r="K135" s="372"/>
      <c r="L135" s="373"/>
      <c r="M135" s="371"/>
      <c r="N135" s="148"/>
    </row>
    <row r="136" spans="1:14" s="3" customFormat="1" ht="15.75" x14ac:dyDescent="0.2">
      <c r="A136" s="13" t="s">
        <v>393</v>
      </c>
      <c r="B136" s="366"/>
      <c r="C136" s="367"/>
      <c r="D136" s="373"/>
      <c r="E136" s="371"/>
      <c r="F136" s="366"/>
      <c r="G136" s="367"/>
      <c r="H136" s="400"/>
      <c r="I136" s="371"/>
      <c r="J136" s="372"/>
      <c r="K136" s="372"/>
      <c r="L136" s="373"/>
      <c r="M136" s="371"/>
      <c r="N136" s="148"/>
    </row>
    <row r="137" spans="1:14" s="3" customFormat="1" ht="15.75" x14ac:dyDescent="0.2">
      <c r="A137" s="41" t="s">
        <v>394</v>
      </c>
      <c r="B137" s="368"/>
      <c r="C137" s="369"/>
      <c r="D137" s="377"/>
      <c r="E137" s="397"/>
      <c r="F137" s="368"/>
      <c r="G137" s="369"/>
      <c r="H137" s="401"/>
      <c r="I137" s="397"/>
      <c r="J137" s="378"/>
      <c r="K137" s="378"/>
      <c r="L137" s="377"/>
      <c r="M137" s="377"/>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13">
    <mergeCell ref="J131:L131"/>
    <mergeCell ref="F131:H131"/>
    <mergeCell ref="B131:D131"/>
    <mergeCell ref="J63:L63"/>
    <mergeCell ref="F63:H63"/>
    <mergeCell ref="B63:D63"/>
    <mergeCell ref="B44:D44"/>
    <mergeCell ref="J19:L19"/>
    <mergeCell ref="F19:H19"/>
    <mergeCell ref="B19:D19"/>
    <mergeCell ref="J4:L4"/>
    <mergeCell ref="F4:H4"/>
    <mergeCell ref="B4:D4"/>
  </mergeCells>
  <conditionalFormatting sqref="B50:B52">
    <cfRule type="expression" dxfId="1468" priority="133">
      <formula>kvartal &lt; 4</formula>
    </cfRule>
  </conditionalFormatting>
  <conditionalFormatting sqref="B69">
    <cfRule type="expression" dxfId="1467" priority="101">
      <formula>kvartal &lt; 4</formula>
    </cfRule>
  </conditionalFormatting>
  <conditionalFormatting sqref="C69">
    <cfRule type="expression" dxfId="1466" priority="100">
      <formula>kvartal &lt; 4</formula>
    </cfRule>
  </conditionalFormatting>
  <conditionalFormatting sqref="B72">
    <cfRule type="expression" dxfId="1465" priority="99">
      <formula>kvartal &lt; 4</formula>
    </cfRule>
  </conditionalFormatting>
  <conditionalFormatting sqref="C72">
    <cfRule type="expression" dxfId="1464" priority="98">
      <formula>kvartal &lt; 4</formula>
    </cfRule>
  </conditionalFormatting>
  <conditionalFormatting sqref="B80">
    <cfRule type="expression" dxfId="1463" priority="97">
      <formula>kvartal &lt; 4</formula>
    </cfRule>
  </conditionalFormatting>
  <conditionalFormatting sqref="C80">
    <cfRule type="expression" dxfId="1462" priority="96">
      <formula>kvartal &lt; 4</formula>
    </cfRule>
  </conditionalFormatting>
  <conditionalFormatting sqref="B83">
    <cfRule type="expression" dxfId="1461" priority="95">
      <formula>kvartal &lt; 4</formula>
    </cfRule>
  </conditionalFormatting>
  <conditionalFormatting sqref="C83">
    <cfRule type="expression" dxfId="1460" priority="94">
      <formula>kvartal &lt; 4</formula>
    </cfRule>
  </conditionalFormatting>
  <conditionalFormatting sqref="B90">
    <cfRule type="expression" dxfId="1459" priority="85">
      <formula>kvartal &lt; 4</formula>
    </cfRule>
  </conditionalFormatting>
  <conditionalFormatting sqref="C90">
    <cfRule type="expression" dxfId="1458" priority="84">
      <formula>kvartal &lt; 4</formula>
    </cfRule>
  </conditionalFormatting>
  <conditionalFormatting sqref="B93">
    <cfRule type="expression" dxfId="1457" priority="83">
      <formula>kvartal &lt; 4</formula>
    </cfRule>
  </conditionalFormatting>
  <conditionalFormatting sqref="C93">
    <cfRule type="expression" dxfId="1456" priority="82">
      <formula>kvartal &lt; 4</formula>
    </cfRule>
  </conditionalFormatting>
  <conditionalFormatting sqref="B101">
    <cfRule type="expression" dxfId="1455" priority="81">
      <formula>kvartal &lt; 4</formula>
    </cfRule>
  </conditionalFormatting>
  <conditionalFormatting sqref="C101">
    <cfRule type="expression" dxfId="1454" priority="80">
      <formula>kvartal &lt; 4</formula>
    </cfRule>
  </conditionalFormatting>
  <conditionalFormatting sqref="B104">
    <cfRule type="expression" dxfId="1453" priority="79">
      <formula>kvartal &lt; 4</formula>
    </cfRule>
  </conditionalFormatting>
  <conditionalFormatting sqref="C104">
    <cfRule type="expression" dxfId="1452" priority="78">
      <formula>kvartal &lt; 4</formula>
    </cfRule>
  </conditionalFormatting>
  <conditionalFormatting sqref="B115">
    <cfRule type="expression" dxfId="1451" priority="77">
      <formula>kvartal &lt; 4</formula>
    </cfRule>
  </conditionalFormatting>
  <conditionalFormatting sqref="C115">
    <cfRule type="expression" dxfId="1450" priority="76">
      <formula>kvartal &lt; 4</formula>
    </cfRule>
  </conditionalFormatting>
  <conditionalFormatting sqref="B123">
    <cfRule type="expression" dxfId="1449" priority="75">
      <formula>kvartal &lt; 4</formula>
    </cfRule>
  </conditionalFormatting>
  <conditionalFormatting sqref="C123">
    <cfRule type="expression" dxfId="1448" priority="74">
      <formula>kvartal &lt; 4</formula>
    </cfRule>
  </conditionalFormatting>
  <conditionalFormatting sqref="F70">
    <cfRule type="expression" dxfId="1447" priority="73">
      <formula>kvartal &lt; 4</formula>
    </cfRule>
  </conditionalFormatting>
  <conditionalFormatting sqref="G70">
    <cfRule type="expression" dxfId="1446" priority="72">
      <formula>kvartal &lt; 4</formula>
    </cfRule>
  </conditionalFormatting>
  <conditionalFormatting sqref="F71:G71">
    <cfRule type="expression" dxfId="1445" priority="71">
      <formula>kvartal &lt; 4</formula>
    </cfRule>
  </conditionalFormatting>
  <conditionalFormatting sqref="F73:G74">
    <cfRule type="expression" dxfId="1444" priority="70">
      <formula>kvartal &lt; 4</formula>
    </cfRule>
  </conditionalFormatting>
  <conditionalFormatting sqref="F81:G82">
    <cfRule type="expression" dxfId="1443" priority="69">
      <formula>kvartal &lt; 4</formula>
    </cfRule>
  </conditionalFormatting>
  <conditionalFormatting sqref="F84:G85">
    <cfRule type="expression" dxfId="1442" priority="68">
      <formula>kvartal &lt; 4</formula>
    </cfRule>
  </conditionalFormatting>
  <conditionalFormatting sqref="F91:G92">
    <cfRule type="expression" dxfId="1441" priority="63">
      <formula>kvartal &lt; 4</formula>
    </cfRule>
  </conditionalFormatting>
  <conditionalFormatting sqref="F94:G95">
    <cfRule type="expression" dxfId="1440" priority="62">
      <formula>kvartal &lt; 4</formula>
    </cfRule>
  </conditionalFormatting>
  <conditionalFormatting sqref="F102:G103">
    <cfRule type="expression" dxfId="1439" priority="61">
      <formula>kvartal &lt; 4</formula>
    </cfRule>
  </conditionalFormatting>
  <conditionalFormatting sqref="F105:G106">
    <cfRule type="expression" dxfId="1438" priority="60">
      <formula>kvartal &lt; 4</formula>
    </cfRule>
  </conditionalFormatting>
  <conditionalFormatting sqref="F115">
    <cfRule type="expression" dxfId="1437" priority="59">
      <formula>kvartal &lt; 4</formula>
    </cfRule>
  </conditionalFormatting>
  <conditionalFormatting sqref="G115">
    <cfRule type="expression" dxfId="1436" priority="58">
      <formula>kvartal &lt; 4</formula>
    </cfRule>
  </conditionalFormatting>
  <conditionalFormatting sqref="F123:G123">
    <cfRule type="expression" dxfId="1435" priority="57">
      <formula>kvartal &lt; 4</formula>
    </cfRule>
  </conditionalFormatting>
  <conditionalFormatting sqref="F69:G69">
    <cfRule type="expression" dxfId="1434" priority="56">
      <formula>kvartal &lt; 4</formula>
    </cfRule>
  </conditionalFormatting>
  <conditionalFormatting sqref="F72:G72">
    <cfRule type="expression" dxfId="1433" priority="55">
      <formula>kvartal &lt; 4</formula>
    </cfRule>
  </conditionalFormatting>
  <conditionalFormatting sqref="F80:G80">
    <cfRule type="expression" dxfId="1432" priority="54">
      <formula>kvartal &lt; 4</formula>
    </cfRule>
  </conditionalFormatting>
  <conditionalFormatting sqref="F83:G83">
    <cfRule type="expression" dxfId="1431" priority="53">
      <formula>kvartal &lt; 4</formula>
    </cfRule>
  </conditionalFormatting>
  <conditionalFormatting sqref="F90:G90">
    <cfRule type="expression" dxfId="1430" priority="47">
      <formula>kvartal &lt; 4</formula>
    </cfRule>
  </conditionalFormatting>
  <conditionalFormatting sqref="F93">
    <cfRule type="expression" dxfId="1429" priority="46">
      <formula>kvartal &lt; 4</formula>
    </cfRule>
  </conditionalFormatting>
  <conditionalFormatting sqref="G93">
    <cfRule type="expression" dxfId="1428" priority="45">
      <formula>kvartal &lt; 4</formula>
    </cfRule>
  </conditionalFormatting>
  <conditionalFormatting sqref="F101">
    <cfRule type="expression" dxfId="1427" priority="44">
      <formula>kvartal &lt; 4</formula>
    </cfRule>
  </conditionalFormatting>
  <conditionalFormatting sqref="G101">
    <cfRule type="expression" dxfId="1426" priority="43">
      <formula>kvartal &lt; 4</formula>
    </cfRule>
  </conditionalFormatting>
  <conditionalFormatting sqref="G104">
    <cfRule type="expression" dxfId="1425" priority="42">
      <formula>kvartal &lt; 4</formula>
    </cfRule>
  </conditionalFormatting>
  <conditionalFormatting sqref="F104">
    <cfRule type="expression" dxfId="1424" priority="41">
      <formula>kvartal &lt; 4</formula>
    </cfRule>
  </conditionalFormatting>
  <conditionalFormatting sqref="J69:K73">
    <cfRule type="expression" dxfId="1423" priority="40">
      <formula>kvartal &lt; 4</formula>
    </cfRule>
  </conditionalFormatting>
  <conditionalFormatting sqref="J74:K74">
    <cfRule type="expression" dxfId="1422" priority="39">
      <formula>kvartal &lt; 4</formula>
    </cfRule>
  </conditionalFormatting>
  <conditionalFormatting sqref="J80:K85">
    <cfRule type="expression" dxfId="1421" priority="38">
      <formula>kvartal &lt; 4</formula>
    </cfRule>
  </conditionalFormatting>
  <conditionalFormatting sqref="J90:K95">
    <cfRule type="expression" dxfId="1420" priority="35">
      <formula>kvartal &lt; 4</formula>
    </cfRule>
  </conditionalFormatting>
  <conditionalFormatting sqref="J101:K106">
    <cfRule type="expression" dxfId="1419" priority="34">
      <formula>kvartal &lt; 4</formula>
    </cfRule>
  </conditionalFormatting>
  <conditionalFormatting sqref="J115:K115">
    <cfRule type="expression" dxfId="1418" priority="33">
      <formula>kvartal &lt; 4</formula>
    </cfRule>
  </conditionalFormatting>
  <conditionalFormatting sqref="J123:K123">
    <cfRule type="expression" dxfId="1417" priority="32">
      <formula>kvartal &lt; 4</formula>
    </cfRule>
  </conditionalFormatting>
  <conditionalFormatting sqref="A50:A52">
    <cfRule type="expression" dxfId="1416" priority="13">
      <formula>kvartal &lt; 4</formula>
    </cfRule>
  </conditionalFormatting>
  <conditionalFormatting sqref="A69:A74">
    <cfRule type="expression" dxfId="1415" priority="11">
      <formula>kvartal &lt; 4</formula>
    </cfRule>
  </conditionalFormatting>
  <conditionalFormatting sqref="A80:A85">
    <cfRule type="expression" dxfId="1414" priority="10">
      <formula>kvartal &lt; 4</formula>
    </cfRule>
  </conditionalFormatting>
  <conditionalFormatting sqref="A90:A95">
    <cfRule type="expression" dxfId="1413" priority="7">
      <formula>kvartal &lt; 4</formula>
    </cfRule>
  </conditionalFormatting>
  <conditionalFormatting sqref="A101:A106">
    <cfRule type="expression" dxfId="1412" priority="6">
      <formula>kvartal &lt; 4</formula>
    </cfRule>
  </conditionalFormatting>
  <conditionalFormatting sqref="A115">
    <cfRule type="expression" dxfId="1411" priority="5">
      <formula>kvartal &lt; 4</formula>
    </cfRule>
  </conditionalFormatting>
  <conditionalFormatting sqref="A123">
    <cfRule type="expression" dxfId="1410" priority="4">
      <formula>kvartal &lt; 4</formula>
    </cfRule>
  </conditionalFormatting>
  <conditionalFormatting sqref="C50:C52">
    <cfRule type="expression" dxfId="1409" priority="1">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4"/>
  <sheetViews>
    <sheetView showGridLines="0" zoomScale="120" zoomScaleNormal="12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7" x14ac:dyDescent="0.2">
      <c r="A1" s="172" t="s">
        <v>136</v>
      </c>
      <c r="B1" s="707"/>
      <c r="C1" s="247" t="s">
        <v>126</v>
      </c>
      <c r="D1" s="26"/>
      <c r="E1" s="26"/>
      <c r="F1" s="26"/>
      <c r="G1" s="26"/>
      <c r="H1" s="26"/>
      <c r="I1" s="26"/>
      <c r="J1" s="26"/>
      <c r="K1" s="26"/>
      <c r="L1" s="26"/>
      <c r="M1" s="26"/>
    </row>
    <row r="2" spans="1:17" ht="15.75" x14ac:dyDescent="0.25">
      <c r="A2" s="165" t="s">
        <v>28</v>
      </c>
      <c r="B2" s="736"/>
      <c r="C2" s="736"/>
      <c r="D2" s="736"/>
      <c r="E2" s="298"/>
      <c r="F2" s="736"/>
      <c r="G2" s="736"/>
      <c r="H2" s="736"/>
      <c r="I2" s="298"/>
      <c r="J2" s="736"/>
      <c r="K2" s="736"/>
      <c r="L2" s="736"/>
      <c r="M2" s="298"/>
    </row>
    <row r="3" spans="1:17" ht="15.75" x14ac:dyDescent="0.25">
      <c r="A3" s="163"/>
      <c r="B3" s="298"/>
      <c r="C3" s="298"/>
      <c r="D3" s="298"/>
      <c r="E3" s="298"/>
      <c r="F3" s="298"/>
      <c r="G3" s="298"/>
      <c r="H3" s="298"/>
      <c r="I3" s="298"/>
      <c r="J3" s="298"/>
      <c r="K3" s="298"/>
      <c r="L3" s="298"/>
      <c r="M3" s="298"/>
    </row>
    <row r="4" spans="1:17" x14ac:dyDescent="0.2">
      <c r="A4" s="144"/>
      <c r="B4" s="737" t="s">
        <v>0</v>
      </c>
      <c r="C4" s="738"/>
      <c r="D4" s="738"/>
      <c r="E4" s="300"/>
      <c r="F4" s="737" t="s">
        <v>1</v>
      </c>
      <c r="G4" s="738"/>
      <c r="H4" s="738"/>
      <c r="I4" s="303"/>
      <c r="J4" s="737" t="s">
        <v>2</v>
      </c>
      <c r="K4" s="738"/>
      <c r="L4" s="738"/>
      <c r="M4" s="303"/>
    </row>
    <row r="5" spans="1:17"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7" x14ac:dyDescent="0.2">
      <c r="A6" s="709"/>
      <c r="B6" s="156"/>
      <c r="C6" s="156"/>
      <c r="D6" s="245" t="s">
        <v>4</v>
      </c>
      <c r="E6" s="156" t="s">
        <v>30</v>
      </c>
      <c r="F6" s="161"/>
      <c r="G6" s="161"/>
      <c r="H6" s="244" t="s">
        <v>4</v>
      </c>
      <c r="I6" s="156" t="s">
        <v>30</v>
      </c>
      <c r="J6" s="161"/>
      <c r="K6" s="161"/>
      <c r="L6" s="244" t="s">
        <v>4</v>
      </c>
      <c r="M6" s="156" t="s">
        <v>30</v>
      </c>
    </row>
    <row r="7" spans="1:17" ht="15.75" x14ac:dyDescent="0.2">
      <c r="A7" s="14" t="s">
        <v>23</v>
      </c>
      <c r="B7" s="305">
        <v>195442</v>
      </c>
      <c r="C7" s="306">
        <v>204264</v>
      </c>
      <c r="D7" s="349">
        <f>IF(B7=0, "    ---- ", IF(ABS(ROUND(100/B7*C7-100,1))&lt;999,ROUND(100/B7*C7-100,1),IF(ROUND(100/B7*C7-100,1)&gt;999,999,-999)))</f>
        <v>4.5</v>
      </c>
      <c r="E7" s="11">
        <f>IFERROR(100/'Skjema total MA'!C7*C7,0)</f>
        <v>7.601104070922303</v>
      </c>
      <c r="F7" s="305"/>
      <c r="G7" s="306"/>
      <c r="H7" s="349"/>
      <c r="I7" s="160"/>
      <c r="J7" s="307">
        <f t="shared" ref="J7:K10" si="0">SUM(B7,F7)</f>
        <v>195442</v>
      </c>
      <c r="K7" s="308">
        <f t="shared" si="0"/>
        <v>204264</v>
      </c>
      <c r="L7" s="426">
        <f>IF(J7=0, "    ---- ", IF(ABS(ROUND(100/J7*K7-100,1))&lt;999,ROUND(100/J7*K7-100,1),IF(ROUND(100/J7*K7-100,1)&gt;999,999,-999)))</f>
        <v>4.5</v>
      </c>
      <c r="M7" s="11">
        <f>IFERROR(100/'Skjema total MA'!I7*K7,0)</f>
        <v>2.7565735842622243</v>
      </c>
    </row>
    <row r="8" spans="1:17" ht="15.75" x14ac:dyDescent="0.2">
      <c r="A8" s="21" t="s">
        <v>25</v>
      </c>
      <c r="B8" s="280">
        <v>168068</v>
      </c>
      <c r="C8" s="281">
        <v>176405</v>
      </c>
      <c r="D8" s="166">
        <f t="shared" ref="D8:D10" si="1">IF(B8=0, "    ---- ", IF(ABS(ROUND(100/B8*C8-100,1))&lt;999,ROUND(100/B8*C8-100,1),IF(ROUND(100/B8*C8-100,1)&gt;999,999,-999)))</f>
        <v>5</v>
      </c>
      <c r="E8" s="27">
        <f>IFERROR(100/'Skjema total MA'!C8*C8,0)</f>
        <v>9.7784630117738871</v>
      </c>
      <c r="F8" s="284"/>
      <c r="G8" s="285"/>
      <c r="H8" s="166"/>
      <c r="I8" s="175"/>
      <c r="J8" s="233">
        <f t="shared" si="0"/>
        <v>168068</v>
      </c>
      <c r="K8" s="286">
        <f t="shared" si="0"/>
        <v>176405</v>
      </c>
      <c r="L8" s="166">
        <f t="shared" ref="L8:L9" si="2">IF(J8=0, "    ---- ", IF(ABS(ROUND(100/J8*K8-100,1))&lt;999,ROUND(100/J8*K8-100,1),IF(ROUND(100/J8*K8-100,1)&gt;999,999,-999)))</f>
        <v>5</v>
      </c>
      <c r="M8" s="27">
        <f>IFERROR(100/'Skjema total MA'!I8*K8,0)</f>
        <v>9.7784630117738871</v>
      </c>
    </row>
    <row r="9" spans="1:17" ht="15.75" x14ac:dyDescent="0.2">
      <c r="A9" s="21" t="s">
        <v>24</v>
      </c>
      <c r="B9" s="280">
        <v>27374</v>
      </c>
      <c r="C9" s="281">
        <v>27859</v>
      </c>
      <c r="D9" s="166">
        <f t="shared" si="1"/>
        <v>1.8</v>
      </c>
      <c r="E9" s="27">
        <f>IFERROR(100/'Skjema total MA'!C9*C9,0)</f>
        <v>5.3578025729326635</v>
      </c>
      <c r="F9" s="284"/>
      <c r="G9" s="285"/>
      <c r="H9" s="166"/>
      <c r="I9" s="175"/>
      <c r="J9" s="233">
        <f t="shared" si="0"/>
        <v>27374</v>
      </c>
      <c r="K9" s="286">
        <f t="shared" si="0"/>
        <v>27859</v>
      </c>
      <c r="L9" s="166">
        <f t="shared" si="2"/>
        <v>1.8</v>
      </c>
      <c r="M9" s="27">
        <f>IFERROR(100/'Skjema total MA'!I9*K9,0)</f>
        <v>5.3578025729326635</v>
      </c>
    </row>
    <row r="10" spans="1:17" ht="15.75" x14ac:dyDescent="0.2">
      <c r="A10" s="13" t="s">
        <v>367</v>
      </c>
      <c r="B10" s="309">
        <v>165437</v>
      </c>
      <c r="C10" s="310">
        <v>167830</v>
      </c>
      <c r="D10" s="171">
        <f t="shared" si="1"/>
        <v>1.4</v>
      </c>
      <c r="E10" s="11">
        <f>IFERROR(100/'Skjema total MA'!C10*C10,0)</f>
        <v>0.91242514791404195</v>
      </c>
      <c r="F10" s="309"/>
      <c r="G10" s="310"/>
      <c r="H10" s="171"/>
      <c r="I10" s="160"/>
      <c r="J10" s="307">
        <f t="shared" si="0"/>
        <v>165437</v>
      </c>
      <c r="K10" s="308">
        <f t="shared" si="0"/>
        <v>167830</v>
      </c>
      <c r="L10" s="427">
        <f t="shared" ref="L10" si="3">IF(J10=0, "    ---- ", IF(ABS(ROUND(100/J10*K10-100,1))&lt;999,ROUND(100/J10*K10-100,1),IF(ROUND(100/J10*K10-100,1)&gt;999,999,-999)))</f>
        <v>1.4</v>
      </c>
      <c r="M10" s="11">
        <f>IFERROR(100/'Skjema total MA'!I10*K10,0)</f>
        <v>0.23882115347526012</v>
      </c>
    </row>
    <row r="11" spans="1:17" s="43" customFormat="1" ht="15.75" x14ac:dyDescent="0.2">
      <c r="A11" s="13" t="s">
        <v>368</v>
      </c>
      <c r="B11" s="309"/>
      <c r="C11" s="310"/>
      <c r="D11" s="171"/>
      <c r="E11" s="11"/>
      <c r="F11" s="309"/>
      <c r="G11" s="310"/>
      <c r="H11" s="171"/>
      <c r="I11" s="160"/>
      <c r="J11" s="307"/>
      <c r="K11" s="308"/>
      <c r="L11" s="427"/>
      <c r="M11" s="11"/>
      <c r="N11" s="143"/>
      <c r="Q11" s="143"/>
    </row>
    <row r="12" spans="1:17" s="43" customFormat="1" ht="15.75" x14ac:dyDescent="0.2">
      <c r="A12" s="41" t="s">
        <v>369</v>
      </c>
      <c r="B12" s="311"/>
      <c r="C12" s="312"/>
      <c r="D12" s="169"/>
      <c r="E12" s="36"/>
      <c r="F12" s="311"/>
      <c r="G12" s="312"/>
      <c r="H12" s="169"/>
      <c r="I12" s="169"/>
      <c r="J12" s="313"/>
      <c r="K12" s="314"/>
      <c r="L12" s="428"/>
      <c r="M12" s="36"/>
      <c r="N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277</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v>183177</v>
      </c>
      <c r="C22" s="309">
        <v>192458</v>
      </c>
      <c r="D22" s="349">
        <f t="shared" ref="D22:D32" si="4">IF(B22=0, "    ---- ", IF(ABS(ROUND(100/B22*C22-100,1))&lt;999,ROUND(100/B22*C22-100,1),IF(ROUND(100/B22*C22-100,1)&gt;999,999,-999)))</f>
        <v>5.0999999999999996</v>
      </c>
      <c r="E22" s="11">
        <f>IFERROR(100/'Skjema total MA'!C22*C22,0)</f>
        <v>19.486785805216478</v>
      </c>
      <c r="F22" s="317">
        <v>6221</v>
      </c>
      <c r="G22" s="317">
        <v>6354</v>
      </c>
      <c r="H22" s="349">
        <f t="shared" ref="H22:H29" si="5">IF(F22=0, "    ---- ", IF(ABS(ROUND(100/F22*G22-100,1))&lt;999,ROUND(100/F22*G22-100,1),IF(ROUND(100/F22*G22-100,1)&gt;999,999,-999)))</f>
        <v>2.1</v>
      </c>
      <c r="I22" s="11">
        <f>IFERROR(100/'Skjema total MA'!F22*G22,0)</f>
        <v>0.98945534261538759</v>
      </c>
      <c r="J22" s="315">
        <f t="shared" ref="J22:K29" si="6">SUM(B22,F22)</f>
        <v>189398</v>
      </c>
      <c r="K22" s="315">
        <f t="shared" si="6"/>
        <v>198812</v>
      </c>
      <c r="L22" s="426">
        <f t="shared" ref="L22:L30" si="7">IF(J22=0, "    ---- ", IF(ABS(ROUND(100/J22*K22-100,1))&lt;999,ROUND(100/J22*K22-100,1),IF(ROUND(100/J22*K22-100,1)&gt;999,999,-999)))</f>
        <v>5</v>
      </c>
      <c r="M22" s="24">
        <f>IFERROR(100/'Skjema total MA'!I22*K22,0)</f>
        <v>12.198515657378033</v>
      </c>
    </row>
    <row r="23" spans="1:14" ht="15.75" x14ac:dyDescent="0.2">
      <c r="A23" s="587" t="s">
        <v>370</v>
      </c>
      <c r="B23" s="280">
        <v>182627</v>
      </c>
      <c r="C23" s="280">
        <v>192153</v>
      </c>
      <c r="D23" s="166">
        <f t="shared" si="4"/>
        <v>5.2</v>
      </c>
      <c r="E23" s="11">
        <f>IFERROR(100/'Skjema total MA'!C23*C23,0)</f>
        <v>46.971716285630642</v>
      </c>
      <c r="F23" s="289"/>
      <c r="G23" s="289"/>
      <c r="H23" s="166"/>
      <c r="I23" s="416"/>
      <c r="J23" s="289">
        <f t="shared" ref="J23:J26" si="8">SUM(B23,F23)</f>
        <v>182627</v>
      </c>
      <c r="K23" s="289">
        <f t="shared" ref="K23:K26" si="9">SUM(C23,G23)</f>
        <v>192153</v>
      </c>
      <c r="L23" s="166">
        <f t="shared" si="7"/>
        <v>5.2</v>
      </c>
      <c r="M23" s="23">
        <f>IFERROR(100/'Skjema total MA'!I23*K23,0)</f>
        <v>38.705965381829671</v>
      </c>
    </row>
    <row r="24" spans="1:14" ht="15.75" x14ac:dyDescent="0.2">
      <c r="A24" s="587" t="s">
        <v>371</v>
      </c>
      <c r="B24" s="280"/>
      <c r="C24" s="280"/>
      <c r="D24" s="166"/>
      <c r="E24" s="11"/>
      <c r="F24" s="289"/>
      <c r="G24" s="289"/>
      <c r="H24" s="166"/>
      <c r="I24" s="416"/>
      <c r="J24" s="289"/>
      <c r="K24" s="289"/>
      <c r="L24" s="166"/>
      <c r="M24" s="23"/>
    </row>
    <row r="25" spans="1:14" ht="15.75" x14ac:dyDescent="0.2">
      <c r="A25" s="587" t="s">
        <v>372</v>
      </c>
      <c r="B25" s="280">
        <v>550</v>
      </c>
      <c r="C25" s="280">
        <v>305</v>
      </c>
      <c r="D25" s="166">
        <f t="shared" ref="D25" si="10">IF(B25=0, "    ---- ", IF(ABS(ROUND(100/B25*C25-100,1))&lt;999,ROUND(100/B25*C25-100,1),IF(ROUND(100/B25*C25-100,1)&gt;999,999,-999)))</f>
        <v>-44.5</v>
      </c>
      <c r="E25" s="11">
        <f>IFERROR(100/'Skjema total MA'!C25*C25,0)</f>
        <v>1.8878243622681721</v>
      </c>
      <c r="F25" s="289">
        <v>2982</v>
      </c>
      <c r="G25" s="289">
        <v>1774</v>
      </c>
      <c r="H25" s="166">
        <f t="shared" ref="H25:H26" si="11">IF(F25=0, "    ---- ", IF(ABS(ROUND(100/F25*G25-100,1))&lt;999,ROUND(100/F25*G25-100,1),IF(ROUND(100/F25*G25-100,1)&gt;999,999,-999)))</f>
        <v>-40.5</v>
      </c>
      <c r="I25" s="416">
        <f>IFERROR(100/'Skjema total MA'!F25*G25,0)</f>
        <v>8.9244033951312076</v>
      </c>
      <c r="J25" s="289">
        <f t="shared" si="8"/>
        <v>3532</v>
      </c>
      <c r="K25" s="289">
        <f t="shared" si="9"/>
        <v>2079</v>
      </c>
      <c r="L25" s="166">
        <f t="shared" ref="L25:L26" si="12">IF(J25=0, "    ---- ", IF(ABS(ROUND(100/J25*K25-100,1))&lt;999,ROUND(100/J25*K25-100,1),IF(ROUND(100/J25*K25-100,1)&gt;999,999,-999)))</f>
        <v>-41.1</v>
      </c>
      <c r="M25" s="23">
        <f>IFERROR(100/'Skjema total MA'!I25*K25,0)</f>
        <v>5.7695119953160718</v>
      </c>
    </row>
    <row r="26" spans="1:14" ht="15.75" x14ac:dyDescent="0.2">
      <c r="A26" s="587" t="s">
        <v>373</v>
      </c>
      <c r="B26" s="280"/>
      <c r="C26" s="280"/>
      <c r="D26" s="166"/>
      <c r="E26" s="11"/>
      <c r="F26" s="289">
        <v>3239</v>
      </c>
      <c r="G26" s="289">
        <v>4580</v>
      </c>
      <c r="H26" s="166">
        <f t="shared" si="11"/>
        <v>41.4</v>
      </c>
      <c r="I26" s="416">
        <f>IFERROR(100/'Skjema total MA'!F26*G26,0)</f>
        <v>0.85768851442908323</v>
      </c>
      <c r="J26" s="289">
        <f t="shared" si="8"/>
        <v>3239</v>
      </c>
      <c r="K26" s="289">
        <f t="shared" si="9"/>
        <v>4580</v>
      </c>
      <c r="L26" s="166">
        <f t="shared" si="12"/>
        <v>41.4</v>
      </c>
      <c r="M26" s="23">
        <f>IFERROR(100/'Skjema total MA'!I26*K26,0)</f>
        <v>0.85768851442908323</v>
      </c>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v>182627</v>
      </c>
      <c r="C28" s="286">
        <v>192153</v>
      </c>
      <c r="D28" s="166">
        <f t="shared" si="4"/>
        <v>5.2</v>
      </c>
      <c r="E28" s="11">
        <f>IFERROR(100/'Skjema total MA'!C28*C28,0)</f>
        <v>17.817835491132563</v>
      </c>
      <c r="F28" s="233"/>
      <c r="G28" s="286"/>
      <c r="H28" s="166"/>
      <c r="I28" s="27"/>
      <c r="J28" s="44">
        <f t="shared" si="6"/>
        <v>182627</v>
      </c>
      <c r="K28" s="44">
        <f t="shared" si="6"/>
        <v>192153</v>
      </c>
      <c r="L28" s="253">
        <f t="shared" si="7"/>
        <v>5.2</v>
      </c>
      <c r="M28" s="23">
        <f>IFERROR(100/'Skjema total MA'!I28*K28,0)</f>
        <v>17.817835491132563</v>
      </c>
    </row>
    <row r="29" spans="1:14" s="3" customFormat="1" ht="15.75" x14ac:dyDescent="0.2">
      <c r="A29" s="13" t="s">
        <v>367</v>
      </c>
      <c r="B29" s="235">
        <v>672477</v>
      </c>
      <c r="C29" s="235">
        <v>762806</v>
      </c>
      <c r="D29" s="171">
        <f t="shared" si="4"/>
        <v>13.4</v>
      </c>
      <c r="E29" s="11">
        <f>IFERROR(100/'Skjema total MA'!C29*C29,0)</f>
        <v>1.6442699345901173</v>
      </c>
      <c r="F29" s="307">
        <v>139240</v>
      </c>
      <c r="G29" s="307">
        <v>159795</v>
      </c>
      <c r="H29" s="171">
        <f t="shared" si="5"/>
        <v>14.8</v>
      </c>
      <c r="I29" s="11">
        <f>IFERROR(100/'Skjema total MA'!F29*G29,0)</f>
        <v>0.72957806352216881</v>
      </c>
      <c r="J29" s="235">
        <f t="shared" si="6"/>
        <v>811717</v>
      </c>
      <c r="K29" s="235">
        <f t="shared" si="6"/>
        <v>922601</v>
      </c>
      <c r="L29" s="427">
        <f t="shared" si="7"/>
        <v>13.7</v>
      </c>
      <c r="M29" s="24">
        <f>IFERROR(100/'Skjema total MA'!I29*K29,0)</f>
        <v>1.3509222460290433</v>
      </c>
      <c r="N29" s="148"/>
    </row>
    <row r="30" spans="1:14" s="3" customFormat="1" ht="15.75" x14ac:dyDescent="0.2">
      <c r="A30" s="587" t="s">
        <v>370</v>
      </c>
      <c r="B30" s="280">
        <v>670546</v>
      </c>
      <c r="C30" s="280">
        <v>760943</v>
      </c>
      <c r="D30" s="166">
        <f t="shared" si="4"/>
        <v>13.5</v>
      </c>
      <c r="E30" s="11">
        <f>IFERROR(100/'Skjema total MA'!C30*C30,0)</f>
        <v>5.4376101585445191</v>
      </c>
      <c r="F30" s="289"/>
      <c r="G30" s="289"/>
      <c r="H30" s="166"/>
      <c r="I30" s="416"/>
      <c r="J30" s="289">
        <f t="shared" ref="J30:J33" si="13">SUM(B30,F30)</f>
        <v>670546</v>
      </c>
      <c r="K30" s="289">
        <f t="shared" ref="K30:K33" si="14">SUM(C30,G30)</f>
        <v>760943</v>
      </c>
      <c r="L30" s="166">
        <f t="shared" si="7"/>
        <v>13.5</v>
      </c>
      <c r="M30" s="23">
        <f>IFERROR(100/'Skjema total MA'!I30*K30,0)</f>
        <v>4.1628005898373237</v>
      </c>
      <c r="N30" s="148"/>
    </row>
    <row r="31" spans="1:14" s="3" customFormat="1" ht="15.75" x14ac:dyDescent="0.2">
      <c r="A31" s="587" t="s">
        <v>371</v>
      </c>
      <c r="B31" s="280"/>
      <c r="C31" s="280"/>
      <c r="D31" s="166"/>
      <c r="E31" s="11"/>
      <c r="F31" s="289"/>
      <c r="G31" s="289"/>
      <c r="H31" s="166"/>
      <c r="I31" s="416"/>
      <c r="J31" s="289"/>
      <c r="K31" s="289"/>
      <c r="L31" s="166"/>
      <c r="M31" s="23"/>
      <c r="N31" s="148"/>
    </row>
    <row r="32" spans="1:14" ht="15.75" x14ac:dyDescent="0.2">
      <c r="A32" s="587" t="s">
        <v>372</v>
      </c>
      <c r="B32" s="280">
        <v>1931</v>
      </c>
      <c r="C32" s="280">
        <v>1863</v>
      </c>
      <c r="D32" s="166">
        <f t="shared" si="4"/>
        <v>-3.5</v>
      </c>
      <c r="E32" s="11">
        <f>IFERROR(100/'Skjema total MA'!C32*C32,0)</f>
        <v>6.3209098208162548E-2</v>
      </c>
      <c r="F32" s="289">
        <v>108951</v>
      </c>
      <c r="G32" s="289">
        <v>115895</v>
      </c>
      <c r="H32" s="166">
        <f t="shared" ref="H32:H33" si="15">IF(F32=0, "    ---- ", IF(ABS(ROUND(100/F32*G32-100,1))&lt;999,ROUND(100/F32*G32-100,1),IF(ROUND(100/F32*G32-100,1)&gt;999,999,-999)))</f>
        <v>6.4</v>
      </c>
      <c r="I32" s="416">
        <f>IFERROR(100/'Skjema total MA'!F32*G32,0)</f>
        <v>2.477244090824243</v>
      </c>
      <c r="J32" s="289">
        <f t="shared" si="13"/>
        <v>110882</v>
      </c>
      <c r="K32" s="289">
        <f t="shared" si="14"/>
        <v>117758</v>
      </c>
      <c r="L32" s="166">
        <f t="shared" ref="L32:L33" si="16">IF(J32=0, "    ---- ", IF(ABS(ROUND(100/J32*K32-100,1))&lt;999,ROUND(100/J32*K32-100,1),IF(ROUND(100/J32*K32-100,1)&gt;999,999,-999)))</f>
        <v>6.2</v>
      </c>
      <c r="M32" s="23">
        <f>IFERROR(100/'Skjema total MA'!I32*K32,0)</f>
        <v>1.5442163625410315</v>
      </c>
    </row>
    <row r="33" spans="1:14" ht="15.75" x14ac:dyDescent="0.2">
      <c r="A33" s="587" t="s">
        <v>373</v>
      </c>
      <c r="B33" s="280"/>
      <c r="C33" s="280"/>
      <c r="D33" s="166"/>
      <c r="E33" s="11"/>
      <c r="F33" s="289">
        <v>30289</v>
      </c>
      <c r="G33" s="289">
        <v>43900</v>
      </c>
      <c r="H33" s="166">
        <f t="shared" si="15"/>
        <v>44.9</v>
      </c>
      <c r="I33" s="416">
        <f>IFERROR(100/'Skjema total MA'!F33*G33,0)</f>
        <v>1.1466693485527346</v>
      </c>
      <c r="J33" s="289">
        <f t="shared" si="13"/>
        <v>30289</v>
      </c>
      <c r="K33" s="289">
        <f t="shared" si="14"/>
        <v>43900</v>
      </c>
      <c r="L33" s="166">
        <f t="shared" si="16"/>
        <v>44.9</v>
      </c>
      <c r="M33" s="23">
        <f>IFERROR(100/'Skjema total MA'!I33*K33,0)</f>
        <v>1.1466693485527346</v>
      </c>
    </row>
    <row r="34" spans="1:14" ht="15.75" x14ac:dyDescent="0.2">
      <c r="A34" s="13" t="s">
        <v>368</v>
      </c>
      <c r="B34" s="235"/>
      <c r="C34" s="308"/>
      <c r="D34" s="171"/>
      <c r="E34" s="11"/>
      <c r="F34" s="307"/>
      <c r="G34" s="308"/>
      <c r="H34" s="171"/>
      <c r="I34" s="11"/>
      <c r="J34" s="235"/>
      <c r="K34" s="235"/>
      <c r="L34" s="427"/>
      <c r="M34" s="24"/>
    </row>
    <row r="35" spans="1:14" ht="15.75" x14ac:dyDescent="0.2">
      <c r="A35" s="13" t="s">
        <v>369</v>
      </c>
      <c r="B35" s="235"/>
      <c r="C35" s="308"/>
      <c r="D35" s="171"/>
      <c r="E35" s="11"/>
      <c r="F35" s="307"/>
      <c r="G35" s="308"/>
      <c r="H35" s="171"/>
      <c r="I35" s="11"/>
      <c r="J35" s="235"/>
      <c r="K35" s="235"/>
      <c r="L35" s="427"/>
      <c r="M35" s="24"/>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v>33252</v>
      </c>
      <c r="C47" s="310">
        <v>34026</v>
      </c>
      <c r="D47" s="426">
        <f t="shared" ref="D47:D48" si="17">IF(B47=0, "    ---- ", IF(ABS(ROUND(100/B47*C47-100,1))&lt;999,ROUND(100/B47*C47-100,1),IF(ROUND(100/B47*C47-100,1)&gt;999,999,-999)))</f>
        <v>2.2999999999999998</v>
      </c>
      <c r="E47" s="11">
        <f>IFERROR(100/'Skjema total MA'!C47*C47,0)</f>
        <v>0.93164315607846915</v>
      </c>
      <c r="F47" s="145"/>
      <c r="G47" s="33"/>
      <c r="H47" s="159"/>
      <c r="I47" s="159"/>
      <c r="J47" s="37"/>
      <c r="K47" s="37"/>
      <c r="L47" s="159"/>
      <c r="M47" s="159"/>
      <c r="N47" s="148"/>
    </row>
    <row r="48" spans="1:14" s="3" customFormat="1" ht="15.75" x14ac:dyDescent="0.2">
      <c r="A48" s="38" t="s">
        <v>378</v>
      </c>
      <c r="B48" s="280">
        <v>33252</v>
      </c>
      <c r="C48" s="281">
        <v>34026</v>
      </c>
      <c r="D48" s="253">
        <f t="shared" si="17"/>
        <v>2.2999999999999998</v>
      </c>
      <c r="E48" s="27">
        <f>IFERROR(100/'Skjema total MA'!C48*C48,0)</f>
        <v>1.6450466435737006</v>
      </c>
      <c r="F48" s="145"/>
      <c r="G48" s="33"/>
      <c r="H48" s="145"/>
      <c r="I48" s="145"/>
      <c r="J48" s="33"/>
      <c r="K48" s="33"/>
      <c r="L48" s="159"/>
      <c r="M48" s="159"/>
      <c r="N48" s="148"/>
    </row>
    <row r="49" spans="1:14" s="3" customFormat="1" ht="15.75" x14ac:dyDescent="0.2">
      <c r="A49" s="38" t="s">
        <v>379</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c r="C53" s="310"/>
      <c r="D53" s="427"/>
      <c r="E53" s="11"/>
      <c r="F53" s="145"/>
      <c r="G53" s="33"/>
      <c r="H53" s="145"/>
      <c r="I53" s="145"/>
      <c r="J53" s="33"/>
      <c r="K53" s="33"/>
      <c r="L53" s="159"/>
      <c r="M53" s="159"/>
      <c r="N53" s="148"/>
    </row>
    <row r="54" spans="1:14" s="3" customFormat="1" ht="15.75" x14ac:dyDescent="0.2">
      <c r="A54" s="38" t="s">
        <v>378</v>
      </c>
      <c r="B54" s="280"/>
      <c r="C54" s="281"/>
      <c r="D54" s="253"/>
      <c r="E54" s="27"/>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c r="C56" s="310"/>
      <c r="D56" s="427"/>
      <c r="E56" s="11"/>
      <c r="F56" s="145"/>
      <c r="G56" s="33"/>
      <c r="H56" s="145"/>
      <c r="I56" s="145"/>
      <c r="J56" s="33"/>
      <c r="K56" s="33"/>
      <c r="L56" s="159"/>
      <c r="M56" s="159"/>
      <c r="N56" s="148"/>
    </row>
    <row r="57" spans="1:14" s="3" customFormat="1" ht="15.75" x14ac:dyDescent="0.2">
      <c r="A57" s="38" t="s">
        <v>378</v>
      </c>
      <c r="B57" s="280"/>
      <c r="C57" s="281"/>
      <c r="D57" s="253"/>
      <c r="E57" s="27"/>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v>80050</v>
      </c>
      <c r="C66" s="352">
        <v>74655</v>
      </c>
      <c r="D66" s="349">
        <f t="shared" ref="D66:D111" si="18">IF(B66=0, "    ---- ", IF(ABS(ROUND(100/B66*C66-100,1))&lt;999,ROUND(100/B66*C66-100,1),IF(ROUND(100/B66*C66-100,1)&gt;999,999,-999)))</f>
        <v>-6.7</v>
      </c>
      <c r="E66" s="11">
        <f>IFERROR(100/'Skjema total MA'!C66*C66,0)</f>
        <v>1.587767425026914</v>
      </c>
      <c r="F66" s="351">
        <v>189822</v>
      </c>
      <c r="G66" s="351">
        <v>205605</v>
      </c>
      <c r="H66" s="349">
        <f t="shared" ref="H66:H111" si="19">IF(F66=0, "    ---- ", IF(ABS(ROUND(100/F66*G66-100,1))&lt;999,ROUND(100/F66*G66-100,1),IF(ROUND(100/F66*G66-100,1)&gt;999,999,-999)))</f>
        <v>8.3000000000000007</v>
      </c>
      <c r="I66" s="11">
        <f>IFERROR(100/'Skjema total MA'!F66*G66,0)</f>
        <v>1.1860052591907937</v>
      </c>
      <c r="J66" s="308">
        <f t="shared" ref="J66:K79" si="20">SUM(B66,F66)</f>
        <v>269872</v>
      </c>
      <c r="K66" s="315">
        <f t="shared" si="20"/>
        <v>280260</v>
      </c>
      <c r="L66" s="427">
        <f t="shared" ref="L66:L111" si="21">IF(J66=0, "    ---- ", IF(ABS(ROUND(100/J66*K66-100,1))&lt;999,ROUND(100/J66*K66-100,1),IF(ROUND(100/J66*K66-100,1)&gt;999,999,-999)))</f>
        <v>3.8</v>
      </c>
      <c r="M66" s="11">
        <f>IFERROR(100/'Skjema total MA'!I66*K66,0)</f>
        <v>1.2717233684166378</v>
      </c>
    </row>
    <row r="67" spans="1:14" x14ac:dyDescent="0.2">
      <c r="A67" s="418" t="s">
        <v>9</v>
      </c>
      <c r="B67" s="44"/>
      <c r="C67" s="145"/>
      <c r="D67" s="166"/>
      <c r="E67" s="27"/>
      <c r="F67" s="233"/>
      <c r="G67" s="145"/>
      <c r="H67" s="166"/>
      <c r="I67" s="27"/>
      <c r="J67" s="286"/>
      <c r="K67" s="44"/>
      <c r="L67" s="253"/>
      <c r="M67" s="27"/>
    </row>
    <row r="68" spans="1:14" x14ac:dyDescent="0.2">
      <c r="A68" s="21" t="s">
        <v>10</v>
      </c>
      <c r="B68" s="291">
        <v>80050</v>
      </c>
      <c r="C68" s="292">
        <v>74655</v>
      </c>
      <c r="D68" s="166">
        <f t="shared" si="18"/>
        <v>-6.7</v>
      </c>
      <c r="E68" s="27">
        <f>IFERROR(100/'Skjema total MA'!C68*C68,0)</f>
        <v>70.703118990430212</v>
      </c>
      <c r="F68" s="291">
        <v>189822</v>
      </c>
      <c r="G68" s="292">
        <v>205605</v>
      </c>
      <c r="H68" s="166">
        <f t="shared" si="19"/>
        <v>8.3000000000000007</v>
      </c>
      <c r="I68" s="27">
        <f>IFERROR(100/'Skjema total MA'!F68*G68,0)</f>
        <v>1.2346097022123859</v>
      </c>
      <c r="J68" s="286">
        <f t="shared" si="20"/>
        <v>269872</v>
      </c>
      <c r="K68" s="44">
        <f t="shared" si="20"/>
        <v>280260</v>
      </c>
      <c r="L68" s="253">
        <f t="shared" si="21"/>
        <v>3.8</v>
      </c>
      <c r="M68" s="27">
        <f>IFERROR(100/'Skjema total MA'!I68*K68,0)</f>
        <v>1.6722924360132312</v>
      </c>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v>80050</v>
      </c>
      <c r="C77" s="233">
        <v>74655</v>
      </c>
      <c r="D77" s="166">
        <f t="shared" si="18"/>
        <v>-6.7</v>
      </c>
      <c r="E77" s="27">
        <f>IFERROR(100/'Skjema total MA'!C77*C77,0)</f>
        <v>2.1725260730852414</v>
      </c>
      <c r="F77" s="233">
        <v>189822</v>
      </c>
      <c r="G77" s="145">
        <v>205605</v>
      </c>
      <c r="H77" s="166">
        <f t="shared" si="19"/>
        <v>8.3000000000000007</v>
      </c>
      <c r="I77" s="27">
        <f>IFERROR(100/'Skjema total MA'!F77*G77,0)</f>
        <v>1.2352556656258338</v>
      </c>
      <c r="J77" s="286">
        <f t="shared" si="20"/>
        <v>269872</v>
      </c>
      <c r="K77" s="44">
        <f t="shared" si="20"/>
        <v>280260</v>
      </c>
      <c r="L77" s="253">
        <f t="shared" si="21"/>
        <v>3.8</v>
      </c>
      <c r="M77" s="27">
        <f>IFERROR(100/'Skjema total MA'!I77*K77,0)</f>
        <v>1.3956438187717293</v>
      </c>
    </row>
    <row r="78" spans="1:14" x14ac:dyDescent="0.2">
      <c r="A78" s="21" t="s">
        <v>9</v>
      </c>
      <c r="B78" s="233"/>
      <c r="C78" s="145"/>
      <c r="D78" s="166"/>
      <c r="E78" s="27"/>
      <c r="F78" s="233"/>
      <c r="G78" s="145"/>
      <c r="H78" s="166"/>
      <c r="I78" s="27"/>
      <c r="J78" s="286"/>
      <c r="K78" s="44"/>
      <c r="L78" s="253"/>
      <c r="M78" s="27"/>
    </row>
    <row r="79" spans="1:14" x14ac:dyDescent="0.2">
      <c r="A79" s="21" t="s">
        <v>10</v>
      </c>
      <c r="B79" s="291">
        <v>80050</v>
      </c>
      <c r="C79" s="292">
        <v>74655</v>
      </c>
      <c r="D79" s="166">
        <f t="shared" si="18"/>
        <v>-6.7</v>
      </c>
      <c r="E79" s="27">
        <f>IFERROR(100/'Skjema total MA'!C79*C79,0)</f>
        <v>71.6469726133775</v>
      </c>
      <c r="F79" s="291">
        <v>189822</v>
      </c>
      <c r="G79" s="292">
        <v>205605</v>
      </c>
      <c r="H79" s="166">
        <f t="shared" si="19"/>
        <v>8.3000000000000007</v>
      </c>
      <c r="I79" s="27">
        <f>IFERROR(100/'Skjema total MA'!F79*G79,0)</f>
        <v>1.2352556656258338</v>
      </c>
      <c r="J79" s="286">
        <f t="shared" si="20"/>
        <v>269872</v>
      </c>
      <c r="K79" s="44">
        <f t="shared" si="20"/>
        <v>280260</v>
      </c>
      <c r="L79" s="253">
        <f t="shared" si="21"/>
        <v>3.8</v>
      </c>
      <c r="M79" s="27">
        <f>IFERROR(100/'Skjema total MA'!I79*K79,0)</f>
        <v>1.6733008412587571</v>
      </c>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c r="G86" s="145"/>
      <c r="H86" s="166"/>
      <c r="I86" s="27"/>
      <c r="J86" s="286"/>
      <c r="K86" s="44"/>
      <c r="L86" s="253"/>
      <c r="M86" s="27"/>
    </row>
    <row r="87" spans="1:13" ht="15.75" x14ac:dyDescent="0.2">
      <c r="A87" s="13" t="s">
        <v>367</v>
      </c>
      <c r="B87" s="352">
        <v>206975</v>
      </c>
      <c r="C87" s="352">
        <v>201716</v>
      </c>
      <c r="D87" s="171">
        <f t="shared" si="18"/>
        <v>-2.5</v>
      </c>
      <c r="E87" s="11">
        <f>IFERROR(100/'Skjema total MA'!C87*C87,0)</f>
        <v>5.1332060371310002E-2</v>
      </c>
      <c r="F87" s="351">
        <v>3687547</v>
      </c>
      <c r="G87" s="351">
        <v>4109473</v>
      </c>
      <c r="H87" s="171">
        <f t="shared" si="19"/>
        <v>11.4</v>
      </c>
      <c r="I87" s="11">
        <f>IFERROR(100/'Skjema total MA'!F87*G87,0)</f>
        <v>1.2939681702102679</v>
      </c>
      <c r="J87" s="308">
        <f t="shared" ref="J87:K111" si="22">SUM(B87,F87)</f>
        <v>3894522</v>
      </c>
      <c r="K87" s="235">
        <f t="shared" si="22"/>
        <v>4311189</v>
      </c>
      <c r="L87" s="427">
        <f t="shared" si="21"/>
        <v>10.7</v>
      </c>
      <c r="M87" s="11">
        <f>IFERROR(100/'Skjema total MA'!I87*K87,0)</f>
        <v>0.60673982769512402</v>
      </c>
    </row>
    <row r="88" spans="1:13" x14ac:dyDescent="0.2">
      <c r="A88" s="21" t="s">
        <v>9</v>
      </c>
      <c r="B88" s="233"/>
      <c r="C88" s="145"/>
      <c r="D88" s="166"/>
      <c r="E88" s="27"/>
      <c r="F88" s="233"/>
      <c r="G88" s="145"/>
      <c r="H88" s="166"/>
      <c r="I88" s="27"/>
      <c r="J88" s="286"/>
      <c r="K88" s="44"/>
      <c r="L88" s="253"/>
      <c r="M88" s="27"/>
    </row>
    <row r="89" spans="1:13" x14ac:dyDescent="0.2">
      <c r="A89" s="21" t="s">
        <v>10</v>
      </c>
      <c r="B89" s="233">
        <v>206975</v>
      </c>
      <c r="C89" s="145">
        <v>201716</v>
      </c>
      <c r="D89" s="166">
        <f t="shared" si="18"/>
        <v>-2.5</v>
      </c>
      <c r="E89" s="27">
        <f>IFERROR(100/'Skjema total MA'!C89*C89,0)</f>
        <v>6.3552095805389559</v>
      </c>
      <c r="F89" s="233">
        <v>3687547</v>
      </c>
      <c r="G89" s="145">
        <v>4109473</v>
      </c>
      <c r="H89" s="166">
        <f t="shared" si="19"/>
        <v>11.4</v>
      </c>
      <c r="I89" s="27">
        <f>IFERROR(100/'Skjema total MA'!F89*G89,0)</f>
        <v>1.3029779204684901</v>
      </c>
      <c r="J89" s="286">
        <f t="shared" si="22"/>
        <v>3894522</v>
      </c>
      <c r="K89" s="44">
        <f t="shared" si="22"/>
        <v>4311189</v>
      </c>
      <c r="L89" s="253">
        <f t="shared" si="21"/>
        <v>10.7</v>
      </c>
      <c r="M89" s="27">
        <f>IFERROR(100/'Skjema total MA'!I89*K89,0)</f>
        <v>1.3533159082425308</v>
      </c>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row>
    <row r="98" spans="1:13" ht="15.75" x14ac:dyDescent="0.2">
      <c r="A98" s="21" t="s">
        <v>384</v>
      </c>
      <c r="B98" s="233">
        <v>206975</v>
      </c>
      <c r="C98" s="233">
        <v>201716</v>
      </c>
      <c r="D98" s="166">
        <f t="shared" si="18"/>
        <v>-2.5</v>
      </c>
      <c r="E98" s="27">
        <f>IFERROR(100/'Skjema total MA'!C98*C98,0)</f>
        <v>5.3014037977474456E-2</v>
      </c>
      <c r="F98" s="291">
        <v>3687547</v>
      </c>
      <c r="G98" s="291">
        <v>4109473</v>
      </c>
      <c r="H98" s="166">
        <f t="shared" si="19"/>
        <v>11.4</v>
      </c>
      <c r="I98" s="27">
        <f>IFERROR(100/'Skjema total MA'!F98*G98,0)</f>
        <v>1.3066232334203405</v>
      </c>
      <c r="J98" s="286">
        <f t="shared" si="22"/>
        <v>3894522</v>
      </c>
      <c r="K98" s="44">
        <f t="shared" si="22"/>
        <v>4311189</v>
      </c>
      <c r="L98" s="253">
        <f t="shared" si="21"/>
        <v>10.7</v>
      </c>
      <c r="M98" s="27">
        <f>IFERROR(100/'Skjema total MA'!I98*K98,0)</f>
        <v>0.62030926567131217</v>
      </c>
    </row>
    <row r="99" spans="1:13" x14ac:dyDescent="0.2">
      <c r="A99" s="21" t="s">
        <v>9</v>
      </c>
      <c r="B99" s="291"/>
      <c r="C99" s="292"/>
      <c r="D99" s="166"/>
      <c r="E99" s="27"/>
      <c r="F99" s="233"/>
      <c r="G99" s="145"/>
      <c r="H99" s="166"/>
      <c r="I99" s="27"/>
      <c r="J99" s="286"/>
      <c r="K99" s="44"/>
      <c r="L99" s="253"/>
      <c r="M99" s="27"/>
    </row>
    <row r="100" spans="1:13" x14ac:dyDescent="0.2">
      <c r="A100" s="21" t="s">
        <v>10</v>
      </c>
      <c r="B100" s="291">
        <v>206975</v>
      </c>
      <c r="C100" s="292">
        <v>201716</v>
      </c>
      <c r="D100" s="166">
        <f t="shared" si="18"/>
        <v>-2.5</v>
      </c>
      <c r="E100" s="27">
        <f>IFERROR(100/'Skjema total MA'!C100*C100,0)</f>
        <v>6.3552095805389559</v>
      </c>
      <c r="F100" s="233">
        <v>3687547</v>
      </c>
      <c r="G100" s="233">
        <v>4109473</v>
      </c>
      <c r="H100" s="166">
        <f t="shared" si="19"/>
        <v>11.4</v>
      </c>
      <c r="I100" s="27">
        <f>IFERROR(100/'Skjema total MA'!F100*G100,0)</f>
        <v>1.3066232334203405</v>
      </c>
      <c r="J100" s="286">
        <f t="shared" si="22"/>
        <v>3894522</v>
      </c>
      <c r="K100" s="44">
        <f t="shared" si="22"/>
        <v>4311189</v>
      </c>
      <c r="L100" s="253">
        <f t="shared" si="21"/>
        <v>10.7</v>
      </c>
      <c r="M100" s="27">
        <f>IFERROR(100/'Skjema total MA'!I100*K100,0)</f>
        <v>1.3570642229149164</v>
      </c>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c r="G107" s="145"/>
      <c r="H107" s="166"/>
      <c r="I107" s="27"/>
      <c r="J107" s="286"/>
      <c r="K107" s="44"/>
      <c r="L107" s="253"/>
      <c r="M107" s="27"/>
    </row>
    <row r="108" spans="1:13" ht="15.75" x14ac:dyDescent="0.2">
      <c r="A108" s="21" t="s">
        <v>386</v>
      </c>
      <c r="B108" s="233"/>
      <c r="C108" s="233"/>
      <c r="D108" s="166"/>
      <c r="E108" s="27"/>
      <c r="F108" s="233"/>
      <c r="G108" s="233"/>
      <c r="H108" s="166"/>
      <c r="I108" s="27"/>
      <c r="J108" s="286"/>
      <c r="K108" s="44"/>
      <c r="L108" s="253"/>
      <c r="M108" s="27"/>
    </row>
    <row r="109" spans="1:13" ht="15.75" x14ac:dyDescent="0.2">
      <c r="A109" s="21" t="s">
        <v>387</v>
      </c>
      <c r="B109" s="233"/>
      <c r="C109" s="233"/>
      <c r="D109" s="166"/>
      <c r="E109" s="27"/>
      <c r="F109" s="233">
        <v>1252212</v>
      </c>
      <c r="G109" s="233">
        <v>1429871</v>
      </c>
      <c r="H109" s="166">
        <f t="shared" si="19"/>
        <v>14.2</v>
      </c>
      <c r="I109" s="27">
        <f>IFERROR(100/'Skjema total MA'!F109*G109,0)</f>
        <v>1.3020853306260571</v>
      </c>
      <c r="J109" s="286">
        <f t="shared" si="22"/>
        <v>1252212</v>
      </c>
      <c r="K109" s="44">
        <f t="shared" si="22"/>
        <v>1429871</v>
      </c>
      <c r="L109" s="253">
        <f t="shared" si="21"/>
        <v>14.2</v>
      </c>
      <c r="M109" s="27">
        <f>IFERROR(100/'Skjema total MA'!I109*K109,0)</f>
        <v>1.289604295318846</v>
      </c>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v>649</v>
      </c>
      <c r="C111" s="159">
        <v>531</v>
      </c>
      <c r="D111" s="171">
        <f t="shared" si="18"/>
        <v>-18.2</v>
      </c>
      <c r="E111" s="11">
        <f>IFERROR(100/'Skjema total MA'!C111*C111,0)</f>
        <v>9.9632024108789227E-2</v>
      </c>
      <c r="F111" s="307">
        <v>97104</v>
      </c>
      <c r="G111" s="159">
        <v>67514</v>
      </c>
      <c r="H111" s="171">
        <f t="shared" si="19"/>
        <v>-30.5</v>
      </c>
      <c r="I111" s="11">
        <f>IFERROR(100/'Skjema total MA'!F111*G111,0)</f>
        <v>0.57133449941536674</v>
      </c>
      <c r="J111" s="308">
        <f t="shared" si="22"/>
        <v>97753</v>
      </c>
      <c r="K111" s="235">
        <f t="shared" si="22"/>
        <v>68045</v>
      </c>
      <c r="L111" s="427">
        <f t="shared" si="21"/>
        <v>-30.4</v>
      </c>
      <c r="M111" s="11">
        <f>IFERROR(100/'Skjema total MA'!I111*K111,0)</f>
        <v>0.55097806031662921</v>
      </c>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v>649</v>
      </c>
      <c r="C113" s="145">
        <v>531</v>
      </c>
      <c r="D113" s="166">
        <f t="shared" ref="D113:D121" si="23">IF(B113=0, "    ---- ", IF(ABS(ROUND(100/B113*C113-100,1))&lt;999,ROUND(100/B113*C113-100,1),IF(ROUND(100/B113*C113-100,1)&gt;999,999,-999)))</f>
        <v>-18.2</v>
      </c>
      <c r="E113" s="27">
        <f>IFERROR(100/'Skjema total MA'!C113*C113,0)</f>
        <v>12.477655157309664</v>
      </c>
      <c r="F113" s="233">
        <v>97104</v>
      </c>
      <c r="G113" s="145">
        <v>67514</v>
      </c>
      <c r="H113" s="166">
        <f t="shared" ref="H113:H121" si="24">IF(F113=0, "    ---- ", IF(ABS(ROUND(100/F113*G113-100,1))&lt;999,ROUND(100/F113*G113-100,1),IF(ROUND(100/F113*G113-100,1)&gt;999,999,-999)))</f>
        <v>-30.5</v>
      </c>
      <c r="I113" s="27">
        <f>IFERROR(100/'Skjema total MA'!F113*G113,0)</f>
        <v>0.57480636331475521</v>
      </c>
      <c r="J113" s="286">
        <f t="shared" ref="J113:K121" si="25">SUM(B113,F113)</f>
        <v>97753</v>
      </c>
      <c r="K113" s="44">
        <f t="shared" si="25"/>
        <v>68045</v>
      </c>
      <c r="L113" s="253">
        <f t="shared" ref="L113:L121" si="26">IF(J113=0, "    ---- ", IF(ABS(ROUND(100/J113*K113-100,1))&lt;999,ROUND(100/J113*K113-100,1),IF(ROUND(100/J113*K113-100,1)&gt;999,999,-999)))</f>
        <v>-30.4</v>
      </c>
      <c r="M113" s="27">
        <f>IFERROR(100/'Skjema total MA'!I113*K113,0)</f>
        <v>0.57911741135752792</v>
      </c>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c r="C116" s="233"/>
      <c r="D116" s="166"/>
      <c r="E116" s="27"/>
      <c r="F116" s="233"/>
      <c r="G116" s="233"/>
      <c r="H116" s="166"/>
      <c r="I116" s="27"/>
      <c r="J116" s="286"/>
      <c r="K116" s="44"/>
      <c r="L116" s="253"/>
      <c r="M116" s="27"/>
    </row>
    <row r="117" spans="1:14" ht="15.75" x14ac:dyDescent="0.2">
      <c r="A117" s="21" t="s">
        <v>390</v>
      </c>
      <c r="B117" s="233"/>
      <c r="C117" s="233"/>
      <c r="D117" s="166"/>
      <c r="E117" s="27"/>
      <c r="F117" s="233"/>
      <c r="G117" s="233"/>
      <c r="H117" s="166"/>
      <c r="I117" s="27"/>
      <c r="J117" s="286"/>
      <c r="K117" s="44"/>
      <c r="L117" s="253"/>
      <c r="M117" s="27"/>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v>678</v>
      </c>
      <c r="C119" s="159">
        <v>1626</v>
      </c>
      <c r="D119" s="171">
        <f t="shared" si="23"/>
        <v>139.80000000000001</v>
      </c>
      <c r="E119" s="11">
        <f>IFERROR(100/'Skjema total MA'!C119*C119,0)</f>
        <v>0.27329315219428629</v>
      </c>
      <c r="F119" s="307">
        <v>51380</v>
      </c>
      <c r="G119" s="159">
        <v>87418</v>
      </c>
      <c r="H119" s="171">
        <f t="shared" si="24"/>
        <v>70.099999999999994</v>
      </c>
      <c r="I119" s="11">
        <f>IFERROR(100/'Skjema total MA'!F119*G119,0)</f>
        <v>0.75587953883240444</v>
      </c>
      <c r="J119" s="308">
        <f t="shared" si="25"/>
        <v>52058</v>
      </c>
      <c r="K119" s="235">
        <f t="shared" si="25"/>
        <v>89044</v>
      </c>
      <c r="L119" s="427">
        <f t="shared" si="26"/>
        <v>71</v>
      </c>
      <c r="M119" s="11">
        <f>IFERROR(100/'Skjema total MA'!I119*K119,0)</f>
        <v>0.73226758070731268</v>
      </c>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v>678</v>
      </c>
      <c r="C121" s="145">
        <v>1626</v>
      </c>
      <c r="D121" s="166">
        <f t="shared" si="23"/>
        <v>139.80000000000001</v>
      </c>
      <c r="E121" s="27">
        <f>IFERROR(100/'Skjema total MA'!C121*C121,0)</f>
        <v>34.766655265014066</v>
      </c>
      <c r="F121" s="233">
        <v>51380</v>
      </c>
      <c r="G121" s="145">
        <v>87418</v>
      </c>
      <c r="H121" s="166">
        <f t="shared" si="24"/>
        <v>70.099999999999994</v>
      </c>
      <c r="I121" s="27">
        <f>IFERROR(100/'Skjema total MA'!F121*G121,0)</f>
        <v>0.75587953883240444</v>
      </c>
      <c r="J121" s="286">
        <f t="shared" si="25"/>
        <v>52058</v>
      </c>
      <c r="K121" s="44">
        <f t="shared" si="25"/>
        <v>89044</v>
      </c>
      <c r="L121" s="253">
        <f t="shared" si="26"/>
        <v>71</v>
      </c>
      <c r="M121" s="27">
        <f>IFERROR(100/'Skjema total MA'!I121*K121,0)</f>
        <v>0.76962787992303372</v>
      </c>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c r="G125" s="233"/>
      <c r="H125" s="166"/>
      <c r="I125" s="27"/>
      <c r="J125" s="286"/>
      <c r="K125" s="44"/>
      <c r="L125" s="253"/>
      <c r="M125" s="27"/>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408" priority="132">
      <formula>kvartal &lt; 4</formula>
    </cfRule>
  </conditionalFormatting>
  <conditionalFormatting sqref="B69">
    <cfRule type="expression" dxfId="1407" priority="100">
      <formula>kvartal &lt; 4</formula>
    </cfRule>
  </conditionalFormatting>
  <conditionalFormatting sqref="C69">
    <cfRule type="expression" dxfId="1406" priority="99">
      <formula>kvartal &lt; 4</formula>
    </cfRule>
  </conditionalFormatting>
  <conditionalFormatting sqref="B72">
    <cfRule type="expression" dxfId="1405" priority="98">
      <formula>kvartal &lt; 4</formula>
    </cfRule>
  </conditionalFormatting>
  <conditionalFormatting sqref="C72">
    <cfRule type="expression" dxfId="1404" priority="97">
      <formula>kvartal &lt; 4</formula>
    </cfRule>
  </conditionalFormatting>
  <conditionalFormatting sqref="B80">
    <cfRule type="expression" dxfId="1403" priority="96">
      <formula>kvartal &lt; 4</formula>
    </cfRule>
  </conditionalFormatting>
  <conditionalFormatting sqref="C80">
    <cfRule type="expression" dxfId="1402" priority="95">
      <formula>kvartal &lt; 4</formula>
    </cfRule>
  </conditionalFormatting>
  <conditionalFormatting sqref="B83">
    <cfRule type="expression" dxfId="1401" priority="94">
      <formula>kvartal &lt; 4</formula>
    </cfRule>
  </conditionalFormatting>
  <conditionalFormatting sqref="C83">
    <cfRule type="expression" dxfId="1400" priority="93">
      <formula>kvartal &lt; 4</formula>
    </cfRule>
  </conditionalFormatting>
  <conditionalFormatting sqref="B90">
    <cfRule type="expression" dxfId="1399" priority="84">
      <formula>kvartal &lt; 4</formula>
    </cfRule>
  </conditionalFormatting>
  <conditionalFormatting sqref="C90">
    <cfRule type="expression" dxfId="1398" priority="83">
      <formula>kvartal &lt; 4</formula>
    </cfRule>
  </conditionalFormatting>
  <conditionalFormatting sqref="B93">
    <cfRule type="expression" dxfId="1397" priority="82">
      <formula>kvartal &lt; 4</formula>
    </cfRule>
  </conditionalFormatting>
  <conditionalFormatting sqref="C93">
    <cfRule type="expression" dxfId="1396" priority="81">
      <formula>kvartal &lt; 4</formula>
    </cfRule>
  </conditionalFormatting>
  <conditionalFormatting sqref="B101">
    <cfRule type="expression" dxfId="1395" priority="80">
      <formula>kvartal &lt; 4</formula>
    </cfRule>
  </conditionalFormatting>
  <conditionalFormatting sqref="C101">
    <cfRule type="expression" dxfId="1394" priority="79">
      <formula>kvartal &lt; 4</formula>
    </cfRule>
  </conditionalFormatting>
  <conditionalFormatting sqref="B104">
    <cfRule type="expression" dxfId="1393" priority="78">
      <formula>kvartal &lt; 4</formula>
    </cfRule>
  </conditionalFormatting>
  <conditionalFormatting sqref="C104">
    <cfRule type="expression" dxfId="1392" priority="77">
      <formula>kvartal &lt; 4</formula>
    </cfRule>
  </conditionalFormatting>
  <conditionalFormatting sqref="B115">
    <cfRule type="expression" dxfId="1391" priority="76">
      <formula>kvartal &lt; 4</formula>
    </cfRule>
  </conditionalFormatting>
  <conditionalFormatting sqref="C115">
    <cfRule type="expression" dxfId="1390" priority="75">
      <formula>kvartal &lt; 4</formula>
    </cfRule>
  </conditionalFormatting>
  <conditionalFormatting sqref="B123">
    <cfRule type="expression" dxfId="1389" priority="74">
      <formula>kvartal &lt; 4</formula>
    </cfRule>
  </conditionalFormatting>
  <conditionalFormatting sqref="C123">
    <cfRule type="expression" dxfId="1388" priority="73">
      <formula>kvartal &lt; 4</formula>
    </cfRule>
  </conditionalFormatting>
  <conditionalFormatting sqref="F70">
    <cfRule type="expression" dxfId="1387" priority="72">
      <formula>kvartal &lt; 4</formula>
    </cfRule>
  </conditionalFormatting>
  <conditionalFormatting sqref="G70">
    <cfRule type="expression" dxfId="1386" priority="71">
      <formula>kvartal &lt; 4</formula>
    </cfRule>
  </conditionalFormatting>
  <conditionalFormatting sqref="F71:G71">
    <cfRule type="expression" dxfId="1385" priority="70">
      <formula>kvartal &lt; 4</formula>
    </cfRule>
  </conditionalFormatting>
  <conditionalFormatting sqref="F73:G74">
    <cfRule type="expression" dxfId="1384" priority="69">
      <formula>kvartal &lt; 4</formula>
    </cfRule>
  </conditionalFormatting>
  <conditionalFormatting sqref="F81:G82">
    <cfRule type="expression" dxfId="1383" priority="68">
      <formula>kvartal &lt; 4</formula>
    </cfRule>
  </conditionalFormatting>
  <conditionalFormatting sqref="F84:G85">
    <cfRule type="expression" dxfId="1382" priority="67">
      <formula>kvartal &lt; 4</formula>
    </cfRule>
  </conditionalFormatting>
  <conditionalFormatting sqref="F91:G92">
    <cfRule type="expression" dxfId="1381" priority="62">
      <formula>kvartal &lt; 4</formula>
    </cfRule>
  </conditionalFormatting>
  <conditionalFormatting sqref="F94:G95">
    <cfRule type="expression" dxfId="1380" priority="61">
      <formula>kvartal &lt; 4</formula>
    </cfRule>
  </conditionalFormatting>
  <conditionalFormatting sqref="F102:G103">
    <cfRule type="expression" dxfId="1379" priority="60">
      <formula>kvartal &lt; 4</formula>
    </cfRule>
  </conditionalFormatting>
  <conditionalFormatting sqref="F105:G106">
    <cfRule type="expression" dxfId="1378" priority="59">
      <formula>kvartal &lt; 4</formula>
    </cfRule>
  </conditionalFormatting>
  <conditionalFormatting sqref="F115">
    <cfRule type="expression" dxfId="1377" priority="58">
      <formula>kvartal &lt; 4</formula>
    </cfRule>
  </conditionalFormatting>
  <conditionalFormatting sqref="G115">
    <cfRule type="expression" dxfId="1376" priority="57">
      <formula>kvartal &lt; 4</formula>
    </cfRule>
  </conditionalFormatting>
  <conditionalFormatting sqref="F123:G123">
    <cfRule type="expression" dxfId="1375" priority="56">
      <formula>kvartal &lt; 4</formula>
    </cfRule>
  </conditionalFormatting>
  <conditionalFormatting sqref="F69:G69">
    <cfRule type="expression" dxfId="1374" priority="55">
      <formula>kvartal &lt; 4</formula>
    </cfRule>
  </conditionalFormatting>
  <conditionalFormatting sqref="F72:G72">
    <cfRule type="expression" dxfId="1373" priority="54">
      <formula>kvartal &lt; 4</formula>
    </cfRule>
  </conditionalFormatting>
  <conditionalFormatting sqref="F80:G80">
    <cfRule type="expression" dxfId="1372" priority="53">
      <formula>kvartal &lt; 4</formula>
    </cfRule>
  </conditionalFormatting>
  <conditionalFormatting sqref="F83:G83">
    <cfRule type="expression" dxfId="1371" priority="52">
      <formula>kvartal &lt; 4</formula>
    </cfRule>
  </conditionalFormatting>
  <conditionalFormatting sqref="F90:G90">
    <cfRule type="expression" dxfId="1370" priority="46">
      <formula>kvartal &lt; 4</formula>
    </cfRule>
  </conditionalFormatting>
  <conditionalFormatting sqref="F93">
    <cfRule type="expression" dxfId="1369" priority="45">
      <formula>kvartal &lt; 4</formula>
    </cfRule>
  </conditionalFormatting>
  <conditionalFormatting sqref="G93">
    <cfRule type="expression" dxfId="1368" priority="44">
      <formula>kvartal &lt; 4</formula>
    </cfRule>
  </conditionalFormatting>
  <conditionalFormatting sqref="F101">
    <cfRule type="expression" dxfId="1367" priority="43">
      <formula>kvartal &lt; 4</formula>
    </cfRule>
  </conditionalFormatting>
  <conditionalFormatting sqref="G101">
    <cfRule type="expression" dxfId="1366" priority="42">
      <formula>kvartal &lt; 4</formula>
    </cfRule>
  </conditionalFormatting>
  <conditionalFormatting sqref="G104">
    <cfRule type="expression" dxfId="1365" priority="41">
      <formula>kvartal &lt; 4</formula>
    </cfRule>
  </conditionalFormatting>
  <conditionalFormatting sqref="F104">
    <cfRule type="expression" dxfId="1364" priority="40">
      <formula>kvartal &lt; 4</formula>
    </cfRule>
  </conditionalFormatting>
  <conditionalFormatting sqref="J69:K73">
    <cfRule type="expression" dxfId="1363" priority="39">
      <formula>kvartal &lt; 4</formula>
    </cfRule>
  </conditionalFormatting>
  <conditionalFormatting sqref="J74:K74">
    <cfRule type="expression" dxfId="1362" priority="38">
      <formula>kvartal &lt; 4</formula>
    </cfRule>
  </conditionalFormatting>
  <conditionalFormatting sqref="J80:K85">
    <cfRule type="expression" dxfId="1361" priority="37">
      <formula>kvartal &lt; 4</formula>
    </cfRule>
  </conditionalFormatting>
  <conditionalFormatting sqref="J90:K95">
    <cfRule type="expression" dxfId="1360" priority="34">
      <formula>kvartal &lt; 4</formula>
    </cfRule>
  </conditionalFormatting>
  <conditionalFormatting sqref="J101:K106">
    <cfRule type="expression" dxfId="1359" priority="33">
      <formula>kvartal &lt; 4</formula>
    </cfRule>
  </conditionalFormatting>
  <conditionalFormatting sqref="J115:K115">
    <cfRule type="expression" dxfId="1358" priority="32">
      <formula>kvartal &lt; 4</formula>
    </cfRule>
  </conditionalFormatting>
  <conditionalFormatting sqref="J123:K123">
    <cfRule type="expression" dxfId="1357" priority="31">
      <formula>kvartal &lt; 4</formula>
    </cfRule>
  </conditionalFormatting>
  <conditionalFormatting sqref="A50:A52">
    <cfRule type="expression" dxfId="1356" priority="12">
      <formula>kvartal &lt; 4</formula>
    </cfRule>
  </conditionalFormatting>
  <conditionalFormatting sqref="A69:A74">
    <cfRule type="expression" dxfId="1355" priority="10">
      <formula>kvartal &lt; 4</formula>
    </cfRule>
  </conditionalFormatting>
  <conditionalFormatting sqref="A80:A85">
    <cfRule type="expression" dxfId="1354" priority="9">
      <formula>kvartal &lt; 4</formula>
    </cfRule>
  </conditionalFormatting>
  <conditionalFormatting sqref="A90:A95">
    <cfRule type="expression" dxfId="1353" priority="6">
      <formula>kvartal &lt; 4</formula>
    </cfRule>
  </conditionalFormatting>
  <conditionalFormatting sqref="A101:A106">
    <cfRule type="expression" dxfId="1352" priority="5">
      <formula>kvartal &lt; 4</formula>
    </cfRule>
  </conditionalFormatting>
  <conditionalFormatting sqref="A115">
    <cfRule type="expression" dxfId="1351" priority="4">
      <formula>kvartal &lt; 4</formula>
    </cfRule>
  </conditionalFormatting>
  <conditionalFormatting sqref="A123">
    <cfRule type="expression" dxfId="1350" priority="3">
      <formula>kvartal &lt; 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127</v>
      </c>
      <c r="D1" s="26"/>
      <c r="E1" s="26"/>
      <c r="F1" s="26"/>
      <c r="G1" s="26"/>
      <c r="H1" s="26"/>
      <c r="I1" s="26"/>
      <c r="J1" s="26"/>
      <c r="K1" s="26"/>
      <c r="L1" s="26"/>
      <c r="M1" s="26"/>
    </row>
    <row r="2" spans="1:14" ht="15.75" x14ac:dyDescent="0.25">
      <c r="A2" s="165" t="s">
        <v>28</v>
      </c>
      <c r="B2" s="736"/>
      <c r="C2" s="736"/>
      <c r="D2" s="736"/>
      <c r="E2" s="298"/>
      <c r="F2" s="736"/>
      <c r="G2" s="736"/>
      <c r="H2" s="736"/>
      <c r="I2" s="298"/>
      <c r="J2" s="736"/>
      <c r="K2" s="736"/>
      <c r="L2" s="736"/>
      <c r="M2" s="298"/>
    </row>
    <row r="3" spans="1:14" ht="15.75" x14ac:dyDescent="0.25">
      <c r="A3" s="163"/>
      <c r="B3" s="298"/>
      <c r="C3" s="298"/>
      <c r="D3" s="298"/>
      <c r="E3" s="298"/>
      <c r="F3" s="298"/>
      <c r="G3" s="298"/>
      <c r="H3" s="298"/>
      <c r="I3" s="298"/>
      <c r="J3" s="298"/>
      <c r="K3" s="298"/>
      <c r="L3" s="298"/>
      <c r="M3" s="298"/>
    </row>
    <row r="4" spans="1:14" x14ac:dyDescent="0.2">
      <c r="A4" s="144"/>
      <c r="B4" s="737" t="s">
        <v>0</v>
      </c>
      <c r="C4" s="738"/>
      <c r="D4" s="738"/>
      <c r="E4" s="300"/>
      <c r="F4" s="737" t="s">
        <v>1</v>
      </c>
      <c r="G4" s="738"/>
      <c r="H4" s="738"/>
      <c r="I4" s="303"/>
      <c r="J4" s="737" t="s">
        <v>2</v>
      </c>
      <c r="K4" s="738"/>
      <c r="L4" s="738"/>
      <c r="M4" s="303"/>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c r="C7" s="306"/>
      <c r="D7" s="349"/>
      <c r="E7" s="11"/>
      <c r="F7" s="305"/>
      <c r="G7" s="306"/>
      <c r="H7" s="349"/>
      <c r="I7" s="160"/>
      <c r="J7" s="307"/>
      <c r="K7" s="308"/>
      <c r="L7" s="426"/>
      <c r="M7" s="11"/>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c r="D9" s="166"/>
      <c r="E9" s="27"/>
      <c r="F9" s="284"/>
      <c r="G9" s="285"/>
      <c r="H9" s="166"/>
      <c r="I9" s="175"/>
      <c r="J9" s="233"/>
      <c r="K9" s="286"/>
      <c r="L9" s="253"/>
      <c r="M9" s="27"/>
    </row>
    <row r="10" spans="1:14" ht="15.75" x14ac:dyDescent="0.2">
      <c r="A10" s="13" t="s">
        <v>367</v>
      </c>
      <c r="B10" s="309"/>
      <c r="C10" s="310"/>
      <c r="D10" s="171"/>
      <c r="E10" s="11"/>
      <c r="F10" s="309"/>
      <c r="G10" s="310"/>
      <c r="H10" s="171"/>
      <c r="I10" s="160"/>
      <c r="J10" s="307"/>
      <c r="K10" s="308"/>
      <c r="L10" s="427"/>
      <c r="M10" s="11"/>
    </row>
    <row r="11" spans="1:14" s="43" customFormat="1" ht="15.75" x14ac:dyDescent="0.2">
      <c r="A11" s="13" t="s">
        <v>368</v>
      </c>
      <c r="B11" s="309"/>
      <c r="C11" s="310"/>
      <c r="D11" s="171"/>
      <c r="E11" s="11"/>
      <c r="F11" s="309"/>
      <c r="G11" s="310"/>
      <c r="H11" s="171"/>
      <c r="I11" s="160"/>
      <c r="J11" s="307"/>
      <c r="K11" s="308"/>
      <c r="L11" s="427"/>
      <c r="M11" s="11"/>
      <c r="N11" s="143"/>
    </row>
    <row r="12" spans="1:14" s="43" customFormat="1" ht="15.75" x14ac:dyDescent="0.2">
      <c r="A12" s="41" t="s">
        <v>369</v>
      </c>
      <c r="B12" s="311"/>
      <c r="C12" s="312"/>
      <c r="D12" s="169"/>
      <c r="E12" s="36"/>
      <c r="F12" s="311"/>
      <c r="G12" s="312"/>
      <c r="H12" s="169"/>
      <c r="I12" s="169"/>
      <c r="J12" s="313"/>
      <c r="K12" s="314"/>
      <c r="L12" s="428"/>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426"/>
      <c r="M22" s="24"/>
    </row>
    <row r="23" spans="1:14" ht="15.75" x14ac:dyDescent="0.2">
      <c r="A23" s="587" t="s">
        <v>370</v>
      </c>
      <c r="B23" s="280"/>
      <c r="C23" s="280"/>
      <c r="D23" s="166"/>
      <c r="E23" s="11"/>
      <c r="F23" s="289"/>
      <c r="G23" s="289"/>
      <c r="H23" s="166"/>
      <c r="I23" s="416"/>
      <c r="J23" s="289"/>
      <c r="K23" s="289"/>
      <c r="L23" s="166"/>
      <c r="M23" s="23"/>
    </row>
    <row r="24" spans="1:14" ht="15.75" x14ac:dyDescent="0.2">
      <c r="A24" s="587" t="s">
        <v>371</v>
      </c>
      <c r="B24" s="280"/>
      <c r="C24" s="280"/>
      <c r="D24" s="166"/>
      <c r="E24" s="11"/>
      <c r="F24" s="289"/>
      <c r="G24" s="289"/>
      <c r="H24" s="166"/>
      <c r="I24" s="416"/>
      <c r="J24" s="289"/>
      <c r="K24" s="289"/>
      <c r="L24" s="166"/>
      <c r="M24" s="23"/>
    </row>
    <row r="25" spans="1:14" ht="15.75" x14ac:dyDescent="0.2">
      <c r="A25" s="587" t="s">
        <v>372</v>
      </c>
      <c r="B25" s="280"/>
      <c r="C25" s="280"/>
      <c r="D25" s="166"/>
      <c r="E25" s="11"/>
      <c r="F25" s="289"/>
      <c r="G25" s="289"/>
      <c r="H25" s="166"/>
      <c r="I25" s="416"/>
      <c r="J25" s="289"/>
      <c r="K25" s="289"/>
      <c r="L25" s="166"/>
      <c r="M25" s="23"/>
    </row>
    <row r="26" spans="1:14" ht="15.75" x14ac:dyDescent="0.2">
      <c r="A26" s="587" t="s">
        <v>373</v>
      </c>
      <c r="B26" s="280"/>
      <c r="C26" s="280"/>
      <c r="D26" s="166"/>
      <c r="E26" s="11"/>
      <c r="F26" s="289"/>
      <c r="G26" s="289"/>
      <c r="H26" s="166"/>
      <c r="I26" s="416"/>
      <c r="J26" s="289"/>
      <c r="K26" s="289"/>
      <c r="L26" s="166"/>
      <c r="M26" s="23"/>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c r="C28" s="286"/>
      <c r="D28" s="166"/>
      <c r="E28" s="11"/>
      <c r="F28" s="233"/>
      <c r="G28" s="286"/>
      <c r="H28" s="166"/>
      <c r="I28" s="27"/>
      <c r="J28" s="44"/>
      <c r="K28" s="44"/>
      <c r="L28" s="253"/>
      <c r="M28" s="23"/>
    </row>
    <row r="29" spans="1:14" s="3" customFormat="1" ht="15.75" x14ac:dyDescent="0.2">
      <c r="A29" s="13" t="s">
        <v>367</v>
      </c>
      <c r="B29" s="235"/>
      <c r="C29" s="235"/>
      <c r="D29" s="171"/>
      <c r="E29" s="11"/>
      <c r="F29" s="307"/>
      <c r="G29" s="307"/>
      <c r="H29" s="171"/>
      <c r="I29" s="11"/>
      <c r="J29" s="235"/>
      <c r="K29" s="235"/>
      <c r="L29" s="427"/>
      <c r="M29" s="24"/>
      <c r="N29" s="148"/>
    </row>
    <row r="30" spans="1:14" s="3" customFormat="1" ht="15.75" x14ac:dyDescent="0.2">
      <c r="A30" s="587" t="s">
        <v>370</v>
      </c>
      <c r="B30" s="280"/>
      <c r="C30" s="280"/>
      <c r="D30" s="166"/>
      <c r="E30" s="11"/>
      <c r="F30" s="289"/>
      <c r="G30" s="289"/>
      <c r="H30" s="166"/>
      <c r="I30" s="416"/>
      <c r="J30" s="289"/>
      <c r="K30" s="289"/>
      <c r="L30" s="166"/>
      <c r="M30" s="23"/>
      <c r="N30" s="148"/>
    </row>
    <row r="31" spans="1:14" s="3" customFormat="1" ht="15.75" x14ac:dyDescent="0.2">
      <c r="A31" s="587" t="s">
        <v>371</v>
      </c>
      <c r="B31" s="280"/>
      <c r="C31" s="280"/>
      <c r="D31" s="166"/>
      <c r="E31" s="11"/>
      <c r="F31" s="289"/>
      <c r="G31" s="289"/>
      <c r="H31" s="166"/>
      <c r="I31" s="416"/>
      <c r="J31" s="289"/>
      <c r="K31" s="289"/>
      <c r="L31" s="166"/>
      <c r="M31" s="23"/>
      <c r="N31" s="148"/>
    </row>
    <row r="32" spans="1:14" ht="15.75" x14ac:dyDescent="0.2">
      <c r="A32" s="587" t="s">
        <v>372</v>
      </c>
      <c r="B32" s="280"/>
      <c r="C32" s="280"/>
      <c r="D32" s="166"/>
      <c r="E32" s="11"/>
      <c r="F32" s="289"/>
      <c r="G32" s="289"/>
      <c r="H32" s="166"/>
      <c r="I32" s="416"/>
      <c r="J32" s="289"/>
      <c r="K32" s="289"/>
      <c r="L32" s="166"/>
      <c r="M32" s="23"/>
    </row>
    <row r="33" spans="1:14" ht="15.75" x14ac:dyDescent="0.2">
      <c r="A33" s="587" t="s">
        <v>373</v>
      </c>
      <c r="B33" s="280"/>
      <c r="C33" s="280"/>
      <c r="D33" s="166"/>
      <c r="E33" s="11"/>
      <c r="F33" s="289"/>
      <c r="G33" s="289"/>
      <c r="H33" s="166"/>
      <c r="I33" s="416"/>
      <c r="J33" s="289"/>
      <c r="K33" s="289"/>
      <c r="L33" s="166"/>
      <c r="M33" s="23"/>
    </row>
    <row r="34" spans="1:14" ht="15.75" x14ac:dyDescent="0.2">
      <c r="A34" s="13" t="s">
        <v>368</v>
      </c>
      <c r="B34" s="235"/>
      <c r="C34" s="308"/>
      <c r="D34" s="171"/>
      <c r="E34" s="11"/>
      <c r="F34" s="307"/>
      <c r="G34" s="308"/>
      <c r="H34" s="171"/>
      <c r="I34" s="11"/>
      <c r="J34" s="235"/>
      <c r="K34" s="235"/>
      <c r="L34" s="427"/>
      <c r="M34" s="24"/>
    </row>
    <row r="35" spans="1:14" ht="15.75" x14ac:dyDescent="0.2">
      <c r="A35" s="13" t="s">
        <v>369</v>
      </c>
      <c r="B35" s="235"/>
      <c r="C35" s="308"/>
      <c r="D35" s="171"/>
      <c r="E35" s="11"/>
      <c r="F35" s="307"/>
      <c r="G35" s="308"/>
      <c r="H35" s="171"/>
      <c r="I35" s="11"/>
      <c r="J35" s="235"/>
      <c r="K35" s="235"/>
      <c r="L35" s="427"/>
      <c r="M35" s="24"/>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v>1977</v>
      </c>
      <c r="C47" s="310">
        <v>622.01300000000003</v>
      </c>
      <c r="D47" s="426">
        <f t="shared" ref="D47:D54" si="0">IF(B47=0, "    ---- ", IF(ABS(ROUND(100/B47*C47-100,1))&lt;999,ROUND(100/B47*C47-100,1),IF(ROUND(100/B47*C47-100,1)&gt;999,999,-999)))</f>
        <v>-68.5</v>
      </c>
      <c r="E47" s="11">
        <f>IFERROR(100/'Skjema total MA'!C47*C47,0)</f>
        <v>1.7030922072586753E-2</v>
      </c>
      <c r="F47" s="145"/>
      <c r="G47" s="33"/>
      <c r="H47" s="159"/>
      <c r="I47" s="159"/>
      <c r="J47" s="37"/>
      <c r="K47" s="37"/>
      <c r="L47" s="159"/>
      <c r="M47" s="159"/>
      <c r="N47" s="148"/>
    </row>
    <row r="48" spans="1:14" s="3" customFormat="1" ht="15.75" x14ac:dyDescent="0.2">
      <c r="A48" s="38" t="s">
        <v>378</v>
      </c>
      <c r="B48" s="280">
        <v>1977</v>
      </c>
      <c r="C48" s="281">
        <v>622.01300000000003</v>
      </c>
      <c r="D48" s="253">
        <f t="shared" si="0"/>
        <v>-68.5</v>
      </c>
      <c r="E48" s="27">
        <f>IFERROR(100/'Skjema total MA'!C48*C48,0)</f>
        <v>3.0072309349003946E-2</v>
      </c>
      <c r="F48" s="145"/>
      <c r="G48" s="33"/>
      <c r="H48" s="145"/>
      <c r="I48" s="145"/>
      <c r="J48" s="33"/>
      <c r="K48" s="33"/>
      <c r="L48" s="159"/>
      <c r="M48" s="159"/>
      <c r="N48" s="148"/>
    </row>
    <row r="49" spans="1:14" s="3" customFormat="1" ht="15.75" x14ac:dyDescent="0.2">
      <c r="A49" s="38" t="s">
        <v>379</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c r="C53" s="310">
        <v>177.88800000000001</v>
      </c>
      <c r="D53" s="427" t="str">
        <f t="shared" si="0"/>
        <v xml:space="preserve">    ---- </v>
      </c>
      <c r="E53" s="11">
        <f>IFERROR(100/'Skjema total MA'!C53*C53,0)</f>
        <v>0.13577177574146065</v>
      </c>
      <c r="F53" s="145"/>
      <c r="G53" s="33"/>
      <c r="H53" s="145"/>
      <c r="I53" s="145"/>
      <c r="J53" s="33"/>
      <c r="K53" s="33"/>
      <c r="L53" s="159"/>
      <c r="M53" s="159"/>
      <c r="N53" s="148"/>
    </row>
    <row r="54" spans="1:14" s="3" customFormat="1" ht="15.75" x14ac:dyDescent="0.2">
      <c r="A54" s="38" t="s">
        <v>378</v>
      </c>
      <c r="B54" s="280"/>
      <c r="C54" s="281">
        <v>177.88800000000001</v>
      </c>
      <c r="D54" s="253" t="str">
        <f t="shared" si="0"/>
        <v xml:space="preserve">    ---- </v>
      </c>
      <c r="E54" s="27">
        <f>IFERROR(100/'Skjema total MA'!C54*C54,0)</f>
        <v>0.13577177574146065</v>
      </c>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c r="C56" s="310"/>
      <c r="D56" s="427"/>
      <c r="E56" s="11"/>
      <c r="F56" s="145"/>
      <c r="G56" s="33"/>
      <c r="H56" s="145"/>
      <c r="I56" s="145"/>
      <c r="J56" s="33"/>
      <c r="K56" s="33"/>
      <c r="L56" s="159"/>
      <c r="M56" s="159"/>
      <c r="N56" s="148"/>
    </row>
    <row r="57" spans="1:14" s="3" customFormat="1" ht="15.75" x14ac:dyDescent="0.2">
      <c r="A57" s="38" t="s">
        <v>378</v>
      </c>
      <c r="B57" s="280"/>
      <c r="C57" s="281"/>
      <c r="D57" s="253"/>
      <c r="E57" s="27"/>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c r="C66" s="352"/>
      <c r="D66" s="349"/>
      <c r="E66" s="11"/>
      <c r="F66" s="351"/>
      <c r="G66" s="351"/>
      <c r="H66" s="349"/>
      <c r="I66" s="11"/>
      <c r="J66" s="308"/>
      <c r="K66" s="315"/>
      <c r="L66" s="427"/>
      <c r="M66" s="11"/>
    </row>
    <row r="67" spans="1:14" x14ac:dyDescent="0.2">
      <c r="A67" s="41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c r="G86" s="145"/>
      <c r="H86" s="166"/>
      <c r="I86" s="27"/>
      <c r="J86" s="286"/>
      <c r="K86" s="44"/>
      <c r="L86" s="253"/>
      <c r="M86" s="27"/>
    </row>
    <row r="87" spans="1:13" ht="15.75" x14ac:dyDescent="0.2">
      <c r="A87" s="13" t="s">
        <v>367</v>
      </c>
      <c r="B87" s="352"/>
      <c r="C87" s="352"/>
      <c r="D87" s="171"/>
      <c r="E87" s="11"/>
      <c r="F87" s="351"/>
      <c r="G87" s="351"/>
      <c r="H87" s="171"/>
      <c r="I87" s="11"/>
      <c r="J87" s="308"/>
      <c r="K87" s="235"/>
      <c r="L87" s="427"/>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row>
    <row r="98" spans="1:13" ht="15.75" x14ac:dyDescent="0.2">
      <c r="A98" s="21" t="s">
        <v>384</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c r="G107" s="145"/>
      <c r="H107" s="166"/>
      <c r="I107" s="27"/>
      <c r="J107" s="286"/>
      <c r="K107" s="44"/>
      <c r="L107" s="253"/>
      <c r="M107" s="27"/>
    </row>
    <row r="108" spans="1:13" ht="15.75" x14ac:dyDescent="0.2">
      <c r="A108" s="21" t="s">
        <v>386</v>
      </c>
      <c r="B108" s="233"/>
      <c r="C108" s="233"/>
      <c r="D108" s="166"/>
      <c r="E108" s="27"/>
      <c r="F108" s="233"/>
      <c r="G108" s="233"/>
      <c r="H108" s="166"/>
      <c r="I108" s="27"/>
      <c r="J108" s="286"/>
      <c r="K108" s="44"/>
      <c r="L108" s="253"/>
      <c r="M108" s="27"/>
    </row>
    <row r="109" spans="1:13" ht="15.75" x14ac:dyDescent="0.2">
      <c r="A109" s="21" t="s">
        <v>387</v>
      </c>
      <c r="B109" s="233"/>
      <c r="C109" s="233"/>
      <c r="D109" s="166"/>
      <c r="E109" s="27"/>
      <c r="F109" s="233"/>
      <c r="G109" s="233"/>
      <c r="H109" s="166"/>
      <c r="I109" s="27"/>
      <c r="J109" s="286"/>
      <c r="K109" s="44"/>
      <c r="L109" s="253"/>
      <c r="M109" s="27"/>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c r="C111" s="159"/>
      <c r="D111" s="171"/>
      <c r="E111" s="11"/>
      <c r="F111" s="307"/>
      <c r="G111" s="159"/>
      <c r="H111" s="171"/>
      <c r="I111" s="11"/>
      <c r="J111" s="308"/>
      <c r="K111" s="235"/>
      <c r="L111" s="427"/>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c r="C116" s="233"/>
      <c r="D116" s="166"/>
      <c r="E116" s="27"/>
      <c r="F116" s="233"/>
      <c r="G116" s="233"/>
      <c r="H116" s="166"/>
      <c r="I116" s="27"/>
      <c r="J116" s="286"/>
      <c r="K116" s="44"/>
      <c r="L116" s="253"/>
      <c r="M116" s="27"/>
    </row>
    <row r="117" spans="1:14" ht="15.75" x14ac:dyDescent="0.2">
      <c r="A117" s="21" t="s">
        <v>390</v>
      </c>
      <c r="B117" s="233"/>
      <c r="C117" s="233"/>
      <c r="D117" s="166"/>
      <c r="E117" s="27"/>
      <c r="F117" s="233"/>
      <c r="G117" s="233"/>
      <c r="H117" s="166"/>
      <c r="I117" s="27"/>
      <c r="J117" s="286"/>
      <c r="K117" s="44"/>
      <c r="L117" s="253"/>
      <c r="M117" s="27"/>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c r="C119" s="159"/>
      <c r="D119" s="171"/>
      <c r="E119" s="11"/>
      <c r="F119" s="307"/>
      <c r="G119" s="159"/>
      <c r="H119" s="171"/>
      <c r="I119" s="11"/>
      <c r="J119" s="308"/>
      <c r="K119" s="235"/>
      <c r="L119" s="427"/>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c r="G125" s="233"/>
      <c r="H125" s="166"/>
      <c r="I125" s="27"/>
      <c r="J125" s="286"/>
      <c r="K125" s="44"/>
      <c r="L125" s="253"/>
      <c r="M125" s="27"/>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349" priority="132">
      <formula>kvartal &lt; 4</formula>
    </cfRule>
  </conditionalFormatting>
  <conditionalFormatting sqref="B69">
    <cfRule type="expression" dxfId="1348" priority="100">
      <formula>kvartal &lt; 4</formula>
    </cfRule>
  </conditionalFormatting>
  <conditionalFormatting sqref="C69">
    <cfRule type="expression" dxfId="1347" priority="99">
      <formula>kvartal &lt; 4</formula>
    </cfRule>
  </conditionalFormatting>
  <conditionalFormatting sqref="B72">
    <cfRule type="expression" dxfId="1346" priority="98">
      <formula>kvartal &lt; 4</formula>
    </cfRule>
  </conditionalFormatting>
  <conditionalFormatting sqref="C72">
    <cfRule type="expression" dxfId="1345" priority="97">
      <formula>kvartal &lt; 4</formula>
    </cfRule>
  </conditionalFormatting>
  <conditionalFormatting sqref="B80">
    <cfRule type="expression" dxfId="1344" priority="96">
      <formula>kvartal &lt; 4</formula>
    </cfRule>
  </conditionalFormatting>
  <conditionalFormatting sqref="C80">
    <cfRule type="expression" dxfId="1343" priority="95">
      <formula>kvartal &lt; 4</formula>
    </cfRule>
  </conditionalFormatting>
  <conditionalFormatting sqref="B83">
    <cfRule type="expression" dxfId="1342" priority="94">
      <formula>kvartal &lt; 4</formula>
    </cfRule>
  </conditionalFormatting>
  <conditionalFormatting sqref="C83">
    <cfRule type="expression" dxfId="1341" priority="93">
      <formula>kvartal &lt; 4</formula>
    </cfRule>
  </conditionalFormatting>
  <conditionalFormatting sqref="B90">
    <cfRule type="expression" dxfId="1340" priority="84">
      <formula>kvartal &lt; 4</formula>
    </cfRule>
  </conditionalFormatting>
  <conditionalFormatting sqref="C90">
    <cfRule type="expression" dxfId="1339" priority="83">
      <formula>kvartal &lt; 4</formula>
    </cfRule>
  </conditionalFormatting>
  <conditionalFormatting sqref="B93">
    <cfRule type="expression" dxfId="1338" priority="82">
      <formula>kvartal &lt; 4</formula>
    </cfRule>
  </conditionalFormatting>
  <conditionalFormatting sqref="C93">
    <cfRule type="expression" dxfId="1337" priority="81">
      <formula>kvartal &lt; 4</formula>
    </cfRule>
  </conditionalFormatting>
  <conditionalFormatting sqref="B101">
    <cfRule type="expression" dxfId="1336" priority="80">
      <formula>kvartal &lt; 4</formula>
    </cfRule>
  </conditionalFormatting>
  <conditionalFormatting sqref="C101">
    <cfRule type="expression" dxfId="1335" priority="79">
      <formula>kvartal &lt; 4</formula>
    </cfRule>
  </conditionalFormatting>
  <conditionalFormatting sqref="B104">
    <cfRule type="expression" dxfId="1334" priority="78">
      <formula>kvartal &lt; 4</formula>
    </cfRule>
  </conditionalFormatting>
  <conditionalFormatting sqref="C104">
    <cfRule type="expression" dxfId="1333" priority="77">
      <formula>kvartal &lt; 4</formula>
    </cfRule>
  </conditionalFormatting>
  <conditionalFormatting sqref="B115">
    <cfRule type="expression" dxfId="1332" priority="76">
      <formula>kvartal &lt; 4</formula>
    </cfRule>
  </conditionalFormatting>
  <conditionalFormatting sqref="C115">
    <cfRule type="expression" dxfId="1331" priority="75">
      <formula>kvartal &lt; 4</formula>
    </cfRule>
  </conditionalFormatting>
  <conditionalFormatting sqref="B123">
    <cfRule type="expression" dxfId="1330" priority="74">
      <formula>kvartal &lt; 4</formula>
    </cfRule>
  </conditionalFormatting>
  <conditionalFormatting sqref="C123">
    <cfRule type="expression" dxfId="1329" priority="73">
      <formula>kvartal &lt; 4</formula>
    </cfRule>
  </conditionalFormatting>
  <conditionalFormatting sqref="F70">
    <cfRule type="expression" dxfId="1328" priority="72">
      <formula>kvartal &lt; 4</formula>
    </cfRule>
  </conditionalFormatting>
  <conditionalFormatting sqref="G70">
    <cfRule type="expression" dxfId="1327" priority="71">
      <formula>kvartal &lt; 4</formula>
    </cfRule>
  </conditionalFormatting>
  <conditionalFormatting sqref="F71:G71">
    <cfRule type="expression" dxfId="1326" priority="70">
      <formula>kvartal &lt; 4</formula>
    </cfRule>
  </conditionalFormatting>
  <conditionalFormatting sqref="F73:G74">
    <cfRule type="expression" dxfId="1325" priority="69">
      <formula>kvartal &lt; 4</formula>
    </cfRule>
  </conditionalFormatting>
  <conditionalFormatting sqref="F81:G82">
    <cfRule type="expression" dxfId="1324" priority="68">
      <formula>kvartal &lt; 4</formula>
    </cfRule>
  </conditionalFormatting>
  <conditionalFormatting sqref="F84:G85">
    <cfRule type="expression" dxfId="1323" priority="67">
      <formula>kvartal &lt; 4</formula>
    </cfRule>
  </conditionalFormatting>
  <conditionalFormatting sqref="F91:G92">
    <cfRule type="expression" dxfId="1322" priority="62">
      <formula>kvartal &lt; 4</formula>
    </cfRule>
  </conditionalFormatting>
  <conditionalFormatting sqref="F94:G95">
    <cfRule type="expression" dxfId="1321" priority="61">
      <formula>kvartal &lt; 4</formula>
    </cfRule>
  </conditionalFormatting>
  <conditionalFormatting sqref="F102:G103">
    <cfRule type="expression" dxfId="1320" priority="60">
      <formula>kvartal &lt; 4</formula>
    </cfRule>
  </conditionalFormatting>
  <conditionalFormatting sqref="F105:G106">
    <cfRule type="expression" dxfId="1319" priority="59">
      <formula>kvartal &lt; 4</formula>
    </cfRule>
  </conditionalFormatting>
  <conditionalFormatting sqref="F115">
    <cfRule type="expression" dxfId="1318" priority="58">
      <formula>kvartal &lt; 4</formula>
    </cfRule>
  </conditionalFormatting>
  <conditionalFormatting sqref="G115">
    <cfRule type="expression" dxfId="1317" priority="57">
      <formula>kvartal &lt; 4</formula>
    </cfRule>
  </conditionalFormatting>
  <conditionalFormatting sqref="F123:G123">
    <cfRule type="expression" dxfId="1316" priority="56">
      <formula>kvartal &lt; 4</formula>
    </cfRule>
  </conditionalFormatting>
  <conditionalFormatting sqref="F69:G69">
    <cfRule type="expression" dxfId="1315" priority="55">
      <formula>kvartal &lt; 4</formula>
    </cfRule>
  </conditionalFormatting>
  <conditionalFormatting sqref="F72:G72">
    <cfRule type="expression" dxfId="1314" priority="54">
      <formula>kvartal &lt; 4</formula>
    </cfRule>
  </conditionalFormatting>
  <conditionalFormatting sqref="F80:G80">
    <cfRule type="expression" dxfId="1313" priority="53">
      <formula>kvartal &lt; 4</formula>
    </cfRule>
  </conditionalFormatting>
  <conditionalFormatting sqref="F83:G83">
    <cfRule type="expression" dxfId="1312" priority="52">
      <formula>kvartal &lt; 4</formula>
    </cfRule>
  </conditionalFormatting>
  <conditionalFormatting sqref="F90:G90">
    <cfRule type="expression" dxfId="1311" priority="46">
      <formula>kvartal &lt; 4</formula>
    </cfRule>
  </conditionalFormatting>
  <conditionalFormatting sqref="F93">
    <cfRule type="expression" dxfId="1310" priority="45">
      <formula>kvartal &lt; 4</formula>
    </cfRule>
  </conditionalFormatting>
  <conditionalFormatting sqref="G93">
    <cfRule type="expression" dxfId="1309" priority="44">
      <formula>kvartal &lt; 4</formula>
    </cfRule>
  </conditionalFormatting>
  <conditionalFormatting sqref="F101">
    <cfRule type="expression" dxfId="1308" priority="43">
      <formula>kvartal &lt; 4</formula>
    </cfRule>
  </conditionalFormatting>
  <conditionalFormatting sqref="G101">
    <cfRule type="expression" dxfId="1307" priority="42">
      <formula>kvartal &lt; 4</formula>
    </cfRule>
  </conditionalFormatting>
  <conditionalFormatting sqref="G104">
    <cfRule type="expression" dxfId="1306" priority="41">
      <formula>kvartal &lt; 4</formula>
    </cfRule>
  </conditionalFormatting>
  <conditionalFormatting sqref="F104">
    <cfRule type="expression" dxfId="1305" priority="40">
      <formula>kvartal &lt; 4</formula>
    </cfRule>
  </conditionalFormatting>
  <conditionalFormatting sqref="J69:K73">
    <cfRule type="expression" dxfId="1304" priority="39">
      <formula>kvartal &lt; 4</formula>
    </cfRule>
  </conditionalFormatting>
  <conditionalFormatting sqref="J74:K74">
    <cfRule type="expression" dxfId="1303" priority="38">
      <formula>kvartal &lt; 4</formula>
    </cfRule>
  </conditionalFormatting>
  <conditionalFormatting sqref="J80:K85">
    <cfRule type="expression" dxfId="1302" priority="37">
      <formula>kvartal &lt; 4</formula>
    </cfRule>
  </conditionalFormatting>
  <conditionalFormatting sqref="J90:K95">
    <cfRule type="expression" dxfId="1301" priority="34">
      <formula>kvartal &lt; 4</formula>
    </cfRule>
  </conditionalFormatting>
  <conditionalFormatting sqref="J101:K106">
    <cfRule type="expression" dxfId="1300" priority="33">
      <formula>kvartal &lt; 4</formula>
    </cfRule>
  </conditionalFormatting>
  <conditionalFormatting sqref="J115:K115">
    <cfRule type="expression" dxfId="1299" priority="32">
      <formula>kvartal &lt; 4</formula>
    </cfRule>
  </conditionalFormatting>
  <conditionalFormatting sqref="J123:K123">
    <cfRule type="expression" dxfId="1298" priority="31">
      <formula>kvartal &lt; 4</formula>
    </cfRule>
  </conditionalFormatting>
  <conditionalFormatting sqref="A50:A52">
    <cfRule type="expression" dxfId="1297" priority="12">
      <formula>kvartal &lt; 4</formula>
    </cfRule>
  </conditionalFormatting>
  <conditionalFormatting sqref="A69:A74">
    <cfRule type="expression" dxfId="1296" priority="10">
      <formula>kvartal &lt; 4</formula>
    </cfRule>
  </conditionalFormatting>
  <conditionalFormatting sqref="A80:A85">
    <cfRule type="expression" dxfId="1295" priority="9">
      <formula>kvartal &lt; 4</formula>
    </cfRule>
  </conditionalFormatting>
  <conditionalFormatting sqref="A90:A95">
    <cfRule type="expression" dxfId="1294" priority="6">
      <formula>kvartal &lt; 4</formula>
    </cfRule>
  </conditionalFormatting>
  <conditionalFormatting sqref="A101:A106">
    <cfRule type="expression" dxfId="1293" priority="5">
      <formula>kvartal &lt; 4</formula>
    </cfRule>
  </conditionalFormatting>
  <conditionalFormatting sqref="A115">
    <cfRule type="expression" dxfId="1292" priority="4">
      <formula>kvartal &lt; 4</formula>
    </cfRule>
  </conditionalFormatting>
  <conditionalFormatting sqref="A123">
    <cfRule type="expression" dxfId="1291" priority="3">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N144"/>
  <sheetViews>
    <sheetView showGridLines="0" zoomScale="120" zoomScaleNormal="120" zoomScaleSheetLayoutView="10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128</v>
      </c>
      <c r="D1" s="26"/>
      <c r="E1" s="26"/>
      <c r="F1" s="26"/>
      <c r="G1" s="26"/>
      <c r="H1" s="26"/>
      <c r="I1" s="26"/>
      <c r="J1" s="26"/>
      <c r="K1" s="26"/>
      <c r="L1" s="26"/>
      <c r="M1" s="26"/>
    </row>
    <row r="2" spans="1:14" ht="15.75" x14ac:dyDescent="0.25">
      <c r="A2" s="165" t="s">
        <v>28</v>
      </c>
      <c r="B2" s="736"/>
      <c r="C2" s="736"/>
      <c r="D2" s="736"/>
      <c r="E2" s="298"/>
      <c r="F2" s="736"/>
      <c r="G2" s="736"/>
      <c r="H2" s="736"/>
      <c r="I2" s="298"/>
      <c r="J2" s="736"/>
      <c r="K2" s="736"/>
      <c r="L2" s="736"/>
      <c r="M2" s="298"/>
    </row>
    <row r="3" spans="1:14" ht="15.75" x14ac:dyDescent="0.25">
      <c r="A3" s="163"/>
      <c r="B3" s="298"/>
      <c r="C3" s="298"/>
      <c r="D3" s="298"/>
      <c r="E3" s="298"/>
      <c r="F3" s="298"/>
      <c r="G3" s="298"/>
      <c r="H3" s="298"/>
      <c r="I3" s="298"/>
      <c r="J3" s="298"/>
      <c r="K3" s="298"/>
      <c r="L3" s="298"/>
      <c r="M3" s="298"/>
    </row>
    <row r="4" spans="1:14" x14ac:dyDescent="0.2">
      <c r="A4" s="144"/>
      <c r="B4" s="737" t="s">
        <v>0</v>
      </c>
      <c r="C4" s="738"/>
      <c r="D4" s="738"/>
      <c r="E4" s="300"/>
      <c r="F4" s="737" t="s">
        <v>1</v>
      </c>
      <c r="G4" s="738"/>
      <c r="H4" s="738"/>
      <c r="I4" s="303"/>
      <c r="J4" s="737" t="s">
        <v>2</v>
      </c>
      <c r="K4" s="738"/>
      <c r="L4" s="738"/>
      <c r="M4" s="303"/>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v>547970</v>
      </c>
      <c r="C7" s="306">
        <v>548490</v>
      </c>
      <c r="D7" s="349">
        <f>IF(B7=0, "    ---- ", IF(ABS(ROUND(100/B7*C7-100,1))&lt;999,ROUND(100/B7*C7-100,1),IF(ROUND(100/B7*C7-100,1)&gt;999,999,-999)))</f>
        <v>0.1</v>
      </c>
      <c r="E7" s="11">
        <f>IFERROR(100/'Skjema total MA'!C7*C7,0)</f>
        <v>20.41049608281525</v>
      </c>
      <c r="F7" s="305"/>
      <c r="G7" s="306"/>
      <c r="H7" s="349"/>
      <c r="I7" s="160"/>
      <c r="J7" s="307">
        <f t="shared" ref="J7:K9" si="0">SUM(B7,F7)</f>
        <v>547970</v>
      </c>
      <c r="K7" s="308">
        <f t="shared" si="0"/>
        <v>548490</v>
      </c>
      <c r="L7" s="426">
        <f>IF(J7=0, "    ---- ", IF(ABS(ROUND(100/J7*K7-100,1))&lt;999,ROUND(100/J7*K7-100,1),IF(ROUND(100/J7*K7-100,1)&gt;999,999,-999)))</f>
        <v>0.1</v>
      </c>
      <c r="M7" s="11">
        <f>IFERROR(100/'Skjema total MA'!I7*K7,0)</f>
        <v>7.4019555341714032</v>
      </c>
    </row>
    <row r="8" spans="1:14" ht="15.75" x14ac:dyDescent="0.2">
      <c r="A8" s="21" t="s">
        <v>25</v>
      </c>
      <c r="B8" s="280">
        <v>329697</v>
      </c>
      <c r="C8" s="281">
        <v>388355</v>
      </c>
      <c r="D8" s="166">
        <f t="shared" ref="D8:D9" si="1">IF(B8=0, "    ---- ", IF(ABS(ROUND(100/B8*C8-100,1))&lt;999,ROUND(100/B8*C8-100,1),IF(ROUND(100/B8*C8-100,1)&gt;999,999,-999)))</f>
        <v>17.8</v>
      </c>
      <c r="E8" s="27">
        <f>IFERROR(100/'Skjema total MA'!C8*C8,0)</f>
        <v>21.527252645545467</v>
      </c>
      <c r="F8" s="284"/>
      <c r="G8" s="285"/>
      <c r="H8" s="166"/>
      <c r="I8" s="175"/>
      <c r="J8" s="233">
        <f t="shared" si="0"/>
        <v>329697</v>
      </c>
      <c r="K8" s="286">
        <f t="shared" si="0"/>
        <v>388355</v>
      </c>
      <c r="L8" s="166">
        <f t="shared" ref="L8:L9" si="2">IF(J8=0, "    ---- ", IF(ABS(ROUND(100/J8*K8-100,1))&lt;999,ROUND(100/J8*K8-100,1),IF(ROUND(100/J8*K8-100,1)&gt;999,999,-999)))</f>
        <v>17.8</v>
      </c>
      <c r="M8" s="27">
        <f>IFERROR(100/'Skjema total MA'!I8*K8,0)</f>
        <v>21.527252645545467</v>
      </c>
    </row>
    <row r="9" spans="1:14" ht="15.75" x14ac:dyDescent="0.2">
      <c r="A9" s="21" t="s">
        <v>24</v>
      </c>
      <c r="B9" s="280">
        <v>218273</v>
      </c>
      <c r="C9" s="281">
        <v>160135</v>
      </c>
      <c r="D9" s="166">
        <f t="shared" si="1"/>
        <v>-26.6</v>
      </c>
      <c r="E9" s="27">
        <f>IFERROR(100/'Skjema total MA'!C9*C9,0)</f>
        <v>30.796931512853011</v>
      </c>
      <c r="F9" s="284"/>
      <c r="G9" s="285"/>
      <c r="H9" s="166"/>
      <c r="I9" s="175"/>
      <c r="J9" s="233">
        <f t="shared" si="0"/>
        <v>218273</v>
      </c>
      <c r="K9" s="286">
        <f t="shared" si="0"/>
        <v>160135</v>
      </c>
      <c r="L9" s="166">
        <f t="shared" si="2"/>
        <v>-26.6</v>
      </c>
      <c r="M9" s="27">
        <f>IFERROR(100/'Skjema total MA'!I9*K9,0)</f>
        <v>30.796931512853011</v>
      </c>
    </row>
    <row r="10" spans="1:14" ht="15.75" x14ac:dyDescent="0.2">
      <c r="A10" s="13" t="s">
        <v>367</v>
      </c>
      <c r="B10" s="309"/>
      <c r="C10" s="310"/>
      <c r="D10" s="171"/>
      <c r="E10" s="11"/>
      <c r="F10" s="309"/>
      <c r="G10" s="310"/>
      <c r="H10" s="171"/>
      <c r="I10" s="160"/>
      <c r="J10" s="307"/>
      <c r="K10" s="308"/>
      <c r="L10" s="427"/>
      <c r="M10" s="11"/>
    </row>
    <row r="11" spans="1:14" s="43" customFormat="1" ht="15.75" x14ac:dyDescent="0.2">
      <c r="A11" s="13" t="s">
        <v>368</v>
      </c>
      <c r="B11" s="309"/>
      <c r="C11" s="310"/>
      <c r="D11" s="171"/>
      <c r="E11" s="11"/>
      <c r="F11" s="309"/>
      <c r="G11" s="310"/>
      <c r="H11" s="171"/>
      <c r="I11" s="160"/>
      <c r="J11" s="307"/>
      <c r="K11" s="308"/>
      <c r="L11" s="427"/>
      <c r="M11" s="11"/>
      <c r="N11" s="143"/>
    </row>
    <row r="12" spans="1:14" s="43" customFormat="1" ht="15.75" x14ac:dyDescent="0.2">
      <c r="A12" s="41" t="s">
        <v>369</v>
      </c>
      <c r="B12" s="311"/>
      <c r="C12" s="312"/>
      <c r="D12" s="169"/>
      <c r="E12" s="36"/>
      <c r="F12" s="311"/>
      <c r="G12" s="312"/>
      <c r="H12" s="169"/>
      <c r="I12" s="169"/>
      <c r="J12" s="313"/>
      <c r="K12" s="314"/>
      <c r="L12" s="428"/>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426"/>
      <c r="M22" s="24"/>
    </row>
    <row r="23" spans="1:14" ht="15.75" x14ac:dyDescent="0.2">
      <c r="A23" s="587" t="s">
        <v>370</v>
      </c>
      <c r="B23" s="280"/>
      <c r="C23" s="280"/>
      <c r="D23" s="166"/>
      <c r="E23" s="11"/>
      <c r="F23" s="289"/>
      <c r="G23" s="289"/>
      <c r="H23" s="166"/>
      <c r="I23" s="416"/>
      <c r="J23" s="289"/>
      <c r="K23" s="289"/>
      <c r="L23" s="166"/>
      <c r="M23" s="23"/>
    </row>
    <row r="24" spans="1:14" ht="15.75" x14ac:dyDescent="0.2">
      <c r="A24" s="587" t="s">
        <v>371</v>
      </c>
      <c r="B24" s="280"/>
      <c r="C24" s="280"/>
      <c r="D24" s="166"/>
      <c r="E24" s="11"/>
      <c r="F24" s="289"/>
      <c r="G24" s="289"/>
      <c r="H24" s="166"/>
      <c r="I24" s="416"/>
      <c r="J24" s="289"/>
      <c r="K24" s="289"/>
      <c r="L24" s="166"/>
      <c r="M24" s="23"/>
    </row>
    <row r="25" spans="1:14" ht="15.75" x14ac:dyDescent="0.2">
      <c r="A25" s="587" t="s">
        <v>372</v>
      </c>
      <c r="B25" s="280"/>
      <c r="C25" s="280"/>
      <c r="D25" s="166"/>
      <c r="E25" s="11"/>
      <c r="F25" s="289"/>
      <c r="G25" s="289"/>
      <c r="H25" s="166"/>
      <c r="I25" s="416"/>
      <c r="J25" s="289"/>
      <c r="K25" s="289"/>
      <c r="L25" s="166"/>
      <c r="M25" s="23"/>
    </row>
    <row r="26" spans="1:14" ht="15.75" x14ac:dyDescent="0.2">
      <c r="A26" s="587" t="s">
        <v>373</v>
      </c>
      <c r="B26" s="280"/>
      <c r="C26" s="280"/>
      <c r="D26" s="166"/>
      <c r="E26" s="11"/>
      <c r="F26" s="289"/>
      <c r="G26" s="289"/>
      <c r="H26" s="166"/>
      <c r="I26" s="416"/>
      <c r="J26" s="289"/>
      <c r="K26" s="289"/>
      <c r="L26" s="166"/>
      <c r="M26" s="23"/>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c r="C28" s="286"/>
      <c r="D28" s="166"/>
      <c r="E28" s="11"/>
      <c r="F28" s="233"/>
      <c r="G28" s="286"/>
      <c r="H28" s="166"/>
      <c r="I28" s="27"/>
      <c r="J28" s="44"/>
      <c r="K28" s="44"/>
      <c r="L28" s="253"/>
      <c r="M28" s="23"/>
    </row>
    <row r="29" spans="1:14" s="3" customFormat="1" ht="15.75" x14ac:dyDescent="0.2">
      <c r="A29" s="13" t="s">
        <v>367</v>
      </c>
      <c r="B29" s="235"/>
      <c r="C29" s="235"/>
      <c r="D29" s="171"/>
      <c r="E29" s="11"/>
      <c r="F29" s="307"/>
      <c r="G29" s="307"/>
      <c r="H29" s="171"/>
      <c r="I29" s="11"/>
      <c r="J29" s="235"/>
      <c r="K29" s="235"/>
      <c r="L29" s="427"/>
      <c r="M29" s="24"/>
      <c r="N29" s="148"/>
    </row>
    <row r="30" spans="1:14" s="3" customFormat="1" ht="15.75" x14ac:dyDescent="0.2">
      <c r="A30" s="587" t="s">
        <v>370</v>
      </c>
      <c r="B30" s="280"/>
      <c r="C30" s="280"/>
      <c r="D30" s="166"/>
      <c r="E30" s="11"/>
      <c r="F30" s="289"/>
      <c r="G30" s="289"/>
      <c r="H30" s="166"/>
      <c r="I30" s="416"/>
      <c r="J30" s="289"/>
      <c r="K30" s="289"/>
      <c r="L30" s="166"/>
      <c r="M30" s="23"/>
      <c r="N30" s="148"/>
    </row>
    <row r="31" spans="1:14" s="3" customFormat="1" ht="15.75" x14ac:dyDescent="0.2">
      <c r="A31" s="587" t="s">
        <v>371</v>
      </c>
      <c r="B31" s="280"/>
      <c r="C31" s="280"/>
      <c r="D31" s="166"/>
      <c r="E31" s="11"/>
      <c r="F31" s="289"/>
      <c r="G31" s="289"/>
      <c r="H31" s="166"/>
      <c r="I31" s="416"/>
      <c r="J31" s="289"/>
      <c r="K31" s="289"/>
      <c r="L31" s="166"/>
      <c r="M31" s="23"/>
      <c r="N31" s="148"/>
    </row>
    <row r="32" spans="1:14" ht="15.75" x14ac:dyDescent="0.2">
      <c r="A32" s="587" t="s">
        <v>372</v>
      </c>
      <c r="B32" s="280"/>
      <c r="C32" s="280"/>
      <c r="D32" s="166"/>
      <c r="E32" s="11"/>
      <c r="F32" s="289"/>
      <c r="G32" s="289"/>
      <c r="H32" s="166"/>
      <c r="I32" s="416"/>
      <c r="J32" s="289"/>
      <c r="K32" s="289"/>
      <c r="L32" s="166"/>
      <c r="M32" s="23"/>
    </row>
    <row r="33" spans="1:14" ht="15.75" x14ac:dyDescent="0.2">
      <c r="A33" s="587" t="s">
        <v>373</v>
      </c>
      <c r="B33" s="280"/>
      <c r="C33" s="280"/>
      <c r="D33" s="166"/>
      <c r="E33" s="11"/>
      <c r="F33" s="289"/>
      <c r="G33" s="289"/>
      <c r="H33" s="166"/>
      <c r="I33" s="416"/>
      <c r="J33" s="289"/>
      <c r="K33" s="289"/>
      <c r="L33" s="166"/>
      <c r="M33" s="23"/>
    </row>
    <row r="34" spans="1:14" ht="15.75" x14ac:dyDescent="0.2">
      <c r="A34" s="13" t="s">
        <v>368</v>
      </c>
      <c r="B34" s="235"/>
      <c r="C34" s="308"/>
      <c r="D34" s="171"/>
      <c r="E34" s="11"/>
      <c r="F34" s="307"/>
      <c r="G34" s="308"/>
      <c r="H34" s="171"/>
      <c r="I34" s="11"/>
      <c r="J34" s="235"/>
      <c r="K34" s="235"/>
      <c r="L34" s="427"/>
      <c r="M34" s="24"/>
    </row>
    <row r="35" spans="1:14" ht="15.75" x14ac:dyDescent="0.2">
      <c r="A35" s="13" t="s">
        <v>369</v>
      </c>
      <c r="B35" s="235"/>
      <c r="C35" s="308"/>
      <c r="D35" s="171"/>
      <c r="E35" s="11"/>
      <c r="F35" s="307"/>
      <c r="G35" s="308"/>
      <c r="H35" s="171"/>
      <c r="I35" s="11"/>
      <c r="J35" s="235"/>
      <c r="K35" s="235"/>
      <c r="L35" s="427"/>
      <c r="M35" s="24"/>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v>652370</v>
      </c>
      <c r="C47" s="310">
        <v>715903</v>
      </c>
      <c r="D47" s="426">
        <f t="shared" ref="D47:D58" si="3">IF(B47=0, "    ---- ", IF(ABS(ROUND(100/B47*C47-100,1))&lt;999,ROUND(100/B47*C47-100,1),IF(ROUND(100/B47*C47-100,1)&gt;999,999,-999)))</f>
        <v>9.6999999999999993</v>
      </c>
      <c r="E47" s="11">
        <f>IFERROR(100/'Skjema total MA'!C47*C47,0)</f>
        <v>19.601661387352152</v>
      </c>
      <c r="F47" s="145"/>
      <c r="G47" s="33"/>
      <c r="H47" s="159"/>
      <c r="I47" s="159"/>
      <c r="J47" s="37"/>
      <c r="K47" s="37"/>
      <c r="L47" s="159"/>
      <c r="M47" s="159"/>
      <c r="N47" s="148"/>
    </row>
    <row r="48" spans="1:14" s="3" customFormat="1" ht="15.75" x14ac:dyDescent="0.2">
      <c r="A48" s="38" t="s">
        <v>378</v>
      </c>
      <c r="B48" s="280">
        <v>401112</v>
      </c>
      <c r="C48" s="281">
        <v>433825</v>
      </c>
      <c r="D48" s="253">
        <f t="shared" si="3"/>
        <v>8.1999999999999993</v>
      </c>
      <c r="E48" s="27">
        <f>IFERROR(100/'Skjema total MA'!C48*C48,0)</f>
        <v>20.974030451665218</v>
      </c>
      <c r="F48" s="145"/>
      <c r="G48" s="33"/>
      <c r="H48" s="145"/>
      <c r="I48" s="145"/>
      <c r="J48" s="33"/>
      <c r="K48" s="33"/>
      <c r="L48" s="159"/>
      <c r="M48" s="159"/>
      <c r="N48" s="148"/>
    </row>
    <row r="49" spans="1:14" s="3" customFormat="1" ht="15.75" x14ac:dyDescent="0.2">
      <c r="A49" s="38" t="s">
        <v>379</v>
      </c>
      <c r="B49" s="44">
        <v>251258</v>
      </c>
      <c r="C49" s="286">
        <v>282078</v>
      </c>
      <c r="D49" s="253">
        <f>IF(B49=0, "    ---- ", IF(ABS(ROUND(100/B49*C49-100,1))&lt;999,ROUND(100/B49*C49-100,1),IF(ROUND(100/B49*C49-100,1)&gt;999,999,-999)))</f>
        <v>12.3</v>
      </c>
      <c r="E49" s="27">
        <f>IFERROR(100/'Skjema total MA'!C49*C49,0)</f>
        <v>17.809466270854866</v>
      </c>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v>24841</v>
      </c>
      <c r="C53" s="310">
        <v>58234</v>
      </c>
      <c r="D53" s="427">
        <f t="shared" si="3"/>
        <v>134.4</v>
      </c>
      <c r="E53" s="11">
        <f>IFERROR(100/'Skjema total MA'!C53*C53,0)</f>
        <v>44.446694484890607</v>
      </c>
      <c r="F53" s="145"/>
      <c r="G53" s="33"/>
      <c r="H53" s="145"/>
      <c r="I53" s="145"/>
      <c r="J53" s="33"/>
      <c r="K53" s="33"/>
      <c r="L53" s="159"/>
      <c r="M53" s="159"/>
      <c r="N53" s="148"/>
    </row>
    <row r="54" spans="1:14" s="3" customFormat="1" ht="15.75" x14ac:dyDescent="0.2">
      <c r="A54" s="38" t="s">
        <v>378</v>
      </c>
      <c r="B54" s="280">
        <v>24841</v>
      </c>
      <c r="C54" s="281">
        <v>58234</v>
      </c>
      <c r="D54" s="253">
        <f t="shared" si="3"/>
        <v>134.4</v>
      </c>
      <c r="E54" s="27">
        <f>IFERROR(100/'Skjema total MA'!C54*C54,0)</f>
        <v>44.446694484890607</v>
      </c>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v>103627</v>
      </c>
      <c r="C56" s="310">
        <v>28218</v>
      </c>
      <c r="D56" s="427">
        <f t="shared" si="3"/>
        <v>-72.8</v>
      </c>
      <c r="E56" s="11">
        <f>IFERROR(100/'Skjema total MA'!C56*C56,0)</f>
        <v>25.340483903382118</v>
      </c>
      <c r="F56" s="145"/>
      <c r="G56" s="33"/>
      <c r="H56" s="145"/>
      <c r="I56" s="145"/>
      <c r="J56" s="33"/>
      <c r="K56" s="33"/>
      <c r="L56" s="159"/>
      <c r="M56" s="159"/>
      <c r="N56" s="148"/>
    </row>
    <row r="57" spans="1:14" s="3" customFormat="1" ht="15.75" x14ac:dyDescent="0.2">
      <c r="A57" s="38" t="s">
        <v>378</v>
      </c>
      <c r="B57" s="280">
        <v>37595</v>
      </c>
      <c r="C57" s="281">
        <v>28218</v>
      </c>
      <c r="D57" s="253">
        <f t="shared" si="3"/>
        <v>-24.9</v>
      </c>
      <c r="E57" s="27">
        <f>IFERROR(100/'Skjema total MA'!C57*C57,0)</f>
        <v>25.34125764464191</v>
      </c>
      <c r="F57" s="145"/>
      <c r="G57" s="33"/>
      <c r="H57" s="145"/>
      <c r="I57" s="145"/>
      <c r="J57" s="33"/>
      <c r="K57" s="33"/>
      <c r="L57" s="159"/>
      <c r="M57" s="159"/>
      <c r="N57" s="148"/>
    </row>
    <row r="58" spans="1:14" s="3" customFormat="1" ht="15.75" x14ac:dyDescent="0.2">
      <c r="A58" s="46" t="s">
        <v>379</v>
      </c>
      <c r="B58" s="282">
        <v>66032</v>
      </c>
      <c r="C58" s="283">
        <v>0</v>
      </c>
      <c r="D58" s="254">
        <f t="shared" si="3"/>
        <v>-100</v>
      </c>
      <c r="E58" s="22">
        <f>IFERROR(100/'Skjema total MA'!C58*C58,0)</f>
        <v>0</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c r="C66" s="352"/>
      <c r="D66" s="349"/>
      <c r="E66" s="11"/>
      <c r="F66" s="351"/>
      <c r="G66" s="351"/>
      <c r="H66" s="349"/>
      <c r="I66" s="11"/>
      <c r="J66" s="308"/>
      <c r="K66" s="315"/>
      <c r="L66" s="427"/>
      <c r="M66" s="11"/>
    </row>
    <row r="67" spans="1:14" x14ac:dyDescent="0.2">
      <c r="A67" s="41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c r="G86" s="145"/>
      <c r="H86" s="166"/>
      <c r="I86" s="27"/>
      <c r="J86" s="286"/>
      <c r="K86" s="44"/>
      <c r="L86" s="253"/>
      <c r="M86" s="27"/>
    </row>
    <row r="87" spans="1:13" ht="15.75" x14ac:dyDescent="0.2">
      <c r="A87" s="13" t="s">
        <v>367</v>
      </c>
      <c r="B87" s="352"/>
      <c r="C87" s="352"/>
      <c r="D87" s="171"/>
      <c r="E87" s="11"/>
      <c r="F87" s="351"/>
      <c r="G87" s="351"/>
      <c r="H87" s="171"/>
      <c r="I87" s="11"/>
      <c r="J87" s="308"/>
      <c r="K87" s="235"/>
      <c r="L87" s="427"/>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row>
    <row r="98" spans="1:13" ht="15.75" x14ac:dyDescent="0.2">
      <c r="A98" s="21" t="s">
        <v>384</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c r="G107" s="145"/>
      <c r="H107" s="166"/>
      <c r="I107" s="27"/>
      <c r="J107" s="286"/>
      <c r="K107" s="44"/>
      <c r="L107" s="253"/>
      <c r="M107" s="27"/>
    </row>
    <row r="108" spans="1:13" ht="15.75" x14ac:dyDescent="0.2">
      <c r="A108" s="21" t="s">
        <v>386</v>
      </c>
      <c r="B108" s="233"/>
      <c r="C108" s="233"/>
      <c r="D108" s="166"/>
      <c r="E108" s="27"/>
      <c r="F108" s="233"/>
      <c r="G108" s="233"/>
      <c r="H108" s="166"/>
      <c r="I108" s="27"/>
      <c r="J108" s="286"/>
      <c r="K108" s="44"/>
      <c r="L108" s="253"/>
      <c r="M108" s="27"/>
    </row>
    <row r="109" spans="1:13" ht="15.75" x14ac:dyDescent="0.2">
      <c r="A109" s="21" t="s">
        <v>387</v>
      </c>
      <c r="B109" s="233"/>
      <c r="C109" s="233"/>
      <c r="D109" s="166"/>
      <c r="E109" s="27"/>
      <c r="F109" s="233"/>
      <c r="G109" s="233"/>
      <c r="H109" s="166"/>
      <c r="I109" s="27"/>
      <c r="J109" s="286"/>
      <c r="K109" s="44"/>
      <c r="L109" s="253"/>
      <c r="M109" s="27"/>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c r="C111" s="159"/>
      <c r="D111" s="171"/>
      <c r="E111" s="11"/>
      <c r="F111" s="307"/>
      <c r="G111" s="159"/>
      <c r="H111" s="171"/>
      <c r="I111" s="11"/>
      <c r="J111" s="308"/>
      <c r="K111" s="235"/>
      <c r="L111" s="427"/>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c r="C116" s="233"/>
      <c r="D116" s="166"/>
      <c r="E116" s="27"/>
      <c r="F116" s="233"/>
      <c r="G116" s="233"/>
      <c r="H116" s="166"/>
      <c r="I116" s="27"/>
      <c r="J116" s="286"/>
      <c r="K116" s="44"/>
      <c r="L116" s="253"/>
      <c r="M116" s="27"/>
    </row>
    <row r="117" spans="1:14" ht="15.75" x14ac:dyDescent="0.2">
      <c r="A117" s="21" t="s">
        <v>390</v>
      </c>
      <c r="B117" s="233"/>
      <c r="C117" s="233"/>
      <c r="D117" s="166"/>
      <c r="E117" s="27"/>
      <c r="F117" s="233"/>
      <c r="G117" s="233"/>
      <c r="H117" s="166"/>
      <c r="I117" s="27"/>
      <c r="J117" s="286"/>
      <c r="K117" s="44"/>
      <c r="L117" s="253"/>
      <c r="M117" s="27"/>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c r="C119" s="159"/>
      <c r="D119" s="171"/>
      <c r="E119" s="11"/>
      <c r="F119" s="307"/>
      <c r="G119" s="159"/>
      <c r="H119" s="171"/>
      <c r="I119" s="11"/>
      <c r="J119" s="308"/>
      <c r="K119" s="235"/>
      <c r="L119" s="427"/>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c r="G125" s="233"/>
      <c r="H125" s="166"/>
      <c r="I125" s="27"/>
      <c r="J125" s="286"/>
      <c r="K125" s="44"/>
      <c r="L125" s="253"/>
      <c r="M125" s="27"/>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290" priority="132">
      <formula>kvartal &lt; 4</formula>
    </cfRule>
  </conditionalFormatting>
  <conditionalFormatting sqref="B69">
    <cfRule type="expression" dxfId="1289" priority="100">
      <formula>kvartal &lt; 4</formula>
    </cfRule>
  </conditionalFormatting>
  <conditionalFormatting sqref="C69">
    <cfRule type="expression" dxfId="1288" priority="99">
      <formula>kvartal &lt; 4</formula>
    </cfRule>
  </conditionalFormatting>
  <conditionalFormatting sqref="B72">
    <cfRule type="expression" dxfId="1287" priority="98">
      <formula>kvartal &lt; 4</formula>
    </cfRule>
  </conditionalFormatting>
  <conditionalFormatting sqref="C72">
    <cfRule type="expression" dxfId="1286" priority="97">
      <formula>kvartal &lt; 4</formula>
    </cfRule>
  </conditionalFormatting>
  <conditionalFormatting sqref="B80">
    <cfRule type="expression" dxfId="1285" priority="96">
      <formula>kvartal &lt; 4</formula>
    </cfRule>
  </conditionalFormatting>
  <conditionalFormatting sqref="C80">
    <cfRule type="expression" dxfId="1284" priority="95">
      <formula>kvartal &lt; 4</formula>
    </cfRule>
  </conditionalFormatting>
  <conditionalFormatting sqref="B83">
    <cfRule type="expression" dxfId="1283" priority="94">
      <formula>kvartal &lt; 4</formula>
    </cfRule>
  </conditionalFormatting>
  <conditionalFormatting sqref="C83">
    <cfRule type="expression" dxfId="1282" priority="93">
      <formula>kvartal &lt; 4</formula>
    </cfRule>
  </conditionalFormatting>
  <conditionalFormatting sqref="B90">
    <cfRule type="expression" dxfId="1281" priority="84">
      <formula>kvartal &lt; 4</formula>
    </cfRule>
  </conditionalFormatting>
  <conditionalFormatting sqref="C90">
    <cfRule type="expression" dxfId="1280" priority="83">
      <formula>kvartal &lt; 4</formula>
    </cfRule>
  </conditionalFormatting>
  <conditionalFormatting sqref="B93">
    <cfRule type="expression" dxfId="1279" priority="82">
      <formula>kvartal &lt; 4</formula>
    </cfRule>
  </conditionalFormatting>
  <conditionalFormatting sqref="C93">
    <cfRule type="expression" dxfId="1278" priority="81">
      <formula>kvartal &lt; 4</formula>
    </cfRule>
  </conditionalFormatting>
  <conditionalFormatting sqref="B101">
    <cfRule type="expression" dxfId="1277" priority="80">
      <formula>kvartal &lt; 4</formula>
    </cfRule>
  </conditionalFormatting>
  <conditionalFormatting sqref="C101">
    <cfRule type="expression" dxfId="1276" priority="79">
      <formula>kvartal &lt; 4</formula>
    </cfRule>
  </conditionalFormatting>
  <conditionalFormatting sqref="B104">
    <cfRule type="expression" dxfId="1275" priority="78">
      <formula>kvartal &lt; 4</formula>
    </cfRule>
  </conditionalFormatting>
  <conditionalFormatting sqref="C104">
    <cfRule type="expression" dxfId="1274" priority="77">
      <formula>kvartal &lt; 4</formula>
    </cfRule>
  </conditionalFormatting>
  <conditionalFormatting sqref="B115">
    <cfRule type="expression" dxfId="1273" priority="76">
      <formula>kvartal &lt; 4</formula>
    </cfRule>
  </conditionalFormatting>
  <conditionalFormatting sqref="C115">
    <cfRule type="expression" dxfId="1272" priority="75">
      <formula>kvartal &lt; 4</formula>
    </cfRule>
  </conditionalFormatting>
  <conditionalFormatting sqref="B123">
    <cfRule type="expression" dxfId="1271" priority="74">
      <formula>kvartal &lt; 4</formula>
    </cfRule>
  </conditionalFormatting>
  <conditionalFormatting sqref="C123">
    <cfRule type="expression" dxfId="1270" priority="73">
      <formula>kvartal &lt; 4</formula>
    </cfRule>
  </conditionalFormatting>
  <conditionalFormatting sqref="F70">
    <cfRule type="expression" dxfId="1269" priority="72">
      <formula>kvartal &lt; 4</formula>
    </cfRule>
  </conditionalFormatting>
  <conditionalFormatting sqref="G70">
    <cfRule type="expression" dxfId="1268" priority="71">
      <formula>kvartal &lt; 4</formula>
    </cfRule>
  </conditionalFormatting>
  <conditionalFormatting sqref="F71:G71">
    <cfRule type="expression" dxfId="1267" priority="70">
      <formula>kvartal &lt; 4</formula>
    </cfRule>
  </conditionalFormatting>
  <conditionalFormatting sqref="F73:G74">
    <cfRule type="expression" dxfId="1266" priority="69">
      <formula>kvartal &lt; 4</formula>
    </cfRule>
  </conditionalFormatting>
  <conditionalFormatting sqref="F81:G82">
    <cfRule type="expression" dxfId="1265" priority="68">
      <formula>kvartal &lt; 4</formula>
    </cfRule>
  </conditionalFormatting>
  <conditionalFormatting sqref="F84:G85">
    <cfRule type="expression" dxfId="1264" priority="67">
      <formula>kvartal &lt; 4</formula>
    </cfRule>
  </conditionalFormatting>
  <conditionalFormatting sqref="F91:G92">
    <cfRule type="expression" dxfId="1263" priority="62">
      <formula>kvartal &lt; 4</formula>
    </cfRule>
  </conditionalFormatting>
  <conditionalFormatting sqref="F94:G95">
    <cfRule type="expression" dxfId="1262" priority="61">
      <formula>kvartal &lt; 4</formula>
    </cfRule>
  </conditionalFormatting>
  <conditionalFormatting sqref="F102:G103">
    <cfRule type="expression" dxfId="1261" priority="60">
      <formula>kvartal &lt; 4</formula>
    </cfRule>
  </conditionalFormatting>
  <conditionalFormatting sqref="F105:G106">
    <cfRule type="expression" dxfId="1260" priority="59">
      <formula>kvartal &lt; 4</formula>
    </cfRule>
  </conditionalFormatting>
  <conditionalFormatting sqref="F115">
    <cfRule type="expression" dxfId="1259" priority="58">
      <formula>kvartal &lt; 4</formula>
    </cfRule>
  </conditionalFormatting>
  <conditionalFormatting sqref="G115">
    <cfRule type="expression" dxfId="1258" priority="57">
      <formula>kvartal &lt; 4</formula>
    </cfRule>
  </conditionalFormatting>
  <conditionalFormatting sqref="F123:G123">
    <cfRule type="expression" dxfId="1257" priority="56">
      <formula>kvartal &lt; 4</formula>
    </cfRule>
  </conditionalFormatting>
  <conditionalFormatting sqref="F69:G69">
    <cfRule type="expression" dxfId="1256" priority="55">
      <formula>kvartal &lt; 4</formula>
    </cfRule>
  </conditionalFormatting>
  <conditionalFormatting sqref="F72:G72">
    <cfRule type="expression" dxfId="1255" priority="54">
      <formula>kvartal &lt; 4</formula>
    </cfRule>
  </conditionalFormatting>
  <conditionalFormatting sqref="F80:G80">
    <cfRule type="expression" dxfId="1254" priority="53">
      <formula>kvartal &lt; 4</formula>
    </cfRule>
  </conditionalFormatting>
  <conditionalFormatting sqref="F83:G83">
    <cfRule type="expression" dxfId="1253" priority="52">
      <formula>kvartal &lt; 4</formula>
    </cfRule>
  </conditionalFormatting>
  <conditionalFormatting sqref="F90:G90">
    <cfRule type="expression" dxfId="1252" priority="46">
      <formula>kvartal &lt; 4</formula>
    </cfRule>
  </conditionalFormatting>
  <conditionalFormatting sqref="F93">
    <cfRule type="expression" dxfId="1251" priority="45">
      <formula>kvartal &lt; 4</formula>
    </cfRule>
  </conditionalFormatting>
  <conditionalFormatting sqref="G93">
    <cfRule type="expression" dxfId="1250" priority="44">
      <formula>kvartal &lt; 4</formula>
    </cfRule>
  </conditionalFormatting>
  <conditionalFormatting sqref="F101">
    <cfRule type="expression" dxfId="1249" priority="43">
      <formula>kvartal &lt; 4</formula>
    </cfRule>
  </conditionalFormatting>
  <conditionalFormatting sqref="G101">
    <cfRule type="expression" dxfId="1248" priority="42">
      <formula>kvartal &lt; 4</formula>
    </cfRule>
  </conditionalFormatting>
  <conditionalFormatting sqref="G104">
    <cfRule type="expression" dxfId="1247" priority="41">
      <formula>kvartal &lt; 4</formula>
    </cfRule>
  </conditionalFormatting>
  <conditionalFormatting sqref="F104">
    <cfRule type="expression" dxfId="1246" priority="40">
      <formula>kvartal &lt; 4</formula>
    </cfRule>
  </conditionalFormatting>
  <conditionalFormatting sqref="J69:K73">
    <cfRule type="expression" dxfId="1245" priority="39">
      <formula>kvartal &lt; 4</formula>
    </cfRule>
  </conditionalFormatting>
  <conditionalFormatting sqref="J74:K74">
    <cfRule type="expression" dxfId="1244" priority="38">
      <formula>kvartal &lt; 4</formula>
    </cfRule>
  </conditionalFormatting>
  <conditionalFormatting sqref="J80:K85">
    <cfRule type="expression" dxfId="1243" priority="37">
      <formula>kvartal &lt; 4</formula>
    </cfRule>
  </conditionalFormatting>
  <conditionalFormatting sqref="J90:K95">
    <cfRule type="expression" dxfId="1242" priority="34">
      <formula>kvartal &lt; 4</formula>
    </cfRule>
  </conditionalFormatting>
  <conditionalFormatting sqref="J101:K106">
    <cfRule type="expression" dxfId="1241" priority="33">
      <formula>kvartal &lt; 4</formula>
    </cfRule>
  </conditionalFormatting>
  <conditionalFormatting sqref="J115:K115">
    <cfRule type="expression" dxfId="1240" priority="32">
      <formula>kvartal &lt; 4</formula>
    </cfRule>
  </conditionalFormatting>
  <conditionalFormatting sqref="J123:K123">
    <cfRule type="expression" dxfId="1239" priority="31">
      <formula>kvartal &lt; 4</formula>
    </cfRule>
  </conditionalFormatting>
  <conditionalFormatting sqref="A50:A52">
    <cfRule type="expression" dxfId="1238" priority="12">
      <formula>kvartal &lt; 4</formula>
    </cfRule>
  </conditionalFormatting>
  <conditionalFormatting sqref="A69:A74">
    <cfRule type="expression" dxfId="1237" priority="10">
      <formula>kvartal &lt; 4</formula>
    </cfRule>
  </conditionalFormatting>
  <conditionalFormatting sqref="A80:A85">
    <cfRule type="expression" dxfId="1236" priority="9">
      <formula>kvartal &lt; 4</formula>
    </cfRule>
  </conditionalFormatting>
  <conditionalFormatting sqref="A90:A95">
    <cfRule type="expression" dxfId="1235" priority="6">
      <formula>kvartal &lt; 4</formula>
    </cfRule>
  </conditionalFormatting>
  <conditionalFormatting sqref="A101:A106">
    <cfRule type="expression" dxfId="1234" priority="5">
      <formula>kvartal &lt; 4</formula>
    </cfRule>
  </conditionalFormatting>
  <conditionalFormatting sqref="A115">
    <cfRule type="expression" dxfId="1233" priority="4">
      <formula>kvartal &lt; 4</formula>
    </cfRule>
  </conditionalFormatting>
  <conditionalFormatting sqref="A123">
    <cfRule type="expression" dxfId="1232" priority="3">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129</v>
      </c>
      <c r="D1" s="26"/>
      <c r="E1" s="26"/>
      <c r="F1" s="26"/>
      <c r="G1" s="26"/>
      <c r="H1" s="26"/>
      <c r="I1" s="26"/>
      <c r="J1" s="26"/>
      <c r="K1" s="26"/>
      <c r="L1" s="26"/>
      <c r="M1" s="26"/>
    </row>
    <row r="2" spans="1:14" ht="15.75" x14ac:dyDescent="0.25">
      <c r="A2" s="165" t="s">
        <v>28</v>
      </c>
      <c r="B2" s="736"/>
      <c r="C2" s="736"/>
      <c r="D2" s="736"/>
      <c r="E2" s="298"/>
      <c r="F2" s="736"/>
      <c r="G2" s="736"/>
      <c r="H2" s="736"/>
      <c r="I2" s="298"/>
      <c r="J2" s="736"/>
      <c r="K2" s="736"/>
      <c r="L2" s="736"/>
      <c r="M2" s="298"/>
    </row>
    <row r="3" spans="1:14" ht="15.75" x14ac:dyDescent="0.25">
      <c r="A3" s="163"/>
      <c r="B3" s="298"/>
      <c r="C3" s="298"/>
      <c r="D3" s="298"/>
      <c r="E3" s="298"/>
      <c r="F3" s="298"/>
      <c r="G3" s="298"/>
      <c r="H3" s="298"/>
      <c r="I3" s="298"/>
      <c r="J3" s="298"/>
      <c r="K3" s="298"/>
      <c r="L3" s="298"/>
      <c r="M3" s="298"/>
    </row>
    <row r="4" spans="1:14" x14ac:dyDescent="0.2">
      <c r="A4" s="144"/>
      <c r="B4" s="737" t="s">
        <v>0</v>
      </c>
      <c r="C4" s="738"/>
      <c r="D4" s="738"/>
      <c r="E4" s="300"/>
      <c r="F4" s="737" t="s">
        <v>1</v>
      </c>
      <c r="G4" s="738"/>
      <c r="H4" s="738"/>
      <c r="I4" s="303"/>
      <c r="J4" s="737" t="s">
        <v>2</v>
      </c>
      <c r="K4" s="738"/>
      <c r="L4" s="738"/>
      <c r="M4" s="303"/>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c r="C7" s="306"/>
      <c r="D7" s="349"/>
      <c r="E7" s="11"/>
      <c r="F7" s="305">
        <v>47248.1</v>
      </c>
      <c r="G7" s="306">
        <v>74532.399999999994</v>
      </c>
      <c r="H7" s="349">
        <f>IF(F7=0, "    ---- ", IF(ABS(ROUND(100/F7*G7-100,1))&lt;999,ROUND(100/F7*G7-100,1),IF(ROUND(100/F7*G7-100,1)&gt;999,999,-999)))</f>
        <v>57.7</v>
      </c>
      <c r="I7" s="160">
        <f>IFERROR(100/'Skjema total MA'!F7*G7,0)</f>
        <v>1.5781484364647669</v>
      </c>
      <c r="J7" s="307">
        <f t="shared" ref="J7:K12" si="0">SUM(B7,F7)</f>
        <v>47248.1</v>
      </c>
      <c r="K7" s="308">
        <f t="shared" si="0"/>
        <v>74532.399999999994</v>
      </c>
      <c r="L7" s="426">
        <f>IF(J7=0, "    ---- ", IF(ABS(ROUND(100/J7*K7-100,1))&lt;999,ROUND(100/J7*K7-100,1),IF(ROUND(100/J7*K7-100,1)&gt;999,999,-999)))</f>
        <v>57.7</v>
      </c>
      <c r="M7" s="11">
        <f>IFERROR(100/'Skjema total MA'!I7*K7,0)</f>
        <v>1.0058260144306672</v>
      </c>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c r="D9" s="166"/>
      <c r="E9" s="27"/>
      <c r="F9" s="284"/>
      <c r="G9" s="285"/>
      <c r="H9" s="166"/>
      <c r="I9" s="175"/>
      <c r="J9" s="233"/>
      <c r="K9" s="286"/>
      <c r="L9" s="253"/>
      <c r="M9" s="27"/>
    </row>
    <row r="10" spans="1:14" ht="15.75" x14ac:dyDescent="0.2">
      <c r="A10" s="13" t="s">
        <v>367</v>
      </c>
      <c r="B10" s="309"/>
      <c r="C10" s="310"/>
      <c r="D10" s="171"/>
      <c r="E10" s="11"/>
      <c r="F10" s="309">
        <v>574992.9</v>
      </c>
      <c r="G10" s="310">
        <v>685689.9</v>
      </c>
      <c r="H10" s="171">
        <f t="shared" ref="H10:H12" si="1">IF(F10=0, "    ---- ", IF(ABS(ROUND(100/F10*G10-100,1))&lt;999,ROUND(100/F10*G10-100,1),IF(ROUND(100/F10*G10-100,1)&gt;999,999,-999)))</f>
        <v>19.3</v>
      </c>
      <c r="I10" s="160">
        <f>IFERROR(100/'Skjema total MA'!F10*G10,0)</f>
        <v>1.3216715521990685</v>
      </c>
      <c r="J10" s="307">
        <f t="shared" si="0"/>
        <v>574992.9</v>
      </c>
      <c r="K10" s="308">
        <f t="shared" si="0"/>
        <v>685689.9</v>
      </c>
      <c r="L10" s="427">
        <f t="shared" ref="L10:L12" si="2">IF(J10=0, "    ---- ", IF(ABS(ROUND(100/J10*K10-100,1))&lt;999,ROUND(100/J10*K10-100,1),IF(ROUND(100/J10*K10-100,1)&gt;999,999,-999)))</f>
        <v>19.3</v>
      </c>
      <c r="M10" s="11">
        <f>IFERROR(100/'Skjema total MA'!I10*K10,0)</f>
        <v>0.97573290141414393</v>
      </c>
    </row>
    <row r="11" spans="1:14" s="43" customFormat="1" ht="15.75" x14ac:dyDescent="0.2">
      <c r="A11" s="13" t="s">
        <v>368</v>
      </c>
      <c r="B11" s="309"/>
      <c r="C11" s="310"/>
      <c r="D11" s="171"/>
      <c r="E11" s="11"/>
      <c r="F11" s="309">
        <v>4117.3</v>
      </c>
      <c r="G11" s="310">
        <v>3325.8</v>
      </c>
      <c r="H11" s="171">
        <f t="shared" si="1"/>
        <v>-19.2</v>
      </c>
      <c r="I11" s="160">
        <f>IFERROR(100/'Skjema total MA'!F11*G11,0)</f>
        <v>1.5293641784296212</v>
      </c>
      <c r="J11" s="307">
        <f t="shared" si="0"/>
        <v>4117.3</v>
      </c>
      <c r="K11" s="308">
        <f t="shared" si="0"/>
        <v>3325.8</v>
      </c>
      <c r="L11" s="427">
        <f t="shared" si="2"/>
        <v>-19.2</v>
      </c>
      <c r="M11" s="11">
        <f>IFERROR(100/'Skjema total MA'!I11*K11,0)</f>
        <v>1.4093392860208132</v>
      </c>
      <c r="N11" s="143"/>
    </row>
    <row r="12" spans="1:14" s="43" customFormat="1" ht="15.75" x14ac:dyDescent="0.2">
      <c r="A12" s="41" t="s">
        <v>369</v>
      </c>
      <c r="B12" s="311"/>
      <c r="C12" s="312"/>
      <c r="D12" s="169"/>
      <c r="E12" s="36"/>
      <c r="F12" s="311">
        <v>1010.7</v>
      </c>
      <c r="G12" s="312">
        <v>4087.2</v>
      </c>
      <c r="H12" s="169">
        <f t="shared" si="1"/>
        <v>304.39999999999998</v>
      </c>
      <c r="I12" s="169">
        <f>IFERROR(100/'Skjema total MA'!F12*G12,0)</f>
        <v>2.6539334463596997</v>
      </c>
      <c r="J12" s="313">
        <f t="shared" si="0"/>
        <v>1010.7</v>
      </c>
      <c r="K12" s="314">
        <f t="shared" si="0"/>
        <v>4087.2</v>
      </c>
      <c r="L12" s="428">
        <f t="shared" si="2"/>
        <v>304.39999999999998</v>
      </c>
      <c r="M12" s="36">
        <f>IFERROR(100/'Skjema total MA'!I12*K12,0)</f>
        <v>2.6132262309919558</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v>221948.9</v>
      </c>
      <c r="C22" s="309">
        <v>239603.1</v>
      </c>
      <c r="D22" s="349">
        <f t="shared" ref="D22:D29" si="3">IF(B22=0, "    ---- ", IF(ABS(ROUND(100/B22*C22-100,1))&lt;999,ROUND(100/B22*C22-100,1),IF(ROUND(100/B22*C22-100,1)&gt;999,999,-999)))</f>
        <v>8</v>
      </c>
      <c r="E22" s="11">
        <f>IFERROR(100/'Skjema total MA'!C22*C22,0)</f>
        <v>24.260328424725728</v>
      </c>
      <c r="F22" s="317">
        <v>30650.6</v>
      </c>
      <c r="G22" s="317">
        <v>36333</v>
      </c>
      <c r="H22" s="349">
        <f t="shared" ref="H22:H35" si="4">IF(F22=0, "    ---- ", IF(ABS(ROUND(100/F22*G22-100,1))&lt;999,ROUND(100/F22*G22-100,1),IF(ROUND(100/F22*G22-100,1)&gt;999,999,-999)))</f>
        <v>18.5</v>
      </c>
      <c r="I22" s="11">
        <f>IFERROR(100/'Skjema total MA'!F22*G22,0)</f>
        <v>5.6578345865981872</v>
      </c>
      <c r="J22" s="315">
        <f t="shared" ref="J22:K35" si="5">SUM(B22,F22)</f>
        <v>252599.5</v>
      </c>
      <c r="K22" s="315">
        <f t="shared" si="5"/>
        <v>275936.09999999998</v>
      </c>
      <c r="L22" s="426">
        <f t="shared" ref="L22:L35" si="6">IF(J22=0, "    ---- ", IF(ABS(ROUND(100/J22*K22-100,1))&lt;999,ROUND(100/J22*K22-100,1),IF(ROUND(100/J22*K22-100,1)&gt;999,999,-999)))</f>
        <v>9.1999999999999993</v>
      </c>
      <c r="M22" s="24">
        <f>IFERROR(100/'Skjema total MA'!I22*K22,0)</f>
        <v>16.930622076563942</v>
      </c>
    </row>
    <row r="23" spans="1:14" ht="15.75" x14ac:dyDescent="0.2">
      <c r="A23" s="587" t="s">
        <v>370</v>
      </c>
      <c r="B23" s="280"/>
      <c r="C23" s="280"/>
      <c r="D23" s="166"/>
      <c r="E23" s="11"/>
      <c r="F23" s="289">
        <v>8</v>
      </c>
      <c r="G23" s="289">
        <v>0</v>
      </c>
      <c r="H23" s="166">
        <f t="shared" si="4"/>
        <v>-100</v>
      </c>
      <c r="I23" s="416">
        <f>IFERROR(100/'Skjema total MA'!F23*G23,0)</f>
        <v>0</v>
      </c>
      <c r="J23" s="289">
        <f t="shared" ref="J23:J26" si="7">SUM(B23,F23)</f>
        <v>8</v>
      </c>
      <c r="K23" s="289">
        <f t="shared" ref="K23:K26" si="8">SUM(C23,G23)</f>
        <v>0</v>
      </c>
      <c r="L23" s="166">
        <f t="shared" si="6"/>
        <v>-100</v>
      </c>
      <c r="M23" s="23">
        <f>IFERROR(100/'Skjema total MA'!I23*K23,0)</f>
        <v>0</v>
      </c>
    </row>
    <row r="24" spans="1:14" ht="15.75" x14ac:dyDescent="0.2">
      <c r="A24" s="587" t="s">
        <v>371</v>
      </c>
      <c r="B24" s="280"/>
      <c r="C24" s="280"/>
      <c r="D24" s="166"/>
      <c r="E24" s="11"/>
      <c r="F24" s="289"/>
      <c r="G24" s="289"/>
      <c r="H24" s="166"/>
      <c r="I24" s="416"/>
      <c r="J24" s="289"/>
      <c r="K24" s="289"/>
      <c r="L24" s="166"/>
      <c r="M24" s="23"/>
    </row>
    <row r="25" spans="1:14" ht="15.75" x14ac:dyDescent="0.2">
      <c r="A25" s="587" t="s">
        <v>372</v>
      </c>
      <c r="B25" s="280"/>
      <c r="C25" s="280"/>
      <c r="D25" s="166"/>
      <c r="E25" s="11"/>
      <c r="F25" s="289"/>
      <c r="G25" s="289"/>
      <c r="H25" s="166"/>
      <c r="I25" s="416"/>
      <c r="J25" s="289"/>
      <c r="K25" s="289"/>
      <c r="L25" s="166"/>
      <c r="M25" s="23"/>
    </row>
    <row r="26" spans="1:14" ht="15.75" x14ac:dyDescent="0.2">
      <c r="A26" s="587" t="s">
        <v>373</v>
      </c>
      <c r="B26" s="280"/>
      <c r="C26" s="280"/>
      <c r="D26" s="166"/>
      <c r="E26" s="11"/>
      <c r="F26" s="289">
        <v>30642.6</v>
      </c>
      <c r="G26" s="289">
        <v>36333</v>
      </c>
      <c r="H26" s="166">
        <f t="shared" si="4"/>
        <v>18.600000000000001</v>
      </c>
      <c r="I26" s="416">
        <f>IFERROR(100/'Skjema total MA'!F26*G26,0)</f>
        <v>6.8040167674130743</v>
      </c>
      <c r="J26" s="289">
        <f t="shared" si="7"/>
        <v>30642.6</v>
      </c>
      <c r="K26" s="289">
        <f t="shared" si="8"/>
        <v>36333</v>
      </c>
      <c r="L26" s="166">
        <f t="shared" si="6"/>
        <v>18.600000000000001</v>
      </c>
      <c r="M26" s="23">
        <f>IFERROR(100/'Skjema total MA'!I26*K26,0)</f>
        <v>6.8040167674130743</v>
      </c>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v>221948.9</v>
      </c>
      <c r="C28" s="286">
        <v>239603.1</v>
      </c>
      <c r="D28" s="166">
        <f t="shared" si="3"/>
        <v>8</v>
      </c>
      <c r="E28" s="11">
        <f>IFERROR(100/'Skjema total MA'!C28*C28,0)</f>
        <v>22.217756782175581</v>
      </c>
      <c r="F28" s="233"/>
      <c r="G28" s="286"/>
      <c r="H28" s="166"/>
      <c r="I28" s="27"/>
      <c r="J28" s="44">
        <f t="shared" si="5"/>
        <v>221948.9</v>
      </c>
      <c r="K28" s="44">
        <f t="shared" si="5"/>
        <v>239603.1</v>
      </c>
      <c r="L28" s="253">
        <f t="shared" si="6"/>
        <v>8</v>
      </c>
      <c r="M28" s="23">
        <f>IFERROR(100/'Skjema total MA'!I28*K28,0)</f>
        <v>22.217756782175581</v>
      </c>
    </row>
    <row r="29" spans="1:14" s="3" customFormat="1" ht="15.75" x14ac:dyDescent="0.2">
      <c r="A29" s="13" t="s">
        <v>367</v>
      </c>
      <c r="B29" s="235">
        <v>1782352</v>
      </c>
      <c r="C29" s="235">
        <v>2118243</v>
      </c>
      <c r="D29" s="171">
        <f t="shared" si="3"/>
        <v>18.8</v>
      </c>
      <c r="E29" s="11">
        <f>IFERROR(100/'Skjema total MA'!C29*C29,0)</f>
        <v>4.5659883103383736</v>
      </c>
      <c r="F29" s="307">
        <v>1555398</v>
      </c>
      <c r="G29" s="307">
        <v>1539897.7</v>
      </c>
      <c r="H29" s="171">
        <f t="shared" si="4"/>
        <v>-1</v>
      </c>
      <c r="I29" s="11">
        <f>IFERROR(100/'Skjema total MA'!F29*G29,0)</f>
        <v>7.0307305108935925</v>
      </c>
      <c r="J29" s="235">
        <f t="shared" si="5"/>
        <v>3337750</v>
      </c>
      <c r="K29" s="235">
        <f t="shared" si="5"/>
        <v>3658140.7</v>
      </c>
      <c r="L29" s="427">
        <f t="shared" si="6"/>
        <v>9.6</v>
      </c>
      <c r="M29" s="24">
        <f>IFERROR(100/'Skjema total MA'!I29*K29,0)</f>
        <v>5.3564473165910904</v>
      </c>
      <c r="N29" s="148"/>
    </row>
    <row r="30" spans="1:14" s="3" customFormat="1" ht="15.75" x14ac:dyDescent="0.2">
      <c r="A30" s="587" t="s">
        <v>370</v>
      </c>
      <c r="B30" s="280"/>
      <c r="C30" s="280"/>
      <c r="D30" s="166"/>
      <c r="E30" s="11"/>
      <c r="F30" s="289">
        <v>28926.7</v>
      </c>
      <c r="G30" s="289">
        <v>26220.799999999999</v>
      </c>
      <c r="H30" s="166">
        <f t="shared" si="4"/>
        <v>-9.4</v>
      </c>
      <c r="I30" s="416">
        <f>IFERROR(100/'Skjema total MA'!F30*G30,0)</f>
        <v>0.61184606705151046</v>
      </c>
      <c r="J30" s="289">
        <f t="shared" ref="J30:J33" si="9">SUM(B30,F30)</f>
        <v>28926.7</v>
      </c>
      <c r="K30" s="289">
        <f t="shared" ref="K30:K33" si="10">SUM(C30,G30)</f>
        <v>26220.799999999999</v>
      </c>
      <c r="L30" s="166">
        <f t="shared" si="6"/>
        <v>-9.4</v>
      </c>
      <c r="M30" s="23">
        <f>IFERROR(100/'Skjema total MA'!I30*K30,0)</f>
        <v>0.14344301965588288</v>
      </c>
      <c r="N30" s="148"/>
    </row>
    <row r="31" spans="1:14" s="3" customFormat="1" ht="15.75" x14ac:dyDescent="0.2">
      <c r="A31" s="587" t="s">
        <v>371</v>
      </c>
      <c r="B31" s="280"/>
      <c r="C31" s="280"/>
      <c r="D31" s="166"/>
      <c r="E31" s="11"/>
      <c r="F31" s="289">
        <v>1198180</v>
      </c>
      <c r="G31" s="289">
        <v>1091512.8999999999</v>
      </c>
      <c r="H31" s="166">
        <f t="shared" si="4"/>
        <v>-8.9</v>
      </c>
      <c r="I31" s="416">
        <f>IFERROR(100/'Skjema total MA'!F31*G31,0)</f>
        <v>11.981481620348058</v>
      </c>
      <c r="J31" s="289">
        <f t="shared" si="9"/>
        <v>1198180</v>
      </c>
      <c r="K31" s="289">
        <f t="shared" si="10"/>
        <v>1091512.8999999999</v>
      </c>
      <c r="L31" s="166">
        <f t="shared" si="6"/>
        <v>-8.9</v>
      </c>
      <c r="M31" s="23">
        <f>IFERROR(100/'Skjema total MA'!I31*K31,0)</f>
        <v>3.281290082291501</v>
      </c>
      <c r="N31" s="148"/>
    </row>
    <row r="32" spans="1:14" ht="15.75" x14ac:dyDescent="0.2">
      <c r="A32" s="587" t="s">
        <v>372</v>
      </c>
      <c r="B32" s="280"/>
      <c r="C32" s="280"/>
      <c r="D32" s="166"/>
      <c r="E32" s="11"/>
      <c r="F32" s="289">
        <v>123870.6</v>
      </c>
      <c r="G32" s="289">
        <v>122181.2</v>
      </c>
      <c r="H32" s="166">
        <f t="shared" si="4"/>
        <v>-1.4</v>
      </c>
      <c r="I32" s="416">
        <f>IFERROR(100/'Skjema total MA'!F32*G32,0)</f>
        <v>2.6116109902050564</v>
      </c>
      <c r="J32" s="289">
        <f t="shared" si="9"/>
        <v>123870.6</v>
      </c>
      <c r="K32" s="289">
        <f t="shared" si="10"/>
        <v>122181.2</v>
      </c>
      <c r="L32" s="166">
        <f t="shared" si="6"/>
        <v>-1.4</v>
      </c>
      <c r="M32" s="23">
        <f>IFERROR(100/'Skjema total MA'!I32*K32,0)</f>
        <v>1.6022198766529516</v>
      </c>
    </row>
    <row r="33" spans="1:14" ht="15.75" x14ac:dyDescent="0.2">
      <c r="A33" s="587" t="s">
        <v>373</v>
      </c>
      <c r="B33" s="280"/>
      <c r="C33" s="280"/>
      <c r="D33" s="166"/>
      <c r="E33" s="11"/>
      <c r="F33" s="289">
        <v>204420.7</v>
      </c>
      <c r="G33" s="289">
        <v>299982.8</v>
      </c>
      <c r="H33" s="166">
        <f t="shared" si="4"/>
        <v>46.7</v>
      </c>
      <c r="I33" s="416">
        <f>IFERROR(100/'Skjema total MA'!F33*G33,0)</f>
        <v>7.8355599510939689</v>
      </c>
      <c r="J33" s="289">
        <f t="shared" si="9"/>
        <v>204420.7</v>
      </c>
      <c r="K33" s="289">
        <f t="shared" si="10"/>
        <v>299982.8</v>
      </c>
      <c r="L33" s="166">
        <f t="shared" si="6"/>
        <v>46.7</v>
      </c>
      <c r="M33" s="23">
        <f>IFERROR(100/'Skjema total MA'!I33*K33,0)</f>
        <v>7.8355599510939689</v>
      </c>
    </row>
    <row r="34" spans="1:14" ht="15.75" x14ac:dyDescent="0.2">
      <c r="A34" s="13" t="s">
        <v>368</v>
      </c>
      <c r="B34" s="235"/>
      <c r="C34" s="308"/>
      <c r="D34" s="171"/>
      <c r="E34" s="11"/>
      <c r="F34" s="307">
        <v>5152.3999999999996</v>
      </c>
      <c r="G34" s="308">
        <v>8219.7999999999993</v>
      </c>
      <c r="H34" s="171">
        <f t="shared" si="4"/>
        <v>59.5</v>
      </c>
      <c r="I34" s="11">
        <f>IFERROR(100/'Skjema total MA'!F34*G34,0)</f>
        <v>-426.31370988129703</v>
      </c>
      <c r="J34" s="235">
        <f t="shared" si="5"/>
        <v>5152.3999999999996</v>
      </c>
      <c r="K34" s="235">
        <f t="shared" si="5"/>
        <v>8219.7999999999993</v>
      </c>
      <c r="L34" s="427">
        <f t="shared" si="6"/>
        <v>59.5</v>
      </c>
      <c r="M34" s="24">
        <f>IFERROR(100/'Skjema total MA'!I34*K34,0)</f>
        <v>85.515849397956217</v>
      </c>
    </row>
    <row r="35" spans="1:14" ht="15.75" x14ac:dyDescent="0.2">
      <c r="A35" s="13" t="s">
        <v>369</v>
      </c>
      <c r="B35" s="235"/>
      <c r="C35" s="308"/>
      <c r="D35" s="171"/>
      <c r="E35" s="11"/>
      <c r="F35" s="307">
        <v>5685.4</v>
      </c>
      <c r="G35" s="308">
        <v>4608.7</v>
      </c>
      <c r="H35" s="171">
        <f t="shared" si="4"/>
        <v>-18.899999999999999</v>
      </c>
      <c r="I35" s="11">
        <f>IFERROR(100/'Skjema total MA'!F35*G35,0)</f>
        <v>6.0287101572185531</v>
      </c>
      <c r="J35" s="235">
        <f t="shared" si="5"/>
        <v>5685.4</v>
      </c>
      <c r="K35" s="235">
        <f t="shared" si="5"/>
        <v>4608.7</v>
      </c>
      <c r="L35" s="427">
        <f t="shared" si="6"/>
        <v>-18.899999999999999</v>
      </c>
      <c r="M35" s="24">
        <f>IFERROR(100/'Skjema total MA'!I35*K35,0)</f>
        <v>30.212689955707948</v>
      </c>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c r="C47" s="310"/>
      <c r="D47" s="426"/>
      <c r="E47" s="11"/>
      <c r="F47" s="145"/>
      <c r="G47" s="33"/>
      <c r="H47" s="159"/>
      <c r="I47" s="159"/>
      <c r="J47" s="37"/>
      <c r="K47" s="37"/>
      <c r="L47" s="159"/>
      <c r="M47" s="159"/>
      <c r="N47" s="148"/>
    </row>
    <row r="48" spans="1:14" s="3" customFormat="1" ht="15.75" x14ac:dyDescent="0.2">
      <c r="A48" s="38" t="s">
        <v>378</v>
      </c>
      <c r="B48" s="280"/>
      <c r="C48" s="281"/>
      <c r="D48" s="253"/>
      <c r="E48" s="27"/>
      <c r="F48" s="145"/>
      <c r="G48" s="33"/>
      <c r="H48" s="145"/>
      <c r="I48" s="145"/>
      <c r="J48" s="33"/>
      <c r="K48" s="33"/>
      <c r="L48" s="159"/>
      <c r="M48" s="159"/>
      <c r="N48" s="148"/>
    </row>
    <row r="49" spans="1:14" s="3" customFormat="1" ht="15.75" x14ac:dyDescent="0.2">
      <c r="A49" s="38" t="s">
        <v>379</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c r="C53" s="310"/>
      <c r="D53" s="427"/>
      <c r="E53" s="11"/>
      <c r="F53" s="145"/>
      <c r="G53" s="33"/>
      <c r="H53" s="145"/>
      <c r="I53" s="145"/>
      <c r="J53" s="33"/>
      <c r="K53" s="33"/>
      <c r="L53" s="159"/>
      <c r="M53" s="159"/>
      <c r="N53" s="148"/>
    </row>
    <row r="54" spans="1:14" s="3" customFormat="1" ht="15.75" x14ac:dyDescent="0.2">
      <c r="A54" s="38" t="s">
        <v>378</v>
      </c>
      <c r="B54" s="280"/>
      <c r="C54" s="281"/>
      <c r="D54" s="253"/>
      <c r="E54" s="27"/>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c r="C56" s="310"/>
      <c r="D56" s="427"/>
      <c r="E56" s="11"/>
      <c r="F56" s="145"/>
      <c r="G56" s="33"/>
      <c r="H56" s="145"/>
      <c r="I56" s="145"/>
      <c r="J56" s="33"/>
      <c r="K56" s="33"/>
      <c r="L56" s="159"/>
      <c r="M56" s="159"/>
      <c r="N56" s="148"/>
    </row>
    <row r="57" spans="1:14" s="3" customFormat="1" ht="15.75" x14ac:dyDescent="0.2">
      <c r="A57" s="38" t="s">
        <v>378</v>
      </c>
      <c r="B57" s="280"/>
      <c r="C57" s="281"/>
      <c r="D57" s="253"/>
      <c r="E57" s="27"/>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v>128638.7</v>
      </c>
      <c r="C66" s="352">
        <v>122545.3</v>
      </c>
      <c r="D66" s="349">
        <f t="shared" ref="D66:D111" si="11">IF(B66=0, "    ---- ", IF(ABS(ROUND(100/B66*C66-100,1))&lt;999,ROUND(100/B66*C66-100,1),IF(ROUND(100/B66*C66-100,1)&gt;999,999,-999)))</f>
        <v>-4.7</v>
      </c>
      <c r="E66" s="11">
        <f>IFERROR(100/'Skjema total MA'!C66*C66,0)</f>
        <v>2.6063014591139333</v>
      </c>
      <c r="F66" s="351">
        <v>1483814.5</v>
      </c>
      <c r="G66" s="351">
        <v>1469045.6</v>
      </c>
      <c r="H66" s="349">
        <f t="shared" ref="H66:H111" si="12">IF(F66=0, "    ---- ", IF(ABS(ROUND(100/F66*G66-100,1))&lt;999,ROUND(100/F66*G66-100,1),IF(ROUND(100/F66*G66-100,1)&gt;999,999,-999)))</f>
        <v>-1</v>
      </c>
      <c r="I66" s="11">
        <f>IFERROR(100/'Skjema total MA'!F66*G66,0)</f>
        <v>8.4739953191366695</v>
      </c>
      <c r="J66" s="308">
        <f t="shared" ref="J66:K79" si="13">SUM(B66,F66)</f>
        <v>1612453.2</v>
      </c>
      <c r="K66" s="315">
        <f t="shared" si="13"/>
        <v>1591590.9000000001</v>
      </c>
      <c r="L66" s="427">
        <f t="shared" ref="L66:L111" si="14">IF(J66=0, "    ---- ", IF(ABS(ROUND(100/J66*K66-100,1))&lt;999,ROUND(100/J66*K66-100,1),IF(ROUND(100/J66*K66-100,1)&gt;999,999,-999)))</f>
        <v>-1.3</v>
      </c>
      <c r="M66" s="11">
        <f>IFERROR(100/'Skjema total MA'!I66*K66,0)</f>
        <v>7.2220914168603016</v>
      </c>
    </row>
    <row r="67" spans="1:14" x14ac:dyDescent="0.2">
      <c r="A67" s="418" t="s">
        <v>9</v>
      </c>
      <c r="B67" s="44">
        <v>128638.7</v>
      </c>
      <c r="C67" s="145">
        <v>122545.3</v>
      </c>
      <c r="D67" s="166">
        <f t="shared" si="11"/>
        <v>-4.7</v>
      </c>
      <c r="E67" s="27">
        <f>IFERROR(100/'Skjema total MA'!C67*C67,0)</f>
        <v>3.5363806343270014</v>
      </c>
      <c r="F67" s="233"/>
      <c r="G67" s="145"/>
      <c r="H67" s="166"/>
      <c r="I67" s="27"/>
      <c r="J67" s="286">
        <f t="shared" si="13"/>
        <v>128638.7</v>
      </c>
      <c r="K67" s="44">
        <f t="shared" si="13"/>
        <v>122545.3</v>
      </c>
      <c r="L67" s="253">
        <f t="shared" si="14"/>
        <v>-4.7</v>
      </c>
      <c r="M67" s="27">
        <f>IFERROR(100/'Skjema total MA'!I67*K67,0)</f>
        <v>3.5363806343270014</v>
      </c>
    </row>
    <row r="68" spans="1:14" x14ac:dyDescent="0.2">
      <c r="A68" s="21" t="s">
        <v>10</v>
      </c>
      <c r="B68" s="291"/>
      <c r="C68" s="292"/>
      <c r="D68" s="166"/>
      <c r="E68" s="27"/>
      <c r="F68" s="291">
        <v>1483814.5</v>
      </c>
      <c r="G68" s="292">
        <v>1469045.6</v>
      </c>
      <c r="H68" s="166">
        <f t="shared" si="12"/>
        <v>-1</v>
      </c>
      <c r="I68" s="27">
        <f>IFERROR(100/'Skjema total MA'!F68*G68,0)</f>
        <v>8.8212735621819292</v>
      </c>
      <c r="J68" s="286">
        <f t="shared" si="13"/>
        <v>1483814.5</v>
      </c>
      <c r="K68" s="44">
        <f t="shared" si="13"/>
        <v>1469045.6</v>
      </c>
      <c r="L68" s="253">
        <f t="shared" si="14"/>
        <v>-1</v>
      </c>
      <c r="M68" s="27">
        <f>IFERROR(100/'Skjema total MA'!I68*K68,0)</f>
        <v>8.7656955863787882</v>
      </c>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v>128638.7</v>
      </c>
      <c r="C77" s="233">
        <v>122545.3</v>
      </c>
      <c r="D77" s="166">
        <f t="shared" si="11"/>
        <v>-4.7</v>
      </c>
      <c r="E77" s="27">
        <f>IFERROR(100/'Skjema total MA'!C77*C77,0)</f>
        <v>3.5661758674442812</v>
      </c>
      <c r="F77" s="233">
        <v>1483814.5</v>
      </c>
      <c r="G77" s="145">
        <v>1469045.6</v>
      </c>
      <c r="H77" s="166">
        <f t="shared" si="12"/>
        <v>-1</v>
      </c>
      <c r="I77" s="27">
        <f>IFERROR(100/'Skjema total MA'!F77*G77,0)</f>
        <v>8.8258889640947569</v>
      </c>
      <c r="J77" s="286">
        <f t="shared" si="13"/>
        <v>1612453.2</v>
      </c>
      <c r="K77" s="44">
        <f t="shared" si="13"/>
        <v>1591590.9000000001</v>
      </c>
      <c r="L77" s="253">
        <f t="shared" si="14"/>
        <v>-1.3</v>
      </c>
      <c r="M77" s="27">
        <f>IFERROR(100/'Skjema total MA'!I77*K77,0)</f>
        <v>7.9258331606306056</v>
      </c>
    </row>
    <row r="78" spans="1:14" x14ac:dyDescent="0.2">
      <c r="A78" s="21" t="s">
        <v>9</v>
      </c>
      <c r="B78" s="233">
        <v>128638.7</v>
      </c>
      <c r="C78" s="145">
        <v>122545.3</v>
      </c>
      <c r="D78" s="166">
        <f t="shared" si="11"/>
        <v>-4.7</v>
      </c>
      <c r="E78" s="27">
        <f>IFERROR(100/'Skjema total MA'!C78*C78,0)</f>
        <v>3.6776932733258354</v>
      </c>
      <c r="F78" s="233"/>
      <c r="G78" s="145"/>
      <c r="H78" s="166"/>
      <c r="I78" s="27"/>
      <c r="J78" s="286">
        <f t="shared" si="13"/>
        <v>128638.7</v>
      </c>
      <c r="K78" s="44">
        <f t="shared" si="13"/>
        <v>122545.3</v>
      </c>
      <c r="L78" s="253">
        <f t="shared" si="14"/>
        <v>-4.7</v>
      </c>
      <c r="M78" s="27">
        <f>IFERROR(100/'Skjema total MA'!I78*K78,0)</f>
        <v>3.6776932733258354</v>
      </c>
    </row>
    <row r="79" spans="1:14" x14ac:dyDescent="0.2">
      <c r="A79" s="21" t="s">
        <v>10</v>
      </c>
      <c r="B79" s="291"/>
      <c r="C79" s="292"/>
      <c r="D79" s="166"/>
      <c r="E79" s="27"/>
      <c r="F79" s="291">
        <v>1483814.5</v>
      </c>
      <c r="G79" s="292">
        <v>1469045.6</v>
      </c>
      <c r="H79" s="166">
        <f t="shared" si="12"/>
        <v>-1</v>
      </c>
      <c r="I79" s="27">
        <f>IFERROR(100/'Skjema total MA'!F79*G79,0)</f>
        <v>8.8258889640947569</v>
      </c>
      <c r="J79" s="286">
        <f t="shared" si="13"/>
        <v>1483814.5</v>
      </c>
      <c r="K79" s="44">
        <f t="shared" si="13"/>
        <v>1469045.6</v>
      </c>
      <c r="L79" s="253">
        <f t="shared" si="14"/>
        <v>-1</v>
      </c>
      <c r="M79" s="27">
        <f>IFERROR(100/'Skjema total MA'!I79*K79,0)</f>
        <v>8.7709813684702613</v>
      </c>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c r="G86" s="145"/>
      <c r="H86" s="166"/>
      <c r="I86" s="27"/>
      <c r="J86" s="286"/>
      <c r="K86" s="44"/>
      <c r="L86" s="253"/>
      <c r="M86" s="27"/>
    </row>
    <row r="87" spans="1:13" ht="15.75" x14ac:dyDescent="0.2">
      <c r="A87" s="13" t="s">
        <v>367</v>
      </c>
      <c r="B87" s="352">
        <v>5163835</v>
      </c>
      <c r="C87" s="352">
        <v>5256815.8</v>
      </c>
      <c r="D87" s="171">
        <f t="shared" si="11"/>
        <v>1.8</v>
      </c>
      <c r="E87" s="11">
        <f>IFERROR(100/'Skjema total MA'!C87*C87,0)</f>
        <v>1.3377381368183798</v>
      </c>
      <c r="F87" s="351">
        <v>25090867.899999999</v>
      </c>
      <c r="G87" s="351">
        <v>27529275.199999999</v>
      </c>
      <c r="H87" s="171">
        <f t="shared" si="12"/>
        <v>9.6999999999999993</v>
      </c>
      <c r="I87" s="11">
        <f>IFERROR(100/'Skjema total MA'!F87*G87,0)</f>
        <v>8.6682661883309375</v>
      </c>
      <c r="J87" s="308">
        <f t="shared" ref="J87:K111" si="15">SUM(B87,F87)</f>
        <v>30254702.899999999</v>
      </c>
      <c r="K87" s="235">
        <f t="shared" si="15"/>
        <v>32786091</v>
      </c>
      <c r="L87" s="427">
        <f t="shared" si="14"/>
        <v>8.4</v>
      </c>
      <c r="M87" s="11">
        <f>IFERROR(100/'Skjema total MA'!I87*K87,0)</f>
        <v>4.6141858322928213</v>
      </c>
    </row>
    <row r="88" spans="1:13" x14ac:dyDescent="0.2">
      <c r="A88" s="21" t="s">
        <v>9</v>
      </c>
      <c r="B88" s="233">
        <v>5163835</v>
      </c>
      <c r="C88" s="145">
        <v>5256815.8</v>
      </c>
      <c r="D88" s="166">
        <f t="shared" si="11"/>
        <v>1.8</v>
      </c>
      <c r="E88" s="27">
        <f>IFERROR(100/'Skjema total MA'!C88*C88,0)</f>
        <v>1.3770365036404049</v>
      </c>
      <c r="F88" s="233"/>
      <c r="G88" s="145"/>
      <c r="H88" s="166"/>
      <c r="I88" s="27"/>
      <c r="J88" s="286">
        <f t="shared" si="15"/>
        <v>5163835</v>
      </c>
      <c r="K88" s="44">
        <f t="shared" si="15"/>
        <v>5256815.8</v>
      </c>
      <c r="L88" s="253">
        <f t="shared" si="14"/>
        <v>1.8</v>
      </c>
      <c r="M88" s="27">
        <f>IFERROR(100/'Skjema total MA'!I88*K88,0)</f>
        <v>1.3770365036404049</v>
      </c>
    </row>
    <row r="89" spans="1:13" x14ac:dyDescent="0.2">
      <c r="A89" s="21" t="s">
        <v>10</v>
      </c>
      <c r="B89" s="233"/>
      <c r="C89" s="145"/>
      <c r="D89" s="166"/>
      <c r="E89" s="27"/>
      <c r="F89" s="233">
        <v>25090867.899999999</v>
      </c>
      <c r="G89" s="145">
        <v>27529275.199999999</v>
      </c>
      <c r="H89" s="166">
        <f t="shared" si="12"/>
        <v>9.6999999999999993</v>
      </c>
      <c r="I89" s="27">
        <f>IFERROR(100/'Skjema total MA'!F89*G89,0)</f>
        <v>8.7286223202101052</v>
      </c>
      <c r="J89" s="286">
        <f t="shared" si="15"/>
        <v>25090867.899999999</v>
      </c>
      <c r="K89" s="44">
        <f t="shared" si="15"/>
        <v>27529275.199999999</v>
      </c>
      <c r="L89" s="253">
        <f t="shared" si="14"/>
        <v>9.6999999999999993</v>
      </c>
      <c r="M89" s="27">
        <f>IFERROR(100/'Skjema total MA'!I89*K89,0)</f>
        <v>8.6416545576050083</v>
      </c>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row>
    <row r="98" spans="1:13" ht="15.75" x14ac:dyDescent="0.2">
      <c r="A98" s="21" t="s">
        <v>384</v>
      </c>
      <c r="B98" s="233">
        <v>5163835</v>
      </c>
      <c r="C98" s="233">
        <v>5256815.8</v>
      </c>
      <c r="D98" s="166">
        <f t="shared" si="11"/>
        <v>1.8</v>
      </c>
      <c r="E98" s="27">
        <f>IFERROR(100/'Skjema total MA'!C98*C98,0)</f>
        <v>1.3815712807203582</v>
      </c>
      <c r="F98" s="291">
        <v>25090867.899999999</v>
      </c>
      <c r="G98" s="291">
        <v>27529275.199999999</v>
      </c>
      <c r="H98" s="166">
        <f t="shared" si="12"/>
        <v>9.6999999999999993</v>
      </c>
      <c r="I98" s="27">
        <f>IFERROR(100/'Skjema total MA'!F98*G98,0)</f>
        <v>8.7530421967834791</v>
      </c>
      <c r="J98" s="286">
        <f t="shared" si="15"/>
        <v>30254702.899999999</v>
      </c>
      <c r="K98" s="44">
        <f t="shared" si="15"/>
        <v>32786091</v>
      </c>
      <c r="L98" s="253">
        <f t="shared" si="14"/>
        <v>8.4</v>
      </c>
      <c r="M98" s="27">
        <f>IFERROR(100/'Skjema total MA'!I98*K98,0)</f>
        <v>4.7173798301217635</v>
      </c>
    </row>
    <row r="99" spans="1:13" x14ac:dyDescent="0.2">
      <c r="A99" s="21" t="s">
        <v>9</v>
      </c>
      <c r="B99" s="291">
        <v>5163835</v>
      </c>
      <c r="C99" s="292">
        <v>5256815.8</v>
      </c>
      <c r="D99" s="166">
        <f t="shared" si="11"/>
        <v>1.8</v>
      </c>
      <c r="E99" s="27">
        <f>IFERROR(100/'Skjema total MA'!C99*C99,0)</f>
        <v>1.3931930515540394</v>
      </c>
      <c r="F99" s="233"/>
      <c r="G99" s="145"/>
      <c r="H99" s="166"/>
      <c r="I99" s="27"/>
      <c r="J99" s="286">
        <f t="shared" si="15"/>
        <v>5163835</v>
      </c>
      <c r="K99" s="44">
        <f t="shared" si="15"/>
        <v>5256815.8</v>
      </c>
      <c r="L99" s="253">
        <f t="shared" si="14"/>
        <v>1.8</v>
      </c>
      <c r="M99" s="27">
        <f>IFERROR(100/'Skjema total MA'!I99*K99,0)</f>
        <v>1.3931930515540394</v>
      </c>
    </row>
    <row r="100" spans="1:13" x14ac:dyDescent="0.2">
      <c r="A100" s="21" t="s">
        <v>10</v>
      </c>
      <c r="B100" s="291"/>
      <c r="C100" s="292"/>
      <c r="D100" s="166"/>
      <c r="E100" s="27"/>
      <c r="F100" s="233">
        <v>25090867.899999999</v>
      </c>
      <c r="G100" s="233">
        <v>27529275.199999999</v>
      </c>
      <c r="H100" s="166">
        <f t="shared" si="12"/>
        <v>9.6999999999999993</v>
      </c>
      <c r="I100" s="27">
        <f>IFERROR(100/'Skjema total MA'!F100*G100,0)</f>
        <v>8.7530421967834791</v>
      </c>
      <c r="J100" s="286">
        <f t="shared" si="15"/>
        <v>25090867.899999999</v>
      </c>
      <c r="K100" s="44">
        <f t="shared" si="15"/>
        <v>27529275.199999999</v>
      </c>
      <c r="L100" s="253">
        <f t="shared" si="14"/>
        <v>9.6999999999999993</v>
      </c>
      <c r="M100" s="27">
        <f>IFERROR(100/'Skjema total MA'!I100*K100,0)</f>
        <v>8.6655895755669441</v>
      </c>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c r="G107" s="145"/>
      <c r="H107" s="166"/>
      <c r="I107" s="27"/>
      <c r="J107" s="286"/>
      <c r="K107" s="44"/>
      <c r="L107" s="253"/>
      <c r="M107" s="27"/>
    </row>
    <row r="108" spans="1:13" ht="15.75" x14ac:dyDescent="0.2">
      <c r="A108" s="21" t="s">
        <v>386</v>
      </c>
      <c r="B108" s="233">
        <v>4135088</v>
      </c>
      <c r="C108" s="233">
        <v>4089012.1</v>
      </c>
      <c r="D108" s="166">
        <f t="shared" si="11"/>
        <v>-1.1000000000000001</v>
      </c>
      <c r="E108" s="27">
        <f>IFERROR(100/'Skjema total MA'!C108*C108,0)</f>
        <v>1.2618501531029866</v>
      </c>
      <c r="F108" s="233"/>
      <c r="G108" s="233"/>
      <c r="H108" s="166"/>
      <c r="I108" s="27"/>
      <c r="J108" s="286">
        <f t="shared" si="15"/>
        <v>4135088</v>
      </c>
      <c r="K108" s="44">
        <f t="shared" si="15"/>
        <v>4089012.1</v>
      </c>
      <c r="L108" s="253">
        <f t="shared" si="14"/>
        <v>-1.1000000000000001</v>
      </c>
      <c r="M108" s="27">
        <f>IFERROR(100/'Skjema total MA'!I108*K108,0)</f>
        <v>1.2004928796158081</v>
      </c>
    </row>
    <row r="109" spans="1:13" ht="15.75" x14ac:dyDescent="0.2">
      <c r="A109" s="21" t="s">
        <v>387</v>
      </c>
      <c r="B109" s="233"/>
      <c r="C109" s="233"/>
      <c r="D109" s="166"/>
      <c r="E109" s="27"/>
      <c r="F109" s="233">
        <v>8678010.1999999993</v>
      </c>
      <c r="G109" s="233">
        <v>10081599.4</v>
      </c>
      <c r="H109" s="166">
        <f t="shared" si="12"/>
        <v>16.2</v>
      </c>
      <c r="I109" s="27">
        <f>IFERROR(100/'Skjema total MA'!F109*G109,0)</f>
        <v>9.180620271331092</v>
      </c>
      <c r="J109" s="286">
        <f t="shared" si="15"/>
        <v>8678010.1999999993</v>
      </c>
      <c r="K109" s="44">
        <f t="shared" si="15"/>
        <v>10081599.4</v>
      </c>
      <c r="L109" s="253">
        <f t="shared" si="14"/>
        <v>16.2</v>
      </c>
      <c r="M109" s="27">
        <f>IFERROR(100/'Skjema total MA'!I109*K109,0)</f>
        <v>9.0926201663813746</v>
      </c>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v>53017.1</v>
      </c>
      <c r="C111" s="159">
        <v>27292.400000000001</v>
      </c>
      <c r="D111" s="171">
        <f t="shared" si="11"/>
        <v>-48.5</v>
      </c>
      <c r="E111" s="11">
        <f>IFERROR(100/'Skjema total MA'!C111*C111,0)</f>
        <v>5.1208984082612412</v>
      </c>
      <c r="F111" s="307">
        <v>1116781.1000000001</v>
      </c>
      <c r="G111" s="159">
        <v>794371.9</v>
      </c>
      <c r="H111" s="171">
        <f t="shared" si="12"/>
        <v>-28.9</v>
      </c>
      <c r="I111" s="11">
        <f>IFERROR(100/'Skjema total MA'!F111*G111,0)</f>
        <v>6.7223401344333586</v>
      </c>
      <c r="J111" s="308">
        <f t="shared" si="15"/>
        <v>1169798.2000000002</v>
      </c>
      <c r="K111" s="235">
        <f t="shared" si="15"/>
        <v>821664.3</v>
      </c>
      <c r="L111" s="427">
        <f t="shared" si="14"/>
        <v>-29.8</v>
      </c>
      <c r="M111" s="11">
        <f>IFERROR(100/'Skjema total MA'!I111*K111,0)</f>
        <v>6.6532295134899098</v>
      </c>
    </row>
    <row r="112" spans="1:13" x14ac:dyDescent="0.2">
      <c r="A112" s="21" t="s">
        <v>9</v>
      </c>
      <c r="B112" s="233">
        <v>53017.1</v>
      </c>
      <c r="C112" s="145">
        <v>27292.400000000001</v>
      </c>
      <c r="D112" s="166">
        <f t="shared" ref="D112:D120" si="16">IF(B112=0, "    ---- ", IF(ABS(ROUND(100/B112*C112-100,1))&lt;999,ROUND(100/B112*C112-100,1),IF(ROUND(100/B112*C112-100,1)&gt;999,999,-999)))</f>
        <v>-48.5</v>
      </c>
      <c r="E112" s="27">
        <f>IFERROR(100/'Skjema total MA'!C112*C112,0)</f>
        <v>15.022331659470105</v>
      </c>
      <c r="F112" s="233"/>
      <c r="G112" s="145"/>
      <c r="H112" s="166"/>
      <c r="I112" s="27"/>
      <c r="J112" s="286">
        <f t="shared" ref="J112:K125" si="17">SUM(B112,F112)</f>
        <v>53017.1</v>
      </c>
      <c r="K112" s="44">
        <f t="shared" si="17"/>
        <v>27292.400000000001</v>
      </c>
      <c r="L112" s="253">
        <f t="shared" ref="L112:L125" si="18">IF(J112=0, "    ---- ", IF(ABS(ROUND(100/J112*K112-100,1))&lt;999,ROUND(100/J112*K112-100,1),IF(ROUND(100/J112*K112-100,1)&gt;999,999,-999)))</f>
        <v>-48.5</v>
      </c>
      <c r="M112" s="27">
        <f>IFERROR(100/'Skjema total MA'!I112*K112,0)</f>
        <v>14.803241087181267</v>
      </c>
    </row>
    <row r="113" spans="1:14" x14ac:dyDescent="0.2">
      <c r="A113" s="21" t="s">
        <v>10</v>
      </c>
      <c r="B113" s="233"/>
      <c r="C113" s="145"/>
      <c r="D113" s="166"/>
      <c r="E113" s="27"/>
      <c r="F113" s="233">
        <v>1116781.1000000001</v>
      </c>
      <c r="G113" s="145">
        <v>794371.9</v>
      </c>
      <c r="H113" s="166">
        <f t="shared" ref="H113:H125" si="19">IF(F113=0, "    ---- ", IF(ABS(ROUND(100/F113*G113-100,1))&lt;999,ROUND(100/F113*G113-100,1),IF(ROUND(100/F113*G113-100,1)&gt;999,999,-999)))</f>
        <v>-28.9</v>
      </c>
      <c r="I113" s="27">
        <f>IFERROR(100/'Skjema total MA'!F113*G113,0)</f>
        <v>6.7631901969729595</v>
      </c>
      <c r="J113" s="286">
        <f t="shared" si="17"/>
        <v>1116781.1000000001</v>
      </c>
      <c r="K113" s="44">
        <f t="shared" si="17"/>
        <v>794371.9</v>
      </c>
      <c r="L113" s="253">
        <f t="shared" si="18"/>
        <v>-28.9</v>
      </c>
      <c r="M113" s="27">
        <f>IFERROR(100/'Skjema total MA'!I113*K113,0)</f>
        <v>6.7607406625492104</v>
      </c>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v>8103.3</v>
      </c>
      <c r="C116" s="233">
        <v>4193.8</v>
      </c>
      <c r="D116" s="166">
        <f t="shared" si="16"/>
        <v>-48.2</v>
      </c>
      <c r="E116" s="27">
        <f>IFERROR(100/'Skjema total MA'!C116*C116,0)</f>
        <v>8.9935067601735756</v>
      </c>
      <c r="F116" s="233"/>
      <c r="G116" s="233"/>
      <c r="H116" s="166"/>
      <c r="I116" s="27"/>
      <c r="J116" s="286">
        <f t="shared" si="17"/>
        <v>8103.3</v>
      </c>
      <c r="K116" s="44">
        <f t="shared" si="17"/>
        <v>4193.8</v>
      </c>
      <c r="L116" s="253">
        <f t="shared" si="18"/>
        <v>-48.2</v>
      </c>
      <c r="M116" s="27">
        <f>IFERROR(100/'Skjema total MA'!I116*K116,0)</f>
        <v>8.5031923974509489</v>
      </c>
    </row>
    <row r="117" spans="1:14" ht="15.75" x14ac:dyDescent="0.2">
      <c r="A117" s="21" t="s">
        <v>390</v>
      </c>
      <c r="B117" s="233"/>
      <c r="C117" s="233"/>
      <c r="D117" s="166"/>
      <c r="E117" s="27"/>
      <c r="F117" s="233">
        <v>117753.5</v>
      </c>
      <c r="G117" s="233">
        <v>103965.6</v>
      </c>
      <c r="H117" s="166">
        <f t="shared" si="19"/>
        <v>-11.7</v>
      </c>
      <c r="I117" s="27">
        <f>IFERROR(100/'Skjema total MA'!F117*G117,0)</f>
        <v>5.7428439513609009</v>
      </c>
      <c r="J117" s="286">
        <f t="shared" si="17"/>
        <v>117753.5</v>
      </c>
      <c r="K117" s="44">
        <f t="shared" si="17"/>
        <v>103965.6</v>
      </c>
      <c r="L117" s="253">
        <f t="shared" si="18"/>
        <v>-11.7</v>
      </c>
      <c r="M117" s="27">
        <f>IFERROR(100/'Skjema total MA'!I117*K117,0)</f>
        <v>5.7428439513609009</v>
      </c>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v>23718.5</v>
      </c>
      <c r="C119" s="159">
        <v>81411</v>
      </c>
      <c r="D119" s="171">
        <f t="shared" si="16"/>
        <v>243.2</v>
      </c>
      <c r="E119" s="11">
        <f>IFERROR(100/'Skjema total MA'!C119*C119,0)</f>
        <v>13.683314153314294</v>
      </c>
      <c r="F119" s="307">
        <v>1521022.8</v>
      </c>
      <c r="G119" s="159">
        <v>1578477.4</v>
      </c>
      <c r="H119" s="171">
        <f t="shared" si="19"/>
        <v>3.8</v>
      </c>
      <c r="I119" s="11">
        <f>IFERROR(100/'Skjema total MA'!F119*G119,0)</f>
        <v>13.648662394122178</v>
      </c>
      <c r="J119" s="308">
        <f t="shared" si="17"/>
        <v>1544741.3</v>
      </c>
      <c r="K119" s="235">
        <f t="shared" si="17"/>
        <v>1659888.4</v>
      </c>
      <c r="L119" s="427">
        <f t="shared" si="18"/>
        <v>7.5</v>
      </c>
      <c r="M119" s="11">
        <f>IFERROR(100/'Skjema total MA'!I119*K119,0)</f>
        <v>13.650357833342305</v>
      </c>
    </row>
    <row r="120" spans="1:14" x14ac:dyDescent="0.2">
      <c r="A120" s="21" t="s">
        <v>9</v>
      </c>
      <c r="B120" s="233">
        <v>23718.5</v>
      </c>
      <c r="C120" s="145">
        <v>81411</v>
      </c>
      <c r="D120" s="166">
        <f t="shared" si="16"/>
        <v>243.2</v>
      </c>
      <c r="E120" s="27">
        <f>IFERROR(100/'Skjema total MA'!C120*C120,0)</f>
        <v>17.351394233453536</v>
      </c>
      <c r="F120" s="233"/>
      <c r="G120" s="145"/>
      <c r="H120" s="166"/>
      <c r="I120" s="27"/>
      <c r="J120" s="286">
        <f t="shared" si="17"/>
        <v>23718.5</v>
      </c>
      <c r="K120" s="44">
        <f t="shared" si="17"/>
        <v>81411</v>
      </c>
      <c r="L120" s="253">
        <f t="shared" si="18"/>
        <v>243.2</v>
      </c>
      <c r="M120" s="27">
        <f>IFERROR(100/'Skjema total MA'!I120*K120,0)</f>
        <v>17.351394233453536</v>
      </c>
    </row>
    <row r="121" spans="1:14" x14ac:dyDescent="0.2">
      <c r="A121" s="21" t="s">
        <v>10</v>
      </c>
      <c r="B121" s="233"/>
      <c r="C121" s="145"/>
      <c r="D121" s="166"/>
      <c r="E121" s="27"/>
      <c r="F121" s="233">
        <v>1521022.8</v>
      </c>
      <c r="G121" s="145">
        <v>1578477.4</v>
      </c>
      <c r="H121" s="166">
        <f t="shared" si="19"/>
        <v>3.8</v>
      </c>
      <c r="I121" s="27">
        <f>IFERROR(100/'Skjema total MA'!F121*G121,0)</f>
        <v>13.648662394122178</v>
      </c>
      <c r="J121" s="286">
        <f t="shared" si="17"/>
        <v>1521022.8</v>
      </c>
      <c r="K121" s="44">
        <f t="shared" si="17"/>
        <v>1578477.4</v>
      </c>
      <c r="L121" s="253">
        <f t="shared" si="18"/>
        <v>3.8</v>
      </c>
      <c r="M121" s="27">
        <f>IFERROR(100/'Skjema total MA'!I121*K121,0)</f>
        <v>13.643145129019613</v>
      </c>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v>433633.2</v>
      </c>
      <c r="G125" s="233">
        <v>238957.4</v>
      </c>
      <c r="H125" s="166">
        <f t="shared" si="19"/>
        <v>-44.9</v>
      </c>
      <c r="I125" s="27">
        <f>IFERROR(100/'Skjema total MA'!F125*G125,0)</f>
        <v>12.144044939292266</v>
      </c>
      <c r="J125" s="286">
        <f t="shared" si="17"/>
        <v>433633.2</v>
      </c>
      <c r="K125" s="44">
        <f t="shared" si="17"/>
        <v>238957.4</v>
      </c>
      <c r="L125" s="253">
        <f t="shared" si="18"/>
        <v>-44.9</v>
      </c>
      <c r="M125" s="27">
        <f>IFERROR(100/'Skjema total MA'!I125*K125,0)</f>
        <v>12.137485838635584</v>
      </c>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231" priority="132">
      <formula>kvartal &lt; 4</formula>
    </cfRule>
  </conditionalFormatting>
  <conditionalFormatting sqref="B69">
    <cfRule type="expression" dxfId="1230" priority="100">
      <formula>kvartal &lt; 4</formula>
    </cfRule>
  </conditionalFormatting>
  <conditionalFormatting sqref="C69">
    <cfRule type="expression" dxfId="1229" priority="99">
      <formula>kvartal &lt; 4</formula>
    </cfRule>
  </conditionalFormatting>
  <conditionalFormatting sqref="B72">
    <cfRule type="expression" dxfId="1228" priority="98">
      <formula>kvartal &lt; 4</formula>
    </cfRule>
  </conditionalFormatting>
  <conditionalFormatting sqref="C72">
    <cfRule type="expression" dxfId="1227" priority="97">
      <formula>kvartal &lt; 4</formula>
    </cfRule>
  </conditionalFormatting>
  <conditionalFormatting sqref="B80">
    <cfRule type="expression" dxfId="1226" priority="96">
      <formula>kvartal &lt; 4</formula>
    </cfRule>
  </conditionalFormatting>
  <conditionalFormatting sqref="C80">
    <cfRule type="expression" dxfId="1225" priority="95">
      <formula>kvartal &lt; 4</formula>
    </cfRule>
  </conditionalFormatting>
  <conditionalFormatting sqref="B83">
    <cfRule type="expression" dxfId="1224" priority="94">
      <formula>kvartal &lt; 4</formula>
    </cfRule>
  </conditionalFormatting>
  <conditionalFormatting sqref="C83">
    <cfRule type="expression" dxfId="1223" priority="93">
      <formula>kvartal &lt; 4</formula>
    </cfRule>
  </conditionalFormatting>
  <conditionalFormatting sqref="B90">
    <cfRule type="expression" dxfId="1222" priority="84">
      <formula>kvartal &lt; 4</formula>
    </cfRule>
  </conditionalFormatting>
  <conditionalFormatting sqref="C90">
    <cfRule type="expression" dxfId="1221" priority="83">
      <formula>kvartal &lt; 4</formula>
    </cfRule>
  </conditionalFormatting>
  <conditionalFormatting sqref="B93">
    <cfRule type="expression" dxfId="1220" priority="82">
      <formula>kvartal &lt; 4</formula>
    </cfRule>
  </conditionalFormatting>
  <conditionalFormatting sqref="C93">
    <cfRule type="expression" dxfId="1219" priority="81">
      <formula>kvartal &lt; 4</formula>
    </cfRule>
  </conditionalFormatting>
  <conditionalFormatting sqref="B101">
    <cfRule type="expression" dxfId="1218" priority="80">
      <formula>kvartal &lt; 4</formula>
    </cfRule>
  </conditionalFormatting>
  <conditionalFormatting sqref="C101">
    <cfRule type="expression" dxfId="1217" priority="79">
      <formula>kvartal &lt; 4</formula>
    </cfRule>
  </conditionalFormatting>
  <conditionalFormatting sqref="B104">
    <cfRule type="expression" dxfId="1216" priority="78">
      <formula>kvartal &lt; 4</formula>
    </cfRule>
  </conditionalFormatting>
  <conditionalFormatting sqref="C104">
    <cfRule type="expression" dxfId="1215" priority="77">
      <formula>kvartal &lt; 4</formula>
    </cfRule>
  </conditionalFormatting>
  <conditionalFormatting sqref="B115">
    <cfRule type="expression" dxfId="1214" priority="76">
      <formula>kvartal &lt; 4</formula>
    </cfRule>
  </conditionalFormatting>
  <conditionalFormatting sqref="C115">
    <cfRule type="expression" dxfId="1213" priority="75">
      <formula>kvartal &lt; 4</formula>
    </cfRule>
  </conditionalFormatting>
  <conditionalFormatting sqref="B123">
    <cfRule type="expression" dxfId="1212" priority="74">
      <formula>kvartal &lt; 4</formula>
    </cfRule>
  </conditionalFormatting>
  <conditionalFormatting sqref="C123">
    <cfRule type="expression" dxfId="1211" priority="73">
      <formula>kvartal &lt; 4</formula>
    </cfRule>
  </conditionalFormatting>
  <conditionalFormatting sqref="F70">
    <cfRule type="expression" dxfId="1210" priority="72">
      <formula>kvartal &lt; 4</formula>
    </cfRule>
  </conditionalFormatting>
  <conditionalFormatting sqref="G70">
    <cfRule type="expression" dxfId="1209" priority="71">
      <formula>kvartal &lt; 4</formula>
    </cfRule>
  </conditionalFormatting>
  <conditionalFormatting sqref="F71:G71">
    <cfRule type="expression" dxfId="1208" priority="70">
      <formula>kvartal &lt; 4</formula>
    </cfRule>
  </conditionalFormatting>
  <conditionalFormatting sqref="F73:G74">
    <cfRule type="expression" dxfId="1207" priority="69">
      <formula>kvartal &lt; 4</formula>
    </cfRule>
  </conditionalFormatting>
  <conditionalFormatting sqref="F81:G82">
    <cfRule type="expression" dxfId="1206" priority="68">
      <formula>kvartal &lt; 4</formula>
    </cfRule>
  </conditionalFormatting>
  <conditionalFormatting sqref="F84:G85">
    <cfRule type="expression" dxfId="1205" priority="67">
      <formula>kvartal &lt; 4</formula>
    </cfRule>
  </conditionalFormatting>
  <conditionalFormatting sqref="F91:G92">
    <cfRule type="expression" dxfId="1204" priority="62">
      <formula>kvartal &lt; 4</formula>
    </cfRule>
  </conditionalFormatting>
  <conditionalFormatting sqref="F94:G95">
    <cfRule type="expression" dxfId="1203" priority="61">
      <formula>kvartal &lt; 4</formula>
    </cfRule>
  </conditionalFormatting>
  <conditionalFormatting sqref="F102:G103">
    <cfRule type="expression" dxfId="1202" priority="60">
      <formula>kvartal &lt; 4</formula>
    </cfRule>
  </conditionalFormatting>
  <conditionalFormatting sqref="F105:G106">
    <cfRule type="expression" dxfId="1201" priority="59">
      <formula>kvartal &lt; 4</formula>
    </cfRule>
  </conditionalFormatting>
  <conditionalFormatting sqref="F115">
    <cfRule type="expression" dxfId="1200" priority="58">
      <formula>kvartal &lt; 4</formula>
    </cfRule>
  </conditionalFormatting>
  <conditionalFormatting sqref="G115">
    <cfRule type="expression" dxfId="1199" priority="57">
      <formula>kvartal &lt; 4</formula>
    </cfRule>
  </conditionalFormatting>
  <conditionalFormatting sqref="F123:G123">
    <cfRule type="expression" dxfId="1198" priority="56">
      <formula>kvartal &lt; 4</formula>
    </cfRule>
  </conditionalFormatting>
  <conditionalFormatting sqref="F69:G69">
    <cfRule type="expression" dxfId="1197" priority="55">
      <formula>kvartal &lt; 4</formula>
    </cfRule>
  </conditionalFormatting>
  <conditionalFormatting sqref="F72:G72">
    <cfRule type="expression" dxfId="1196" priority="54">
      <formula>kvartal &lt; 4</formula>
    </cfRule>
  </conditionalFormatting>
  <conditionalFormatting sqref="F80:G80">
    <cfRule type="expression" dxfId="1195" priority="53">
      <formula>kvartal &lt; 4</formula>
    </cfRule>
  </conditionalFormatting>
  <conditionalFormatting sqref="F83:G83">
    <cfRule type="expression" dxfId="1194" priority="52">
      <formula>kvartal &lt; 4</formula>
    </cfRule>
  </conditionalFormatting>
  <conditionalFormatting sqref="F90:G90">
    <cfRule type="expression" dxfId="1193" priority="46">
      <formula>kvartal &lt; 4</formula>
    </cfRule>
  </conditionalFormatting>
  <conditionalFormatting sqref="F93">
    <cfRule type="expression" dxfId="1192" priority="45">
      <formula>kvartal &lt; 4</formula>
    </cfRule>
  </conditionalFormatting>
  <conditionalFormatting sqref="G93">
    <cfRule type="expression" dxfId="1191" priority="44">
      <formula>kvartal &lt; 4</formula>
    </cfRule>
  </conditionalFormatting>
  <conditionalFormatting sqref="F101">
    <cfRule type="expression" dxfId="1190" priority="43">
      <formula>kvartal &lt; 4</formula>
    </cfRule>
  </conditionalFormatting>
  <conditionalFormatting sqref="G101">
    <cfRule type="expression" dxfId="1189" priority="42">
      <formula>kvartal &lt; 4</formula>
    </cfRule>
  </conditionalFormatting>
  <conditionalFormatting sqref="G104">
    <cfRule type="expression" dxfId="1188" priority="41">
      <formula>kvartal &lt; 4</formula>
    </cfRule>
  </conditionalFormatting>
  <conditionalFormatting sqref="F104">
    <cfRule type="expression" dxfId="1187" priority="40">
      <formula>kvartal &lt; 4</formula>
    </cfRule>
  </conditionalFormatting>
  <conditionalFormatting sqref="J69:K73">
    <cfRule type="expression" dxfId="1186" priority="39">
      <formula>kvartal &lt; 4</formula>
    </cfRule>
  </conditionalFormatting>
  <conditionalFormatting sqref="J74:K74">
    <cfRule type="expression" dxfId="1185" priority="38">
      <formula>kvartal &lt; 4</formula>
    </cfRule>
  </conditionalFormatting>
  <conditionalFormatting sqref="J80:K85">
    <cfRule type="expression" dxfId="1184" priority="37">
      <formula>kvartal &lt; 4</formula>
    </cfRule>
  </conditionalFormatting>
  <conditionalFormatting sqref="J90:K95">
    <cfRule type="expression" dxfId="1183" priority="34">
      <formula>kvartal &lt; 4</formula>
    </cfRule>
  </conditionalFormatting>
  <conditionalFormatting sqref="J101:K106">
    <cfRule type="expression" dxfId="1182" priority="33">
      <formula>kvartal &lt; 4</formula>
    </cfRule>
  </conditionalFormatting>
  <conditionalFormatting sqref="J115:K115">
    <cfRule type="expression" dxfId="1181" priority="32">
      <formula>kvartal &lt; 4</formula>
    </cfRule>
  </conditionalFormatting>
  <conditionalFormatting sqref="J123:K123">
    <cfRule type="expression" dxfId="1180" priority="31">
      <formula>kvartal &lt; 4</formula>
    </cfRule>
  </conditionalFormatting>
  <conditionalFormatting sqref="A50:A52">
    <cfRule type="expression" dxfId="1179" priority="12">
      <formula>kvartal &lt; 4</formula>
    </cfRule>
  </conditionalFormatting>
  <conditionalFormatting sqref="A69:A74">
    <cfRule type="expression" dxfId="1178" priority="10">
      <formula>kvartal &lt; 4</formula>
    </cfRule>
  </conditionalFormatting>
  <conditionalFormatting sqref="A80:A85">
    <cfRule type="expression" dxfId="1177" priority="9">
      <formula>kvartal &lt; 4</formula>
    </cfRule>
  </conditionalFormatting>
  <conditionalFormatting sqref="A90:A95">
    <cfRule type="expression" dxfId="1176" priority="6">
      <formula>kvartal &lt; 4</formula>
    </cfRule>
  </conditionalFormatting>
  <conditionalFormatting sqref="A101:A106">
    <cfRule type="expression" dxfId="1175" priority="5">
      <formula>kvartal &lt; 4</formula>
    </cfRule>
  </conditionalFormatting>
  <conditionalFormatting sqref="A115">
    <cfRule type="expression" dxfId="1174" priority="4">
      <formula>kvartal &lt; 4</formula>
    </cfRule>
  </conditionalFormatting>
  <conditionalFormatting sqref="A123">
    <cfRule type="expression" dxfId="1173" priority="3">
      <formula>kvartal &lt; 4</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91</v>
      </c>
      <c r="D1" s="26"/>
      <c r="E1" s="26"/>
      <c r="F1" s="26"/>
      <c r="G1" s="26"/>
      <c r="H1" s="26"/>
      <c r="I1" s="26"/>
      <c r="J1" s="26"/>
      <c r="K1" s="26"/>
      <c r="L1" s="26"/>
      <c r="M1" s="26"/>
    </row>
    <row r="2" spans="1:14" ht="15.75" x14ac:dyDescent="0.25">
      <c r="A2" s="165" t="s">
        <v>28</v>
      </c>
      <c r="B2" s="736"/>
      <c r="C2" s="736"/>
      <c r="D2" s="736"/>
      <c r="E2" s="298"/>
      <c r="F2" s="736"/>
      <c r="G2" s="736"/>
      <c r="H2" s="736"/>
      <c r="I2" s="298"/>
      <c r="J2" s="736"/>
      <c r="K2" s="736"/>
      <c r="L2" s="736"/>
      <c r="M2" s="298"/>
    </row>
    <row r="3" spans="1:14" ht="15.75" x14ac:dyDescent="0.25">
      <c r="A3" s="163"/>
      <c r="B3" s="298"/>
      <c r="C3" s="298"/>
      <c r="D3" s="298"/>
      <c r="E3" s="298"/>
      <c r="F3" s="298"/>
      <c r="G3" s="298"/>
      <c r="H3" s="298"/>
      <c r="I3" s="298"/>
      <c r="J3" s="298"/>
      <c r="K3" s="298"/>
      <c r="L3" s="298"/>
      <c r="M3" s="298"/>
    </row>
    <row r="4" spans="1:14" x14ac:dyDescent="0.2">
      <c r="A4" s="144"/>
      <c r="B4" s="737" t="s">
        <v>0</v>
      </c>
      <c r="C4" s="738"/>
      <c r="D4" s="738"/>
      <c r="E4" s="300"/>
      <c r="F4" s="737" t="s">
        <v>1</v>
      </c>
      <c r="G4" s="738"/>
      <c r="H4" s="738"/>
      <c r="I4" s="303"/>
      <c r="J4" s="737" t="s">
        <v>2</v>
      </c>
      <c r="K4" s="738"/>
      <c r="L4" s="738"/>
      <c r="M4" s="303"/>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v>18018.488499999999</v>
      </c>
      <c r="C7" s="306">
        <v>17560.796999999999</v>
      </c>
      <c r="D7" s="349">
        <f>IF(B7=0, "    ---- ", IF(ABS(ROUND(100/B7*C7-100,1))&lt;999,ROUND(100/B7*C7-100,1),IF(ROUND(100/B7*C7-100,1)&gt;999,999,-999)))</f>
        <v>-2.5</v>
      </c>
      <c r="E7" s="11">
        <f>IFERROR(100/'Skjema total MA'!C7*C7,0)</f>
        <v>0.653475137886951</v>
      </c>
      <c r="F7" s="305"/>
      <c r="G7" s="306"/>
      <c r="H7" s="349"/>
      <c r="I7" s="160"/>
      <c r="J7" s="307">
        <f t="shared" ref="J7:K10" si="0">SUM(B7,F7)</f>
        <v>18018.488499999999</v>
      </c>
      <c r="K7" s="308">
        <f t="shared" si="0"/>
        <v>17560.796999999999</v>
      </c>
      <c r="L7" s="426">
        <f>IF(J7=0, "    ---- ", IF(ABS(ROUND(100/J7*K7-100,1))&lt;999,ROUND(100/J7*K7-100,1),IF(ROUND(100/J7*K7-100,1)&gt;999,999,-999)))</f>
        <v>-2.5</v>
      </c>
      <c r="M7" s="11">
        <f>IFERROR(100/'Skjema total MA'!I7*K7,0)</f>
        <v>0.23698561238784766</v>
      </c>
    </row>
    <row r="8" spans="1:14" ht="15.75" x14ac:dyDescent="0.2">
      <c r="A8" s="21" t="s">
        <v>25</v>
      </c>
      <c r="B8" s="280">
        <v>11041.882941</v>
      </c>
      <c r="C8" s="281">
        <v>10823.042281800001</v>
      </c>
      <c r="D8" s="166">
        <f t="shared" ref="D8:D10" si="1">IF(B8=0, "    ---- ", IF(ABS(ROUND(100/B8*C8-100,1))&lt;999,ROUND(100/B8*C8-100,1),IF(ROUND(100/B8*C8-100,1)&gt;999,999,-999)))</f>
        <v>-2</v>
      </c>
      <c r="E8" s="27">
        <f>IFERROR(100/'Skjema total MA'!C8*C8,0)</f>
        <v>0.59994171722709766</v>
      </c>
      <c r="F8" s="284"/>
      <c r="G8" s="285"/>
      <c r="H8" s="166"/>
      <c r="I8" s="175"/>
      <c r="J8" s="233">
        <f t="shared" si="0"/>
        <v>11041.882941</v>
      </c>
      <c r="K8" s="286">
        <f t="shared" si="0"/>
        <v>10823.042281800001</v>
      </c>
      <c r="L8" s="166">
        <f t="shared" ref="L8:L9" si="2">IF(J8=0, "    ---- ", IF(ABS(ROUND(100/J8*K8-100,1))&lt;999,ROUND(100/J8*K8-100,1),IF(ROUND(100/J8*K8-100,1)&gt;999,999,-999)))</f>
        <v>-2</v>
      </c>
      <c r="M8" s="27">
        <f>IFERROR(100/'Skjema total MA'!I8*K8,0)</f>
        <v>0.59994171722709766</v>
      </c>
    </row>
    <row r="9" spans="1:14" ht="15.75" x14ac:dyDescent="0.2">
      <c r="A9" s="21" t="s">
        <v>24</v>
      </c>
      <c r="B9" s="280">
        <v>6625.412797</v>
      </c>
      <c r="C9" s="281">
        <v>6483.2837105999997</v>
      </c>
      <c r="D9" s="166">
        <f t="shared" si="1"/>
        <v>-2.1</v>
      </c>
      <c r="E9" s="27">
        <f>IFERROR(100/'Skjema total MA'!C9*C9,0)</f>
        <v>1.2468557430526976</v>
      </c>
      <c r="F9" s="284"/>
      <c r="G9" s="285"/>
      <c r="H9" s="166"/>
      <c r="I9" s="175"/>
      <c r="J9" s="233">
        <f t="shared" si="0"/>
        <v>6625.412797</v>
      </c>
      <c r="K9" s="286">
        <f t="shared" si="0"/>
        <v>6483.2837105999997</v>
      </c>
      <c r="L9" s="166">
        <f t="shared" si="2"/>
        <v>-2.1</v>
      </c>
      <c r="M9" s="27">
        <f>IFERROR(100/'Skjema total MA'!I9*K9,0)</f>
        <v>1.2468557430526976</v>
      </c>
    </row>
    <row r="10" spans="1:14" ht="15.75" x14ac:dyDescent="0.2">
      <c r="A10" s="13" t="s">
        <v>367</v>
      </c>
      <c r="B10" s="309">
        <v>14938.992056867601</v>
      </c>
      <c r="C10" s="310">
        <v>22992.677187740701</v>
      </c>
      <c r="D10" s="171">
        <f t="shared" si="1"/>
        <v>53.9</v>
      </c>
      <c r="E10" s="11">
        <f>IFERROR(100/'Skjema total MA'!C10*C10,0)</f>
        <v>0.12500206687698343</v>
      </c>
      <c r="F10" s="309"/>
      <c r="G10" s="310"/>
      <c r="H10" s="171"/>
      <c r="I10" s="160"/>
      <c r="J10" s="307">
        <f t="shared" si="0"/>
        <v>14938.992056867601</v>
      </c>
      <c r="K10" s="308">
        <f t="shared" si="0"/>
        <v>22992.677187740701</v>
      </c>
      <c r="L10" s="427">
        <f t="shared" ref="L10" si="3">IF(J10=0, "    ---- ", IF(ABS(ROUND(100/J10*K10-100,1))&lt;999,ROUND(100/J10*K10-100,1),IF(ROUND(100/J10*K10-100,1)&gt;999,999,-999)))</f>
        <v>53.9</v>
      </c>
      <c r="M10" s="11">
        <f>IFERROR(100/'Skjema total MA'!I10*K10,0)</f>
        <v>3.2718451334448756E-2</v>
      </c>
    </row>
    <row r="11" spans="1:14" s="43" customFormat="1" ht="15.75" x14ac:dyDescent="0.2">
      <c r="A11" s="13" t="s">
        <v>368</v>
      </c>
      <c r="B11" s="309"/>
      <c r="C11" s="310"/>
      <c r="D11" s="171"/>
      <c r="E11" s="11"/>
      <c r="F11" s="309"/>
      <c r="G11" s="310"/>
      <c r="H11" s="171"/>
      <c r="I11" s="160"/>
      <c r="J11" s="307"/>
      <c r="K11" s="308"/>
      <c r="L11" s="427"/>
      <c r="M11" s="11"/>
      <c r="N11" s="143"/>
    </row>
    <row r="12" spans="1:14" s="43" customFormat="1" ht="15.75" x14ac:dyDescent="0.2">
      <c r="A12" s="41" t="s">
        <v>369</v>
      </c>
      <c r="B12" s="311"/>
      <c r="C12" s="312"/>
      <c r="D12" s="169"/>
      <c r="E12" s="36"/>
      <c r="F12" s="311"/>
      <c r="G12" s="312"/>
      <c r="H12" s="169"/>
      <c r="I12" s="169"/>
      <c r="J12" s="313"/>
      <c r="K12" s="314"/>
      <c r="L12" s="428"/>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v>83.511499999999998</v>
      </c>
      <c r="C22" s="309">
        <v>83.232900000000001</v>
      </c>
      <c r="D22" s="349">
        <f t="shared" ref="D22:D31" si="4">IF(B22=0, "    ---- ", IF(ABS(ROUND(100/B22*C22-100,1))&lt;999,ROUND(100/B22*C22-100,1),IF(ROUND(100/B22*C22-100,1)&gt;999,999,-999)))</f>
        <v>-0.3</v>
      </c>
      <c r="E22" s="11">
        <f>IFERROR(100/'Skjema total MA'!C22*C22,0)</f>
        <v>8.4275098683712947E-3</v>
      </c>
      <c r="F22" s="317"/>
      <c r="G22" s="317"/>
      <c r="H22" s="349"/>
      <c r="I22" s="11"/>
      <c r="J22" s="315">
        <f t="shared" ref="J22:K29" si="5">SUM(B22,F22)</f>
        <v>83.511499999999998</v>
      </c>
      <c r="K22" s="315">
        <f t="shared" si="5"/>
        <v>83.232900000000001</v>
      </c>
      <c r="L22" s="426">
        <f t="shared" ref="L22:L29" si="6">IF(J22=0, "    ---- ", IF(ABS(ROUND(100/J22*K22-100,1))&lt;999,ROUND(100/J22*K22-100,1),IF(ROUND(100/J22*K22-100,1)&gt;999,999,-999)))</f>
        <v>-0.3</v>
      </c>
      <c r="M22" s="24">
        <f>IFERROR(100/'Skjema total MA'!I22*K22,0)</f>
        <v>5.1069242996347308E-3</v>
      </c>
    </row>
    <row r="23" spans="1:14" ht="15.75" x14ac:dyDescent="0.2">
      <c r="A23" s="587" t="s">
        <v>370</v>
      </c>
      <c r="B23" s="280"/>
      <c r="C23" s="280"/>
      <c r="D23" s="166"/>
      <c r="E23" s="11"/>
      <c r="F23" s="289"/>
      <c r="G23" s="289"/>
      <c r="H23" s="166"/>
      <c r="I23" s="416"/>
      <c r="J23" s="289"/>
      <c r="K23" s="289"/>
      <c r="L23" s="166"/>
      <c r="M23" s="23"/>
    </row>
    <row r="24" spans="1:14" ht="15.75" x14ac:dyDescent="0.2">
      <c r="A24" s="587" t="s">
        <v>371</v>
      </c>
      <c r="B24" s="280">
        <v>83.511499999999998</v>
      </c>
      <c r="C24" s="280">
        <v>83.232900000000001</v>
      </c>
      <c r="D24" s="166">
        <f t="shared" si="4"/>
        <v>-0.3</v>
      </c>
      <c r="E24" s="11">
        <f>IFERROR(100/'Skjema total MA'!C24*C24,0)</f>
        <v>0.48901709744906452</v>
      </c>
      <c r="F24" s="289"/>
      <c r="G24" s="289"/>
      <c r="H24" s="166"/>
      <c r="I24" s="416"/>
      <c r="J24" s="289">
        <f t="shared" ref="J24" si="7">SUM(B24,F24)</f>
        <v>83.511499999999998</v>
      </c>
      <c r="K24" s="289">
        <f t="shared" ref="K24" si="8">SUM(C24,G24)</f>
        <v>83.232900000000001</v>
      </c>
      <c r="L24" s="166">
        <f t="shared" ref="L24" si="9">IF(J24=0, "    ---- ", IF(ABS(ROUND(100/J24*K24-100,1))&lt;999,ROUND(100/J24*K24-100,1),IF(ROUND(100/J24*K24-100,1)&gt;999,999,-999)))</f>
        <v>-0.3</v>
      </c>
      <c r="M24" s="23">
        <f>IFERROR(100/'Skjema total MA'!I24*K24,0)</f>
        <v>0.46343625509002445</v>
      </c>
    </row>
    <row r="25" spans="1:14" ht="15.75" x14ac:dyDescent="0.2">
      <c r="A25" s="587" t="s">
        <v>372</v>
      </c>
      <c r="B25" s="280"/>
      <c r="C25" s="280"/>
      <c r="D25" s="166"/>
      <c r="E25" s="11"/>
      <c r="F25" s="289"/>
      <c r="G25" s="289"/>
      <c r="H25" s="166"/>
      <c r="I25" s="416"/>
      <c r="J25" s="289"/>
      <c r="K25" s="289"/>
      <c r="L25" s="166"/>
      <c r="M25" s="23"/>
    </row>
    <row r="26" spans="1:14" ht="15.75" x14ac:dyDescent="0.2">
      <c r="A26" s="587" t="s">
        <v>373</v>
      </c>
      <c r="B26" s="280"/>
      <c r="C26" s="280"/>
      <c r="D26" s="166"/>
      <c r="E26" s="11"/>
      <c r="F26" s="289"/>
      <c r="G26" s="289"/>
      <c r="H26" s="166"/>
      <c r="I26" s="416"/>
      <c r="J26" s="289"/>
      <c r="K26" s="289"/>
      <c r="L26" s="166"/>
      <c r="M26" s="23"/>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v>83.511499999999998</v>
      </c>
      <c r="C28" s="286">
        <v>83.232900000000001</v>
      </c>
      <c r="D28" s="166">
        <f t="shared" si="4"/>
        <v>-0.3</v>
      </c>
      <c r="E28" s="11">
        <f>IFERROR(100/'Skjema total MA'!C28*C28,0)</f>
        <v>7.7179649531877587E-3</v>
      </c>
      <c r="F28" s="233"/>
      <c r="G28" s="286"/>
      <c r="H28" s="166"/>
      <c r="I28" s="27"/>
      <c r="J28" s="44">
        <f t="shared" si="5"/>
        <v>83.511499999999998</v>
      </c>
      <c r="K28" s="44">
        <f t="shared" si="5"/>
        <v>83.232900000000001</v>
      </c>
      <c r="L28" s="253">
        <f t="shared" si="6"/>
        <v>-0.3</v>
      </c>
      <c r="M28" s="23">
        <f>IFERROR(100/'Skjema total MA'!I28*K28,0)</f>
        <v>7.7179649531877587E-3</v>
      </c>
    </row>
    <row r="29" spans="1:14" s="3" customFormat="1" ht="15.75" x14ac:dyDescent="0.2">
      <c r="A29" s="13" t="s">
        <v>367</v>
      </c>
      <c r="B29" s="235">
        <v>2020.65397512308</v>
      </c>
      <c r="C29" s="235">
        <v>1715.09553781818</v>
      </c>
      <c r="D29" s="171">
        <f t="shared" si="4"/>
        <v>-15.1</v>
      </c>
      <c r="E29" s="11">
        <f>IFERROR(100/'Skjema total MA'!C29*C29,0)</f>
        <v>3.6969819689201457E-3</v>
      </c>
      <c r="F29" s="307"/>
      <c r="G29" s="307"/>
      <c r="H29" s="171"/>
      <c r="I29" s="11"/>
      <c r="J29" s="235">
        <f t="shared" si="5"/>
        <v>2020.65397512308</v>
      </c>
      <c r="K29" s="235">
        <f t="shared" si="5"/>
        <v>1715.09553781818</v>
      </c>
      <c r="L29" s="427">
        <f t="shared" si="6"/>
        <v>-15.1</v>
      </c>
      <c r="M29" s="24">
        <f>IFERROR(100/'Skjema total MA'!I29*K29,0)</f>
        <v>2.5113355785477422E-3</v>
      </c>
      <c r="N29" s="148"/>
    </row>
    <row r="30" spans="1:14" s="3" customFormat="1" ht="15.75" x14ac:dyDescent="0.2">
      <c r="A30" s="587" t="s">
        <v>370</v>
      </c>
      <c r="B30" s="280"/>
      <c r="C30" s="280"/>
      <c r="D30" s="166"/>
      <c r="E30" s="11"/>
      <c r="F30" s="289"/>
      <c r="G30" s="289"/>
      <c r="H30" s="166"/>
      <c r="I30" s="416"/>
      <c r="J30" s="289"/>
      <c r="K30" s="289"/>
      <c r="L30" s="166"/>
      <c r="M30" s="23"/>
      <c r="N30" s="148"/>
    </row>
    <row r="31" spans="1:14" s="3" customFormat="1" ht="15.75" x14ac:dyDescent="0.2">
      <c r="A31" s="587" t="s">
        <v>371</v>
      </c>
      <c r="B31" s="280">
        <v>2020.65397512308</v>
      </c>
      <c r="C31" s="280">
        <v>1715.09553781818</v>
      </c>
      <c r="D31" s="166">
        <f t="shared" si="4"/>
        <v>-15.1</v>
      </c>
      <c r="E31" s="11">
        <f>IFERROR(100/'Skjema total MA'!C31*C31,0)</f>
        <v>7.100448505148022E-3</v>
      </c>
      <c r="F31" s="289"/>
      <c r="G31" s="289"/>
      <c r="H31" s="166"/>
      <c r="I31" s="416"/>
      <c r="J31" s="289">
        <f t="shared" ref="J31" si="10">SUM(B31,F31)</f>
        <v>2020.65397512308</v>
      </c>
      <c r="K31" s="289">
        <f t="shared" ref="K31" si="11">SUM(C31,G31)</f>
        <v>1715.09553781818</v>
      </c>
      <c r="L31" s="166">
        <f t="shared" ref="L31" si="12">IF(J31=0, "    ---- ", IF(ABS(ROUND(100/J31*K31-100,1))&lt;999,ROUND(100/J31*K31-100,1),IF(ROUND(100/J31*K31-100,1)&gt;999,999,-999)))</f>
        <v>-15.1</v>
      </c>
      <c r="M31" s="23">
        <f>IFERROR(100/'Skjema total MA'!I31*K31,0)</f>
        <v>5.1558950686017568E-3</v>
      </c>
      <c r="N31" s="148"/>
    </row>
    <row r="32" spans="1:14" ht="15.75" x14ac:dyDescent="0.2">
      <c r="A32" s="587" t="s">
        <v>372</v>
      </c>
      <c r="B32" s="280"/>
      <c r="C32" s="280"/>
      <c r="D32" s="166"/>
      <c r="E32" s="11"/>
      <c r="F32" s="289"/>
      <c r="G32" s="289"/>
      <c r="H32" s="166"/>
      <c r="I32" s="416"/>
      <c r="J32" s="289"/>
      <c r="K32" s="289"/>
      <c r="L32" s="166"/>
      <c r="M32" s="23"/>
    </row>
    <row r="33" spans="1:14" ht="15.75" x14ac:dyDescent="0.2">
      <c r="A33" s="587" t="s">
        <v>373</v>
      </c>
      <c r="B33" s="280"/>
      <c r="C33" s="280"/>
      <c r="D33" s="166"/>
      <c r="E33" s="11"/>
      <c r="F33" s="289"/>
      <c r="G33" s="289"/>
      <c r="H33" s="166"/>
      <c r="I33" s="416"/>
      <c r="J33" s="289"/>
      <c r="K33" s="289"/>
      <c r="L33" s="166"/>
      <c r="M33" s="23"/>
    </row>
    <row r="34" spans="1:14" ht="15.75" x14ac:dyDescent="0.2">
      <c r="A34" s="13" t="s">
        <v>368</v>
      </c>
      <c r="B34" s="235"/>
      <c r="C34" s="308"/>
      <c r="D34" s="171"/>
      <c r="E34" s="11"/>
      <c r="F34" s="307"/>
      <c r="G34" s="308"/>
      <c r="H34" s="171"/>
      <c r="I34" s="11"/>
      <c r="J34" s="235"/>
      <c r="K34" s="235"/>
      <c r="L34" s="427"/>
      <c r="M34" s="24"/>
    </row>
    <row r="35" spans="1:14" ht="15.75" x14ac:dyDescent="0.2">
      <c r="A35" s="13" t="s">
        <v>369</v>
      </c>
      <c r="B35" s="235"/>
      <c r="C35" s="308"/>
      <c r="D35" s="171"/>
      <c r="E35" s="11"/>
      <c r="F35" s="307"/>
      <c r="G35" s="308"/>
      <c r="H35" s="171"/>
      <c r="I35" s="11"/>
      <c r="J35" s="235"/>
      <c r="K35" s="235"/>
      <c r="L35" s="427"/>
      <c r="M35" s="24"/>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c r="C47" s="310"/>
      <c r="D47" s="426"/>
      <c r="E47" s="11"/>
      <c r="F47" s="145"/>
      <c r="G47" s="33"/>
      <c r="H47" s="159"/>
      <c r="I47" s="159"/>
      <c r="J47" s="37"/>
      <c r="K47" s="37"/>
      <c r="L47" s="159"/>
      <c r="M47" s="159"/>
      <c r="N47" s="148"/>
    </row>
    <row r="48" spans="1:14" s="3" customFormat="1" ht="15.75" x14ac:dyDescent="0.2">
      <c r="A48" s="38" t="s">
        <v>378</v>
      </c>
      <c r="B48" s="280"/>
      <c r="C48" s="281"/>
      <c r="D48" s="253"/>
      <c r="E48" s="27"/>
      <c r="F48" s="145"/>
      <c r="G48" s="33"/>
      <c r="H48" s="145"/>
      <c r="I48" s="145"/>
      <c r="J48" s="33"/>
      <c r="K48" s="33"/>
      <c r="L48" s="159"/>
      <c r="M48" s="159"/>
      <c r="N48" s="148"/>
    </row>
    <row r="49" spans="1:14" s="3" customFormat="1" ht="15.75" x14ac:dyDescent="0.2">
      <c r="A49" s="38" t="s">
        <v>379</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c r="C53" s="310"/>
      <c r="D53" s="427"/>
      <c r="E53" s="11"/>
      <c r="F53" s="145"/>
      <c r="G53" s="33"/>
      <c r="H53" s="145"/>
      <c r="I53" s="145"/>
      <c r="J53" s="33"/>
      <c r="K53" s="33"/>
      <c r="L53" s="159"/>
      <c r="M53" s="159"/>
      <c r="N53" s="148"/>
    </row>
    <row r="54" spans="1:14" s="3" customFormat="1" ht="15.75" x14ac:dyDescent="0.2">
      <c r="A54" s="38" t="s">
        <v>378</v>
      </c>
      <c r="B54" s="280"/>
      <c r="C54" s="281"/>
      <c r="D54" s="253"/>
      <c r="E54" s="27"/>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c r="C56" s="310"/>
      <c r="D56" s="427"/>
      <c r="E56" s="11"/>
      <c r="F56" s="145"/>
      <c r="G56" s="33"/>
      <c r="H56" s="145"/>
      <c r="I56" s="145"/>
      <c r="J56" s="33"/>
      <c r="K56" s="33"/>
      <c r="L56" s="159"/>
      <c r="M56" s="159"/>
      <c r="N56" s="148"/>
    </row>
    <row r="57" spans="1:14" s="3" customFormat="1" ht="15.75" x14ac:dyDescent="0.2">
      <c r="A57" s="38" t="s">
        <v>378</v>
      </c>
      <c r="B57" s="280"/>
      <c r="C57" s="281"/>
      <c r="D57" s="253"/>
      <c r="E57" s="27"/>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c r="C66" s="352"/>
      <c r="D66" s="349"/>
      <c r="E66" s="11"/>
      <c r="F66" s="351"/>
      <c r="G66" s="351"/>
      <c r="H66" s="349"/>
      <c r="I66" s="11"/>
      <c r="J66" s="308"/>
      <c r="K66" s="315"/>
      <c r="L66" s="427"/>
      <c r="M66" s="11"/>
    </row>
    <row r="67" spans="1:14" x14ac:dyDescent="0.2">
      <c r="A67" s="41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c r="G86" s="145"/>
      <c r="H86" s="166"/>
      <c r="I86" s="27"/>
      <c r="J86" s="286"/>
      <c r="K86" s="44"/>
      <c r="L86" s="253"/>
      <c r="M86" s="27"/>
    </row>
    <row r="87" spans="1:13" ht="15.75" x14ac:dyDescent="0.2">
      <c r="A87" s="13" t="s">
        <v>367</v>
      </c>
      <c r="B87" s="352"/>
      <c r="C87" s="352"/>
      <c r="D87" s="171"/>
      <c r="E87" s="11"/>
      <c r="F87" s="351"/>
      <c r="G87" s="351"/>
      <c r="H87" s="171"/>
      <c r="I87" s="11"/>
      <c r="J87" s="308"/>
      <c r="K87" s="235"/>
      <c r="L87" s="427"/>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row>
    <row r="98" spans="1:13" ht="15.75" x14ac:dyDescent="0.2">
      <c r="A98" s="21" t="s">
        <v>384</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c r="G107" s="145"/>
      <c r="H107" s="166"/>
      <c r="I107" s="27"/>
      <c r="J107" s="286"/>
      <c r="K107" s="44"/>
      <c r="L107" s="253"/>
      <c r="M107" s="27"/>
    </row>
    <row r="108" spans="1:13" ht="15.75" x14ac:dyDescent="0.2">
      <c r="A108" s="21" t="s">
        <v>386</v>
      </c>
      <c r="B108" s="233"/>
      <c r="C108" s="233"/>
      <c r="D108" s="166"/>
      <c r="E108" s="27"/>
      <c r="F108" s="233"/>
      <c r="G108" s="233"/>
      <c r="H108" s="166"/>
      <c r="I108" s="27"/>
      <c r="J108" s="286"/>
      <c r="K108" s="44"/>
      <c r="L108" s="253"/>
      <c r="M108" s="27"/>
    </row>
    <row r="109" spans="1:13" ht="15.75" x14ac:dyDescent="0.2">
      <c r="A109" s="21" t="s">
        <v>387</v>
      </c>
      <c r="B109" s="233"/>
      <c r="C109" s="233"/>
      <c r="D109" s="166"/>
      <c r="E109" s="27"/>
      <c r="F109" s="233"/>
      <c r="G109" s="233"/>
      <c r="H109" s="166"/>
      <c r="I109" s="27"/>
      <c r="J109" s="286"/>
      <c r="K109" s="44"/>
      <c r="L109" s="253"/>
      <c r="M109" s="27"/>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c r="C111" s="159"/>
      <c r="D111" s="171"/>
      <c r="E111" s="11"/>
      <c r="F111" s="307"/>
      <c r="G111" s="159"/>
      <c r="H111" s="171"/>
      <c r="I111" s="11"/>
      <c r="J111" s="308"/>
      <c r="K111" s="235"/>
      <c r="L111" s="427"/>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c r="C116" s="233"/>
      <c r="D116" s="166"/>
      <c r="E116" s="27"/>
      <c r="F116" s="233"/>
      <c r="G116" s="233"/>
      <c r="H116" s="166"/>
      <c r="I116" s="27"/>
      <c r="J116" s="286"/>
      <c r="K116" s="44"/>
      <c r="L116" s="253"/>
      <c r="M116" s="27"/>
    </row>
    <row r="117" spans="1:14" ht="15.75" x14ac:dyDescent="0.2">
      <c r="A117" s="21" t="s">
        <v>390</v>
      </c>
      <c r="B117" s="233"/>
      <c r="C117" s="233"/>
      <c r="D117" s="166"/>
      <c r="E117" s="27"/>
      <c r="F117" s="233"/>
      <c r="G117" s="233"/>
      <c r="H117" s="166"/>
      <c r="I117" s="27"/>
      <c r="J117" s="286"/>
      <c r="K117" s="44"/>
      <c r="L117" s="253"/>
      <c r="M117" s="27"/>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c r="C119" s="159"/>
      <c r="D119" s="171"/>
      <c r="E119" s="11"/>
      <c r="F119" s="307"/>
      <c r="G119" s="159"/>
      <c r="H119" s="171"/>
      <c r="I119" s="11"/>
      <c r="J119" s="308"/>
      <c r="K119" s="235"/>
      <c r="L119" s="427"/>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c r="G125" s="233"/>
      <c r="H125" s="166"/>
      <c r="I125" s="27"/>
      <c r="J125" s="286"/>
      <c r="K125" s="44"/>
      <c r="L125" s="253"/>
      <c r="M125" s="27"/>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172" priority="132">
      <formula>kvartal &lt; 4</formula>
    </cfRule>
  </conditionalFormatting>
  <conditionalFormatting sqref="B69">
    <cfRule type="expression" dxfId="1171" priority="100">
      <formula>kvartal &lt; 4</formula>
    </cfRule>
  </conditionalFormatting>
  <conditionalFormatting sqref="C69">
    <cfRule type="expression" dxfId="1170" priority="99">
      <formula>kvartal &lt; 4</formula>
    </cfRule>
  </conditionalFormatting>
  <conditionalFormatting sqref="B72">
    <cfRule type="expression" dxfId="1169" priority="98">
      <formula>kvartal &lt; 4</formula>
    </cfRule>
  </conditionalFormatting>
  <conditionalFormatting sqref="C72">
    <cfRule type="expression" dxfId="1168" priority="97">
      <formula>kvartal &lt; 4</formula>
    </cfRule>
  </conditionalFormatting>
  <conditionalFormatting sqref="B80">
    <cfRule type="expression" dxfId="1167" priority="96">
      <formula>kvartal &lt; 4</formula>
    </cfRule>
  </conditionalFormatting>
  <conditionalFormatting sqref="C80">
    <cfRule type="expression" dxfId="1166" priority="95">
      <formula>kvartal &lt; 4</formula>
    </cfRule>
  </conditionalFormatting>
  <conditionalFormatting sqref="B83">
    <cfRule type="expression" dxfId="1165" priority="94">
      <formula>kvartal &lt; 4</formula>
    </cfRule>
  </conditionalFormatting>
  <conditionalFormatting sqref="C83">
    <cfRule type="expression" dxfId="1164" priority="93">
      <formula>kvartal &lt; 4</formula>
    </cfRule>
  </conditionalFormatting>
  <conditionalFormatting sqref="B90">
    <cfRule type="expression" dxfId="1163" priority="84">
      <formula>kvartal &lt; 4</formula>
    </cfRule>
  </conditionalFormatting>
  <conditionalFormatting sqref="C90">
    <cfRule type="expression" dxfId="1162" priority="83">
      <formula>kvartal &lt; 4</formula>
    </cfRule>
  </conditionalFormatting>
  <conditionalFormatting sqref="B93">
    <cfRule type="expression" dxfId="1161" priority="82">
      <formula>kvartal &lt; 4</formula>
    </cfRule>
  </conditionalFormatting>
  <conditionalFormatting sqref="C93">
    <cfRule type="expression" dxfId="1160" priority="81">
      <formula>kvartal &lt; 4</formula>
    </cfRule>
  </conditionalFormatting>
  <conditionalFormatting sqref="B101">
    <cfRule type="expression" dxfId="1159" priority="80">
      <formula>kvartal &lt; 4</formula>
    </cfRule>
  </conditionalFormatting>
  <conditionalFormatting sqref="C101">
    <cfRule type="expression" dxfId="1158" priority="79">
      <formula>kvartal &lt; 4</formula>
    </cfRule>
  </conditionalFormatting>
  <conditionalFormatting sqref="B104">
    <cfRule type="expression" dxfId="1157" priority="78">
      <formula>kvartal &lt; 4</formula>
    </cfRule>
  </conditionalFormatting>
  <conditionalFormatting sqref="C104">
    <cfRule type="expression" dxfId="1156" priority="77">
      <formula>kvartal &lt; 4</formula>
    </cfRule>
  </conditionalFormatting>
  <conditionalFormatting sqref="B115">
    <cfRule type="expression" dxfId="1155" priority="76">
      <formula>kvartal &lt; 4</formula>
    </cfRule>
  </conditionalFormatting>
  <conditionalFormatting sqref="C115">
    <cfRule type="expression" dxfId="1154" priority="75">
      <formula>kvartal &lt; 4</formula>
    </cfRule>
  </conditionalFormatting>
  <conditionalFormatting sqref="B123">
    <cfRule type="expression" dxfId="1153" priority="74">
      <formula>kvartal &lt; 4</formula>
    </cfRule>
  </conditionalFormatting>
  <conditionalFormatting sqref="C123">
    <cfRule type="expression" dxfId="1152" priority="73">
      <formula>kvartal &lt; 4</formula>
    </cfRule>
  </conditionalFormatting>
  <conditionalFormatting sqref="F70">
    <cfRule type="expression" dxfId="1151" priority="72">
      <formula>kvartal &lt; 4</formula>
    </cfRule>
  </conditionalFormatting>
  <conditionalFormatting sqref="G70">
    <cfRule type="expression" dxfId="1150" priority="71">
      <formula>kvartal &lt; 4</formula>
    </cfRule>
  </conditionalFormatting>
  <conditionalFormatting sqref="F71:G71">
    <cfRule type="expression" dxfId="1149" priority="70">
      <formula>kvartal &lt; 4</formula>
    </cfRule>
  </conditionalFormatting>
  <conditionalFormatting sqref="F73:G74">
    <cfRule type="expression" dxfId="1148" priority="69">
      <formula>kvartal &lt; 4</formula>
    </cfRule>
  </conditionalFormatting>
  <conditionalFormatting sqref="F81:G82">
    <cfRule type="expression" dxfId="1147" priority="68">
      <formula>kvartal &lt; 4</formula>
    </cfRule>
  </conditionalFormatting>
  <conditionalFormatting sqref="F84:G85">
    <cfRule type="expression" dxfId="1146" priority="67">
      <formula>kvartal &lt; 4</formula>
    </cfRule>
  </conditionalFormatting>
  <conditionalFormatting sqref="F91:G92">
    <cfRule type="expression" dxfId="1145" priority="62">
      <formula>kvartal &lt; 4</formula>
    </cfRule>
  </conditionalFormatting>
  <conditionalFormatting sqref="F94:G95">
    <cfRule type="expression" dxfId="1144" priority="61">
      <formula>kvartal &lt; 4</formula>
    </cfRule>
  </conditionalFormatting>
  <conditionalFormatting sqref="F102:G103">
    <cfRule type="expression" dxfId="1143" priority="60">
      <formula>kvartal &lt; 4</formula>
    </cfRule>
  </conditionalFormatting>
  <conditionalFormatting sqref="F105:G106">
    <cfRule type="expression" dxfId="1142" priority="59">
      <formula>kvartal &lt; 4</formula>
    </cfRule>
  </conditionalFormatting>
  <conditionalFormatting sqref="F115">
    <cfRule type="expression" dxfId="1141" priority="58">
      <formula>kvartal &lt; 4</formula>
    </cfRule>
  </conditionalFormatting>
  <conditionalFormatting sqref="G115">
    <cfRule type="expression" dxfId="1140" priority="57">
      <formula>kvartal &lt; 4</formula>
    </cfRule>
  </conditionalFormatting>
  <conditionalFormatting sqref="F123:G123">
    <cfRule type="expression" dxfId="1139" priority="56">
      <formula>kvartal &lt; 4</formula>
    </cfRule>
  </conditionalFormatting>
  <conditionalFormatting sqref="F69:G69">
    <cfRule type="expression" dxfId="1138" priority="55">
      <formula>kvartal &lt; 4</formula>
    </cfRule>
  </conditionalFormatting>
  <conditionalFormatting sqref="F72:G72">
    <cfRule type="expression" dxfId="1137" priority="54">
      <formula>kvartal &lt; 4</formula>
    </cfRule>
  </conditionalFormatting>
  <conditionalFormatting sqref="F80:G80">
    <cfRule type="expression" dxfId="1136" priority="53">
      <formula>kvartal &lt; 4</formula>
    </cfRule>
  </conditionalFormatting>
  <conditionalFormatting sqref="F83:G83">
    <cfRule type="expression" dxfId="1135" priority="52">
      <formula>kvartal &lt; 4</formula>
    </cfRule>
  </conditionalFormatting>
  <conditionalFormatting sqref="F90:G90">
    <cfRule type="expression" dxfId="1134" priority="46">
      <formula>kvartal &lt; 4</formula>
    </cfRule>
  </conditionalFormatting>
  <conditionalFormatting sqref="F93">
    <cfRule type="expression" dxfId="1133" priority="45">
      <formula>kvartal &lt; 4</formula>
    </cfRule>
  </conditionalFormatting>
  <conditionalFormatting sqref="G93">
    <cfRule type="expression" dxfId="1132" priority="44">
      <formula>kvartal &lt; 4</formula>
    </cfRule>
  </conditionalFormatting>
  <conditionalFormatting sqref="F101">
    <cfRule type="expression" dxfId="1131" priority="43">
      <formula>kvartal &lt; 4</formula>
    </cfRule>
  </conditionalFormatting>
  <conditionalFormatting sqref="G101">
    <cfRule type="expression" dxfId="1130" priority="42">
      <formula>kvartal &lt; 4</formula>
    </cfRule>
  </conditionalFormatting>
  <conditionalFormatting sqref="G104">
    <cfRule type="expression" dxfId="1129" priority="41">
      <formula>kvartal &lt; 4</formula>
    </cfRule>
  </conditionalFormatting>
  <conditionalFormatting sqref="F104">
    <cfRule type="expression" dxfId="1128" priority="40">
      <formula>kvartal &lt; 4</formula>
    </cfRule>
  </conditionalFormatting>
  <conditionalFormatting sqref="J69:K73">
    <cfRule type="expression" dxfId="1127" priority="39">
      <formula>kvartal &lt; 4</formula>
    </cfRule>
  </conditionalFormatting>
  <conditionalFormatting sqref="J74:K74">
    <cfRule type="expression" dxfId="1126" priority="38">
      <formula>kvartal &lt; 4</formula>
    </cfRule>
  </conditionalFormatting>
  <conditionalFormatting sqref="J80:K85">
    <cfRule type="expression" dxfId="1125" priority="37">
      <formula>kvartal &lt; 4</formula>
    </cfRule>
  </conditionalFormatting>
  <conditionalFormatting sqref="J90:K95">
    <cfRule type="expression" dxfId="1124" priority="34">
      <formula>kvartal &lt; 4</formula>
    </cfRule>
  </conditionalFormatting>
  <conditionalFormatting sqref="J101:K106">
    <cfRule type="expression" dxfId="1123" priority="33">
      <formula>kvartal &lt; 4</formula>
    </cfRule>
  </conditionalFormatting>
  <conditionalFormatting sqref="J115:K115">
    <cfRule type="expression" dxfId="1122" priority="32">
      <formula>kvartal &lt; 4</formula>
    </cfRule>
  </conditionalFormatting>
  <conditionalFormatting sqref="J123:K123">
    <cfRule type="expression" dxfId="1121" priority="31">
      <formula>kvartal &lt; 4</formula>
    </cfRule>
  </conditionalFormatting>
  <conditionalFormatting sqref="A50:A52">
    <cfRule type="expression" dxfId="1120" priority="12">
      <formula>kvartal &lt; 4</formula>
    </cfRule>
  </conditionalFormatting>
  <conditionalFormatting sqref="A69:A74">
    <cfRule type="expression" dxfId="1119" priority="10">
      <formula>kvartal &lt; 4</formula>
    </cfRule>
  </conditionalFormatting>
  <conditionalFormatting sqref="A80:A85">
    <cfRule type="expression" dxfId="1118" priority="9">
      <formula>kvartal &lt; 4</formula>
    </cfRule>
  </conditionalFormatting>
  <conditionalFormatting sqref="A90:A95">
    <cfRule type="expression" dxfId="1117" priority="6">
      <formula>kvartal &lt; 4</formula>
    </cfRule>
  </conditionalFormatting>
  <conditionalFormatting sqref="A101:A106">
    <cfRule type="expression" dxfId="1116" priority="5">
      <formula>kvartal &lt; 4</formula>
    </cfRule>
  </conditionalFormatting>
  <conditionalFormatting sqref="A115">
    <cfRule type="expression" dxfId="1115" priority="4">
      <formula>kvartal &lt; 4</formula>
    </cfRule>
  </conditionalFormatting>
  <conditionalFormatting sqref="A123">
    <cfRule type="expression" dxfId="1114" priority="3">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130</v>
      </c>
      <c r="D1" s="26"/>
      <c r="E1" s="26"/>
      <c r="F1" s="26"/>
      <c r="G1" s="26"/>
      <c r="H1" s="26"/>
      <c r="I1" s="26"/>
      <c r="J1" s="26"/>
      <c r="K1" s="26"/>
      <c r="L1" s="26"/>
      <c r="M1" s="26"/>
    </row>
    <row r="2" spans="1:14" ht="15.75" x14ac:dyDescent="0.25">
      <c r="A2" s="165" t="s">
        <v>28</v>
      </c>
      <c r="B2" s="736"/>
      <c r="C2" s="736"/>
      <c r="D2" s="736"/>
      <c r="E2" s="298"/>
      <c r="F2" s="736"/>
      <c r="G2" s="736"/>
      <c r="H2" s="736"/>
      <c r="I2" s="298"/>
      <c r="J2" s="736"/>
      <c r="K2" s="736"/>
      <c r="L2" s="736"/>
      <c r="M2" s="298"/>
    </row>
    <row r="3" spans="1:14" ht="15.75" x14ac:dyDescent="0.25">
      <c r="A3" s="163"/>
      <c r="B3" s="298"/>
      <c r="C3" s="298"/>
      <c r="D3" s="298"/>
      <c r="E3" s="298"/>
      <c r="F3" s="298"/>
      <c r="G3" s="298"/>
      <c r="H3" s="298"/>
      <c r="I3" s="298"/>
      <c r="J3" s="298"/>
      <c r="K3" s="298"/>
      <c r="L3" s="298"/>
      <c r="M3" s="298"/>
    </row>
    <row r="4" spans="1:14" x14ac:dyDescent="0.2">
      <c r="A4" s="144"/>
      <c r="B4" s="737" t="s">
        <v>0</v>
      </c>
      <c r="C4" s="738"/>
      <c r="D4" s="738"/>
      <c r="E4" s="300"/>
      <c r="F4" s="737" t="s">
        <v>1</v>
      </c>
      <c r="G4" s="738"/>
      <c r="H4" s="738"/>
      <c r="I4" s="303"/>
      <c r="J4" s="737" t="s">
        <v>2</v>
      </c>
      <c r="K4" s="738"/>
      <c r="L4" s="738"/>
      <c r="M4" s="303"/>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v>182104.38800000001</v>
      </c>
      <c r="C7" s="306">
        <v>198251.223</v>
      </c>
      <c r="D7" s="349">
        <f>IF(B7=0, "    ---- ", IF(ABS(ROUND(100/B7*C7-100,1))&lt;999,ROUND(100/B7*C7-100,1),IF(ROUND(100/B7*C7-100,1)&gt;999,999,-999)))</f>
        <v>8.9</v>
      </c>
      <c r="E7" s="11">
        <f>IFERROR(100/'Skjema total MA'!C7*C7,0)</f>
        <v>7.3773556682069543</v>
      </c>
      <c r="F7" s="305"/>
      <c r="G7" s="306"/>
      <c r="H7" s="349"/>
      <c r="I7" s="160"/>
      <c r="J7" s="307">
        <f t="shared" ref="J7:K9" si="0">SUM(B7,F7)</f>
        <v>182104.38800000001</v>
      </c>
      <c r="K7" s="308">
        <f t="shared" si="0"/>
        <v>198251.223</v>
      </c>
      <c r="L7" s="426">
        <f>IF(J7=0, "    ---- ", IF(ABS(ROUND(100/J7*K7-100,1))&lt;999,ROUND(100/J7*K7-100,1),IF(ROUND(100/J7*K7-100,1)&gt;999,999,-999)))</f>
        <v>8.9</v>
      </c>
      <c r="M7" s="11">
        <f>IFERROR(100/'Skjema total MA'!I7*K7,0)</f>
        <v>2.675430248939997</v>
      </c>
    </row>
    <row r="8" spans="1:14" ht="15.75" x14ac:dyDescent="0.2">
      <c r="A8" s="21" t="s">
        <v>25</v>
      </c>
      <c r="B8" s="280">
        <v>119985.22199999999</v>
      </c>
      <c r="C8" s="281">
        <v>134812.658</v>
      </c>
      <c r="D8" s="166">
        <f t="shared" ref="D8:D9" si="1">IF(B8=0, "    ---- ", IF(ABS(ROUND(100/B8*C8-100,1))&lt;999,ROUND(100/B8*C8-100,1),IF(ROUND(100/B8*C8-100,1)&gt;999,999,-999)))</f>
        <v>12.4</v>
      </c>
      <c r="E8" s="27">
        <f>IFERROR(100/'Skjema total MA'!C8*C8,0)</f>
        <v>7.4729207775965705</v>
      </c>
      <c r="F8" s="284"/>
      <c r="G8" s="285"/>
      <c r="H8" s="166"/>
      <c r="I8" s="175"/>
      <c r="J8" s="233">
        <f t="shared" si="0"/>
        <v>119985.22199999999</v>
      </c>
      <c r="K8" s="286">
        <f t="shared" si="0"/>
        <v>134812.658</v>
      </c>
      <c r="L8" s="166">
        <f t="shared" ref="L8:L9" si="2">IF(J8=0, "    ---- ", IF(ABS(ROUND(100/J8*K8-100,1))&lt;999,ROUND(100/J8*K8-100,1),IF(ROUND(100/J8*K8-100,1)&gt;999,999,-999)))</f>
        <v>12.4</v>
      </c>
      <c r="M8" s="27">
        <f>IFERROR(100/'Skjema total MA'!I8*K8,0)</f>
        <v>7.4729207775965705</v>
      </c>
    </row>
    <row r="9" spans="1:14" ht="15.75" x14ac:dyDescent="0.2">
      <c r="A9" s="21" t="s">
        <v>24</v>
      </c>
      <c r="B9" s="280">
        <v>62119.165999999997</v>
      </c>
      <c r="C9" s="281">
        <v>63438.565000000002</v>
      </c>
      <c r="D9" s="166">
        <f t="shared" si="1"/>
        <v>2.1</v>
      </c>
      <c r="E9" s="27">
        <f>IFERROR(100/'Skjema total MA'!C9*C9,0)</f>
        <v>12.200413036367278</v>
      </c>
      <c r="F9" s="284"/>
      <c r="G9" s="285"/>
      <c r="H9" s="166"/>
      <c r="I9" s="175"/>
      <c r="J9" s="233">
        <f t="shared" si="0"/>
        <v>62119.165999999997</v>
      </c>
      <c r="K9" s="286">
        <f t="shared" si="0"/>
        <v>63438.565000000002</v>
      </c>
      <c r="L9" s="166">
        <f t="shared" si="2"/>
        <v>2.1</v>
      </c>
      <c r="M9" s="27">
        <f>IFERROR(100/'Skjema total MA'!I9*K9,0)</f>
        <v>12.200413036367278</v>
      </c>
    </row>
    <row r="10" spans="1:14" ht="15.75" x14ac:dyDescent="0.2">
      <c r="A10" s="13" t="s">
        <v>367</v>
      </c>
      <c r="B10" s="309"/>
      <c r="C10" s="310"/>
      <c r="D10" s="171"/>
      <c r="E10" s="11"/>
      <c r="F10" s="309"/>
      <c r="G10" s="310"/>
      <c r="H10" s="171"/>
      <c r="I10" s="160"/>
      <c r="J10" s="307"/>
      <c r="K10" s="308"/>
      <c r="L10" s="427"/>
      <c r="M10" s="11"/>
    </row>
    <row r="11" spans="1:14" s="43" customFormat="1" ht="15.75" x14ac:dyDescent="0.2">
      <c r="A11" s="13" t="s">
        <v>368</v>
      </c>
      <c r="B11" s="309"/>
      <c r="C11" s="310"/>
      <c r="D11" s="171"/>
      <c r="E11" s="11"/>
      <c r="F11" s="309"/>
      <c r="G11" s="310"/>
      <c r="H11" s="171"/>
      <c r="I11" s="160"/>
      <c r="J11" s="307"/>
      <c r="K11" s="308"/>
      <c r="L11" s="427"/>
      <c r="M11" s="11"/>
      <c r="N11" s="143"/>
    </row>
    <row r="12" spans="1:14" s="43" customFormat="1" ht="15.75" x14ac:dyDescent="0.2">
      <c r="A12" s="41" t="s">
        <v>369</v>
      </c>
      <c r="B12" s="311"/>
      <c r="C12" s="312"/>
      <c r="D12" s="169"/>
      <c r="E12" s="36"/>
      <c r="F12" s="311"/>
      <c r="G12" s="312"/>
      <c r="H12" s="169"/>
      <c r="I12" s="169"/>
      <c r="J12" s="313"/>
      <c r="K12" s="314"/>
      <c r="L12" s="428"/>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426"/>
      <c r="M22" s="24"/>
    </row>
    <row r="23" spans="1:14" ht="15.75" x14ac:dyDescent="0.2">
      <c r="A23" s="587" t="s">
        <v>370</v>
      </c>
      <c r="B23" s="280"/>
      <c r="C23" s="280"/>
      <c r="D23" s="166"/>
      <c r="E23" s="11"/>
      <c r="F23" s="289"/>
      <c r="G23" s="289"/>
      <c r="H23" s="166"/>
      <c r="I23" s="416"/>
      <c r="J23" s="289"/>
      <c r="K23" s="289"/>
      <c r="L23" s="166"/>
      <c r="M23" s="23"/>
    </row>
    <row r="24" spans="1:14" ht="15.75" x14ac:dyDescent="0.2">
      <c r="A24" s="587" t="s">
        <v>371</v>
      </c>
      <c r="B24" s="280"/>
      <c r="C24" s="280"/>
      <c r="D24" s="166"/>
      <c r="E24" s="11"/>
      <c r="F24" s="289"/>
      <c r="G24" s="289"/>
      <c r="H24" s="166"/>
      <c r="I24" s="416"/>
      <c r="J24" s="289"/>
      <c r="K24" s="289"/>
      <c r="L24" s="166"/>
      <c r="M24" s="23"/>
    </row>
    <row r="25" spans="1:14" ht="15.75" x14ac:dyDescent="0.2">
      <c r="A25" s="587" t="s">
        <v>372</v>
      </c>
      <c r="B25" s="280"/>
      <c r="C25" s="280"/>
      <c r="D25" s="166"/>
      <c r="E25" s="11"/>
      <c r="F25" s="289"/>
      <c r="G25" s="289"/>
      <c r="H25" s="166"/>
      <c r="I25" s="416"/>
      <c r="J25" s="289"/>
      <c r="K25" s="289"/>
      <c r="L25" s="166"/>
      <c r="M25" s="23"/>
    </row>
    <row r="26" spans="1:14" ht="15.75" x14ac:dyDescent="0.2">
      <c r="A26" s="587" t="s">
        <v>373</v>
      </c>
      <c r="B26" s="280"/>
      <c r="C26" s="280"/>
      <c r="D26" s="166"/>
      <c r="E26" s="11"/>
      <c r="F26" s="289"/>
      <c r="G26" s="289"/>
      <c r="H26" s="166"/>
      <c r="I26" s="416"/>
      <c r="J26" s="289"/>
      <c r="K26" s="289"/>
      <c r="L26" s="166"/>
      <c r="M26" s="23"/>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v>78369.207999999897</v>
      </c>
      <c r="C28" s="286">
        <v>94189.657999999996</v>
      </c>
      <c r="D28" s="166">
        <f t="shared" ref="D28" si="3">IF(B28=0, "    ---- ", IF(ABS(ROUND(100/B28*C28-100,1))&lt;999,ROUND(100/B28*C28-100,1),IF(ROUND(100/B28*C28-100,1)&gt;999,999,-999)))</f>
        <v>20.2</v>
      </c>
      <c r="E28" s="11">
        <f>IFERROR(100/'Skjema total MA'!C28*C28,0)</f>
        <v>8.7339559164313751</v>
      </c>
      <c r="F28" s="233"/>
      <c r="G28" s="286"/>
      <c r="H28" s="166"/>
      <c r="I28" s="27"/>
      <c r="J28" s="44">
        <f t="shared" ref="J28:K28" si="4">SUM(B28,F28)</f>
        <v>78369.207999999897</v>
      </c>
      <c r="K28" s="44">
        <f t="shared" si="4"/>
        <v>94189.657999999996</v>
      </c>
      <c r="L28" s="253">
        <f t="shared" ref="L28" si="5">IF(J28=0, "    ---- ", IF(ABS(ROUND(100/J28*K28-100,1))&lt;999,ROUND(100/J28*K28-100,1),IF(ROUND(100/J28*K28-100,1)&gt;999,999,-999)))</f>
        <v>20.2</v>
      </c>
      <c r="M28" s="23">
        <f>IFERROR(100/'Skjema total MA'!I28*K28,0)</f>
        <v>8.7339559164313751</v>
      </c>
    </row>
    <row r="29" spans="1:14" s="3" customFormat="1" ht="15.75" x14ac:dyDescent="0.2">
      <c r="A29" s="13" t="s">
        <v>367</v>
      </c>
      <c r="B29" s="235"/>
      <c r="C29" s="235"/>
      <c r="D29" s="171"/>
      <c r="E29" s="11"/>
      <c r="F29" s="307"/>
      <c r="G29" s="307"/>
      <c r="H29" s="171"/>
      <c r="I29" s="11"/>
      <c r="J29" s="235"/>
      <c r="K29" s="235"/>
      <c r="L29" s="427"/>
      <c r="M29" s="24"/>
      <c r="N29" s="148"/>
    </row>
    <row r="30" spans="1:14" s="3" customFormat="1" ht="15.75" x14ac:dyDescent="0.2">
      <c r="A30" s="587" t="s">
        <v>370</v>
      </c>
      <c r="B30" s="280"/>
      <c r="C30" s="280"/>
      <c r="D30" s="166"/>
      <c r="E30" s="11"/>
      <c r="F30" s="289"/>
      <c r="G30" s="289"/>
      <c r="H30" s="166"/>
      <c r="I30" s="416"/>
      <c r="J30" s="289"/>
      <c r="K30" s="289"/>
      <c r="L30" s="166"/>
      <c r="M30" s="23"/>
      <c r="N30" s="148"/>
    </row>
    <row r="31" spans="1:14" s="3" customFormat="1" ht="15.75" x14ac:dyDescent="0.2">
      <c r="A31" s="587" t="s">
        <v>371</v>
      </c>
      <c r="B31" s="280"/>
      <c r="C31" s="280"/>
      <c r="D31" s="166"/>
      <c r="E31" s="11"/>
      <c r="F31" s="289"/>
      <c r="G31" s="289"/>
      <c r="H31" s="166"/>
      <c r="I31" s="416"/>
      <c r="J31" s="289"/>
      <c r="K31" s="289"/>
      <c r="L31" s="166"/>
      <c r="M31" s="23"/>
      <c r="N31" s="148"/>
    </row>
    <row r="32" spans="1:14" ht="15.75" x14ac:dyDescent="0.2">
      <c r="A32" s="587" t="s">
        <v>372</v>
      </c>
      <c r="B32" s="280"/>
      <c r="C32" s="280"/>
      <c r="D32" s="166"/>
      <c r="E32" s="11"/>
      <c r="F32" s="289"/>
      <c r="G32" s="289"/>
      <c r="H32" s="166"/>
      <c r="I32" s="416"/>
      <c r="J32" s="289"/>
      <c r="K32" s="289"/>
      <c r="L32" s="166"/>
      <c r="M32" s="23"/>
    </row>
    <row r="33" spans="1:14" ht="15.75" x14ac:dyDescent="0.2">
      <c r="A33" s="587" t="s">
        <v>373</v>
      </c>
      <c r="B33" s="280"/>
      <c r="C33" s="280"/>
      <c r="D33" s="166"/>
      <c r="E33" s="11"/>
      <c r="F33" s="289"/>
      <c r="G33" s="289"/>
      <c r="H33" s="166"/>
      <c r="I33" s="416"/>
      <c r="J33" s="289"/>
      <c r="K33" s="289"/>
      <c r="L33" s="166"/>
      <c r="M33" s="23"/>
    </row>
    <row r="34" spans="1:14" ht="15.75" x14ac:dyDescent="0.2">
      <c r="A34" s="13" t="s">
        <v>368</v>
      </c>
      <c r="B34" s="235"/>
      <c r="C34" s="308"/>
      <c r="D34" s="171"/>
      <c r="E34" s="11"/>
      <c r="F34" s="307"/>
      <c r="G34" s="308"/>
      <c r="H34" s="171"/>
      <c r="I34" s="11"/>
      <c r="J34" s="235"/>
      <c r="K34" s="235"/>
      <c r="L34" s="427"/>
      <c r="M34" s="24"/>
    </row>
    <row r="35" spans="1:14" ht="15.75" x14ac:dyDescent="0.2">
      <c r="A35" s="13" t="s">
        <v>369</v>
      </c>
      <c r="B35" s="235"/>
      <c r="C35" s="308"/>
      <c r="D35" s="171"/>
      <c r="E35" s="11"/>
      <c r="F35" s="307"/>
      <c r="G35" s="308"/>
      <c r="H35" s="171"/>
      <c r="I35" s="11"/>
      <c r="J35" s="235"/>
      <c r="K35" s="235"/>
      <c r="L35" s="427"/>
      <c r="M35" s="24"/>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v>96732.433000000005</v>
      </c>
      <c r="C47" s="310">
        <v>103651.518</v>
      </c>
      <c r="D47" s="426">
        <f t="shared" ref="D47:D57" si="6">IF(B47=0, "    ---- ", IF(ABS(ROUND(100/B47*C47-100,1))&lt;999,ROUND(100/B47*C47-100,1),IF(ROUND(100/B47*C47-100,1)&gt;999,999,-999)))</f>
        <v>7.2</v>
      </c>
      <c r="E47" s="11">
        <f>IFERROR(100/'Skjema total MA'!C47*C47,0)</f>
        <v>2.8380129125328941</v>
      </c>
      <c r="F47" s="145"/>
      <c r="G47" s="33"/>
      <c r="H47" s="159"/>
      <c r="I47" s="159"/>
      <c r="J47" s="37"/>
      <c r="K47" s="37"/>
      <c r="L47" s="159"/>
      <c r="M47" s="159"/>
      <c r="N47" s="148"/>
    </row>
    <row r="48" spans="1:14" s="3" customFormat="1" ht="15.75" x14ac:dyDescent="0.2">
      <c r="A48" s="38" t="s">
        <v>378</v>
      </c>
      <c r="B48" s="280">
        <v>96732.433000000005</v>
      </c>
      <c r="C48" s="281">
        <v>103651.518</v>
      </c>
      <c r="D48" s="253">
        <f t="shared" si="6"/>
        <v>7.2</v>
      </c>
      <c r="E48" s="27">
        <f>IFERROR(100/'Skjema total MA'!C48*C48,0)</f>
        <v>5.011214418010316</v>
      </c>
      <c r="F48" s="145"/>
      <c r="G48" s="33"/>
      <c r="H48" s="145"/>
      <c r="I48" s="145"/>
      <c r="J48" s="33"/>
      <c r="K48" s="33"/>
      <c r="L48" s="159"/>
      <c r="M48" s="159"/>
      <c r="N48" s="148"/>
    </row>
    <row r="49" spans="1:14" s="3" customFormat="1" ht="15.75" x14ac:dyDescent="0.2">
      <c r="A49" s="38" t="s">
        <v>379</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v>1292.0250000000001</v>
      </c>
      <c r="C53" s="310">
        <v>2507.6089999999999</v>
      </c>
      <c r="D53" s="427">
        <f t="shared" si="6"/>
        <v>94.1</v>
      </c>
      <c r="E53" s="11">
        <f>IFERROR(100/'Skjema total MA'!C53*C53,0)</f>
        <v>1.9139150858701452</v>
      </c>
      <c r="F53" s="145"/>
      <c r="G53" s="33"/>
      <c r="H53" s="145"/>
      <c r="I53" s="145"/>
      <c r="J53" s="33"/>
      <c r="K53" s="33"/>
      <c r="L53" s="159"/>
      <c r="M53" s="159"/>
      <c r="N53" s="148"/>
    </row>
    <row r="54" spans="1:14" s="3" customFormat="1" ht="15.75" x14ac:dyDescent="0.2">
      <c r="A54" s="38" t="s">
        <v>378</v>
      </c>
      <c r="B54" s="280">
        <v>1292.0250000000001</v>
      </c>
      <c r="C54" s="281">
        <v>2507.6089999999999</v>
      </c>
      <c r="D54" s="253">
        <f t="shared" si="6"/>
        <v>94.1</v>
      </c>
      <c r="E54" s="27">
        <f>IFERROR(100/'Skjema total MA'!C54*C54,0)</f>
        <v>1.9139150858701452</v>
      </c>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v>3648.7829999999999</v>
      </c>
      <c r="C56" s="310">
        <v>5523.6350000000002</v>
      </c>
      <c r="D56" s="427">
        <f t="shared" si="6"/>
        <v>51.4</v>
      </c>
      <c r="E56" s="11">
        <f>IFERROR(100/'Skjema total MA'!C56*C56,0)</f>
        <v>4.9603651501048303</v>
      </c>
      <c r="F56" s="145"/>
      <c r="G56" s="33"/>
      <c r="H56" s="145"/>
      <c r="I56" s="145"/>
      <c r="J56" s="33"/>
      <c r="K56" s="33"/>
      <c r="L56" s="159"/>
      <c r="M56" s="159"/>
      <c r="N56" s="148"/>
    </row>
    <row r="57" spans="1:14" s="3" customFormat="1" ht="15.75" x14ac:dyDescent="0.2">
      <c r="A57" s="38" t="s">
        <v>378</v>
      </c>
      <c r="B57" s="280">
        <v>3648.7829999999999</v>
      </c>
      <c r="C57" s="281">
        <v>5523.6350000000002</v>
      </c>
      <c r="D57" s="253">
        <f t="shared" si="6"/>
        <v>51.4</v>
      </c>
      <c r="E57" s="27">
        <f>IFERROR(100/'Skjema total MA'!C57*C57,0)</f>
        <v>4.9605166089007593</v>
      </c>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c r="C66" s="352"/>
      <c r="D66" s="349"/>
      <c r="E66" s="11"/>
      <c r="F66" s="351"/>
      <c r="G66" s="351"/>
      <c r="H66" s="349"/>
      <c r="I66" s="11"/>
      <c r="J66" s="308"/>
      <c r="K66" s="315"/>
      <c r="L66" s="427"/>
      <c r="M66" s="11"/>
    </row>
    <row r="67" spans="1:14" x14ac:dyDescent="0.2">
      <c r="A67" s="41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c r="G86" s="145"/>
      <c r="H86" s="166"/>
      <c r="I86" s="27"/>
      <c r="J86" s="286"/>
      <c r="K86" s="44"/>
      <c r="L86" s="253"/>
      <c r="M86" s="27"/>
    </row>
    <row r="87" spans="1:13" ht="15.75" x14ac:dyDescent="0.2">
      <c r="A87" s="13" t="s">
        <v>367</v>
      </c>
      <c r="B87" s="352"/>
      <c r="C87" s="352"/>
      <c r="D87" s="171"/>
      <c r="E87" s="11"/>
      <c r="F87" s="351"/>
      <c r="G87" s="351"/>
      <c r="H87" s="171"/>
      <c r="I87" s="11"/>
      <c r="J87" s="308"/>
      <c r="K87" s="235"/>
      <c r="L87" s="427"/>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row>
    <row r="98" spans="1:13" ht="15.75" x14ac:dyDescent="0.2">
      <c r="A98" s="21" t="s">
        <v>384</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c r="G107" s="145"/>
      <c r="H107" s="166"/>
      <c r="I107" s="27"/>
      <c r="J107" s="286"/>
      <c r="K107" s="44"/>
      <c r="L107" s="253"/>
      <c r="M107" s="27"/>
    </row>
    <row r="108" spans="1:13" ht="15.75" x14ac:dyDescent="0.2">
      <c r="A108" s="21" t="s">
        <v>386</v>
      </c>
      <c r="B108" s="233"/>
      <c r="C108" s="233"/>
      <c r="D108" s="166"/>
      <c r="E108" s="27"/>
      <c r="F108" s="233"/>
      <c r="G108" s="233"/>
      <c r="H108" s="166"/>
      <c r="I108" s="27"/>
      <c r="J108" s="286"/>
      <c r="K108" s="44"/>
      <c r="L108" s="253"/>
      <c r="M108" s="27"/>
    </row>
    <row r="109" spans="1:13" ht="15.75" x14ac:dyDescent="0.2">
      <c r="A109" s="21" t="s">
        <v>387</v>
      </c>
      <c r="B109" s="233"/>
      <c r="C109" s="233"/>
      <c r="D109" s="166"/>
      <c r="E109" s="27"/>
      <c r="F109" s="233"/>
      <c r="G109" s="233"/>
      <c r="H109" s="166"/>
      <c r="I109" s="27"/>
      <c r="J109" s="286"/>
      <c r="K109" s="44"/>
      <c r="L109" s="253"/>
      <c r="M109" s="27"/>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c r="C111" s="159"/>
      <c r="D111" s="171"/>
      <c r="E111" s="11"/>
      <c r="F111" s="307"/>
      <c r="G111" s="159"/>
      <c r="H111" s="171"/>
      <c r="I111" s="11"/>
      <c r="J111" s="308"/>
      <c r="K111" s="235"/>
      <c r="L111" s="427"/>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c r="C116" s="233"/>
      <c r="D116" s="166"/>
      <c r="E116" s="27"/>
      <c r="F116" s="233"/>
      <c r="G116" s="233"/>
      <c r="H116" s="166"/>
      <c r="I116" s="27"/>
      <c r="J116" s="286"/>
      <c r="K116" s="44"/>
      <c r="L116" s="253"/>
      <c r="M116" s="27"/>
    </row>
    <row r="117" spans="1:14" ht="15.75" x14ac:dyDescent="0.2">
      <c r="A117" s="21" t="s">
        <v>390</v>
      </c>
      <c r="B117" s="233"/>
      <c r="C117" s="233"/>
      <c r="D117" s="166"/>
      <c r="E117" s="27"/>
      <c r="F117" s="233"/>
      <c r="G117" s="233"/>
      <c r="H117" s="166"/>
      <c r="I117" s="27"/>
      <c r="J117" s="286"/>
      <c r="K117" s="44"/>
      <c r="L117" s="253"/>
      <c r="M117" s="27"/>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c r="C119" s="159"/>
      <c r="D119" s="171"/>
      <c r="E119" s="11"/>
      <c r="F119" s="307"/>
      <c r="G119" s="159"/>
      <c r="H119" s="171"/>
      <c r="I119" s="11"/>
      <c r="J119" s="308"/>
      <c r="K119" s="235"/>
      <c r="L119" s="427"/>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c r="G125" s="233"/>
      <c r="H125" s="166"/>
      <c r="I125" s="27"/>
      <c r="J125" s="286"/>
      <c r="K125" s="44"/>
      <c r="L125" s="253"/>
      <c r="M125" s="27"/>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113" priority="132">
      <formula>kvartal &lt; 4</formula>
    </cfRule>
  </conditionalFormatting>
  <conditionalFormatting sqref="B69">
    <cfRule type="expression" dxfId="1112" priority="100">
      <formula>kvartal &lt; 4</formula>
    </cfRule>
  </conditionalFormatting>
  <conditionalFormatting sqref="C69">
    <cfRule type="expression" dxfId="1111" priority="99">
      <formula>kvartal &lt; 4</formula>
    </cfRule>
  </conditionalFormatting>
  <conditionalFormatting sqref="B72">
    <cfRule type="expression" dxfId="1110" priority="98">
      <formula>kvartal &lt; 4</formula>
    </cfRule>
  </conditionalFormatting>
  <conditionalFormatting sqref="C72">
    <cfRule type="expression" dxfId="1109" priority="97">
      <formula>kvartal &lt; 4</formula>
    </cfRule>
  </conditionalFormatting>
  <conditionalFormatting sqref="B80">
    <cfRule type="expression" dxfId="1108" priority="96">
      <formula>kvartal &lt; 4</formula>
    </cfRule>
  </conditionalFormatting>
  <conditionalFormatting sqref="C80">
    <cfRule type="expression" dxfId="1107" priority="95">
      <formula>kvartal &lt; 4</formula>
    </cfRule>
  </conditionalFormatting>
  <conditionalFormatting sqref="B83">
    <cfRule type="expression" dxfId="1106" priority="94">
      <formula>kvartal &lt; 4</formula>
    </cfRule>
  </conditionalFormatting>
  <conditionalFormatting sqref="C83">
    <cfRule type="expression" dxfId="1105" priority="93">
      <formula>kvartal &lt; 4</formula>
    </cfRule>
  </conditionalFormatting>
  <conditionalFormatting sqref="B90">
    <cfRule type="expression" dxfId="1104" priority="84">
      <formula>kvartal &lt; 4</formula>
    </cfRule>
  </conditionalFormatting>
  <conditionalFormatting sqref="C90">
    <cfRule type="expression" dxfId="1103" priority="83">
      <formula>kvartal &lt; 4</formula>
    </cfRule>
  </conditionalFormatting>
  <conditionalFormatting sqref="B93">
    <cfRule type="expression" dxfId="1102" priority="82">
      <formula>kvartal &lt; 4</formula>
    </cfRule>
  </conditionalFormatting>
  <conditionalFormatting sqref="C93">
    <cfRule type="expression" dxfId="1101" priority="81">
      <formula>kvartal &lt; 4</formula>
    </cfRule>
  </conditionalFormatting>
  <conditionalFormatting sqref="B101">
    <cfRule type="expression" dxfId="1100" priority="80">
      <formula>kvartal &lt; 4</formula>
    </cfRule>
  </conditionalFormatting>
  <conditionalFormatting sqref="C101">
    <cfRule type="expression" dxfId="1099" priority="79">
      <formula>kvartal &lt; 4</formula>
    </cfRule>
  </conditionalFormatting>
  <conditionalFormatting sqref="B104">
    <cfRule type="expression" dxfId="1098" priority="78">
      <formula>kvartal &lt; 4</formula>
    </cfRule>
  </conditionalFormatting>
  <conditionalFormatting sqref="C104">
    <cfRule type="expression" dxfId="1097" priority="77">
      <formula>kvartal &lt; 4</formula>
    </cfRule>
  </conditionalFormatting>
  <conditionalFormatting sqref="B115">
    <cfRule type="expression" dxfId="1096" priority="76">
      <formula>kvartal &lt; 4</formula>
    </cfRule>
  </conditionalFormatting>
  <conditionalFormatting sqref="C115">
    <cfRule type="expression" dxfId="1095" priority="75">
      <formula>kvartal &lt; 4</formula>
    </cfRule>
  </conditionalFormatting>
  <conditionalFormatting sqref="B123">
    <cfRule type="expression" dxfId="1094" priority="74">
      <formula>kvartal &lt; 4</formula>
    </cfRule>
  </conditionalFormatting>
  <conditionalFormatting sqref="C123">
    <cfRule type="expression" dxfId="1093" priority="73">
      <formula>kvartal &lt; 4</formula>
    </cfRule>
  </conditionalFormatting>
  <conditionalFormatting sqref="F70">
    <cfRule type="expression" dxfId="1092" priority="72">
      <formula>kvartal &lt; 4</formula>
    </cfRule>
  </conditionalFormatting>
  <conditionalFormatting sqref="G70">
    <cfRule type="expression" dxfId="1091" priority="71">
      <formula>kvartal &lt; 4</formula>
    </cfRule>
  </conditionalFormatting>
  <conditionalFormatting sqref="F71:G71">
    <cfRule type="expression" dxfId="1090" priority="70">
      <formula>kvartal &lt; 4</formula>
    </cfRule>
  </conditionalFormatting>
  <conditionalFormatting sqref="F73:G74">
    <cfRule type="expression" dxfId="1089" priority="69">
      <formula>kvartal &lt; 4</formula>
    </cfRule>
  </conditionalFormatting>
  <conditionalFormatting sqref="F81:G82">
    <cfRule type="expression" dxfId="1088" priority="68">
      <formula>kvartal &lt; 4</formula>
    </cfRule>
  </conditionalFormatting>
  <conditionalFormatting sqref="F84:G85">
    <cfRule type="expression" dxfId="1087" priority="67">
      <formula>kvartal &lt; 4</formula>
    </cfRule>
  </conditionalFormatting>
  <conditionalFormatting sqref="F91:G92">
    <cfRule type="expression" dxfId="1086" priority="62">
      <formula>kvartal &lt; 4</formula>
    </cfRule>
  </conditionalFormatting>
  <conditionalFormatting sqref="F94:G95">
    <cfRule type="expression" dxfId="1085" priority="61">
      <formula>kvartal &lt; 4</formula>
    </cfRule>
  </conditionalFormatting>
  <conditionalFormatting sqref="F102:G103">
    <cfRule type="expression" dxfId="1084" priority="60">
      <formula>kvartal &lt; 4</formula>
    </cfRule>
  </conditionalFormatting>
  <conditionalFormatting sqref="F105:G106">
    <cfRule type="expression" dxfId="1083" priority="59">
      <formula>kvartal &lt; 4</formula>
    </cfRule>
  </conditionalFormatting>
  <conditionalFormatting sqref="F115">
    <cfRule type="expression" dxfId="1082" priority="58">
      <formula>kvartal &lt; 4</formula>
    </cfRule>
  </conditionalFormatting>
  <conditionalFormatting sqref="G115">
    <cfRule type="expression" dxfId="1081" priority="57">
      <formula>kvartal &lt; 4</formula>
    </cfRule>
  </conditionalFormatting>
  <conditionalFormatting sqref="F123:G123">
    <cfRule type="expression" dxfId="1080" priority="56">
      <formula>kvartal &lt; 4</formula>
    </cfRule>
  </conditionalFormatting>
  <conditionalFormatting sqref="F69:G69">
    <cfRule type="expression" dxfId="1079" priority="55">
      <formula>kvartal &lt; 4</formula>
    </cfRule>
  </conditionalFormatting>
  <conditionalFormatting sqref="F72:G72">
    <cfRule type="expression" dxfId="1078" priority="54">
      <formula>kvartal &lt; 4</formula>
    </cfRule>
  </conditionalFormatting>
  <conditionalFormatting sqref="F80:G80">
    <cfRule type="expression" dxfId="1077" priority="53">
      <formula>kvartal &lt; 4</formula>
    </cfRule>
  </conditionalFormatting>
  <conditionalFormatting sqref="F83:G83">
    <cfRule type="expression" dxfId="1076" priority="52">
      <formula>kvartal &lt; 4</formula>
    </cfRule>
  </conditionalFormatting>
  <conditionalFormatting sqref="F90:G90">
    <cfRule type="expression" dxfId="1075" priority="46">
      <formula>kvartal &lt; 4</formula>
    </cfRule>
  </conditionalFormatting>
  <conditionalFormatting sqref="F93">
    <cfRule type="expression" dxfId="1074" priority="45">
      <formula>kvartal &lt; 4</formula>
    </cfRule>
  </conditionalFormatting>
  <conditionalFormatting sqref="G93">
    <cfRule type="expression" dxfId="1073" priority="44">
      <formula>kvartal &lt; 4</formula>
    </cfRule>
  </conditionalFormatting>
  <conditionalFormatting sqref="F101">
    <cfRule type="expression" dxfId="1072" priority="43">
      <formula>kvartal &lt; 4</formula>
    </cfRule>
  </conditionalFormatting>
  <conditionalFormatting sqref="G101">
    <cfRule type="expression" dxfId="1071" priority="42">
      <formula>kvartal &lt; 4</formula>
    </cfRule>
  </conditionalFormatting>
  <conditionalFormatting sqref="G104">
    <cfRule type="expression" dxfId="1070" priority="41">
      <formula>kvartal &lt; 4</formula>
    </cfRule>
  </conditionalFormatting>
  <conditionalFormatting sqref="F104">
    <cfRule type="expression" dxfId="1069" priority="40">
      <formula>kvartal &lt; 4</formula>
    </cfRule>
  </conditionalFormatting>
  <conditionalFormatting sqref="J69:K73">
    <cfRule type="expression" dxfId="1068" priority="39">
      <formula>kvartal &lt; 4</formula>
    </cfRule>
  </conditionalFormatting>
  <conditionalFormatting sqref="J74:K74">
    <cfRule type="expression" dxfId="1067" priority="38">
      <formula>kvartal &lt; 4</formula>
    </cfRule>
  </conditionalFormatting>
  <conditionalFormatting sqref="J80:K85">
    <cfRule type="expression" dxfId="1066" priority="37">
      <formula>kvartal &lt; 4</formula>
    </cfRule>
  </conditionalFormatting>
  <conditionalFormatting sqref="J90:K95">
    <cfRule type="expression" dxfId="1065" priority="34">
      <formula>kvartal &lt; 4</formula>
    </cfRule>
  </conditionalFormatting>
  <conditionalFormatting sqref="J101:K106">
    <cfRule type="expression" dxfId="1064" priority="33">
      <formula>kvartal &lt; 4</formula>
    </cfRule>
  </conditionalFormatting>
  <conditionalFormatting sqref="J115:K115">
    <cfRule type="expression" dxfId="1063" priority="32">
      <formula>kvartal &lt; 4</formula>
    </cfRule>
  </conditionalFormatting>
  <conditionalFormatting sqref="J123:K123">
    <cfRule type="expression" dxfId="1062" priority="31">
      <formula>kvartal &lt; 4</formula>
    </cfRule>
  </conditionalFormatting>
  <conditionalFormatting sqref="A50:A52">
    <cfRule type="expression" dxfId="1061" priority="12">
      <formula>kvartal &lt; 4</formula>
    </cfRule>
  </conditionalFormatting>
  <conditionalFormatting sqref="A69:A74">
    <cfRule type="expression" dxfId="1060" priority="10">
      <formula>kvartal &lt; 4</formula>
    </cfRule>
  </conditionalFormatting>
  <conditionalFormatting sqref="A80:A85">
    <cfRule type="expression" dxfId="1059" priority="9">
      <formula>kvartal &lt; 4</formula>
    </cfRule>
  </conditionalFormatting>
  <conditionalFormatting sqref="A90:A95">
    <cfRule type="expression" dxfId="1058" priority="6">
      <formula>kvartal &lt; 4</formula>
    </cfRule>
  </conditionalFormatting>
  <conditionalFormatting sqref="A101:A106">
    <cfRule type="expression" dxfId="1057" priority="5">
      <formula>kvartal &lt; 4</formula>
    </cfRule>
  </conditionalFormatting>
  <conditionalFormatting sqref="A115">
    <cfRule type="expression" dxfId="1056" priority="4">
      <formula>kvartal &lt; 4</formula>
    </cfRule>
  </conditionalFormatting>
  <conditionalFormatting sqref="A123">
    <cfRule type="expression" dxfId="1055" priority="3">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4"/>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586" t="s">
        <v>409</v>
      </c>
      <c r="D1" s="26"/>
      <c r="E1" s="26"/>
      <c r="F1" s="26"/>
      <c r="G1" s="26"/>
      <c r="H1" s="26"/>
      <c r="I1" s="26"/>
      <c r="J1" s="26"/>
      <c r="K1" s="26"/>
      <c r="L1" s="26"/>
      <c r="M1" s="26"/>
    </row>
    <row r="2" spans="1:14" ht="15.75" x14ac:dyDescent="0.25">
      <c r="A2" s="165" t="s">
        <v>28</v>
      </c>
      <c r="B2" s="736"/>
      <c r="C2" s="736"/>
      <c r="D2" s="736"/>
      <c r="E2" s="298"/>
      <c r="F2" s="736"/>
      <c r="G2" s="736"/>
      <c r="H2" s="736"/>
      <c r="I2" s="298"/>
      <c r="J2" s="736"/>
      <c r="K2" s="736"/>
      <c r="L2" s="736"/>
      <c r="M2" s="298"/>
    </row>
    <row r="3" spans="1:14" ht="15.75" x14ac:dyDescent="0.25">
      <c r="A3" s="615"/>
      <c r="B3" s="608"/>
      <c r="C3" s="616"/>
      <c r="D3" s="608"/>
      <c r="E3" s="608"/>
      <c r="F3" s="298"/>
      <c r="G3" s="298"/>
      <c r="H3" s="298"/>
      <c r="I3" s="298"/>
      <c r="J3" s="298"/>
      <c r="K3" s="298"/>
      <c r="L3" s="298"/>
      <c r="M3" s="298"/>
    </row>
    <row r="4" spans="1:14" x14ac:dyDescent="0.2">
      <c r="A4" s="144"/>
      <c r="B4" s="737" t="s">
        <v>0</v>
      </c>
      <c r="C4" s="738"/>
      <c r="D4" s="738"/>
      <c r="E4" s="300"/>
      <c r="F4" s="737" t="s">
        <v>1</v>
      </c>
      <c r="G4" s="738"/>
      <c r="H4" s="738"/>
      <c r="I4" s="303"/>
      <c r="J4" s="737" t="s">
        <v>2</v>
      </c>
      <c r="K4" s="738"/>
      <c r="L4" s="738"/>
      <c r="M4" s="303"/>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v>6128.2640000000001</v>
      </c>
      <c r="C7" s="306">
        <v>5681</v>
      </c>
      <c r="D7" s="349">
        <f>IF(B7=0, "    ---- ", IF(ABS(ROUND(100/B7*C7-100,1))&lt;999,ROUND(100/B7*C7-100,1),IF(ROUND(100/B7*C7-100,1)&gt;999,999,-999)))</f>
        <v>-7.3</v>
      </c>
      <c r="E7" s="11">
        <f>IFERROR(100/'Skjema total MA'!C7*C7,0)</f>
        <v>0.21140226484798891</v>
      </c>
      <c r="F7" s="305"/>
      <c r="G7" s="306"/>
      <c r="H7" s="349"/>
      <c r="I7" s="160"/>
      <c r="J7" s="307">
        <f t="shared" ref="J7:K10" si="0">SUM(B7,F7)</f>
        <v>6128.2640000000001</v>
      </c>
      <c r="K7" s="308">
        <f t="shared" si="0"/>
        <v>5681</v>
      </c>
      <c r="L7" s="426">
        <f>IF(J7=0, "    ---- ", IF(ABS(ROUND(100/J7*K7-100,1))&lt;999,ROUND(100/J7*K7-100,1),IF(ROUND(100/J7*K7-100,1)&gt;999,999,-999)))</f>
        <v>-7.3</v>
      </c>
      <c r="M7" s="11">
        <f>IFERROR(100/'Skjema total MA'!I7*K7,0)</f>
        <v>7.6665954510798273E-2</v>
      </c>
    </row>
    <row r="8" spans="1:14" ht="15.75" x14ac:dyDescent="0.2">
      <c r="A8" s="21" t="s">
        <v>25</v>
      </c>
      <c r="B8" s="280">
        <v>3807.07</v>
      </c>
      <c r="C8" s="281">
        <v>3764</v>
      </c>
      <c r="D8" s="166">
        <f t="shared" ref="D8:D10" si="1">IF(B8=0, "    ---- ", IF(ABS(ROUND(100/B8*C8-100,1))&lt;999,ROUND(100/B8*C8-100,1),IF(ROUND(100/B8*C8-100,1)&gt;999,999,-999)))</f>
        <v>-1.1000000000000001</v>
      </c>
      <c r="E8" s="27">
        <f>IFERROR(100/'Skjema total MA'!C8*C8,0)</f>
        <v>0.20864564369670313</v>
      </c>
      <c r="F8" s="284"/>
      <c r="G8" s="285"/>
      <c r="H8" s="166"/>
      <c r="I8" s="175"/>
      <c r="J8" s="233">
        <f t="shared" si="0"/>
        <v>3807.07</v>
      </c>
      <c r="K8" s="286">
        <f t="shared" si="0"/>
        <v>3764</v>
      </c>
      <c r="L8" s="166">
        <f t="shared" ref="L8:L9" si="2">IF(J8=0, "    ---- ", IF(ABS(ROUND(100/J8*K8-100,1))&lt;999,ROUND(100/J8*K8-100,1),IF(ROUND(100/J8*K8-100,1)&gt;999,999,-999)))</f>
        <v>-1.1000000000000001</v>
      </c>
      <c r="M8" s="27">
        <f>IFERROR(100/'Skjema total MA'!I8*K8,0)</f>
        <v>0.20864564369670313</v>
      </c>
    </row>
    <row r="9" spans="1:14" ht="15.75" x14ac:dyDescent="0.2">
      <c r="A9" s="21" t="s">
        <v>24</v>
      </c>
      <c r="B9" s="280">
        <v>2321.194</v>
      </c>
      <c r="C9" s="281">
        <v>1917</v>
      </c>
      <c r="D9" s="166">
        <f t="shared" si="1"/>
        <v>-17.399999999999999</v>
      </c>
      <c r="E9" s="27">
        <f>IFERROR(100/'Skjema total MA'!C9*C9,0)</f>
        <v>0.36867466643856261</v>
      </c>
      <c r="F9" s="284"/>
      <c r="G9" s="285"/>
      <c r="H9" s="166"/>
      <c r="I9" s="175"/>
      <c r="J9" s="233">
        <f t="shared" si="0"/>
        <v>2321.194</v>
      </c>
      <c r="K9" s="286">
        <f t="shared" si="0"/>
        <v>1917</v>
      </c>
      <c r="L9" s="166">
        <f t="shared" si="2"/>
        <v>-17.399999999999999</v>
      </c>
      <c r="M9" s="27">
        <f>IFERROR(100/'Skjema total MA'!I9*K9,0)</f>
        <v>0.36867466643856261</v>
      </c>
    </row>
    <row r="10" spans="1:14" ht="15.75" x14ac:dyDescent="0.2">
      <c r="A10" s="13" t="s">
        <v>367</v>
      </c>
      <c r="B10" s="309">
        <v>2349.1471643053901</v>
      </c>
      <c r="C10" s="310">
        <v>0</v>
      </c>
      <c r="D10" s="171">
        <f t="shared" si="1"/>
        <v>-100</v>
      </c>
      <c r="E10" s="11">
        <f>IFERROR(100/'Skjema total MA'!C10*C10,0)</f>
        <v>0</v>
      </c>
      <c r="F10" s="309"/>
      <c r="G10" s="310"/>
      <c r="H10" s="171"/>
      <c r="I10" s="160"/>
      <c r="J10" s="307">
        <f t="shared" si="0"/>
        <v>2349.1471643053901</v>
      </c>
      <c r="K10" s="308">
        <f t="shared" si="0"/>
        <v>0</v>
      </c>
      <c r="L10" s="427">
        <f t="shared" ref="L10" si="3">IF(J10=0, "    ---- ", IF(ABS(ROUND(100/J10*K10-100,1))&lt;999,ROUND(100/J10*K10-100,1),IF(ROUND(100/J10*K10-100,1)&gt;999,999,-999)))</f>
        <v>-100</v>
      </c>
      <c r="M10" s="11">
        <f>IFERROR(100/'Skjema total MA'!I10*K10,0)</f>
        <v>0</v>
      </c>
    </row>
    <row r="11" spans="1:14" s="43" customFormat="1" ht="15.75" x14ac:dyDescent="0.2">
      <c r="A11" s="13" t="s">
        <v>368</v>
      </c>
      <c r="B11" s="309"/>
      <c r="C11" s="310"/>
      <c r="D11" s="171"/>
      <c r="E11" s="11"/>
      <c r="F11" s="309"/>
      <c r="G11" s="310"/>
      <c r="H11" s="171"/>
      <c r="I11" s="160"/>
      <c r="J11" s="307"/>
      <c r="K11" s="308"/>
      <c r="L11" s="427"/>
      <c r="M11" s="11"/>
      <c r="N11" s="143"/>
    </row>
    <row r="12" spans="1:14" s="43" customFormat="1" ht="15.75" x14ac:dyDescent="0.2">
      <c r="A12" s="41" t="s">
        <v>369</v>
      </c>
      <c r="B12" s="311"/>
      <c r="C12" s="312"/>
      <c r="D12" s="169"/>
      <c r="E12" s="36"/>
      <c r="F12" s="311"/>
      <c r="G12" s="312"/>
      <c r="H12" s="169"/>
      <c r="I12" s="169"/>
      <c r="J12" s="313"/>
      <c r="K12" s="314"/>
      <c r="L12" s="428"/>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426"/>
      <c r="M22" s="24"/>
    </row>
    <row r="23" spans="1:14" ht="15.75" x14ac:dyDescent="0.2">
      <c r="A23" s="587" t="s">
        <v>370</v>
      </c>
      <c r="B23" s="280"/>
      <c r="C23" s="280"/>
      <c r="D23" s="166"/>
      <c r="E23" s="11"/>
      <c r="F23" s="289"/>
      <c r="G23" s="289"/>
      <c r="H23" s="166"/>
      <c r="I23" s="416"/>
      <c r="J23" s="289"/>
      <c r="K23" s="289"/>
      <c r="L23" s="166"/>
      <c r="M23" s="23"/>
    </row>
    <row r="24" spans="1:14" ht="15.75" x14ac:dyDescent="0.2">
      <c r="A24" s="587" t="s">
        <v>371</v>
      </c>
      <c r="B24" s="280"/>
      <c r="C24" s="280"/>
      <c r="D24" s="166"/>
      <c r="E24" s="11"/>
      <c r="F24" s="289"/>
      <c r="G24" s="289"/>
      <c r="H24" s="166"/>
      <c r="I24" s="416"/>
      <c r="J24" s="289"/>
      <c r="K24" s="289"/>
      <c r="L24" s="166"/>
      <c r="M24" s="23"/>
    </row>
    <row r="25" spans="1:14" ht="15.75" x14ac:dyDescent="0.2">
      <c r="A25" s="587" t="s">
        <v>372</v>
      </c>
      <c r="B25" s="280"/>
      <c r="C25" s="280"/>
      <c r="D25" s="166"/>
      <c r="E25" s="11"/>
      <c r="F25" s="289"/>
      <c r="G25" s="289"/>
      <c r="H25" s="166"/>
      <c r="I25" s="416"/>
      <c r="J25" s="289"/>
      <c r="K25" s="289"/>
      <c r="L25" s="166"/>
      <c r="M25" s="23"/>
    </row>
    <row r="26" spans="1:14" ht="15.75" x14ac:dyDescent="0.2">
      <c r="A26" s="587" t="s">
        <v>373</v>
      </c>
      <c r="B26" s="280"/>
      <c r="C26" s="280"/>
      <c r="D26" s="166"/>
      <c r="E26" s="11"/>
      <c r="F26" s="289"/>
      <c r="G26" s="289"/>
      <c r="H26" s="166"/>
      <c r="I26" s="416"/>
      <c r="J26" s="289"/>
      <c r="K26" s="289"/>
      <c r="L26" s="166"/>
      <c r="M26" s="23"/>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c r="C28" s="286"/>
      <c r="D28" s="166"/>
      <c r="E28" s="11"/>
      <c r="F28" s="233"/>
      <c r="G28" s="286"/>
      <c r="H28" s="166"/>
      <c r="I28" s="27"/>
      <c r="J28" s="44"/>
      <c r="K28" s="44"/>
      <c r="L28" s="253"/>
      <c r="M28" s="23"/>
    </row>
    <row r="29" spans="1:14" s="3" customFormat="1" ht="15.75" x14ac:dyDescent="0.2">
      <c r="A29" s="13" t="s">
        <v>367</v>
      </c>
      <c r="B29" s="235"/>
      <c r="C29" s="235"/>
      <c r="D29" s="171"/>
      <c r="E29" s="11"/>
      <c r="F29" s="307"/>
      <c r="G29" s="307"/>
      <c r="H29" s="171"/>
      <c r="I29" s="11"/>
      <c r="J29" s="235"/>
      <c r="K29" s="235"/>
      <c r="L29" s="427"/>
      <c r="M29" s="24"/>
      <c r="N29" s="148"/>
    </row>
    <row r="30" spans="1:14" s="3" customFormat="1" ht="15.75" x14ac:dyDescent="0.2">
      <c r="A30" s="587" t="s">
        <v>370</v>
      </c>
      <c r="B30" s="280"/>
      <c r="C30" s="280"/>
      <c r="D30" s="166"/>
      <c r="E30" s="11"/>
      <c r="F30" s="289"/>
      <c r="G30" s="289"/>
      <c r="H30" s="166"/>
      <c r="I30" s="416"/>
      <c r="J30" s="289"/>
      <c r="K30" s="289"/>
      <c r="L30" s="166"/>
      <c r="M30" s="23"/>
      <c r="N30" s="148"/>
    </row>
    <row r="31" spans="1:14" s="3" customFormat="1" ht="15.75" x14ac:dyDescent="0.2">
      <c r="A31" s="587" t="s">
        <v>371</v>
      </c>
      <c r="B31" s="280"/>
      <c r="C31" s="280"/>
      <c r="D31" s="166"/>
      <c r="E31" s="11"/>
      <c r="F31" s="289"/>
      <c r="G31" s="289"/>
      <c r="H31" s="166"/>
      <c r="I31" s="416"/>
      <c r="J31" s="289"/>
      <c r="K31" s="289"/>
      <c r="L31" s="166"/>
      <c r="M31" s="23"/>
      <c r="N31" s="148"/>
    </row>
    <row r="32" spans="1:14" ht="15.75" x14ac:dyDescent="0.2">
      <c r="A32" s="587" t="s">
        <v>372</v>
      </c>
      <c r="B32" s="280"/>
      <c r="C32" s="280"/>
      <c r="D32" s="166"/>
      <c r="E32" s="11"/>
      <c r="F32" s="289"/>
      <c r="G32" s="289"/>
      <c r="H32" s="166"/>
      <c r="I32" s="416"/>
      <c r="J32" s="289"/>
      <c r="K32" s="289"/>
      <c r="L32" s="166"/>
      <c r="M32" s="23"/>
    </row>
    <row r="33" spans="1:14" ht="15.75" x14ac:dyDescent="0.2">
      <c r="A33" s="587" t="s">
        <v>373</v>
      </c>
      <c r="B33" s="280"/>
      <c r="C33" s="280"/>
      <c r="D33" s="166"/>
      <c r="E33" s="11"/>
      <c r="F33" s="289"/>
      <c r="G33" s="289"/>
      <c r="H33" s="166"/>
      <c r="I33" s="416"/>
      <c r="J33" s="289"/>
      <c r="K33" s="289"/>
      <c r="L33" s="166"/>
      <c r="M33" s="23"/>
    </row>
    <row r="34" spans="1:14" ht="15.75" x14ac:dyDescent="0.2">
      <c r="A34" s="13" t="s">
        <v>368</v>
      </c>
      <c r="B34" s="235"/>
      <c r="C34" s="308"/>
      <c r="D34" s="171"/>
      <c r="E34" s="11"/>
      <c r="F34" s="307"/>
      <c r="G34" s="308"/>
      <c r="H34" s="171"/>
      <c r="I34" s="11"/>
      <c r="J34" s="235"/>
      <c r="K34" s="235"/>
      <c r="L34" s="427"/>
      <c r="M34" s="24"/>
    </row>
    <row r="35" spans="1:14" ht="15.75" x14ac:dyDescent="0.2">
      <c r="A35" s="13" t="s">
        <v>369</v>
      </c>
      <c r="B35" s="235"/>
      <c r="C35" s="308"/>
      <c r="D35" s="171"/>
      <c r="E35" s="11"/>
      <c r="F35" s="307"/>
      <c r="G35" s="308"/>
      <c r="H35" s="171"/>
      <c r="I35" s="11"/>
      <c r="J35" s="235"/>
      <c r="K35" s="235"/>
      <c r="L35" s="427"/>
      <c r="M35" s="24"/>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v>3538.7370000000001</v>
      </c>
      <c r="C47" s="310">
        <v>2487</v>
      </c>
      <c r="D47" s="426">
        <f t="shared" ref="D47:D57" si="4">IF(B47=0, "    ---- ", IF(ABS(ROUND(100/B47*C47-100,1))&lt;999,ROUND(100/B47*C47-100,1),IF(ROUND(100/B47*C47-100,1)&gt;999,999,-999)))</f>
        <v>-29.7</v>
      </c>
      <c r="E47" s="11">
        <f>IFERROR(100/'Skjema total MA'!C47*C47,0)</f>
        <v>6.8094884181718482E-2</v>
      </c>
      <c r="F47" s="145"/>
      <c r="G47" s="33"/>
      <c r="H47" s="159"/>
      <c r="I47" s="159"/>
      <c r="J47" s="37"/>
      <c r="K47" s="37"/>
      <c r="L47" s="159"/>
      <c r="M47" s="159"/>
      <c r="N47" s="148"/>
    </row>
    <row r="48" spans="1:14" s="3" customFormat="1" ht="15.75" x14ac:dyDescent="0.2">
      <c r="A48" s="38" t="s">
        <v>378</v>
      </c>
      <c r="B48" s="280">
        <v>3538.7370000000001</v>
      </c>
      <c r="C48" s="281">
        <v>2487</v>
      </c>
      <c r="D48" s="253">
        <f t="shared" si="4"/>
        <v>-29.7</v>
      </c>
      <c r="E48" s="27">
        <f>IFERROR(100/'Skjema total MA'!C48*C48,0)</f>
        <v>0.12023837661105606</v>
      </c>
      <c r="F48" s="145"/>
      <c r="G48" s="33"/>
      <c r="H48" s="145"/>
      <c r="I48" s="145"/>
      <c r="J48" s="33"/>
      <c r="K48" s="33"/>
      <c r="L48" s="159"/>
      <c r="M48" s="159"/>
      <c r="N48" s="148"/>
    </row>
    <row r="49" spans="1:14" s="3" customFormat="1" ht="15.75" x14ac:dyDescent="0.2">
      <c r="A49" s="38" t="s">
        <v>379</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v>0</v>
      </c>
      <c r="C53" s="310">
        <v>15</v>
      </c>
      <c r="D53" s="427" t="str">
        <f t="shared" si="4"/>
        <v xml:space="preserve">    ---- </v>
      </c>
      <c r="E53" s="11">
        <f>IFERROR(100/'Skjema total MA'!C53*C53,0)</f>
        <v>1.1448645418026567E-2</v>
      </c>
      <c r="F53" s="145"/>
      <c r="G53" s="33"/>
      <c r="H53" s="145"/>
      <c r="I53" s="145"/>
      <c r="J53" s="33"/>
      <c r="K53" s="33"/>
      <c r="L53" s="159"/>
      <c r="M53" s="159"/>
      <c r="N53" s="148"/>
    </row>
    <row r="54" spans="1:14" s="3" customFormat="1" ht="15.75" x14ac:dyDescent="0.2">
      <c r="A54" s="38" t="s">
        <v>378</v>
      </c>
      <c r="B54" s="280">
        <v>0</v>
      </c>
      <c r="C54" s="281">
        <v>15</v>
      </c>
      <c r="D54" s="253" t="str">
        <f t="shared" si="4"/>
        <v xml:space="preserve">    ---- </v>
      </c>
      <c r="E54" s="27">
        <f>IFERROR(100/'Skjema total MA'!C54*C54,0)</f>
        <v>1.1448645418026567E-2</v>
      </c>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v>149.71</v>
      </c>
      <c r="C56" s="310">
        <v>220</v>
      </c>
      <c r="D56" s="427">
        <f t="shared" si="4"/>
        <v>47</v>
      </c>
      <c r="E56" s="11">
        <f>IFERROR(100/'Skjema total MA'!C56*C56,0)</f>
        <v>0.19756561268495521</v>
      </c>
      <c r="F56" s="145"/>
      <c r="G56" s="33"/>
      <c r="H56" s="145"/>
      <c r="I56" s="145"/>
      <c r="J56" s="33"/>
      <c r="K56" s="33"/>
      <c r="L56" s="159"/>
      <c r="M56" s="159"/>
      <c r="N56" s="148"/>
    </row>
    <row r="57" spans="1:14" s="3" customFormat="1" ht="15.75" x14ac:dyDescent="0.2">
      <c r="A57" s="38" t="s">
        <v>378</v>
      </c>
      <c r="B57" s="280">
        <v>149.71</v>
      </c>
      <c r="C57" s="281">
        <v>220</v>
      </c>
      <c r="D57" s="253">
        <f t="shared" si="4"/>
        <v>47</v>
      </c>
      <c r="E57" s="27">
        <f>IFERROR(100/'Skjema total MA'!C57*C57,0)</f>
        <v>0.1975716451138004</v>
      </c>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c r="C66" s="352"/>
      <c r="D66" s="349"/>
      <c r="E66" s="11"/>
      <c r="F66" s="351"/>
      <c r="G66" s="351"/>
      <c r="H66" s="349"/>
      <c r="I66" s="11"/>
      <c r="J66" s="308"/>
      <c r="K66" s="315"/>
      <c r="L66" s="427"/>
      <c r="M66" s="11"/>
    </row>
    <row r="67" spans="1:14" x14ac:dyDescent="0.2">
      <c r="A67" s="41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c r="G86" s="145"/>
      <c r="H86" s="166"/>
      <c r="I86" s="27"/>
      <c r="J86" s="286"/>
      <c r="K86" s="44"/>
      <c r="L86" s="253"/>
      <c r="M86" s="27"/>
    </row>
    <row r="87" spans="1:13" ht="15.75" x14ac:dyDescent="0.2">
      <c r="A87" s="13" t="s">
        <v>367</v>
      </c>
      <c r="B87" s="352"/>
      <c r="C87" s="352"/>
      <c r="D87" s="171"/>
      <c r="E87" s="11"/>
      <c r="F87" s="351"/>
      <c r="G87" s="351"/>
      <c r="H87" s="171"/>
      <c r="I87" s="11"/>
      <c r="J87" s="308"/>
      <c r="K87" s="235"/>
      <c r="L87" s="427"/>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row>
    <row r="98" spans="1:13" ht="15.75" x14ac:dyDescent="0.2">
      <c r="A98" s="21" t="s">
        <v>384</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c r="G107" s="145"/>
      <c r="H107" s="166"/>
      <c r="I107" s="27"/>
      <c r="J107" s="286"/>
      <c r="K107" s="44"/>
      <c r="L107" s="253"/>
      <c r="M107" s="27"/>
    </row>
    <row r="108" spans="1:13" ht="15.75" x14ac:dyDescent="0.2">
      <c r="A108" s="21" t="s">
        <v>386</v>
      </c>
      <c r="B108" s="233"/>
      <c r="C108" s="233"/>
      <c r="D108" s="166"/>
      <c r="E108" s="27"/>
      <c r="F108" s="233"/>
      <c r="G108" s="233"/>
      <c r="H108" s="166"/>
      <c r="I108" s="27"/>
      <c r="J108" s="286"/>
      <c r="K108" s="44"/>
      <c r="L108" s="253"/>
      <c r="M108" s="27"/>
    </row>
    <row r="109" spans="1:13" ht="15.75" x14ac:dyDescent="0.2">
      <c r="A109" s="21" t="s">
        <v>387</v>
      </c>
      <c r="B109" s="233"/>
      <c r="C109" s="233"/>
      <c r="D109" s="166"/>
      <c r="E109" s="27"/>
      <c r="F109" s="233"/>
      <c r="G109" s="233"/>
      <c r="H109" s="166"/>
      <c r="I109" s="27"/>
      <c r="J109" s="286"/>
      <c r="K109" s="44"/>
      <c r="L109" s="253"/>
      <c r="M109" s="27"/>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c r="C111" s="159"/>
      <c r="D111" s="171"/>
      <c r="E111" s="11"/>
      <c r="F111" s="307"/>
      <c r="G111" s="159"/>
      <c r="H111" s="171"/>
      <c r="I111" s="11"/>
      <c r="J111" s="308"/>
      <c r="K111" s="235"/>
      <c r="L111" s="427"/>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c r="C116" s="233"/>
      <c r="D116" s="166"/>
      <c r="E116" s="27"/>
      <c r="F116" s="233"/>
      <c r="G116" s="233"/>
      <c r="H116" s="166"/>
      <c r="I116" s="27"/>
      <c r="J116" s="286"/>
      <c r="K116" s="44"/>
      <c r="L116" s="253"/>
      <c r="M116" s="27"/>
    </row>
    <row r="117" spans="1:14" ht="15.75" x14ac:dyDescent="0.2">
      <c r="A117" s="21" t="s">
        <v>390</v>
      </c>
      <c r="B117" s="233"/>
      <c r="C117" s="233"/>
      <c r="D117" s="166"/>
      <c r="E117" s="27"/>
      <c r="F117" s="233"/>
      <c r="G117" s="233"/>
      <c r="H117" s="166"/>
      <c r="I117" s="27"/>
      <c r="J117" s="286"/>
      <c r="K117" s="44"/>
      <c r="L117" s="253"/>
      <c r="M117" s="27"/>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c r="C119" s="159"/>
      <c r="D119" s="171"/>
      <c r="E119" s="11"/>
      <c r="F119" s="307"/>
      <c r="G119" s="159"/>
      <c r="H119" s="171"/>
      <c r="I119" s="11"/>
      <c r="J119" s="308"/>
      <c r="K119" s="235"/>
      <c r="L119" s="427"/>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c r="G125" s="233"/>
      <c r="H125" s="166"/>
      <c r="I125" s="27"/>
      <c r="J125" s="286"/>
      <c r="K125" s="44"/>
      <c r="L125" s="253"/>
      <c r="M125" s="27"/>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054" priority="132">
      <formula>kvartal &lt; 4</formula>
    </cfRule>
  </conditionalFormatting>
  <conditionalFormatting sqref="B69">
    <cfRule type="expression" dxfId="1053" priority="100">
      <formula>kvartal &lt; 4</formula>
    </cfRule>
  </conditionalFormatting>
  <conditionalFormatting sqref="C69">
    <cfRule type="expression" dxfId="1052" priority="99">
      <formula>kvartal &lt; 4</formula>
    </cfRule>
  </conditionalFormatting>
  <conditionalFormatting sqref="B72">
    <cfRule type="expression" dxfId="1051" priority="98">
      <formula>kvartal &lt; 4</formula>
    </cfRule>
  </conditionalFormatting>
  <conditionalFormatting sqref="C72">
    <cfRule type="expression" dxfId="1050" priority="97">
      <formula>kvartal &lt; 4</formula>
    </cfRule>
  </conditionalFormatting>
  <conditionalFormatting sqref="B80">
    <cfRule type="expression" dxfId="1049" priority="96">
      <formula>kvartal &lt; 4</formula>
    </cfRule>
  </conditionalFormatting>
  <conditionalFormatting sqref="C80">
    <cfRule type="expression" dxfId="1048" priority="95">
      <formula>kvartal &lt; 4</formula>
    </cfRule>
  </conditionalFormatting>
  <conditionalFormatting sqref="B83">
    <cfRule type="expression" dxfId="1047" priority="94">
      <formula>kvartal &lt; 4</formula>
    </cfRule>
  </conditionalFormatting>
  <conditionalFormatting sqref="C83">
    <cfRule type="expression" dxfId="1046" priority="93">
      <formula>kvartal &lt; 4</formula>
    </cfRule>
  </conditionalFormatting>
  <conditionalFormatting sqref="B90">
    <cfRule type="expression" dxfId="1045" priority="84">
      <formula>kvartal &lt; 4</formula>
    </cfRule>
  </conditionalFormatting>
  <conditionalFormatting sqref="C90">
    <cfRule type="expression" dxfId="1044" priority="83">
      <formula>kvartal &lt; 4</formula>
    </cfRule>
  </conditionalFormatting>
  <conditionalFormatting sqref="B93">
    <cfRule type="expression" dxfId="1043" priority="82">
      <formula>kvartal &lt; 4</formula>
    </cfRule>
  </conditionalFormatting>
  <conditionalFormatting sqref="C93">
    <cfRule type="expression" dxfId="1042" priority="81">
      <formula>kvartal &lt; 4</formula>
    </cfRule>
  </conditionalFormatting>
  <conditionalFormatting sqref="B101">
    <cfRule type="expression" dxfId="1041" priority="80">
      <formula>kvartal &lt; 4</formula>
    </cfRule>
  </conditionalFormatting>
  <conditionalFormatting sqref="C101">
    <cfRule type="expression" dxfId="1040" priority="79">
      <formula>kvartal &lt; 4</formula>
    </cfRule>
  </conditionalFormatting>
  <conditionalFormatting sqref="B104">
    <cfRule type="expression" dxfId="1039" priority="78">
      <formula>kvartal &lt; 4</formula>
    </cfRule>
  </conditionalFormatting>
  <conditionalFormatting sqref="C104">
    <cfRule type="expression" dxfId="1038" priority="77">
      <formula>kvartal &lt; 4</formula>
    </cfRule>
  </conditionalFormatting>
  <conditionalFormatting sqref="B115">
    <cfRule type="expression" dxfId="1037" priority="76">
      <formula>kvartal &lt; 4</formula>
    </cfRule>
  </conditionalFormatting>
  <conditionalFormatting sqref="C115">
    <cfRule type="expression" dxfId="1036" priority="75">
      <formula>kvartal &lt; 4</formula>
    </cfRule>
  </conditionalFormatting>
  <conditionalFormatting sqref="B123">
    <cfRule type="expression" dxfId="1035" priority="74">
      <formula>kvartal &lt; 4</formula>
    </cfRule>
  </conditionalFormatting>
  <conditionalFormatting sqref="C123">
    <cfRule type="expression" dxfId="1034" priority="73">
      <formula>kvartal &lt; 4</formula>
    </cfRule>
  </conditionalFormatting>
  <conditionalFormatting sqref="F70">
    <cfRule type="expression" dxfId="1033" priority="72">
      <formula>kvartal &lt; 4</formula>
    </cfRule>
  </conditionalFormatting>
  <conditionalFormatting sqref="G70">
    <cfRule type="expression" dxfId="1032" priority="71">
      <formula>kvartal &lt; 4</formula>
    </cfRule>
  </conditionalFormatting>
  <conditionalFormatting sqref="F71:G71">
    <cfRule type="expression" dxfId="1031" priority="70">
      <formula>kvartal &lt; 4</formula>
    </cfRule>
  </conditionalFormatting>
  <conditionalFormatting sqref="F73:G74">
    <cfRule type="expression" dxfId="1030" priority="69">
      <formula>kvartal &lt; 4</formula>
    </cfRule>
  </conditionalFormatting>
  <conditionalFormatting sqref="F81:G82">
    <cfRule type="expression" dxfId="1029" priority="68">
      <formula>kvartal &lt; 4</formula>
    </cfRule>
  </conditionalFormatting>
  <conditionalFormatting sqref="F84:G85">
    <cfRule type="expression" dxfId="1028" priority="67">
      <formula>kvartal &lt; 4</formula>
    </cfRule>
  </conditionalFormatting>
  <conditionalFormatting sqref="F91:G92">
    <cfRule type="expression" dxfId="1027" priority="62">
      <formula>kvartal &lt; 4</formula>
    </cfRule>
  </conditionalFormatting>
  <conditionalFormatting sqref="F94:G95">
    <cfRule type="expression" dxfId="1026" priority="61">
      <formula>kvartal &lt; 4</formula>
    </cfRule>
  </conditionalFormatting>
  <conditionalFormatting sqref="F102:G103">
    <cfRule type="expression" dxfId="1025" priority="60">
      <formula>kvartal &lt; 4</formula>
    </cfRule>
  </conditionalFormatting>
  <conditionalFormatting sqref="F105:G106">
    <cfRule type="expression" dxfId="1024" priority="59">
      <formula>kvartal &lt; 4</formula>
    </cfRule>
  </conditionalFormatting>
  <conditionalFormatting sqref="F115">
    <cfRule type="expression" dxfId="1023" priority="58">
      <formula>kvartal &lt; 4</formula>
    </cfRule>
  </conditionalFormatting>
  <conditionalFormatting sqref="G115">
    <cfRule type="expression" dxfId="1022" priority="57">
      <formula>kvartal &lt; 4</formula>
    </cfRule>
  </conditionalFormatting>
  <conditionalFormatting sqref="F123:G123">
    <cfRule type="expression" dxfId="1021" priority="56">
      <formula>kvartal &lt; 4</formula>
    </cfRule>
  </conditionalFormatting>
  <conditionalFormatting sqref="F69:G69">
    <cfRule type="expression" dxfId="1020" priority="55">
      <formula>kvartal &lt; 4</formula>
    </cfRule>
  </conditionalFormatting>
  <conditionalFormatting sqref="F72:G72">
    <cfRule type="expression" dxfId="1019" priority="54">
      <formula>kvartal &lt; 4</formula>
    </cfRule>
  </conditionalFormatting>
  <conditionalFormatting sqref="F80:G80">
    <cfRule type="expression" dxfId="1018" priority="53">
      <formula>kvartal &lt; 4</formula>
    </cfRule>
  </conditionalFormatting>
  <conditionalFormatting sqref="F83:G83">
    <cfRule type="expression" dxfId="1017" priority="52">
      <formula>kvartal &lt; 4</formula>
    </cfRule>
  </conditionalFormatting>
  <conditionalFormatting sqref="F90:G90">
    <cfRule type="expression" dxfId="1016" priority="46">
      <formula>kvartal &lt; 4</formula>
    </cfRule>
  </conditionalFormatting>
  <conditionalFormatting sqref="F93">
    <cfRule type="expression" dxfId="1015" priority="45">
      <formula>kvartal &lt; 4</formula>
    </cfRule>
  </conditionalFormatting>
  <conditionalFormatting sqref="G93">
    <cfRule type="expression" dxfId="1014" priority="44">
      <formula>kvartal &lt; 4</formula>
    </cfRule>
  </conditionalFormatting>
  <conditionalFormatting sqref="F101">
    <cfRule type="expression" dxfId="1013" priority="43">
      <formula>kvartal &lt; 4</formula>
    </cfRule>
  </conditionalFormatting>
  <conditionalFormatting sqref="G101">
    <cfRule type="expression" dxfId="1012" priority="42">
      <formula>kvartal &lt; 4</formula>
    </cfRule>
  </conditionalFormatting>
  <conditionalFormatting sqref="G104">
    <cfRule type="expression" dxfId="1011" priority="41">
      <formula>kvartal &lt; 4</formula>
    </cfRule>
  </conditionalFormatting>
  <conditionalFormatting sqref="F104">
    <cfRule type="expression" dxfId="1010" priority="40">
      <formula>kvartal &lt; 4</formula>
    </cfRule>
  </conditionalFormatting>
  <conditionalFormatting sqref="J69:K73">
    <cfRule type="expression" dxfId="1009" priority="39">
      <formula>kvartal &lt; 4</formula>
    </cfRule>
  </conditionalFormatting>
  <conditionalFormatting sqref="J74:K74">
    <cfRule type="expression" dxfId="1008" priority="38">
      <formula>kvartal &lt; 4</formula>
    </cfRule>
  </conditionalFormatting>
  <conditionalFormatting sqref="J80:K85">
    <cfRule type="expression" dxfId="1007" priority="37">
      <formula>kvartal &lt; 4</formula>
    </cfRule>
  </conditionalFormatting>
  <conditionalFormatting sqref="J90:K95">
    <cfRule type="expression" dxfId="1006" priority="34">
      <formula>kvartal &lt; 4</formula>
    </cfRule>
  </conditionalFormatting>
  <conditionalFormatting sqref="J101:K106">
    <cfRule type="expression" dxfId="1005" priority="33">
      <formula>kvartal &lt; 4</formula>
    </cfRule>
  </conditionalFormatting>
  <conditionalFormatting sqref="J115:K115">
    <cfRule type="expression" dxfId="1004" priority="32">
      <formula>kvartal &lt; 4</formula>
    </cfRule>
  </conditionalFormatting>
  <conditionalFormatting sqref="J123:K123">
    <cfRule type="expression" dxfId="1003" priority="31">
      <formula>kvartal &lt; 4</formula>
    </cfRule>
  </conditionalFormatting>
  <conditionalFormatting sqref="A50:A52">
    <cfRule type="expression" dxfId="1002" priority="12">
      <formula>kvartal &lt; 4</formula>
    </cfRule>
  </conditionalFormatting>
  <conditionalFormatting sqref="A69:A74">
    <cfRule type="expression" dxfId="1001" priority="10">
      <formula>kvartal &lt; 4</formula>
    </cfRule>
  </conditionalFormatting>
  <conditionalFormatting sqref="A80:A85">
    <cfRule type="expression" dxfId="1000" priority="9">
      <formula>kvartal &lt; 4</formula>
    </cfRule>
  </conditionalFormatting>
  <conditionalFormatting sqref="A90:A95">
    <cfRule type="expression" dxfId="999" priority="6">
      <formula>kvartal &lt; 4</formula>
    </cfRule>
  </conditionalFormatting>
  <conditionalFormatting sqref="A101:A106">
    <cfRule type="expression" dxfId="998" priority="5">
      <formula>kvartal &lt; 4</formula>
    </cfRule>
  </conditionalFormatting>
  <conditionalFormatting sqref="A115">
    <cfRule type="expression" dxfId="997" priority="4">
      <formula>kvartal &lt; 4</formula>
    </cfRule>
  </conditionalFormatting>
  <conditionalFormatting sqref="A123">
    <cfRule type="expression" dxfId="996" priority="3">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63</v>
      </c>
      <c r="D1" s="26"/>
      <c r="E1" s="26"/>
      <c r="F1" s="26"/>
      <c r="G1" s="26"/>
      <c r="H1" s="26"/>
      <c r="I1" s="26"/>
      <c r="J1" s="26"/>
      <c r="K1" s="26"/>
      <c r="L1" s="26"/>
      <c r="M1" s="26"/>
    </row>
    <row r="2" spans="1:14" ht="15.75" x14ac:dyDescent="0.25">
      <c r="A2" s="165" t="s">
        <v>28</v>
      </c>
      <c r="B2" s="736"/>
      <c r="C2" s="736"/>
      <c r="D2" s="736"/>
      <c r="E2" s="298"/>
      <c r="F2" s="736"/>
      <c r="G2" s="736"/>
      <c r="H2" s="736"/>
      <c r="I2" s="298"/>
      <c r="J2" s="736"/>
      <c r="K2" s="736"/>
      <c r="L2" s="736"/>
      <c r="M2" s="298"/>
    </row>
    <row r="3" spans="1:14" ht="15.75" x14ac:dyDescent="0.25">
      <c r="A3" s="163"/>
      <c r="B3" s="298"/>
      <c r="C3" s="298"/>
      <c r="D3" s="298"/>
      <c r="E3" s="298"/>
      <c r="F3" s="298"/>
      <c r="G3" s="298"/>
      <c r="H3" s="298"/>
      <c r="I3" s="298"/>
      <c r="J3" s="298"/>
      <c r="K3" s="298"/>
      <c r="L3" s="298"/>
      <c r="M3" s="298"/>
    </row>
    <row r="4" spans="1:14" x14ac:dyDescent="0.2">
      <c r="A4" s="144"/>
      <c r="B4" s="737" t="s">
        <v>0</v>
      </c>
      <c r="C4" s="738"/>
      <c r="D4" s="738"/>
      <c r="E4" s="300"/>
      <c r="F4" s="737" t="s">
        <v>1</v>
      </c>
      <c r="G4" s="738"/>
      <c r="H4" s="738"/>
      <c r="I4" s="303"/>
      <c r="J4" s="737" t="s">
        <v>2</v>
      </c>
      <c r="K4" s="738"/>
      <c r="L4" s="738"/>
      <c r="M4" s="303"/>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c r="C7" s="306"/>
      <c r="D7" s="349"/>
      <c r="E7" s="11"/>
      <c r="F7" s="305"/>
      <c r="G7" s="306"/>
      <c r="H7" s="349"/>
      <c r="I7" s="160"/>
      <c r="J7" s="307"/>
      <c r="K7" s="308"/>
      <c r="L7" s="426"/>
      <c r="M7" s="11"/>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c r="D9" s="166"/>
      <c r="E9" s="27"/>
      <c r="F9" s="284"/>
      <c r="G9" s="285"/>
      <c r="H9" s="166"/>
      <c r="I9" s="175"/>
      <c r="J9" s="233"/>
      <c r="K9" s="286"/>
      <c r="L9" s="253"/>
      <c r="M9" s="27"/>
    </row>
    <row r="10" spans="1:14" ht="15.75" x14ac:dyDescent="0.2">
      <c r="A10" s="13" t="s">
        <v>367</v>
      </c>
      <c r="B10" s="309"/>
      <c r="C10" s="310"/>
      <c r="D10" s="171"/>
      <c r="E10" s="11"/>
      <c r="F10" s="309"/>
      <c r="G10" s="310"/>
      <c r="H10" s="171"/>
      <c r="I10" s="160"/>
      <c r="J10" s="307"/>
      <c r="K10" s="308"/>
      <c r="L10" s="427"/>
      <c r="M10" s="11"/>
    </row>
    <row r="11" spans="1:14" s="43" customFormat="1" ht="15.75" x14ac:dyDescent="0.2">
      <c r="A11" s="13" t="s">
        <v>368</v>
      </c>
      <c r="B11" s="309"/>
      <c r="C11" s="310"/>
      <c r="D11" s="171"/>
      <c r="E11" s="11"/>
      <c r="F11" s="309"/>
      <c r="G11" s="310"/>
      <c r="H11" s="171"/>
      <c r="I11" s="160"/>
      <c r="J11" s="307"/>
      <c r="K11" s="308"/>
      <c r="L11" s="427"/>
      <c r="M11" s="11"/>
      <c r="N11" s="143"/>
    </row>
    <row r="12" spans="1:14" s="43" customFormat="1" ht="15.75" x14ac:dyDescent="0.2">
      <c r="A12" s="41" t="s">
        <v>369</v>
      </c>
      <c r="B12" s="311"/>
      <c r="C12" s="312"/>
      <c r="D12" s="169"/>
      <c r="E12" s="36"/>
      <c r="F12" s="311"/>
      <c r="G12" s="312"/>
      <c r="H12" s="169"/>
      <c r="I12" s="169"/>
      <c r="J12" s="313"/>
      <c r="K12" s="314"/>
      <c r="L12" s="428"/>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426"/>
      <c r="M22" s="24"/>
    </row>
    <row r="23" spans="1:14" ht="15.75" x14ac:dyDescent="0.2">
      <c r="A23" s="587" t="s">
        <v>370</v>
      </c>
      <c r="B23" s="280"/>
      <c r="C23" s="280"/>
      <c r="D23" s="166"/>
      <c r="E23" s="11"/>
      <c r="F23" s="289"/>
      <c r="G23" s="289"/>
      <c r="H23" s="166"/>
      <c r="I23" s="416"/>
      <c r="J23" s="289"/>
      <c r="K23" s="289"/>
      <c r="L23" s="166"/>
      <c r="M23" s="23"/>
    </row>
    <row r="24" spans="1:14" ht="15.75" x14ac:dyDescent="0.2">
      <c r="A24" s="587" t="s">
        <v>371</v>
      </c>
      <c r="B24" s="280"/>
      <c r="C24" s="280"/>
      <c r="D24" s="166"/>
      <c r="E24" s="11"/>
      <c r="F24" s="289"/>
      <c r="G24" s="289"/>
      <c r="H24" s="166"/>
      <c r="I24" s="416"/>
      <c r="J24" s="289"/>
      <c r="K24" s="289"/>
      <c r="L24" s="166"/>
      <c r="M24" s="23"/>
    </row>
    <row r="25" spans="1:14" ht="15.75" x14ac:dyDescent="0.2">
      <c r="A25" s="587" t="s">
        <v>372</v>
      </c>
      <c r="B25" s="280"/>
      <c r="C25" s="280"/>
      <c r="D25" s="166"/>
      <c r="E25" s="11"/>
      <c r="F25" s="289"/>
      <c r="G25" s="289"/>
      <c r="H25" s="166"/>
      <c r="I25" s="416"/>
      <c r="J25" s="289"/>
      <c r="K25" s="289"/>
      <c r="L25" s="166"/>
      <c r="M25" s="23"/>
    </row>
    <row r="26" spans="1:14" ht="15.75" x14ac:dyDescent="0.2">
      <c r="A26" s="587" t="s">
        <v>373</v>
      </c>
      <c r="B26" s="280"/>
      <c r="C26" s="280"/>
      <c r="D26" s="166"/>
      <c r="E26" s="11"/>
      <c r="F26" s="289"/>
      <c r="G26" s="289"/>
      <c r="H26" s="166"/>
      <c r="I26" s="416"/>
      <c r="J26" s="289"/>
      <c r="K26" s="289"/>
      <c r="L26" s="166"/>
      <c r="M26" s="23"/>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c r="C28" s="286"/>
      <c r="D28" s="166"/>
      <c r="E28" s="11"/>
      <c r="F28" s="233"/>
      <c r="G28" s="286"/>
      <c r="H28" s="166"/>
      <c r="I28" s="27"/>
      <c r="J28" s="44"/>
      <c r="K28" s="44"/>
      <c r="L28" s="253"/>
      <c r="M28" s="23"/>
    </row>
    <row r="29" spans="1:14" s="3" customFormat="1" ht="15.75" x14ac:dyDescent="0.2">
      <c r="A29" s="13" t="s">
        <v>367</v>
      </c>
      <c r="B29" s="235"/>
      <c r="C29" s="235"/>
      <c r="D29" s="171"/>
      <c r="E29" s="11"/>
      <c r="F29" s="307"/>
      <c r="G29" s="307"/>
      <c r="H29" s="171"/>
      <c r="I29" s="11"/>
      <c r="J29" s="235"/>
      <c r="K29" s="235"/>
      <c r="L29" s="427"/>
      <c r="M29" s="24"/>
      <c r="N29" s="148"/>
    </row>
    <row r="30" spans="1:14" s="3" customFormat="1" ht="15.75" x14ac:dyDescent="0.2">
      <c r="A30" s="587" t="s">
        <v>370</v>
      </c>
      <c r="B30" s="280"/>
      <c r="C30" s="280"/>
      <c r="D30" s="166"/>
      <c r="E30" s="11"/>
      <c r="F30" s="289"/>
      <c r="G30" s="289"/>
      <c r="H30" s="166"/>
      <c r="I30" s="416"/>
      <c r="J30" s="289"/>
      <c r="K30" s="289"/>
      <c r="L30" s="166"/>
      <c r="M30" s="23"/>
      <c r="N30" s="148"/>
    </row>
    <row r="31" spans="1:14" s="3" customFormat="1" ht="15.75" x14ac:dyDescent="0.2">
      <c r="A31" s="587" t="s">
        <v>371</v>
      </c>
      <c r="B31" s="280"/>
      <c r="C31" s="280"/>
      <c r="D31" s="166"/>
      <c r="E31" s="11"/>
      <c r="F31" s="289"/>
      <c r="G31" s="289"/>
      <c r="H31" s="166"/>
      <c r="I31" s="416"/>
      <c r="J31" s="289"/>
      <c r="K31" s="289"/>
      <c r="L31" s="166"/>
      <c r="M31" s="23"/>
      <c r="N31" s="148"/>
    </row>
    <row r="32" spans="1:14" ht="15.75" x14ac:dyDescent="0.2">
      <c r="A32" s="587" t="s">
        <v>372</v>
      </c>
      <c r="B32" s="280"/>
      <c r="C32" s="280"/>
      <c r="D32" s="166"/>
      <c r="E32" s="11"/>
      <c r="F32" s="289"/>
      <c r="G32" s="289"/>
      <c r="H32" s="166"/>
      <c r="I32" s="416"/>
      <c r="J32" s="289"/>
      <c r="K32" s="289"/>
      <c r="L32" s="166"/>
      <c r="M32" s="23"/>
    </row>
    <row r="33" spans="1:14" ht="15.75" x14ac:dyDescent="0.2">
      <c r="A33" s="587" t="s">
        <v>373</v>
      </c>
      <c r="B33" s="280"/>
      <c r="C33" s="280"/>
      <c r="D33" s="166"/>
      <c r="E33" s="11"/>
      <c r="F33" s="289"/>
      <c r="G33" s="289"/>
      <c r="H33" s="166"/>
      <c r="I33" s="416"/>
      <c r="J33" s="289"/>
      <c r="K33" s="289"/>
      <c r="L33" s="166"/>
      <c r="M33" s="23"/>
    </row>
    <row r="34" spans="1:14" ht="15.75" x14ac:dyDescent="0.2">
      <c r="A34" s="13" t="s">
        <v>368</v>
      </c>
      <c r="B34" s="235"/>
      <c r="C34" s="308"/>
      <c r="D34" s="171"/>
      <c r="E34" s="11"/>
      <c r="F34" s="307"/>
      <c r="G34" s="308"/>
      <c r="H34" s="171"/>
      <c r="I34" s="11"/>
      <c r="J34" s="235"/>
      <c r="K34" s="235"/>
      <c r="L34" s="427"/>
      <c r="M34" s="24"/>
    </row>
    <row r="35" spans="1:14" ht="15.75" x14ac:dyDescent="0.2">
      <c r="A35" s="13" t="s">
        <v>369</v>
      </c>
      <c r="B35" s="235"/>
      <c r="C35" s="308"/>
      <c r="D35" s="171"/>
      <c r="E35" s="11"/>
      <c r="F35" s="307"/>
      <c r="G35" s="308"/>
      <c r="H35" s="171"/>
      <c r="I35" s="11"/>
      <c r="J35" s="235"/>
      <c r="K35" s="235"/>
      <c r="L35" s="427"/>
      <c r="M35" s="24"/>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v>2704.9936499999999</v>
      </c>
      <c r="C47" s="310">
        <v>2502.45282</v>
      </c>
      <c r="D47" s="426">
        <f t="shared" ref="D47:D48" si="0">IF(B47=0, "    ---- ", IF(ABS(ROUND(100/B47*C47-100,1))&lt;999,ROUND(100/B47*C47-100,1),IF(ROUND(100/B47*C47-100,1)&gt;999,999,-999)))</f>
        <v>-7.5</v>
      </c>
      <c r="E47" s="11">
        <f>IFERROR(100/'Skjema total MA'!C47*C47,0)</f>
        <v>6.851798751432038E-2</v>
      </c>
      <c r="F47" s="145"/>
      <c r="G47" s="33"/>
      <c r="H47" s="159"/>
      <c r="I47" s="159"/>
      <c r="J47" s="37"/>
      <c r="K47" s="37"/>
      <c r="L47" s="159"/>
      <c r="M47" s="159"/>
      <c r="N47" s="148"/>
    </row>
    <row r="48" spans="1:14" s="3" customFormat="1" ht="15.75" x14ac:dyDescent="0.2">
      <c r="A48" s="38" t="s">
        <v>378</v>
      </c>
      <c r="B48" s="280">
        <v>852.63232000000005</v>
      </c>
      <c r="C48" s="281">
        <v>924.69836999999995</v>
      </c>
      <c r="D48" s="253">
        <f t="shared" si="0"/>
        <v>8.5</v>
      </c>
      <c r="E48" s="27">
        <f>IFERROR(100/'Skjema total MA'!C48*C48,0)</f>
        <v>4.4706164400357719E-2</v>
      </c>
      <c r="F48" s="145"/>
      <c r="G48" s="33"/>
      <c r="H48" s="145"/>
      <c r="I48" s="145"/>
      <c r="J48" s="33"/>
      <c r="K48" s="33"/>
      <c r="L48" s="159"/>
      <c r="M48" s="159"/>
      <c r="N48" s="148"/>
    </row>
    <row r="49" spans="1:14" s="3" customFormat="1" ht="15.75" x14ac:dyDescent="0.2">
      <c r="A49" s="38" t="s">
        <v>379</v>
      </c>
      <c r="B49" s="44">
        <v>1852.36133</v>
      </c>
      <c r="C49" s="286">
        <v>1577.7544499999999</v>
      </c>
      <c r="D49" s="253">
        <f>IF(B49=0, "    ---- ", IF(ABS(ROUND(100/B49*C49-100,1))&lt;999,ROUND(100/B49*C49-100,1),IF(ROUND(100/B49*C49-100,1)&gt;999,999,-999)))</f>
        <v>-14.8</v>
      </c>
      <c r="E49" s="27">
        <f>IFERROR(100/'Skjema total MA'!C49*C49,0)</f>
        <v>9.9614165801537757E-2</v>
      </c>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c r="C53" s="310"/>
      <c r="D53" s="427"/>
      <c r="E53" s="11"/>
      <c r="F53" s="145"/>
      <c r="G53" s="33"/>
      <c r="H53" s="145"/>
      <c r="I53" s="145"/>
      <c r="J53" s="33"/>
      <c r="K53" s="33"/>
      <c r="L53" s="159"/>
      <c r="M53" s="159"/>
      <c r="N53" s="148"/>
    </row>
    <row r="54" spans="1:14" s="3" customFormat="1" ht="15.75" x14ac:dyDescent="0.2">
      <c r="A54" s="38" t="s">
        <v>378</v>
      </c>
      <c r="B54" s="280"/>
      <c r="C54" s="281"/>
      <c r="D54" s="253"/>
      <c r="E54" s="27"/>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c r="C56" s="310"/>
      <c r="D56" s="427"/>
      <c r="E56" s="11"/>
      <c r="F56" s="145"/>
      <c r="G56" s="33"/>
      <c r="H56" s="145"/>
      <c r="I56" s="145"/>
      <c r="J56" s="33"/>
      <c r="K56" s="33"/>
      <c r="L56" s="159"/>
      <c r="M56" s="159"/>
      <c r="N56" s="148"/>
    </row>
    <row r="57" spans="1:14" s="3" customFormat="1" ht="15.75" x14ac:dyDescent="0.2">
      <c r="A57" s="38" t="s">
        <v>378</v>
      </c>
      <c r="B57" s="280"/>
      <c r="C57" s="281"/>
      <c r="D57" s="253"/>
      <c r="E57" s="27"/>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c r="C66" s="352"/>
      <c r="D66" s="349"/>
      <c r="E66" s="11"/>
      <c r="F66" s="351"/>
      <c r="G66" s="351"/>
      <c r="H66" s="349"/>
      <c r="I66" s="11"/>
      <c r="J66" s="308"/>
      <c r="K66" s="315"/>
      <c r="L66" s="427"/>
      <c r="M66" s="11"/>
    </row>
    <row r="67" spans="1:14" x14ac:dyDescent="0.2">
      <c r="A67" s="41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c r="G86" s="145"/>
      <c r="H86" s="166"/>
      <c r="I86" s="27"/>
      <c r="J86" s="286"/>
      <c r="K86" s="44"/>
      <c r="L86" s="253"/>
      <c r="M86" s="27"/>
    </row>
    <row r="87" spans="1:13" ht="15.75" x14ac:dyDescent="0.2">
      <c r="A87" s="13" t="s">
        <v>367</v>
      </c>
      <c r="B87" s="352"/>
      <c r="C87" s="352"/>
      <c r="D87" s="171"/>
      <c r="E87" s="11"/>
      <c r="F87" s="351"/>
      <c r="G87" s="351"/>
      <c r="H87" s="171"/>
      <c r="I87" s="11"/>
      <c r="J87" s="308"/>
      <c r="K87" s="235"/>
      <c r="L87" s="427"/>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row>
    <row r="98" spans="1:13" ht="15.75" x14ac:dyDescent="0.2">
      <c r="A98" s="21" t="s">
        <v>384</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c r="G107" s="145"/>
      <c r="H107" s="166"/>
      <c r="I107" s="27"/>
      <c r="J107" s="286"/>
      <c r="K107" s="44"/>
      <c r="L107" s="253"/>
      <c r="M107" s="27"/>
    </row>
    <row r="108" spans="1:13" ht="15.75" x14ac:dyDescent="0.2">
      <c r="A108" s="21" t="s">
        <v>386</v>
      </c>
      <c r="B108" s="233"/>
      <c r="C108" s="233"/>
      <c r="D108" s="166"/>
      <c r="E108" s="27"/>
      <c r="F108" s="233"/>
      <c r="G108" s="233"/>
      <c r="H108" s="166"/>
      <c r="I108" s="27"/>
      <c r="J108" s="286"/>
      <c r="K108" s="44"/>
      <c r="L108" s="253"/>
      <c r="M108" s="27"/>
    </row>
    <row r="109" spans="1:13" ht="15.75" x14ac:dyDescent="0.2">
      <c r="A109" s="21" t="s">
        <v>387</v>
      </c>
      <c r="B109" s="233"/>
      <c r="C109" s="233"/>
      <c r="D109" s="166"/>
      <c r="E109" s="27"/>
      <c r="F109" s="233"/>
      <c r="G109" s="233"/>
      <c r="H109" s="166"/>
      <c r="I109" s="27"/>
      <c r="J109" s="286"/>
      <c r="K109" s="44"/>
      <c r="L109" s="253"/>
      <c r="M109" s="27"/>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c r="C111" s="159"/>
      <c r="D111" s="171"/>
      <c r="E111" s="11"/>
      <c r="F111" s="307"/>
      <c r="G111" s="159"/>
      <c r="H111" s="171"/>
      <c r="I111" s="11"/>
      <c r="J111" s="308"/>
      <c r="K111" s="235"/>
      <c r="L111" s="427"/>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c r="C116" s="233"/>
      <c r="D116" s="166"/>
      <c r="E116" s="27"/>
      <c r="F116" s="233"/>
      <c r="G116" s="233"/>
      <c r="H116" s="166"/>
      <c r="I116" s="27"/>
      <c r="J116" s="286"/>
      <c r="K116" s="44"/>
      <c r="L116" s="253"/>
      <c r="M116" s="27"/>
    </row>
    <row r="117" spans="1:14" ht="15.75" x14ac:dyDescent="0.2">
      <c r="A117" s="21" t="s">
        <v>390</v>
      </c>
      <c r="B117" s="233"/>
      <c r="C117" s="233"/>
      <c r="D117" s="166"/>
      <c r="E117" s="27"/>
      <c r="F117" s="233"/>
      <c r="G117" s="233"/>
      <c r="H117" s="166"/>
      <c r="I117" s="27"/>
      <c r="J117" s="286"/>
      <c r="K117" s="44"/>
      <c r="L117" s="253"/>
      <c r="M117" s="27"/>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c r="C119" s="159"/>
      <c r="D119" s="171"/>
      <c r="E119" s="11"/>
      <c r="F119" s="307"/>
      <c r="G119" s="159"/>
      <c r="H119" s="171"/>
      <c r="I119" s="11"/>
      <c r="J119" s="308"/>
      <c r="K119" s="235"/>
      <c r="L119" s="427"/>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c r="G125" s="233"/>
      <c r="H125" s="166"/>
      <c r="I125" s="27"/>
      <c r="J125" s="286"/>
      <c r="K125" s="44"/>
      <c r="L125" s="253"/>
      <c r="M125" s="27"/>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v>21741608.461070001</v>
      </c>
      <c r="C134" s="308">
        <v>14223024.93014</v>
      </c>
      <c r="D134" s="349">
        <f t="shared" ref="D134:D137" si="1">IF(B134=0, "    ---- ", IF(ABS(ROUND(100/B134*C134-100,1))&lt;999,ROUND(100/B134*C134-100,1),IF(ROUND(100/B134*C134-100,1)&gt;999,999,-999)))</f>
        <v>-34.6</v>
      </c>
      <c r="E134" s="11">
        <f>IFERROR(100/'Skjema total MA'!C134*C134,0)</f>
        <v>89.144089781438694</v>
      </c>
      <c r="F134" s="315">
        <v>89130.341</v>
      </c>
      <c r="G134" s="316">
        <v>32970.711000000003</v>
      </c>
      <c r="H134" s="430">
        <f t="shared" ref="H134:H136" si="2">IF(F134=0, "    ---- ", IF(ABS(ROUND(100/F134*G134-100,1))&lt;999,ROUND(100/F134*G134-100,1),IF(ROUND(100/F134*G134-100,1)&gt;999,999,-999)))</f>
        <v>-63</v>
      </c>
      <c r="I134" s="24">
        <f>IFERROR(100/'Skjema total MA'!F134*G134,0)</f>
        <v>100</v>
      </c>
      <c r="J134" s="317">
        <f t="shared" ref="J134:K137" si="3">SUM(B134,F134)</f>
        <v>21830738.802069999</v>
      </c>
      <c r="K134" s="317">
        <f t="shared" si="3"/>
        <v>14255995.641139999</v>
      </c>
      <c r="L134" s="426">
        <f t="shared" ref="L134:L137" si="4">IF(J134=0, "    ---- ", IF(ABS(ROUND(100/J134*K134-100,1))&lt;999,ROUND(100/J134*K134-100,1),IF(ROUND(100/J134*K134-100,1)&gt;999,999,-999)))</f>
        <v>-34.700000000000003</v>
      </c>
      <c r="M134" s="11">
        <f>IFERROR(100/'Skjema total MA'!I134*K134,0)</f>
        <v>89.166476921126545</v>
      </c>
      <c r="N134" s="148"/>
    </row>
    <row r="135" spans="1:14" s="3" customFormat="1" ht="15.75" x14ac:dyDescent="0.2">
      <c r="A135" s="13" t="s">
        <v>396</v>
      </c>
      <c r="B135" s="235">
        <v>491892859.81856</v>
      </c>
      <c r="C135" s="308">
        <v>516931786.69641</v>
      </c>
      <c r="D135" s="171">
        <f t="shared" si="1"/>
        <v>5.0999999999999996</v>
      </c>
      <c r="E135" s="11">
        <f>IFERROR(100/'Skjema total MA'!C135*C135,0)</f>
        <v>86.591483634283009</v>
      </c>
      <c r="F135" s="235">
        <v>2587219.1831499999</v>
      </c>
      <c r="G135" s="308">
        <v>1933154.62115</v>
      </c>
      <c r="H135" s="431">
        <f t="shared" si="2"/>
        <v>-25.3</v>
      </c>
      <c r="I135" s="24">
        <f>IFERROR(100/'Skjema total MA'!F135*G135,0)</f>
        <v>100</v>
      </c>
      <c r="J135" s="307">
        <f t="shared" si="3"/>
        <v>494480079.00171</v>
      </c>
      <c r="K135" s="307">
        <f t="shared" si="3"/>
        <v>518864941.31756002</v>
      </c>
      <c r="L135" s="427">
        <f t="shared" si="4"/>
        <v>4.9000000000000004</v>
      </c>
      <c r="M135" s="11">
        <f>IFERROR(100/'Skjema total MA'!I135*K135,0)</f>
        <v>86.634763428277381</v>
      </c>
      <c r="N135" s="148"/>
    </row>
    <row r="136" spans="1:14" s="3" customFormat="1" ht="15.75" x14ac:dyDescent="0.2">
      <c r="A136" s="13" t="s">
        <v>393</v>
      </c>
      <c r="B136" s="235">
        <v>235.143</v>
      </c>
      <c r="C136" s="308">
        <v>3328031.82</v>
      </c>
      <c r="D136" s="171">
        <f t="shared" si="1"/>
        <v>999</v>
      </c>
      <c r="E136" s="11">
        <f>IFERROR(100/'Skjema total MA'!C136*C136,0)</f>
        <v>100</v>
      </c>
      <c r="F136" s="235">
        <v>0</v>
      </c>
      <c r="G136" s="308">
        <v>-462823.85</v>
      </c>
      <c r="H136" s="431" t="str">
        <f t="shared" si="2"/>
        <v xml:space="preserve">    ---- </v>
      </c>
      <c r="I136" s="24">
        <f>IFERROR(100/'Skjema total MA'!F136*G136,0)</f>
        <v>100</v>
      </c>
      <c r="J136" s="307">
        <f t="shared" si="3"/>
        <v>235.143</v>
      </c>
      <c r="K136" s="307">
        <f t="shared" si="3"/>
        <v>2865207.9699999997</v>
      </c>
      <c r="L136" s="427">
        <f t="shared" si="4"/>
        <v>999</v>
      </c>
      <c r="M136" s="11">
        <f>IFERROR(100/'Skjema total MA'!I136*K136,0)</f>
        <v>100.00000000000001</v>
      </c>
      <c r="N136" s="148"/>
    </row>
    <row r="137" spans="1:14" s="3" customFormat="1" ht="15.75" x14ac:dyDescent="0.2">
      <c r="A137" s="41" t="s">
        <v>394</v>
      </c>
      <c r="B137" s="275">
        <v>248299.76699999999</v>
      </c>
      <c r="C137" s="314">
        <v>7655459.3569999998</v>
      </c>
      <c r="D137" s="169">
        <f t="shared" si="1"/>
        <v>999</v>
      </c>
      <c r="E137" s="9">
        <f>IFERROR(100/'Skjema total MA'!C137*C137,0)</f>
        <v>99.467287513670684</v>
      </c>
      <c r="F137" s="275"/>
      <c r="G137" s="314"/>
      <c r="H137" s="432"/>
      <c r="I137" s="36"/>
      <c r="J137" s="313">
        <f t="shared" si="3"/>
        <v>248299.76699999999</v>
      </c>
      <c r="K137" s="313">
        <f t="shared" si="3"/>
        <v>7655459.3569999998</v>
      </c>
      <c r="L137" s="428">
        <f t="shared" si="4"/>
        <v>999</v>
      </c>
      <c r="M137" s="36">
        <f>IFERROR(100/'Skjema total MA'!I137*K137,0)</f>
        <v>99.467287513670684</v>
      </c>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995" priority="132">
      <formula>kvartal &lt; 4</formula>
    </cfRule>
  </conditionalFormatting>
  <conditionalFormatting sqref="B69">
    <cfRule type="expression" dxfId="994" priority="100">
      <formula>kvartal &lt; 4</formula>
    </cfRule>
  </conditionalFormatting>
  <conditionalFormatting sqref="C69">
    <cfRule type="expression" dxfId="993" priority="99">
      <formula>kvartal &lt; 4</formula>
    </cfRule>
  </conditionalFormatting>
  <conditionalFormatting sqref="B72">
    <cfRule type="expression" dxfId="992" priority="98">
      <formula>kvartal &lt; 4</formula>
    </cfRule>
  </conditionalFormatting>
  <conditionalFormatting sqref="C72">
    <cfRule type="expression" dxfId="991" priority="97">
      <formula>kvartal &lt; 4</formula>
    </cfRule>
  </conditionalFormatting>
  <conditionalFormatting sqref="B80">
    <cfRule type="expression" dxfId="990" priority="96">
      <formula>kvartal &lt; 4</formula>
    </cfRule>
  </conditionalFormatting>
  <conditionalFormatting sqref="C80">
    <cfRule type="expression" dxfId="989" priority="95">
      <formula>kvartal &lt; 4</formula>
    </cfRule>
  </conditionalFormatting>
  <conditionalFormatting sqref="B83">
    <cfRule type="expression" dxfId="988" priority="94">
      <formula>kvartal &lt; 4</formula>
    </cfRule>
  </conditionalFormatting>
  <conditionalFormatting sqref="C83">
    <cfRule type="expression" dxfId="987" priority="93">
      <formula>kvartal &lt; 4</formula>
    </cfRule>
  </conditionalFormatting>
  <conditionalFormatting sqref="B90">
    <cfRule type="expression" dxfId="986" priority="84">
      <formula>kvartal &lt; 4</formula>
    </cfRule>
  </conditionalFormatting>
  <conditionalFormatting sqref="C90">
    <cfRule type="expression" dxfId="985" priority="83">
      <formula>kvartal &lt; 4</formula>
    </cfRule>
  </conditionalFormatting>
  <conditionalFormatting sqref="B93">
    <cfRule type="expression" dxfId="984" priority="82">
      <formula>kvartal &lt; 4</formula>
    </cfRule>
  </conditionalFormatting>
  <conditionalFormatting sqref="C93">
    <cfRule type="expression" dxfId="983" priority="81">
      <formula>kvartal &lt; 4</formula>
    </cfRule>
  </conditionalFormatting>
  <conditionalFormatting sqref="B101">
    <cfRule type="expression" dxfId="982" priority="80">
      <formula>kvartal &lt; 4</formula>
    </cfRule>
  </conditionalFormatting>
  <conditionalFormatting sqref="C101">
    <cfRule type="expression" dxfId="981" priority="79">
      <formula>kvartal &lt; 4</formula>
    </cfRule>
  </conditionalFormatting>
  <conditionalFormatting sqref="B104">
    <cfRule type="expression" dxfId="980" priority="78">
      <formula>kvartal &lt; 4</formula>
    </cfRule>
  </conditionalFormatting>
  <conditionalFormatting sqref="C104">
    <cfRule type="expression" dxfId="979" priority="77">
      <formula>kvartal &lt; 4</formula>
    </cfRule>
  </conditionalFormatting>
  <conditionalFormatting sqref="B115">
    <cfRule type="expression" dxfId="978" priority="76">
      <formula>kvartal &lt; 4</formula>
    </cfRule>
  </conditionalFormatting>
  <conditionalFormatting sqref="C115">
    <cfRule type="expression" dxfId="977" priority="75">
      <formula>kvartal &lt; 4</formula>
    </cfRule>
  </conditionalFormatting>
  <conditionalFormatting sqref="B123">
    <cfRule type="expression" dxfId="976" priority="74">
      <formula>kvartal &lt; 4</formula>
    </cfRule>
  </conditionalFormatting>
  <conditionalFormatting sqref="C123">
    <cfRule type="expression" dxfId="975" priority="73">
      <formula>kvartal &lt; 4</formula>
    </cfRule>
  </conditionalFormatting>
  <conditionalFormatting sqref="F70">
    <cfRule type="expression" dxfId="974" priority="72">
      <formula>kvartal &lt; 4</formula>
    </cfRule>
  </conditionalFormatting>
  <conditionalFormatting sqref="G70">
    <cfRule type="expression" dxfId="973" priority="71">
      <formula>kvartal &lt; 4</formula>
    </cfRule>
  </conditionalFormatting>
  <conditionalFormatting sqref="F71:G71">
    <cfRule type="expression" dxfId="972" priority="70">
      <formula>kvartal &lt; 4</formula>
    </cfRule>
  </conditionalFormatting>
  <conditionalFormatting sqref="F73:G74">
    <cfRule type="expression" dxfId="971" priority="69">
      <formula>kvartal &lt; 4</formula>
    </cfRule>
  </conditionalFormatting>
  <conditionalFormatting sqref="F81:G82">
    <cfRule type="expression" dxfId="970" priority="68">
      <formula>kvartal &lt; 4</formula>
    </cfRule>
  </conditionalFormatting>
  <conditionalFormatting sqref="F84:G85">
    <cfRule type="expression" dxfId="969" priority="67">
      <formula>kvartal &lt; 4</formula>
    </cfRule>
  </conditionalFormatting>
  <conditionalFormatting sqref="F91:G92">
    <cfRule type="expression" dxfId="968" priority="62">
      <formula>kvartal &lt; 4</formula>
    </cfRule>
  </conditionalFormatting>
  <conditionalFormatting sqref="F94:G95">
    <cfRule type="expression" dxfId="967" priority="61">
      <formula>kvartal &lt; 4</formula>
    </cfRule>
  </conditionalFormatting>
  <conditionalFormatting sqref="F102:G103">
    <cfRule type="expression" dxfId="966" priority="60">
      <formula>kvartal &lt; 4</formula>
    </cfRule>
  </conditionalFormatting>
  <conditionalFormatting sqref="F105:G106">
    <cfRule type="expression" dxfId="965" priority="59">
      <formula>kvartal &lt; 4</formula>
    </cfRule>
  </conditionalFormatting>
  <conditionalFormatting sqref="F115">
    <cfRule type="expression" dxfId="964" priority="58">
      <formula>kvartal &lt; 4</formula>
    </cfRule>
  </conditionalFormatting>
  <conditionalFormatting sqref="G115">
    <cfRule type="expression" dxfId="963" priority="57">
      <formula>kvartal &lt; 4</formula>
    </cfRule>
  </conditionalFormatting>
  <conditionalFormatting sqref="F123:G123">
    <cfRule type="expression" dxfId="962" priority="56">
      <formula>kvartal &lt; 4</formula>
    </cfRule>
  </conditionalFormatting>
  <conditionalFormatting sqref="F69:G69">
    <cfRule type="expression" dxfId="961" priority="55">
      <formula>kvartal &lt; 4</formula>
    </cfRule>
  </conditionalFormatting>
  <conditionalFormatting sqref="F72:G72">
    <cfRule type="expression" dxfId="960" priority="54">
      <formula>kvartal &lt; 4</formula>
    </cfRule>
  </conditionalFormatting>
  <conditionalFormatting sqref="F80:G80">
    <cfRule type="expression" dxfId="959" priority="53">
      <formula>kvartal &lt; 4</formula>
    </cfRule>
  </conditionalFormatting>
  <conditionalFormatting sqref="F83:G83">
    <cfRule type="expression" dxfId="958" priority="52">
      <formula>kvartal &lt; 4</formula>
    </cfRule>
  </conditionalFormatting>
  <conditionalFormatting sqref="F90:G90">
    <cfRule type="expression" dxfId="957" priority="46">
      <formula>kvartal &lt; 4</formula>
    </cfRule>
  </conditionalFormatting>
  <conditionalFormatting sqref="F93">
    <cfRule type="expression" dxfId="956" priority="45">
      <formula>kvartal &lt; 4</formula>
    </cfRule>
  </conditionalFormatting>
  <conditionalFormatting sqref="G93">
    <cfRule type="expression" dxfId="955" priority="44">
      <formula>kvartal &lt; 4</formula>
    </cfRule>
  </conditionalFormatting>
  <conditionalFormatting sqref="F101">
    <cfRule type="expression" dxfId="954" priority="43">
      <formula>kvartal &lt; 4</formula>
    </cfRule>
  </conditionalFormatting>
  <conditionalFormatting sqref="G101">
    <cfRule type="expression" dxfId="953" priority="42">
      <formula>kvartal &lt; 4</formula>
    </cfRule>
  </conditionalFormatting>
  <conditionalFormatting sqref="G104">
    <cfRule type="expression" dxfId="952" priority="41">
      <formula>kvartal &lt; 4</formula>
    </cfRule>
  </conditionalFormatting>
  <conditionalFormatting sqref="F104">
    <cfRule type="expression" dxfId="951" priority="40">
      <formula>kvartal &lt; 4</formula>
    </cfRule>
  </conditionalFormatting>
  <conditionalFormatting sqref="J69:K73">
    <cfRule type="expression" dxfId="950" priority="39">
      <formula>kvartal &lt; 4</formula>
    </cfRule>
  </conditionalFormatting>
  <conditionalFormatting sqref="J74:K74">
    <cfRule type="expression" dxfId="949" priority="38">
      <formula>kvartal &lt; 4</formula>
    </cfRule>
  </conditionalFormatting>
  <conditionalFormatting sqref="J80:K85">
    <cfRule type="expression" dxfId="948" priority="37">
      <formula>kvartal &lt; 4</formula>
    </cfRule>
  </conditionalFormatting>
  <conditionalFormatting sqref="J90:K95">
    <cfRule type="expression" dxfId="947" priority="34">
      <formula>kvartal &lt; 4</formula>
    </cfRule>
  </conditionalFormatting>
  <conditionalFormatting sqref="J101:K106">
    <cfRule type="expression" dxfId="946" priority="33">
      <formula>kvartal &lt; 4</formula>
    </cfRule>
  </conditionalFormatting>
  <conditionalFormatting sqref="J115:K115">
    <cfRule type="expression" dxfId="945" priority="32">
      <formula>kvartal &lt; 4</formula>
    </cfRule>
  </conditionalFormatting>
  <conditionalFormatting sqref="J123:K123">
    <cfRule type="expression" dxfId="944" priority="31">
      <formula>kvartal &lt; 4</formula>
    </cfRule>
  </conditionalFormatting>
  <conditionalFormatting sqref="A50:A52">
    <cfRule type="expression" dxfId="943" priority="12">
      <formula>kvartal &lt; 4</formula>
    </cfRule>
  </conditionalFormatting>
  <conditionalFormatting sqref="A69:A74">
    <cfRule type="expression" dxfId="942" priority="10">
      <formula>kvartal &lt; 4</formula>
    </cfRule>
  </conditionalFormatting>
  <conditionalFormatting sqref="A80:A85">
    <cfRule type="expression" dxfId="941" priority="9">
      <formula>kvartal &lt; 4</formula>
    </cfRule>
  </conditionalFormatting>
  <conditionalFormatting sqref="A90:A95">
    <cfRule type="expression" dxfId="940" priority="6">
      <formula>kvartal &lt; 4</formula>
    </cfRule>
  </conditionalFormatting>
  <conditionalFormatting sqref="A101:A106">
    <cfRule type="expression" dxfId="939" priority="5">
      <formula>kvartal &lt; 4</formula>
    </cfRule>
  </conditionalFormatting>
  <conditionalFormatting sqref="A115">
    <cfRule type="expression" dxfId="938" priority="4">
      <formula>kvartal &lt; 4</formula>
    </cfRule>
  </conditionalFormatting>
  <conditionalFormatting sqref="A123">
    <cfRule type="expression" dxfId="937" priority="3">
      <formula>kvartal &lt; 4</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election activeCell="C3" sqref="C3"/>
    </sheetView>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274" t="s">
        <v>31</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71" t="s">
        <v>32</v>
      </c>
      <c r="B6" s="71"/>
      <c r="C6" s="70"/>
      <c r="D6" s="69"/>
      <c r="E6" s="69"/>
      <c r="F6" s="69"/>
      <c r="G6" s="69"/>
      <c r="H6" s="69"/>
      <c r="I6" s="69"/>
      <c r="J6" s="69"/>
      <c r="K6" s="69"/>
      <c r="L6" s="69"/>
      <c r="M6" s="69"/>
      <c r="N6" s="69"/>
    </row>
    <row r="7" spans="1:14" ht="20.100000000000001" customHeight="1" x14ac:dyDescent="0.35">
      <c r="A7" s="70"/>
      <c r="B7" s="70" t="s">
        <v>33</v>
      </c>
      <c r="C7" s="70" t="s">
        <v>34</v>
      </c>
      <c r="D7" s="69"/>
      <c r="E7" s="69"/>
      <c r="F7" s="69"/>
      <c r="G7" s="69"/>
      <c r="H7" s="69"/>
      <c r="I7" s="69"/>
      <c r="J7" s="69"/>
      <c r="K7" s="69"/>
      <c r="L7" s="69"/>
      <c r="M7" s="69"/>
      <c r="N7" s="69"/>
    </row>
    <row r="8" spans="1:14" ht="20.100000000000001" customHeight="1" x14ac:dyDescent="0.35">
      <c r="A8" s="70"/>
      <c r="B8" s="70" t="s">
        <v>35</v>
      </c>
      <c r="C8" s="70" t="s">
        <v>36</v>
      </c>
      <c r="D8" s="69"/>
      <c r="E8" s="69"/>
      <c r="F8" s="69"/>
      <c r="G8" s="69"/>
      <c r="H8" s="69"/>
      <c r="I8" s="69"/>
      <c r="J8" s="69"/>
      <c r="K8" s="69"/>
      <c r="L8" s="69"/>
      <c r="M8" s="69"/>
      <c r="N8" s="69"/>
    </row>
    <row r="9" spans="1:14" ht="20.100000000000001" customHeight="1" x14ac:dyDescent="0.35">
      <c r="A9" s="70"/>
      <c r="B9" s="70" t="s">
        <v>37</v>
      </c>
      <c r="C9" s="70" t="s">
        <v>40</v>
      </c>
      <c r="D9" s="69"/>
      <c r="E9" s="69"/>
      <c r="F9" s="69"/>
      <c r="G9" s="69"/>
      <c r="H9" s="69"/>
      <c r="I9" s="69"/>
      <c r="J9" s="69"/>
      <c r="K9" s="69"/>
      <c r="L9" s="69"/>
      <c r="M9" s="69"/>
      <c r="N9" s="69"/>
    </row>
    <row r="10" spans="1:14" ht="20.100000000000001" customHeight="1" x14ac:dyDescent="0.35">
      <c r="A10" s="70"/>
      <c r="B10" s="70" t="s">
        <v>38</v>
      </c>
      <c r="C10" s="70" t="s">
        <v>42</v>
      </c>
      <c r="D10" s="69"/>
      <c r="E10" s="69"/>
      <c r="F10" s="69"/>
      <c r="G10" s="69"/>
      <c r="H10" s="69"/>
      <c r="I10" s="69"/>
      <c r="J10" s="69"/>
      <c r="K10" s="69"/>
      <c r="L10" s="69"/>
      <c r="M10" s="69"/>
      <c r="N10" s="69"/>
    </row>
    <row r="11" spans="1:14" ht="20.100000000000001" customHeight="1" x14ac:dyDescent="0.35">
      <c r="A11" s="70"/>
      <c r="B11" s="70" t="s">
        <v>39</v>
      </c>
      <c r="C11" s="70" t="s">
        <v>43</v>
      </c>
      <c r="D11" s="69"/>
      <c r="E11" s="69"/>
      <c r="F11" s="69"/>
      <c r="G11" s="69"/>
      <c r="H11" s="69"/>
      <c r="I11" s="69"/>
      <c r="J11" s="69"/>
      <c r="K11" s="69"/>
      <c r="L11" s="69"/>
      <c r="M11" s="69"/>
      <c r="N11" s="69"/>
    </row>
    <row r="12" spans="1:14" ht="20.100000000000001" customHeight="1" x14ac:dyDescent="0.35">
      <c r="A12" s="70"/>
      <c r="B12" s="70" t="s">
        <v>41</v>
      </c>
      <c r="C12" s="70" t="s">
        <v>44</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273" t="s">
        <v>45</v>
      </c>
      <c r="B14" s="71"/>
      <c r="C14" s="70"/>
      <c r="D14" s="69"/>
      <c r="E14" s="69"/>
      <c r="F14" s="69"/>
      <c r="G14" s="69"/>
      <c r="H14" s="69"/>
      <c r="I14" s="69"/>
      <c r="J14" s="69"/>
      <c r="K14" s="69"/>
      <c r="L14" s="69"/>
      <c r="M14" s="69"/>
      <c r="N14" s="69"/>
    </row>
    <row r="15" spans="1:14" ht="20.100000000000001" customHeight="1" x14ac:dyDescent="0.35">
      <c r="A15" s="70"/>
      <c r="B15" s="70" t="s">
        <v>46</v>
      </c>
      <c r="C15" s="70"/>
      <c r="D15" s="69"/>
      <c r="E15" s="69"/>
      <c r="F15" s="69"/>
      <c r="G15" s="69"/>
      <c r="H15" s="69"/>
      <c r="I15" s="69"/>
      <c r="J15" s="69"/>
      <c r="K15" s="69"/>
      <c r="L15" s="69"/>
      <c r="M15" s="69"/>
      <c r="N15" s="69"/>
    </row>
    <row r="16" spans="1:14" ht="20.100000000000001" customHeight="1" x14ac:dyDescent="0.35">
      <c r="A16" s="70"/>
      <c r="B16" s="71" t="s">
        <v>47</v>
      </c>
      <c r="C16" s="70" t="s">
        <v>48</v>
      </c>
      <c r="D16" s="69"/>
      <c r="E16" s="69"/>
      <c r="F16" s="69"/>
      <c r="G16" s="69"/>
      <c r="H16" s="69"/>
      <c r="I16" s="69"/>
      <c r="J16" s="69"/>
      <c r="K16" s="69"/>
      <c r="L16" s="69"/>
      <c r="M16" s="69"/>
      <c r="N16" s="69"/>
    </row>
    <row r="17" spans="1:14" ht="20.100000000000001" customHeight="1" x14ac:dyDescent="0.35">
      <c r="A17" s="70"/>
      <c r="B17" s="71" t="s">
        <v>49</v>
      </c>
      <c r="C17" s="70" t="s">
        <v>50</v>
      </c>
      <c r="D17" s="69"/>
      <c r="E17" s="69"/>
      <c r="F17" s="69"/>
      <c r="G17" s="69"/>
      <c r="H17" s="69"/>
      <c r="I17" s="69"/>
      <c r="J17" s="69"/>
      <c r="K17" s="69"/>
      <c r="L17" s="69"/>
      <c r="M17" s="69"/>
      <c r="N17" s="69"/>
    </row>
    <row r="18" spans="1:14" ht="20.100000000000001" customHeight="1" x14ac:dyDescent="0.35">
      <c r="A18" s="70"/>
      <c r="B18" s="71" t="s">
        <v>343</v>
      </c>
      <c r="C18" s="70" t="s">
        <v>344</v>
      </c>
      <c r="D18" s="69"/>
      <c r="E18" s="69"/>
      <c r="F18" s="69"/>
      <c r="G18" s="69"/>
      <c r="H18" s="69"/>
      <c r="I18" s="69"/>
      <c r="J18" s="69"/>
      <c r="K18" s="69"/>
      <c r="L18" s="69"/>
      <c r="M18" s="69"/>
      <c r="N18" s="69"/>
    </row>
    <row r="19" spans="1:14" ht="20.100000000000001" customHeight="1" x14ac:dyDescent="0.35">
      <c r="A19" s="70"/>
      <c r="B19" s="70" t="s">
        <v>345</v>
      </c>
      <c r="C19" s="70" t="s">
        <v>273</v>
      </c>
      <c r="D19" s="69"/>
      <c r="E19" s="69"/>
      <c r="F19" s="69"/>
      <c r="G19" s="69"/>
      <c r="H19" s="69"/>
      <c r="I19" s="69"/>
      <c r="J19" s="69"/>
      <c r="K19" s="69"/>
      <c r="L19" s="69"/>
      <c r="M19" s="69"/>
      <c r="N19" s="69"/>
    </row>
    <row r="20" spans="1:14" s="347" customFormat="1" ht="20.100000000000001" customHeight="1" x14ac:dyDescent="0.35">
      <c r="A20" s="345"/>
      <c r="B20" s="345" t="s">
        <v>347</v>
      </c>
      <c r="C20" s="345" t="s">
        <v>346</v>
      </c>
      <c r="D20" s="346"/>
      <c r="E20" s="346"/>
      <c r="F20" s="346"/>
      <c r="G20" s="346"/>
      <c r="H20" s="346"/>
      <c r="I20" s="346"/>
      <c r="J20" s="346"/>
      <c r="K20" s="346"/>
      <c r="L20" s="346"/>
      <c r="M20" s="346"/>
      <c r="N20" s="346"/>
    </row>
    <row r="21" spans="1:14" ht="20.100000000000001" customHeight="1" x14ac:dyDescent="0.35">
      <c r="A21" s="70"/>
      <c r="B21" s="70"/>
      <c r="C21" s="70"/>
    </row>
    <row r="22" spans="1:14" ht="18.75" customHeight="1" x14ac:dyDescent="0.35">
      <c r="A22" s="70"/>
      <c r="B22" s="345" t="s">
        <v>257</v>
      </c>
      <c r="C22" s="345"/>
    </row>
    <row r="23" spans="1:14" ht="20.100000000000001" customHeight="1" x14ac:dyDescent="0.35">
      <c r="A23" s="70"/>
      <c r="B23" s="348" t="s">
        <v>258</v>
      </c>
      <c r="C23" s="345" t="s">
        <v>259</v>
      </c>
    </row>
    <row r="24" spans="1:14" ht="20.100000000000001" hidden="1" customHeight="1" x14ac:dyDescent="0.35">
      <c r="A24" s="70"/>
      <c r="B24" s="348" t="s">
        <v>260</v>
      </c>
      <c r="C24" s="345" t="s">
        <v>261</v>
      </c>
    </row>
    <row r="25" spans="1:14" ht="20.100000000000001" hidden="1" customHeight="1" x14ac:dyDescent="0.35">
      <c r="A25" s="70"/>
      <c r="B25" s="348" t="s">
        <v>262</v>
      </c>
      <c r="C25" s="345" t="s">
        <v>263</v>
      </c>
    </row>
    <row r="26" spans="1:14" ht="20.100000000000001" hidden="1" customHeight="1" x14ac:dyDescent="0.35">
      <c r="A26" s="70"/>
      <c r="B26" s="348" t="s">
        <v>264</v>
      </c>
      <c r="C26" s="345" t="s">
        <v>265</v>
      </c>
    </row>
    <row r="27" spans="1:14" ht="20.100000000000001" customHeight="1" x14ac:dyDescent="0.35">
      <c r="A27" s="70"/>
      <c r="B27" s="348" t="s">
        <v>174</v>
      </c>
      <c r="C27" s="345" t="s">
        <v>266</v>
      </c>
    </row>
    <row r="28" spans="1:14" ht="20.100000000000001" hidden="1" customHeight="1" x14ac:dyDescent="0.35">
      <c r="A28" s="70"/>
      <c r="B28" s="342" t="s">
        <v>267</v>
      </c>
      <c r="C28" s="272" t="s">
        <v>268</v>
      </c>
    </row>
    <row r="29" spans="1:14" ht="20.100000000000001" hidden="1" customHeight="1" x14ac:dyDescent="0.35">
      <c r="A29" s="70"/>
      <c r="B29" s="342" t="s">
        <v>269</v>
      </c>
      <c r="C29" s="272" t="s">
        <v>270</v>
      </c>
    </row>
    <row r="30" spans="1:14" ht="18.75" customHeight="1" x14ac:dyDescent="0.35">
      <c r="A30" s="70"/>
      <c r="B30" s="348" t="s">
        <v>271</v>
      </c>
      <c r="C30" s="345" t="s">
        <v>272</v>
      </c>
    </row>
    <row r="31" spans="1:14" ht="18.75" customHeight="1" x14ac:dyDescent="0.35">
      <c r="A31" s="70"/>
      <c r="B31" s="348"/>
      <c r="C31" s="345"/>
    </row>
    <row r="32" spans="1:14" ht="20.100000000000001" customHeight="1" x14ac:dyDescent="0.35">
      <c r="A32" s="70"/>
      <c r="B32" s="70"/>
      <c r="C32" s="70"/>
    </row>
    <row r="33" spans="1:14" x14ac:dyDescent="0.35">
      <c r="A33" s="71" t="s">
        <v>51</v>
      </c>
      <c r="B33" s="70"/>
      <c r="C33" s="70"/>
    </row>
    <row r="34" spans="1:14" ht="26.25" hidden="1" customHeight="1" x14ac:dyDescent="0.4">
      <c r="C34" s="72"/>
    </row>
    <row r="35" spans="1:14" ht="26.25" hidden="1" customHeight="1" x14ac:dyDescent="0.4">
      <c r="C35" s="72"/>
    </row>
    <row r="36" spans="1:14" ht="18.75" customHeight="1" x14ac:dyDescent="0.4">
      <c r="C36" s="343"/>
      <c r="D36" s="344"/>
    </row>
    <row r="37" spans="1:14" ht="26.25" x14ac:dyDescent="0.4">
      <c r="C37" s="72"/>
    </row>
    <row r="38" spans="1:14" ht="26.25" x14ac:dyDescent="0.4">
      <c r="C38" s="72"/>
    </row>
    <row r="39" spans="1:14" ht="26.25" x14ac:dyDescent="0.4">
      <c r="C39" s="343"/>
      <c r="D39" s="347"/>
      <c r="E39" s="347"/>
      <c r="F39" s="347"/>
      <c r="G39" s="347"/>
      <c r="H39" s="347"/>
      <c r="I39" s="347"/>
      <c r="J39" s="347"/>
      <c r="K39" s="347"/>
      <c r="L39" s="347"/>
      <c r="M39" s="347"/>
      <c r="N39" s="347"/>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21"/>
  <dimension ref="A1:N144"/>
  <sheetViews>
    <sheetView showGridLines="0" zoomScale="120" zoomScaleNormal="120" workbookViewId="0">
      <selection activeCell="B1" sqref="B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93</v>
      </c>
      <c r="D1" s="26"/>
      <c r="E1" s="26"/>
      <c r="F1" s="26"/>
      <c r="G1" s="26"/>
      <c r="H1" s="26"/>
      <c r="I1" s="26"/>
      <c r="J1" s="26"/>
      <c r="K1" s="26"/>
      <c r="L1" s="26"/>
      <c r="M1" s="26"/>
    </row>
    <row r="2" spans="1:14" ht="15.75" x14ac:dyDescent="0.25">
      <c r="A2" s="165" t="s">
        <v>28</v>
      </c>
      <c r="B2" s="736"/>
      <c r="C2" s="736"/>
      <c r="D2" s="736"/>
      <c r="E2" s="298"/>
      <c r="F2" s="736"/>
      <c r="G2" s="736"/>
      <c r="H2" s="736"/>
      <c r="I2" s="298"/>
      <c r="J2" s="736"/>
      <c r="K2" s="736"/>
      <c r="L2" s="736"/>
      <c r="M2" s="298"/>
    </row>
    <row r="3" spans="1:14" ht="15.75" x14ac:dyDescent="0.25">
      <c r="A3" s="163"/>
      <c r="B3" s="298"/>
      <c r="C3" s="298"/>
      <c r="D3" s="298"/>
      <c r="E3" s="298"/>
      <c r="F3" s="298"/>
      <c r="G3" s="298"/>
      <c r="H3" s="298"/>
      <c r="I3" s="298"/>
      <c r="J3" s="298"/>
      <c r="K3" s="298"/>
      <c r="L3" s="298"/>
      <c r="M3" s="298"/>
    </row>
    <row r="4" spans="1:14" x14ac:dyDescent="0.2">
      <c r="A4" s="144"/>
      <c r="B4" s="737" t="s">
        <v>0</v>
      </c>
      <c r="C4" s="738"/>
      <c r="D4" s="738"/>
      <c r="E4" s="300"/>
      <c r="F4" s="737" t="s">
        <v>1</v>
      </c>
      <c r="G4" s="738"/>
      <c r="H4" s="738"/>
      <c r="I4" s="303"/>
      <c r="J4" s="737" t="s">
        <v>2</v>
      </c>
      <c r="K4" s="738"/>
      <c r="L4" s="738"/>
      <c r="M4" s="303"/>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c r="C7" s="306"/>
      <c r="D7" s="349"/>
      <c r="E7" s="11"/>
      <c r="F7" s="305"/>
      <c r="G7" s="306"/>
      <c r="H7" s="349"/>
      <c r="I7" s="160"/>
      <c r="J7" s="307"/>
      <c r="K7" s="308"/>
      <c r="L7" s="426"/>
      <c r="M7" s="11"/>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c r="D9" s="166"/>
      <c r="E9" s="27"/>
      <c r="F9" s="284"/>
      <c r="G9" s="285"/>
      <c r="H9" s="166"/>
      <c r="I9" s="175"/>
      <c r="J9" s="233"/>
      <c r="K9" s="286"/>
      <c r="L9" s="253"/>
      <c r="M9" s="27"/>
    </row>
    <row r="10" spans="1:14" ht="15.75" x14ac:dyDescent="0.2">
      <c r="A10" s="13" t="s">
        <v>367</v>
      </c>
      <c r="B10" s="309"/>
      <c r="C10" s="310"/>
      <c r="D10" s="171"/>
      <c r="E10" s="11"/>
      <c r="F10" s="309"/>
      <c r="G10" s="310"/>
      <c r="H10" s="171"/>
      <c r="I10" s="160"/>
      <c r="J10" s="307"/>
      <c r="K10" s="308"/>
      <c r="L10" s="427"/>
      <c r="M10" s="11"/>
    </row>
    <row r="11" spans="1:14" s="43" customFormat="1" ht="15.75" x14ac:dyDescent="0.2">
      <c r="A11" s="13" t="s">
        <v>368</v>
      </c>
      <c r="B11" s="309"/>
      <c r="C11" s="310"/>
      <c r="D11" s="171"/>
      <c r="E11" s="11"/>
      <c r="F11" s="309"/>
      <c r="G11" s="310"/>
      <c r="H11" s="171"/>
      <c r="I11" s="160"/>
      <c r="J11" s="307"/>
      <c r="K11" s="308"/>
      <c r="L11" s="427"/>
      <c r="M11" s="11"/>
      <c r="N11" s="143"/>
    </row>
    <row r="12" spans="1:14" s="43" customFormat="1" ht="15.75" x14ac:dyDescent="0.2">
      <c r="A12" s="41" t="s">
        <v>369</v>
      </c>
      <c r="B12" s="311"/>
      <c r="C12" s="312"/>
      <c r="D12" s="169"/>
      <c r="E12" s="36"/>
      <c r="F12" s="311"/>
      <c r="G12" s="312"/>
      <c r="H12" s="169"/>
      <c r="I12" s="169"/>
      <c r="J12" s="313"/>
      <c r="K12" s="314"/>
      <c r="L12" s="428"/>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426"/>
      <c r="M22" s="24"/>
    </row>
    <row r="23" spans="1:14" ht="15.75" x14ac:dyDescent="0.2">
      <c r="A23" s="587" t="s">
        <v>370</v>
      </c>
      <c r="B23" s="280"/>
      <c r="C23" s="280"/>
      <c r="D23" s="166"/>
      <c r="E23" s="11"/>
      <c r="F23" s="289"/>
      <c r="G23" s="289"/>
      <c r="H23" s="166"/>
      <c r="I23" s="416"/>
      <c r="J23" s="289"/>
      <c r="K23" s="289"/>
      <c r="L23" s="166"/>
      <c r="M23" s="23"/>
    </row>
    <row r="24" spans="1:14" ht="15.75" x14ac:dyDescent="0.2">
      <c r="A24" s="587" t="s">
        <v>371</v>
      </c>
      <c r="B24" s="280"/>
      <c r="C24" s="280"/>
      <c r="D24" s="166"/>
      <c r="E24" s="11"/>
      <c r="F24" s="289"/>
      <c r="G24" s="289"/>
      <c r="H24" s="166"/>
      <c r="I24" s="416"/>
      <c r="J24" s="289"/>
      <c r="K24" s="289"/>
      <c r="L24" s="166"/>
      <c r="M24" s="23"/>
    </row>
    <row r="25" spans="1:14" ht="15.75" x14ac:dyDescent="0.2">
      <c r="A25" s="587" t="s">
        <v>372</v>
      </c>
      <c r="B25" s="280"/>
      <c r="C25" s="280"/>
      <c r="D25" s="166"/>
      <c r="E25" s="11"/>
      <c r="F25" s="289"/>
      <c r="G25" s="289"/>
      <c r="H25" s="166"/>
      <c r="I25" s="416"/>
      <c r="J25" s="289"/>
      <c r="K25" s="289"/>
      <c r="L25" s="166"/>
      <c r="M25" s="23"/>
    </row>
    <row r="26" spans="1:14" ht="15.75" x14ac:dyDescent="0.2">
      <c r="A26" s="587" t="s">
        <v>373</v>
      </c>
      <c r="B26" s="280"/>
      <c r="C26" s="280"/>
      <c r="D26" s="166"/>
      <c r="E26" s="11"/>
      <c r="F26" s="289"/>
      <c r="G26" s="289"/>
      <c r="H26" s="166"/>
      <c r="I26" s="416"/>
      <c r="J26" s="289"/>
      <c r="K26" s="289"/>
      <c r="L26" s="166"/>
      <c r="M26" s="23"/>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c r="C28" s="286"/>
      <c r="D28" s="166"/>
      <c r="E28" s="11"/>
      <c r="F28" s="233"/>
      <c r="G28" s="286"/>
      <c r="H28" s="166"/>
      <c r="I28" s="27"/>
      <c r="J28" s="44"/>
      <c r="K28" s="44"/>
      <c r="L28" s="253"/>
      <c r="M28" s="23"/>
    </row>
    <row r="29" spans="1:14" s="3" customFormat="1" ht="15.75" x14ac:dyDescent="0.2">
      <c r="A29" s="13" t="s">
        <v>367</v>
      </c>
      <c r="B29" s="235"/>
      <c r="C29" s="235"/>
      <c r="D29" s="171"/>
      <c r="E29" s="11"/>
      <c r="F29" s="307"/>
      <c r="G29" s="307"/>
      <c r="H29" s="171"/>
      <c r="I29" s="11"/>
      <c r="J29" s="235"/>
      <c r="K29" s="235"/>
      <c r="L29" s="427"/>
      <c r="M29" s="24"/>
      <c r="N29" s="148"/>
    </row>
    <row r="30" spans="1:14" s="3" customFormat="1" ht="15.75" x14ac:dyDescent="0.2">
      <c r="A30" s="587" t="s">
        <v>370</v>
      </c>
      <c r="B30" s="280"/>
      <c r="C30" s="280"/>
      <c r="D30" s="166"/>
      <c r="E30" s="11"/>
      <c r="F30" s="289"/>
      <c r="G30" s="289"/>
      <c r="H30" s="166"/>
      <c r="I30" s="416"/>
      <c r="J30" s="289"/>
      <c r="K30" s="289"/>
      <c r="L30" s="166"/>
      <c r="M30" s="23"/>
      <c r="N30" s="148"/>
    </row>
    <row r="31" spans="1:14" s="3" customFormat="1" ht="15.75" x14ac:dyDescent="0.2">
      <c r="A31" s="587" t="s">
        <v>371</v>
      </c>
      <c r="B31" s="280"/>
      <c r="C31" s="280"/>
      <c r="D31" s="166"/>
      <c r="E31" s="11"/>
      <c r="F31" s="289"/>
      <c r="G31" s="289"/>
      <c r="H31" s="166"/>
      <c r="I31" s="416"/>
      <c r="J31" s="289"/>
      <c r="K31" s="289"/>
      <c r="L31" s="166"/>
      <c r="M31" s="23"/>
      <c r="N31" s="148"/>
    </row>
    <row r="32" spans="1:14" ht="15.75" x14ac:dyDescent="0.2">
      <c r="A32" s="587" t="s">
        <v>372</v>
      </c>
      <c r="B32" s="280"/>
      <c r="C32" s="280"/>
      <c r="D32" s="166"/>
      <c r="E32" s="11"/>
      <c r="F32" s="289"/>
      <c r="G32" s="289"/>
      <c r="H32" s="166"/>
      <c r="I32" s="416"/>
      <c r="J32" s="289"/>
      <c r="K32" s="289"/>
      <c r="L32" s="166"/>
      <c r="M32" s="23"/>
    </row>
    <row r="33" spans="1:14" ht="15.75" x14ac:dyDescent="0.2">
      <c r="A33" s="587" t="s">
        <v>373</v>
      </c>
      <c r="B33" s="280"/>
      <c r="C33" s="280"/>
      <c r="D33" s="166"/>
      <c r="E33" s="11"/>
      <c r="F33" s="289"/>
      <c r="G33" s="289"/>
      <c r="H33" s="166"/>
      <c r="I33" s="416"/>
      <c r="J33" s="289"/>
      <c r="K33" s="289"/>
      <c r="L33" s="166"/>
      <c r="M33" s="23"/>
    </row>
    <row r="34" spans="1:14" ht="15.75" x14ac:dyDescent="0.2">
      <c r="A34" s="13" t="s">
        <v>368</v>
      </c>
      <c r="B34" s="235"/>
      <c r="C34" s="308"/>
      <c r="D34" s="171"/>
      <c r="E34" s="11"/>
      <c r="F34" s="307"/>
      <c r="G34" s="308"/>
      <c r="H34" s="171"/>
      <c r="I34" s="11"/>
      <c r="J34" s="235"/>
      <c r="K34" s="235"/>
      <c r="L34" s="427"/>
      <c r="M34" s="24"/>
    </row>
    <row r="35" spans="1:14" ht="15.75" x14ac:dyDescent="0.2">
      <c r="A35" s="13" t="s">
        <v>369</v>
      </c>
      <c r="B35" s="235"/>
      <c r="C35" s="308"/>
      <c r="D35" s="171"/>
      <c r="E35" s="11"/>
      <c r="F35" s="307"/>
      <c r="G35" s="308"/>
      <c r="H35" s="171"/>
      <c r="I35" s="11"/>
      <c r="J35" s="235"/>
      <c r="K35" s="235"/>
      <c r="L35" s="427"/>
      <c r="M35" s="24"/>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c r="C47" s="310"/>
      <c r="D47" s="426"/>
      <c r="E47" s="11"/>
      <c r="F47" s="145"/>
      <c r="G47" s="33"/>
      <c r="H47" s="159"/>
      <c r="I47" s="159"/>
      <c r="J47" s="37"/>
      <c r="K47" s="37"/>
      <c r="L47" s="159"/>
      <c r="M47" s="159"/>
      <c r="N47" s="148"/>
    </row>
    <row r="48" spans="1:14" s="3" customFormat="1" ht="15.75" x14ac:dyDescent="0.2">
      <c r="A48" s="38" t="s">
        <v>378</v>
      </c>
      <c r="B48" s="280"/>
      <c r="C48" s="281"/>
      <c r="D48" s="253"/>
      <c r="E48" s="27"/>
      <c r="F48" s="145"/>
      <c r="G48" s="33"/>
      <c r="H48" s="145"/>
      <c r="I48" s="145"/>
      <c r="J48" s="33"/>
      <c r="K48" s="33"/>
      <c r="L48" s="159"/>
      <c r="M48" s="159"/>
      <c r="N48" s="148"/>
    </row>
    <row r="49" spans="1:14" s="3" customFormat="1" ht="15.75" x14ac:dyDescent="0.2">
      <c r="A49" s="38" t="s">
        <v>379</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c r="C53" s="310"/>
      <c r="D53" s="427"/>
      <c r="E53" s="11"/>
      <c r="F53" s="145"/>
      <c r="G53" s="33"/>
      <c r="H53" s="145"/>
      <c r="I53" s="145"/>
      <c r="J53" s="33"/>
      <c r="K53" s="33"/>
      <c r="L53" s="159"/>
      <c r="M53" s="159"/>
      <c r="N53" s="148"/>
    </row>
    <row r="54" spans="1:14" s="3" customFormat="1" ht="15.75" x14ac:dyDescent="0.2">
      <c r="A54" s="38" t="s">
        <v>378</v>
      </c>
      <c r="B54" s="280"/>
      <c r="C54" s="281"/>
      <c r="D54" s="253"/>
      <c r="E54" s="27"/>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c r="C56" s="310"/>
      <c r="D56" s="427"/>
      <c r="E56" s="11"/>
      <c r="F56" s="145"/>
      <c r="G56" s="33"/>
      <c r="H56" s="145"/>
      <c r="I56" s="145"/>
      <c r="J56" s="33"/>
      <c r="K56" s="33"/>
      <c r="L56" s="159"/>
      <c r="M56" s="159"/>
      <c r="N56" s="148"/>
    </row>
    <row r="57" spans="1:14" s="3" customFormat="1" ht="15.75" x14ac:dyDescent="0.2">
      <c r="A57" s="38" t="s">
        <v>378</v>
      </c>
      <c r="B57" s="280"/>
      <c r="C57" s="281"/>
      <c r="D57" s="253"/>
      <c r="E57" s="27"/>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v>47990</v>
      </c>
      <c r="C66" s="352">
        <v>50104</v>
      </c>
      <c r="D66" s="349">
        <f t="shared" ref="D66:D111" si="0">IF(B66=0, "    ---- ", IF(ABS(ROUND(100/B66*C66-100,1))&lt;999,ROUND(100/B66*C66-100,1),IF(ROUND(100/B66*C66-100,1)&gt;999,999,-999)))</f>
        <v>4.4000000000000004</v>
      </c>
      <c r="E66" s="11">
        <f>IFERROR(100/'Skjema total MA'!C66*C66,0)</f>
        <v>1.0656151505397964</v>
      </c>
      <c r="F66" s="351">
        <v>267105</v>
      </c>
      <c r="G66" s="351">
        <v>310599</v>
      </c>
      <c r="H66" s="349">
        <f t="shared" ref="H66:H111" si="1">IF(F66=0, "    ---- ", IF(ABS(ROUND(100/F66*G66-100,1))&lt;999,ROUND(100/F66*G66-100,1),IF(ROUND(100/F66*G66-100,1)&gt;999,999,-999)))</f>
        <v>16.3</v>
      </c>
      <c r="I66" s="11">
        <f>IFERROR(100/'Skjema total MA'!F66*G66,0)</f>
        <v>1.7916492667950745</v>
      </c>
      <c r="J66" s="308">
        <f t="shared" ref="J66:K79" si="2">SUM(B66,F66)</f>
        <v>315095</v>
      </c>
      <c r="K66" s="315">
        <f t="shared" si="2"/>
        <v>360703</v>
      </c>
      <c r="L66" s="427">
        <f t="shared" ref="L66:L111" si="3">IF(J66=0, "    ---- ", IF(ABS(ROUND(100/J66*K66-100,1))&lt;999,ROUND(100/J66*K66-100,1),IF(ROUND(100/J66*K66-100,1)&gt;999,999,-999)))</f>
        <v>14.5</v>
      </c>
      <c r="M66" s="11">
        <f>IFERROR(100/'Skjema total MA'!I66*K66,0)</f>
        <v>1.6367460007064387</v>
      </c>
    </row>
    <row r="67" spans="1:14" x14ac:dyDescent="0.2">
      <c r="A67" s="418" t="s">
        <v>9</v>
      </c>
      <c r="B67" s="44">
        <v>47990</v>
      </c>
      <c r="C67" s="145">
        <v>50104</v>
      </c>
      <c r="D67" s="166">
        <f t="shared" si="0"/>
        <v>4.4000000000000004</v>
      </c>
      <c r="E67" s="27">
        <f>IFERROR(100/'Skjema total MA'!C67*C67,0)</f>
        <v>1.445888298468567</v>
      </c>
      <c r="F67" s="233"/>
      <c r="G67" s="145"/>
      <c r="H67" s="166"/>
      <c r="I67" s="27"/>
      <c r="J67" s="286">
        <f t="shared" si="2"/>
        <v>47990</v>
      </c>
      <c r="K67" s="44">
        <f t="shared" si="2"/>
        <v>50104</v>
      </c>
      <c r="L67" s="253">
        <f t="shared" si="3"/>
        <v>4.4000000000000004</v>
      </c>
      <c r="M67" s="27">
        <f>IFERROR(100/'Skjema total MA'!I67*K67,0)</f>
        <v>1.445888298468567</v>
      </c>
    </row>
    <row r="68" spans="1:14" x14ac:dyDescent="0.2">
      <c r="A68" s="21" t="s">
        <v>10</v>
      </c>
      <c r="B68" s="291"/>
      <c r="C68" s="292"/>
      <c r="D68" s="166"/>
      <c r="E68" s="27"/>
      <c r="F68" s="291">
        <v>267105</v>
      </c>
      <c r="G68" s="292">
        <v>310599</v>
      </c>
      <c r="H68" s="166">
        <f t="shared" si="1"/>
        <v>16.3</v>
      </c>
      <c r="I68" s="27">
        <f>IFERROR(100/'Skjema total MA'!F68*G68,0)</f>
        <v>1.865073995756255</v>
      </c>
      <c r="J68" s="286">
        <f t="shared" si="2"/>
        <v>267105</v>
      </c>
      <c r="K68" s="44">
        <f t="shared" si="2"/>
        <v>310599</v>
      </c>
      <c r="L68" s="253">
        <f t="shared" si="3"/>
        <v>16.3</v>
      </c>
      <c r="M68" s="27">
        <f>IFERROR(100/'Skjema total MA'!I68*K68,0)</f>
        <v>1.8533231939387484</v>
      </c>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v>47990</v>
      </c>
      <c r="C77" s="233">
        <v>50104</v>
      </c>
      <c r="D77" s="166">
        <f t="shared" si="0"/>
        <v>4.4000000000000004</v>
      </c>
      <c r="E77" s="27">
        <f>IFERROR(100/'Skjema total MA'!C77*C77,0)</f>
        <v>1.4580704087584613</v>
      </c>
      <c r="F77" s="233">
        <v>267105</v>
      </c>
      <c r="G77" s="145">
        <v>310599</v>
      </c>
      <c r="H77" s="166">
        <f t="shared" si="1"/>
        <v>16.3</v>
      </c>
      <c r="I77" s="27">
        <f>IFERROR(100/'Skjema total MA'!F77*G77,0)</f>
        <v>1.8660498260631713</v>
      </c>
      <c r="J77" s="286">
        <f t="shared" si="2"/>
        <v>315095</v>
      </c>
      <c r="K77" s="44">
        <f t="shared" si="2"/>
        <v>360703</v>
      </c>
      <c r="L77" s="253">
        <f t="shared" si="3"/>
        <v>14.5</v>
      </c>
      <c r="M77" s="27">
        <f>IFERROR(100/'Skjema total MA'!I77*K77,0)</f>
        <v>1.7962353256348356</v>
      </c>
    </row>
    <row r="78" spans="1:14" x14ac:dyDescent="0.2">
      <c r="A78" s="21" t="s">
        <v>9</v>
      </c>
      <c r="B78" s="233">
        <v>47990</v>
      </c>
      <c r="C78" s="145">
        <v>50104</v>
      </c>
      <c r="D78" s="166">
        <f t="shared" si="0"/>
        <v>4.4000000000000004</v>
      </c>
      <c r="E78" s="27">
        <f>IFERROR(100/'Skjema total MA'!C78*C78,0)</f>
        <v>1.5036655323926553</v>
      </c>
      <c r="F78" s="233"/>
      <c r="G78" s="145"/>
      <c r="H78" s="166"/>
      <c r="I78" s="27"/>
      <c r="J78" s="286">
        <f t="shared" si="2"/>
        <v>47990</v>
      </c>
      <c r="K78" s="44">
        <f t="shared" si="2"/>
        <v>50104</v>
      </c>
      <c r="L78" s="253">
        <f t="shared" si="3"/>
        <v>4.4000000000000004</v>
      </c>
      <c r="M78" s="27">
        <f>IFERROR(100/'Skjema total MA'!I78*K78,0)</f>
        <v>1.5036655323926553</v>
      </c>
    </row>
    <row r="79" spans="1:14" x14ac:dyDescent="0.2">
      <c r="A79" s="21" t="s">
        <v>10</v>
      </c>
      <c r="B79" s="291"/>
      <c r="C79" s="292"/>
      <c r="D79" s="166"/>
      <c r="E79" s="27"/>
      <c r="F79" s="291">
        <v>267105</v>
      </c>
      <c r="G79" s="292">
        <v>310599</v>
      </c>
      <c r="H79" s="166">
        <f t="shared" si="1"/>
        <v>16.3</v>
      </c>
      <c r="I79" s="27">
        <f>IFERROR(100/'Skjema total MA'!F79*G79,0)</f>
        <v>1.8660498260631713</v>
      </c>
      <c r="J79" s="286">
        <f t="shared" si="2"/>
        <v>267105</v>
      </c>
      <c r="K79" s="44">
        <f t="shared" si="2"/>
        <v>310599</v>
      </c>
      <c r="L79" s="253">
        <f t="shared" si="3"/>
        <v>16.3</v>
      </c>
      <c r="M79" s="27">
        <f>IFERROR(100/'Skjema total MA'!I79*K79,0)</f>
        <v>1.8544407621284831</v>
      </c>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c r="G86" s="145"/>
      <c r="H86" s="166"/>
      <c r="I86" s="27"/>
      <c r="J86" s="286"/>
      <c r="K86" s="44"/>
      <c r="L86" s="253"/>
      <c r="M86" s="27"/>
    </row>
    <row r="87" spans="1:13" ht="15.75" x14ac:dyDescent="0.2">
      <c r="A87" s="13" t="s">
        <v>367</v>
      </c>
      <c r="B87" s="352">
        <v>1731438</v>
      </c>
      <c r="C87" s="352">
        <v>1786281</v>
      </c>
      <c r="D87" s="171">
        <f t="shared" si="0"/>
        <v>3.2</v>
      </c>
      <c r="E87" s="11">
        <f>IFERROR(100/'Skjema total MA'!C87*C87,0)</f>
        <v>0.45456723379466185</v>
      </c>
      <c r="F87" s="351">
        <v>4242225</v>
      </c>
      <c r="G87" s="351">
        <v>5167910</v>
      </c>
      <c r="H87" s="171">
        <f t="shared" si="1"/>
        <v>21.8</v>
      </c>
      <c r="I87" s="11">
        <f>IFERROR(100/'Skjema total MA'!F87*G87,0)</f>
        <v>1.6272429692350687</v>
      </c>
      <c r="J87" s="308">
        <f t="shared" ref="J87:K111" si="4">SUM(B87,F87)</f>
        <v>5973663</v>
      </c>
      <c r="K87" s="235">
        <f t="shared" si="4"/>
        <v>6954191</v>
      </c>
      <c r="L87" s="427">
        <f t="shared" si="3"/>
        <v>16.399999999999999</v>
      </c>
      <c r="M87" s="11">
        <f>IFERROR(100/'Skjema total MA'!I87*K87,0)</f>
        <v>0.97870556106424056</v>
      </c>
    </row>
    <row r="88" spans="1:13" x14ac:dyDescent="0.2">
      <c r="A88" s="21" t="s">
        <v>9</v>
      </c>
      <c r="B88" s="233">
        <v>1731438</v>
      </c>
      <c r="C88" s="145">
        <v>1786281</v>
      </c>
      <c r="D88" s="166">
        <f t="shared" si="0"/>
        <v>3.2</v>
      </c>
      <c r="E88" s="27">
        <f>IFERROR(100/'Skjema total MA'!C88*C88,0)</f>
        <v>0.46792093091016923</v>
      </c>
      <c r="F88" s="233"/>
      <c r="G88" s="145"/>
      <c r="H88" s="166"/>
      <c r="I88" s="27"/>
      <c r="J88" s="286">
        <f t="shared" si="4"/>
        <v>1731438</v>
      </c>
      <c r="K88" s="44">
        <f t="shared" si="4"/>
        <v>1786281</v>
      </c>
      <c r="L88" s="253">
        <f t="shared" si="3"/>
        <v>3.2</v>
      </c>
      <c r="M88" s="27">
        <f>IFERROR(100/'Skjema total MA'!I88*K88,0)</f>
        <v>0.46792093091016923</v>
      </c>
    </row>
    <row r="89" spans="1:13" x14ac:dyDescent="0.2">
      <c r="A89" s="21" t="s">
        <v>10</v>
      </c>
      <c r="B89" s="233"/>
      <c r="C89" s="145"/>
      <c r="D89" s="166"/>
      <c r="E89" s="27"/>
      <c r="F89" s="233">
        <v>4242225</v>
      </c>
      <c r="G89" s="145">
        <v>5167910</v>
      </c>
      <c r="H89" s="166">
        <f t="shared" si="1"/>
        <v>21.8</v>
      </c>
      <c r="I89" s="27">
        <f>IFERROR(100/'Skjema total MA'!F89*G89,0)</f>
        <v>1.6385732732562825</v>
      </c>
      <c r="J89" s="286">
        <f t="shared" si="4"/>
        <v>4242225</v>
      </c>
      <c r="K89" s="44">
        <f t="shared" si="4"/>
        <v>5167910</v>
      </c>
      <c r="L89" s="253">
        <f t="shared" si="3"/>
        <v>21.8</v>
      </c>
      <c r="M89" s="27">
        <f>IFERROR(100/'Skjema total MA'!I89*K89,0)</f>
        <v>1.6222473232710646</v>
      </c>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row>
    <row r="98" spans="1:13" ht="15.75" x14ac:dyDescent="0.2">
      <c r="A98" s="21" t="s">
        <v>384</v>
      </c>
      <c r="B98" s="233">
        <v>1731438</v>
      </c>
      <c r="C98" s="233">
        <v>1786281</v>
      </c>
      <c r="D98" s="166">
        <f t="shared" si="0"/>
        <v>3.2</v>
      </c>
      <c r="E98" s="27">
        <f>IFERROR(100/'Skjema total MA'!C98*C98,0)</f>
        <v>0.46946186109401855</v>
      </c>
      <c r="F98" s="291">
        <v>4242225</v>
      </c>
      <c r="G98" s="291">
        <v>5167910</v>
      </c>
      <c r="H98" s="166">
        <f t="shared" si="1"/>
        <v>21.8</v>
      </c>
      <c r="I98" s="27">
        <f>IFERROR(100/'Skjema total MA'!F98*G98,0)</f>
        <v>1.6431574740180339</v>
      </c>
      <c r="J98" s="286">
        <f t="shared" si="4"/>
        <v>5973663</v>
      </c>
      <c r="K98" s="44">
        <f t="shared" si="4"/>
        <v>6954191</v>
      </c>
      <c r="L98" s="253">
        <f t="shared" si="3"/>
        <v>16.399999999999999</v>
      </c>
      <c r="M98" s="27">
        <f>IFERROR(100/'Skjema total MA'!I98*K98,0)</f>
        <v>1.0005938298107664</v>
      </c>
    </row>
    <row r="99" spans="1:13" x14ac:dyDescent="0.2">
      <c r="A99" s="21" t="s">
        <v>9</v>
      </c>
      <c r="B99" s="291">
        <v>1731438</v>
      </c>
      <c r="C99" s="292">
        <v>1786281</v>
      </c>
      <c r="D99" s="166">
        <f t="shared" si="0"/>
        <v>3.2</v>
      </c>
      <c r="E99" s="27">
        <f>IFERROR(100/'Skjema total MA'!C99*C99,0)</f>
        <v>0.47341097196576698</v>
      </c>
      <c r="F99" s="233"/>
      <c r="G99" s="145"/>
      <c r="H99" s="166"/>
      <c r="I99" s="27"/>
      <c r="J99" s="286">
        <f t="shared" si="4"/>
        <v>1731438</v>
      </c>
      <c r="K99" s="44">
        <f t="shared" si="4"/>
        <v>1786281</v>
      </c>
      <c r="L99" s="253">
        <f t="shared" si="3"/>
        <v>3.2</v>
      </c>
      <c r="M99" s="27">
        <f>IFERROR(100/'Skjema total MA'!I99*K99,0)</f>
        <v>0.47341097196576698</v>
      </c>
    </row>
    <row r="100" spans="1:13" x14ac:dyDescent="0.2">
      <c r="A100" s="21" t="s">
        <v>10</v>
      </c>
      <c r="B100" s="291"/>
      <c r="C100" s="292"/>
      <c r="D100" s="166"/>
      <c r="E100" s="27"/>
      <c r="F100" s="233">
        <v>4242225</v>
      </c>
      <c r="G100" s="233">
        <v>5167910</v>
      </c>
      <c r="H100" s="166">
        <f t="shared" si="1"/>
        <v>21.8</v>
      </c>
      <c r="I100" s="27">
        <f>IFERROR(100/'Skjema total MA'!F100*G100,0)</f>
        <v>1.6431574740180339</v>
      </c>
      <c r="J100" s="286">
        <f t="shared" si="4"/>
        <v>4242225</v>
      </c>
      <c r="K100" s="44">
        <f t="shared" si="4"/>
        <v>5167910</v>
      </c>
      <c r="L100" s="253">
        <f t="shared" si="3"/>
        <v>21.8</v>
      </c>
      <c r="M100" s="27">
        <f>IFERROR(100/'Skjema total MA'!I100*K100,0)</f>
        <v>1.6267405043583627</v>
      </c>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c r="G107" s="145"/>
      <c r="H107" s="166"/>
      <c r="I107" s="27"/>
      <c r="J107" s="286"/>
      <c r="K107" s="44"/>
      <c r="L107" s="253"/>
      <c r="M107" s="27"/>
    </row>
    <row r="108" spans="1:13" ht="15.75" x14ac:dyDescent="0.2">
      <c r="A108" s="21" t="s">
        <v>386</v>
      </c>
      <c r="B108" s="233">
        <v>1020073</v>
      </c>
      <c r="C108" s="233">
        <v>1027489</v>
      </c>
      <c r="D108" s="166">
        <f t="shared" si="0"/>
        <v>0.7</v>
      </c>
      <c r="E108" s="27">
        <f>IFERROR(100/'Skjema total MA'!C108*C108,0)</f>
        <v>0.31707833585565437</v>
      </c>
      <c r="F108" s="233"/>
      <c r="G108" s="233"/>
      <c r="H108" s="166"/>
      <c r="I108" s="27"/>
      <c r="J108" s="286">
        <f t="shared" si="4"/>
        <v>1020073</v>
      </c>
      <c r="K108" s="44">
        <f t="shared" si="4"/>
        <v>1027489</v>
      </c>
      <c r="L108" s="253">
        <f t="shared" si="3"/>
        <v>0.7</v>
      </c>
      <c r="M108" s="27">
        <f>IFERROR(100/'Skjema total MA'!I108*K108,0)</f>
        <v>0.30166044957009713</v>
      </c>
    </row>
    <row r="109" spans="1:13" ht="15.75" x14ac:dyDescent="0.2">
      <c r="A109" s="21" t="s">
        <v>387</v>
      </c>
      <c r="B109" s="233"/>
      <c r="C109" s="233"/>
      <c r="D109" s="166"/>
      <c r="E109" s="27"/>
      <c r="F109" s="233">
        <v>1818383</v>
      </c>
      <c r="G109" s="233">
        <v>2323426</v>
      </c>
      <c r="H109" s="166">
        <f t="shared" si="1"/>
        <v>27.8</v>
      </c>
      <c r="I109" s="27">
        <f>IFERROR(100/'Skjema total MA'!F109*G109,0)</f>
        <v>2.1157845088089609</v>
      </c>
      <c r="J109" s="286">
        <f t="shared" si="4"/>
        <v>1818383</v>
      </c>
      <c r="K109" s="44">
        <f t="shared" si="4"/>
        <v>2323426</v>
      </c>
      <c r="L109" s="253">
        <f t="shared" si="3"/>
        <v>27.8</v>
      </c>
      <c r="M109" s="27">
        <f>IFERROR(100/'Skjema total MA'!I109*K109,0)</f>
        <v>2.0955038247894286</v>
      </c>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v>1805</v>
      </c>
      <c r="C111" s="159">
        <v>3361</v>
      </c>
      <c r="D111" s="171">
        <f t="shared" si="0"/>
        <v>86.2</v>
      </c>
      <c r="E111" s="11">
        <f>IFERROR(100/'Skjema total MA'!C111*C111,0)</f>
        <v>0.63062755749461508</v>
      </c>
      <c r="F111" s="307">
        <v>307816</v>
      </c>
      <c r="G111" s="159">
        <v>206650</v>
      </c>
      <c r="H111" s="171">
        <f t="shared" si="1"/>
        <v>-32.9</v>
      </c>
      <c r="I111" s="11">
        <f>IFERROR(100/'Skjema total MA'!F111*G111,0)</f>
        <v>1.7487672824034355</v>
      </c>
      <c r="J111" s="308">
        <f t="shared" si="4"/>
        <v>309621</v>
      </c>
      <c r="K111" s="235">
        <f t="shared" si="4"/>
        <v>210011</v>
      </c>
      <c r="L111" s="427">
        <f t="shared" si="3"/>
        <v>-32.200000000000003</v>
      </c>
      <c r="M111" s="11">
        <f>IFERROR(100/'Skjema total MA'!I111*K111,0)</f>
        <v>1.7005136810222001</v>
      </c>
    </row>
    <row r="112" spans="1:13" x14ac:dyDescent="0.2">
      <c r="A112" s="21" t="s">
        <v>9</v>
      </c>
      <c r="B112" s="233">
        <v>1805</v>
      </c>
      <c r="C112" s="145">
        <v>3361</v>
      </c>
      <c r="D112" s="166">
        <f t="shared" ref="D112:D120" si="5">IF(B112=0, "    ---- ", IF(ABS(ROUND(100/B112*C112-100,1))&lt;999,ROUND(100/B112*C112-100,1),IF(ROUND(100/B112*C112-100,1)&gt;999,999,-999)))</f>
        <v>86.2</v>
      </c>
      <c r="E112" s="27">
        <f>IFERROR(100/'Skjema total MA'!C112*C112,0)</f>
        <v>1.8499676359528301</v>
      </c>
      <c r="F112" s="233"/>
      <c r="G112" s="145"/>
      <c r="H112" s="166"/>
      <c r="I112" s="27"/>
      <c r="J112" s="286">
        <f t="shared" ref="J112:K125" si="6">SUM(B112,F112)</f>
        <v>1805</v>
      </c>
      <c r="K112" s="44">
        <f t="shared" si="6"/>
        <v>3361</v>
      </c>
      <c r="L112" s="253">
        <f t="shared" ref="L112:L125" si="7">IF(J112=0, "    ---- ", IF(ABS(ROUND(100/J112*K112-100,1))&lt;999,ROUND(100/J112*K112-100,1),IF(ROUND(100/J112*K112-100,1)&gt;999,999,-999)))</f>
        <v>86.2</v>
      </c>
      <c r="M112" s="27">
        <f>IFERROR(100/'Skjema total MA'!I112*K112,0)</f>
        <v>1.8229871060814087</v>
      </c>
    </row>
    <row r="113" spans="1:14" x14ac:dyDescent="0.2">
      <c r="A113" s="21" t="s">
        <v>10</v>
      </c>
      <c r="B113" s="233"/>
      <c r="C113" s="145"/>
      <c r="D113" s="166"/>
      <c r="E113" s="27"/>
      <c r="F113" s="233">
        <v>307816</v>
      </c>
      <c r="G113" s="145">
        <v>206650</v>
      </c>
      <c r="H113" s="166">
        <f t="shared" ref="H113:H125" si="8">IF(F113=0, "    ---- ", IF(ABS(ROUND(100/F113*G113-100,1))&lt;999,ROUND(100/F113*G113-100,1),IF(ROUND(100/F113*G113-100,1)&gt;999,999,-999)))</f>
        <v>-32.9</v>
      </c>
      <c r="I113" s="27">
        <f>IFERROR(100/'Skjema total MA'!F113*G113,0)</f>
        <v>1.7593941253516923</v>
      </c>
      <c r="J113" s="286">
        <f t="shared" si="6"/>
        <v>307816</v>
      </c>
      <c r="K113" s="44">
        <f t="shared" si="6"/>
        <v>206650</v>
      </c>
      <c r="L113" s="253">
        <f t="shared" si="7"/>
        <v>-32.9</v>
      </c>
      <c r="M113" s="27">
        <f>IFERROR(100/'Skjema total MA'!I113*K113,0)</f>
        <v>1.7587568970098191</v>
      </c>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c r="C116" s="233"/>
      <c r="D116" s="166"/>
      <c r="E116" s="27"/>
      <c r="F116" s="233"/>
      <c r="G116" s="233"/>
      <c r="H116" s="166"/>
      <c r="I116" s="27"/>
      <c r="J116" s="286"/>
      <c r="K116" s="44"/>
      <c r="L116" s="253"/>
      <c r="M116" s="27"/>
    </row>
    <row r="117" spans="1:14" ht="15.75" x14ac:dyDescent="0.2">
      <c r="A117" s="21" t="s">
        <v>390</v>
      </c>
      <c r="B117" s="233"/>
      <c r="C117" s="233"/>
      <c r="D117" s="166"/>
      <c r="E117" s="27"/>
      <c r="F117" s="233">
        <v>201986</v>
      </c>
      <c r="G117" s="233">
        <v>194087</v>
      </c>
      <c r="H117" s="166">
        <f t="shared" si="8"/>
        <v>-3.9</v>
      </c>
      <c r="I117" s="27">
        <f>IFERROR(100/'Skjema total MA'!F117*G117,0)</f>
        <v>10.720963029961672</v>
      </c>
      <c r="J117" s="286">
        <f t="shared" si="6"/>
        <v>201986</v>
      </c>
      <c r="K117" s="44">
        <f t="shared" si="6"/>
        <v>194087</v>
      </c>
      <c r="L117" s="253">
        <f t="shared" si="7"/>
        <v>-3.9</v>
      </c>
      <c r="M117" s="27">
        <f>IFERROR(100/'Skjema total MA'!I117*K117,0)</f>
        <v>10.720963029961672</v>
      </c>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v>927</v>
      </c>
      <c r="C119" s="159">
        <v>0</v>
      </c>
      <c r="D119" s="171">
        <f t="shared" si="5"/>
        <v>-100</v>
      </c>
      <c r="E119" s="11">
        <f>IFERROR(100/'Skjema total MA'!C119*C119,0)</f>
        <v>0</v>
      </c>
      <c r="F119" s="307">
        <v>43821</v>
      </c>
      <c r="G119" s="159">
        <v>44589</v>
      </c>
      <c r="H119" s="171">
        <f t="shared" si="8"/>
        <v>1.8</v>
      </c>
      <c r="I119" s="11">
        <f>IFERROR(100/'Skjema total MA'!F119*G119,0)</f>
        <v>0.38554888875286647</v>
      </c>
      <c r="J119" s="308">
        <f t="shared" si="6"/>
        <v>44748</v>
      </c>
      <c r="K119" s="235">
        <f t="shared" si="6"/>
        <v>44589</v>
      </c>
      <c r="L119" s="427">
        <f t="shared" si="7"/>
        <v>-0.4</v>
      </c>
      <c r="M119" s="11">
        <f>IFERROR(100/'Skjema total MA'!I119*K119,0)</f>
        <v>0.36668477557340606</v>
      </c>
    </row>
    <row r="120" spans="1:14" x14ac:dyDescent="0.2">
      <c r="A120" s="21" t="s">
        <v>9</v>
      </c>
      <c r="B120" s="233">
        <v>927</v>
      </c>
      <c r="C120" s="145">
        <v>0</v>
      </c>
      <c r="D120" s="166">
        <f t="shared" si="5"/>
        <v>-100</v>
      </c>
      <c r="E120" s="27">
        <f>IFERROR(100/'Skjema total MA'!C120*C120,0)</f>
        <v>0</v>
      </c>
      <c r="F120" s="233"/>
      <c r="G120" s="145"/>
      <c r="H120" s="166"/>
      <c r="I120" s="27"/>
      <c r="J120" s="286">
        <f t="shared" si="6"/>
        <v>927</v>
      </c>
      <c r="K120" s="44">
        <f t="shared" si="6"/>
        <v>0</v>
      </c>
      <c r="L120" s="253">
        <f t="shared" si="7"/>
        <v>-100</v>
      </c>
      <c r="M120" s="27">
        <f>IFERROR(100/'Skjema total MA'!I120*K120,0)</f>
        <v>0</v>
      </c>
    </row>
    <row r="121" spans="1:14" x14ac:dyDescent="0.2">
      <c r="A121" s="21" t="s">
        <v>10</v>
      </c>
      <c r="B121" s="233"/>
      <c r="C121" s="145"/>
      <c r="D121" s="166"/>
      <c r="E121" s="27"/>
      <c r="F121" s="233">
        <v>43821</v>
      </c>
      <c r="G121" s="145">
        <v>44589</v>
      </c>
      <c r="H121" s="166">
        <f t="shared" si="8"/>
        <v>1.8</v>
      </c>
      <c r="I121" s="27">
        <f>IFERROR(100/'Skjema total MA'!F121*G121,0)</f>
        <v>0.38554888875286647</v>
      </c>
      <c r="J121" s="286">
        <f t="shared" si="6"/>
        <v>43821</v>
      </c>
      <c r="K121" s="44">
        <f t="shared" si="6"/>
        <v>44589</v>
      </c>
      <c r="L121" s="253">
        <f t="shared" si="7"/>
        <v>1.8</v>
      </c>
      <c r="M121" s="27">
        <f>IFERROR(100/'Skjema total MA'!I121*K121,0)</f>
        <v>0.38539303645263184</v>
      </c>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v>20505</v>
      </c>
      <c r="G125" s="233">
        <v>28257</v>
      </c>
      <c r="H125" s="166">
        <f t="shared" si="8"/>
        <v>37.799999999999997</v>
      </c>
      <c r="I125" s="27">
        <f>IFERROR(100/'Skjema total MA'!F125*G125,0)</f>
        <v>1.4360479225568306</v>
      </c>
      <c r="J125" s="286">
        <f t="shared" si="6"/>
        <v>20505</v>
      </c>
      <c r="K125" s="44">
        <f t="shared" si="6"/>
        <v>28257</v>
      </c>
      <c r="L125" s="253">
        <f t="shared" si="7"/>
        <v>37.799999999999997</v>
      </c>
      <c r="M125" s="27">
        <f>IFERROR(100/'Skjema total MA'!I125*K125,0)</f>
        <v>1.4352723010140123</v>
      </c>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936" priority="132">
      <formula>kvartal &lt; 4</formula>
    </cfRule>
  </conditionalFormatting>
  <conditionalFormatting sqref="B69">
    <cfRule type="expression" dxfId="935" priority="100">
      <formula>kvartal &lt; 4</formula>
    </cfRule>
  </conditionalFormatting>
  <conditionalFormatting sqref="C69">
    <cfRule type="expression" dxfId="934" priority="99">
      <formula>kvartal &lt; 4</formula>
    </cfRule>
  </conditionalFormatting>
  <conditionalFormatting sqref="B72">
    <cfRule type="expression" dxfId="933" priority="98">
      <formula>kvartal &lt; 4</formula>
    </cfRule>
  </conditionalFormatting>
  <conditionalFormatting sqref="C72">
    <cfRule type="expression" dxfId="932" priority="97">
      <formula>kvartal &lt; 4</formula>
    </cfRule>
  </conditionalFormatting>
  <conditionalFormatting sqref="B80">
    <cfRule type="expression" dxfId="931" priority="96">
      <formula>kvartal &lt; 4</formula>
    </cfRule>
  </conditionalFormatting>
  <conditionalFormatting sqref="C80">
    <cfRule type="expression" dxfId="930" priority="95">
      <formula>kvartal &lt; 4</formula>
    </cfRule>
  </conditionalFormatting>
  <conditionalFormatting sqref="B83">
    <cfRule type="expression" dxfId="929" priority="94">
      <formula>kvartal &lt; 4</formula>
    </cfRule>
  </conditionalFormatting>
  <conditionalFormatting sqref="C83">
    <cfRule type="expression" dxfId="928" priority="93">
      <formula>kvartal &lt; 4</formula>
    </cfRule>
  </conditionalFormatting>
  <conditionalFormatting sqref="B90">
    <cfRule type="expression" dxfId="927" priority="84">
      <formula>kvartal &lt; 4</formula>
    </cfRule>
  </conditionalFormatting>
  <conditionalFormatting sqref="C90">
    <cfRule type="expression" dxfId="926" priority="83">
      <formula>kvartal &lt; 4</formula>
    </cfRule>
  </conditionalFormatting>
  <conditionalFormatting sqref="B93">
    <cfRule type="expression" dxfId="925" priority="82">
      <formula>kvartal &lt; 4</formula>
    </cfRule>
  </conditionalFormatting>
  <conditionalFormatting sqref="C93">
    <cfRule type="expression" dxfId="924" priority="81">
      <formula>kvartal &lt; 4</formula>
    </cfRule>
  </conditionalFormatting>
  <conditionalFormatting sqref="B101">
    <cfRule type="expression" dxfId="923" priority="80">
      <formula>kvartal &lt; 4</formula>
    </cfRule>
  </conditionalFormatting>
  <conditionalFormatting sqref="C101">
    <cfRule type="expression" dxfId="922" priority="79">
      <formula>kvartal &lt; 4</formula>
    </cfRule>
  </conditionalFormatting>
  <conditionalFormatting sqref="B104">
    <cfRule type="expression" dxfId="921" priority="78">
      <formula>kvartal &lt; 4</formula>
    </cfRule>
  </conditionalFormatting>
  <conditionalFormatting sqref="C104">
    <cfRule type="expression" dxfId="920" priority="77">
      <formula>kvartal &lt; 4</formula>
    </cfRule>
  </conditionalFormatting>
  <conditionalFormatting sqref="B115">
    <cfRule type="expression" dxfId="919" priority="76">
      <formula>kvartal &lt; 4</formula>
    </cfRule>
  </conditionalFormatting>
  <conditionalFormatting sqref="C115">
    <cfRule type="expression" dxfId="918" priority="75">
      <formula>kvartal &lt; 4</formula>
    </cfRule>
  </conditionalFormatting>
  <conditionalFormatting sqref="B123">
    <cfRule type="expression" dxfId="917" priority="74">
      <formula>kvartal &lt; 4</formula>
    </cfRule>
  </conditionalFormatting>
  <conditionalFormatting sqref="C123">
    <cfRule type="expression" dxfId="916" priority="73">
      <formula>kvartal &lt; 4</formula>
    </cfRule>
  </conditionalFormatting>
  <conditionalFormatting sqref="F70">
    <cfRule type="expression" dxfId="915" priority="72">
      <formula>kvartal &lt; 4</formula>
    </cfRule>
  </conditionalFormatting>
  <conditionalFormatting sqref="G70">
    <cfRule type="expression" dxfId="914" priority="71">
      <formula>kvartal &lt; 4</formula>
    </cfRule>
  </conditionalFormatting>
  <conditionalFormatting sqref="F71:G71">
    <cfRule type="expression" dxfId="913" priority="70">
      <formula>kvartal &lt; 4</formula>
    </cfRule>
  </conditionalFormatting>
  <conditionalFormatting sqref="F73:G74">
    <cfRule type="expression" dxfId="912" priority="69">
      <formula>kvartal &lt; 4</formula>
    </cfRule>
  </conditionalFormatting>
  <conditionalFormatting sqref="F81:G82">
    <cfRule type="expression" dxfId="911" priority="68">
      <formula>kvartal &lt; 4</formula>
    </cfRule>
  </conditionalFormatting>
  <conditionalFormatting sqref="F84:G85">
    <cfRule type="expression" dxfId="910" priority="67">
      <formula>kvartal &lt; 4</formula>
    </cfRule>
  </conditionalFormatting>
  <conditionalFormatting sqref="F91:G92">
    <cfRule type="expression" dxfId="909" priority="62">
      <formula>kvartal &lt; 4</formula>
    </cfRule>
  </conditionalFormatting>
  <conditionalFormatting sqref="F94:G95">
    <cfRule type="expression" dxfId="908" priority="61">
      <formula>kvartal &lt; 4</formula>
    </cfRule>
  </conditionalFormatting>
  <conditionalFormatting sqref="F102:G103">
    <cfRule type="expression" dxfId="907" priority="60">
      <formula>kvartal &lt; 4</formula>
    </cfRule>
  </conditionalFormatting>
  <conditionalFormatting sqref="F105:G106">
    <cfRule type="expression" dxfId="906" priority="59">
      <formula>kvartal &lt; 4</formula>
    </cfRule>
  </conditionalFormatting>
  <conditionalFormatting sqref="F115">
    <cfRule type="expression" dxfId="905" priority="58">
      <formula>kvartal &lt; 4</formula>
    </cfRule>
  </conditionalFormatting>
  <conditionalFormatting sqref="G115">
    <cfRule type="expression" dxfId="904" priority="57">
      <formula>kvartal &lt; 4</formula>
    </cfRule>
  </conditionalFormatting>
  <conditionalFormatting sqref="F123:G123">
    <cfRule type="expression" dxfId="903" priority="56">
      <formula>kvartal &lt; 4</formula>
    </cfRule>
  </conditionalFormatting>
  <conditionalFormatting sqref="F69:G69">
    <cfRule type="expression" dxfId="902" priority="55">
      <formula>kvartal &lt; 4</formula>
    </cfRule>
  </conditionalFormatting>
  <conditionalFormatting sqref="F72:G72">
    <cfRule type="expression" dxfId="901" priority="54">
      <formula>kvartal &lt; 4</formula>
    </cfRule>
  </conditionalFormatting>
  <conditionalFormatting sqref="F80:G80">
    <cfRule type="expression" dxfId="900" priority="53">
      <formula>kvartal &lt; 4</formula>
    </cfRule>
  </conditionalFormatting>
  <conditionalFormatting sqref="F83:G83">
    <cfRule type="expression" dxfId="899" priority="52">
      <formula>kvartal &lt; 4</formula>
    </cfRule>
  </conditionalFormatting>
  <conditionalFormatting sqref="F90:G90">
    <cfRule type="expression" dxfId="898" priority="46">
      <formula>kvartal &lt; 4</formula>
    </cfRule>
  </conditionalFormatting>
  <conditionalFormatting sqref="F93">
    <cfRule type="expression" dxfId="897" priority="45">
      <formula>kvartal &lt; 4</formula>
    </cfRule>
  </conditionalFormatting>
  <conditionalFormatting sqref="G93">
    <cfRule type="expression" dxfId="896" priority="44">
      <formula>kvartal &lt; 4</formula>
    </cfRule>
  </conditionalFormatting>
  <conditionalFormatting sqref="F101">
    <cfRule type="expression" dxfId="895" priority="43">
      <formula>kvartal &lt; 4</formula>
    </cfRule>
  </conditionalFormatting>
  <conditionalFormatting sqref="G101">
    <cfRule type="expression" dxfId="894" priority="42">
      <formula>kvartal &lt; 4</formula>
    </cfRule>
  </conditionalFormatting>
  <conditionalFormatting sqref="G104">
    <cfRule type="expression" dxfId="893" priority="41">
      <formula>kvartal &lt; 4</formula>
    </cfRule>
  </conditionalFormatting>
  <conditionalFormatting sqref="F104">
    <cfRule type="expression" dxfId="892" priority="40">
      <formula>kvartal &lt; 4</formula>
    </cfRule>
  </conditionalFormatting>
  <conditionalFormatting sqref="J69:K73">
    <cfRule type="expression" dxfId="891" priority="39">
      <formula>kvartal &lt; 4</formula>
    </cfRule>
  </conditionalFormatting>
  <conditionalFormatting sqref="J74:K74">
    <cfRule type="expression" dxfId="890" priority="38">
      <formula>kvartal &lt; 4</formula>
    </cfRule>
  </conditionalFormatting>
  <conditionalFormatting sqref="J80:K85">
    <cfRule type="expression" dxfId="889" priority="37">
      <formula>kvartal &lt; 4</formula>
    </cfRule>
  </conditionalFormatting>
  <conditionalFormatting sqref="J90:K95">
    <cfRule type="expression" dxfId="888" priority="34">
      <formula>kvartal &lt; 4</formula>
    </cfRule>
  </conditionalFormatting>
  <conditionalFormatting sqref="J101:K106">
    <cfRule type="expression" dxfId="887" priority="33">
      <formula>kvartal &lt; 4</formula>
    </cfRule>
  </conditionalFormatting>
  <conditionalFormatting sqref="J115:K115">
    <cfRule type="expression" dxfId="886" priority="32">
      <formula>kvartal &lt; 4</formula>
    </cfRule>
  </conditionalFormatting>
  <conditionalFormatting sqref="J123:K123">
    <cfRule type="expression" dxfId="885" priority="31">
      <formula>kvartal &lt; 4</formula>
    </cfRule>
  </conditionalFormatting>
  <conditionalFormatting sqref="A50:A52">
    <cfRule type="expression" dxfId="884" priority="12">
      <formula>kvartal &lt; 4</formula>
    </cfRule>
  </conditionalFormatting>
  <conditionalFormatting sqref="A69:A74">
    <cfRule type="expression" dxfId="883" priority="10">
      <formula>kvartal &lt; 4</formula>
    </cfRule>
  </conditionalFormatting>
  <conditionalFormatting sqref="A80:A85">
    <cfRule type="expression" dxfId="882" priority="9">
      <formula>kvartal &lt; 4</formula>
    </cfRule>
  </conditionalFormatting>
  <conditionalFormatting sqref="A90:A95">
    <cfRule type="expression" dxfId="881" priority="6">
      <formula>kvartal &lt; 4</formula>
    </cfRule>
  </conditionalFormatting>
  <conditionalFormatting sqref="A101:A106">
    <cfRule type="expression" dxfId="880" priority="5">
      <formula>kvartal &lt; 4</formula>
    </cfRule>
  </conditionalFormatting>
  <conditionalFormatting sqref="A115">
    <cfRule type="expression" dxfId="879" priority="4">
      <formula>kvartal &lt; 4</formula>
    </cfRule>
  </conditionalFormatting>
  <conditionalFormatting sqref="A123">
    <cfRule type="expression" dxfId="878" priority="3">
      <formula>kvartal &lt; 4</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135</v>
      </c>
      <c r="D1" s="26"/>
      <c r="E1" s="26"/>
      <c r="F1" s="26"/>
      <c r="G1" s="26"/>
      <c r="H1" s="26"/>
      <c r="I1" s="26"/>
      <c r="J1" s="26"/>
      <c r="K1" s="26"/>
      <c r="L1" s="26"/>
      <c r="M1" s="26"/>
    </row>
    <row r="2" spans="1:14" ht="15.75" x14ac:dyDescent="0.25">
      <c r="A2" s="165" t="s">
        <v>28</v>
      </c>
      <c r="B2" s="736"/>
      <c r="C2" s="736"/>
      <c r="D2" s="736"/>
      <c r="E2" s="298"/>
      <c r="F2" s="736"/>
      <c r="G2" s="736"/>
      <c r="H2" s="736"/>
      <c r="I2" s="298"/>
      <c r="J2" s="736"/>
      <c r="K2" s="736"/>
      <c r="L2" s="736"/>
      <c r="M2" s="298"/>
    </row>
    <row r="3" spans="1:14" ht="15.75" x14ac:dyDescent="0.25">
      <c r="A3" s="163"/>
      <c r="B3" s="298"/>
      <c r="C3" s="298"/>
      <c r="D3" s="298"/>
      <c r="E3" s="298"/>
      <c r="F3" s="298"/>
      <c r="G3" s="298"/>
      <c r="H3" s="298"/>
      <c r="I3" s="298"/>
      <c r="J3" s="298"/>
      <c r="K3" s="298"/>
      <c r="L3" s="298"/>
      <c r="M3" s="298"/>
    </row>
    <row r="4" spans="1:14" x14ac:dyDescent="0.2">
      <c r="A4" s="144"/>
      <c r="B4" s="737" t="s">
        <v>0</v>
      </c>
      <c r="C4" s="738"/>
      <c r="D4" s="738"/>
      <c r="E4" s="300"/>
      <c r="F4" s="737" t="s">
        <v>1</v>
      </c>
      <c r="G4" s="738"/>
      <c r="H4" s="738"/>
      <c r="I4" s="303"/>
      <c r="J4" s="737" t="s">
        <v>2</v>
      </c>
      <c r="K4" s="738"/>
      <c r="L4" s="738"/>
      <c r="M4" s="303"/>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v>4939</v>
      </c>
      <c r="C7" s="306">
        <v>7412.9530000000004</v>
      </c>
      <c r="D7" s="349">
        <f>IF(B7=0, "    ---- ", IF(ABS(ROUND(100/B7*C7-100,1))&lt;999,ROUND(100/B7*C7-100,1),IF(ROUND(100/B7*C7-100,1)&gt;999,999,-999)))</f>
        <v>50.1</v>
      </c>
      <c r="E7" s="11">
        <f>IFERROR(100/'Skjema total MA'!C7*C7,0)</f>
        <v>0.27585197208443829</v>
      </c>
      <c r="F7" s="305"/>
      <c r="G7" s="306"/>
      <c r="H7" s="349"/>
      <c r="I7" s="160"/>
      <c r="J7" s="307">
        <f t="shared" ref="J7:K10" si="0">SUM(B7,F7)</f>
        <v>4939</v>
      </c>
      <c r="K7" s="308">
        <f t="shared" si="0"/>
        <v>7412.9530000000004</v>
      </c>
      <c r="L7" s="426">
        <f>IF(J7=0, "    ---- ", IF(ABS(ROUND(100/J7*K7-100,1))&lt;999,ROUND(100/J7*K7-100,1),IF(ROUND(100/J7*K7-100,1)&gt;999,999,-999)))</f>
        <v>50.1</v>
      </c>
      <c r="M7" s="11">
        <f>IFERROR(100/'Skjema total MA'!I7*K7,0)</f>
        <v>0.10003892228281738</v>
      </c>
    </row>
    <row r="8" spans="1:14" ht="15.75" x14ac:dyDescent="0.2">
      <c r="A8" s="21" t="s">
        <v>25</v>
      </c>
      <c r="B8" s="280">
        <v>4670</v>
      </c>
      <c r="C8" s="281">
        <v>7020.0280000000002</v>
      </c>
      <c r="D8" s="166">
        <f t="shared" ref="D8:D10" si="1">IF(B8=0, "    ---- ", IF(ABS(ROUND(100/B8*C8-100,1))&lt;999,ROUND(100/B8*C8-100,1),IF(ROUND(100/B8*C8-100,1)&gt;999,999,-999)))</f>
        <v>50.3</v>
      </c>
      <c r="E8" s="27">
        <f>IFERROR(100/'Skjema total MA'!C8*C8,0)</f>
        <v>0.38913343805230594</v>
      </c>
      <c r="F8" s="284"/>
      <c r="G8" s="285"/>
      <c r="H8" s="166"/>
      <c r="I8" s="175"/>
      <c r="J8" s="233">
        <f t="shared" si="0"/>
        <v>4670</v>
      </c>
      <c r="K8" s="286">
        <f t="shared" si="0"/>
        <v>7020.0280000000002</v>
      </c>
      <c r="L8" s="166">
        <f t="shared" ref="L8:L9" si="2">IF(J8=0, "    ---- ", IF(ABS(ROUND(100/J8*K8-100,1))&lt;999,ROUND(100/J8*K8-100,1),IF(ROUND(100/J8*K8-100,1)&gt;999,999,-999)))</f>
        <v>50.3</v>
      </c>
      <c r="M8" s="27">
        <f>IFERROR(100/'Skjema total MA'!I8*K8,0)</f>
        <v>0.38913343805230594</v>
      </c>
    </row>
    <row r="9" spans="1:14" ht="15.75" x14ac:dyDescent="0.2">
      <c r="A9" s="21" t="s">
        <v>24</v>
      </c>
      <c r="B9" s="280">
        <v>269</v>
      </c>
      <c r="C9" s="281">
        <v>392.92500000000001</v>
      </c>
      <c r="D9" s="166">
        <f t="shared" si="1"/>
        <v>46.1</v>
      </c>
      <c r="E9" s="27">
        <f>IFERROR(100/'Skjema total MA'!C9*C9,0)</f>
        <v>7.5566767506714774E-2</v>
      </c>
      <c r="F9" s="284"/>
      <c r="G9" s="285"/>
      <c r="H9" s="166"/>
      <c r="I9" s="175"/>
      <c r="J9" s="233">
        <f t="shared" si="0"/>
        <v>269</v>
      </c>
      <c r="K9" s="286">
        <f t="shared" si="0"/>
        <v>392.92500000000001</v>
      </c>
      <c r="L9" s="166">
        <f t="shared" si="2"/>
        <v>46.1</v>
      </c>
      <c r="M9" s="27">
        <f>IFERROR(100/'Skjema total MA'!I9*K9,0)</f>
        <v>7.5566767506714774E-2</v>
      </c>
    </row>
    <row r="10" spans="1:14" ht="15.75" x14ac:dyDescent="0.2">
      <c r="A10" s="13" t="s">
        <v>367</v>
      </c>
      <c r="B10" s="309">
        <v>30106</v>
      </c>
      <c r="C10" s="310">
        <v>45976.864999999998</v>
      </c>
      <c r="D10" s="171">
        <f t="shared" si="1"/>
        <v>52.7</v>
      </c>
      <c r="E10" s="11">
        <f>IFERROR(100/'Skjema total MA'!C10*C10,0)</f>
        <v>0.24995798038639658</v>
      </c>
      <c r="F10" s="309"/>
      <c r="G10" s="310"/>
      <c r="H10" s="171"/>
      <c r="I10" s="160"/>
      <c r="J10" s="307">
        <f t="shared" si="0"/>
        <v>30106</v>
      </c>
      <c r="K10" s="308">
        <f t="shared" si="0"/>
        <v>45976.864999999998</v>
      </c>
      <c r="L10" s="427">
        <f t="shared" ref="L10" si="3">IF(J10=0, "    ---- ", IF(ABS(ROUND(100/J10*K10-100,1))&lt;999,ROUND(100/J10*K10-100,1),IF(ROUND(100/J10*K10-100,1)&gt;999,999,-999)))</f>
        <v>52.7</v>
      </c>
      <c r="M10" s="11">
        <f>IFERROR(100/'Skjema total MA'!I10*K10,0)</f>
        <v>6.5424822334959873E-2</v>
      </c>
    </row>
    <row r="11" spans="1:14" s="43" customFormat="1" ht="15.75" x14ac:dyDescent="0.2">
      <c r="A11" s="13" t="s">
        <v>368</v>
      </c>
      <c r="B11" s="309"/>
      <c r="C11" s="310"/>
      <c r="D11" s="171"/>
      <c r="E11" s="11"/>
      <c r="F11" s="309"/>
      <c r="G11" s="310"/>
      <c r="H11" s="171"/>
      <c r="I11" s="160"/>
      <c r="J11" s="307"/>
      <c r="K11" s="308"/>
      <c r="L11" s="427"/>
      <c r="M11" s="11"/>
      <c r="N11" s="143"/>
    </row>
    <row r="12" spans="1:14" s="43" customFormat="1" ht="15.75" x14ac:dyDescent="0.2">
      <c r="A12" s="41" t="s">
        <v>369</v>
      </c>
      <c r="B12" s="311"/>
      <c r="C12" s="312"/>
      <c r="D12" s="169"/>
      <c r="E12" s="36"/>
      <c r="F12" s="311"/>
      <c r="G12" s="312"/>
      <c r="H12" s="169"/>
      <c r="I12" s="169"/>
      <c r="J12" s="313"/>
      <c r="K12" s="314"/>
      <c r="L12" s="428"/>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v>5529</v>
      </c>
      <c r="C22" s="309">
        <v>7439.9759999999997</v>
      </c>
      <c r="D22" s="349">
        <f t="shared" ref="D22:D28" si="4">IF(B22=0, "    ---- ", IF(ABS(ROUND(100/B22*C22-100,1))&lt;999,ROUND(100/B22*C22-100,1),IF(ROUND(100/B22*C22-100,1)&gt;999,999,-999)))</f>
        <v>34.6</v>
      </c>
      <c r="E22" s="11">
        <f>IFERROR(100/'Skjema total MA'!C22*C22,0)</f>
        <v>0.75331354741268886</v>
      </c>
      <c r="F22" s="317"/>
      <c r="G22" s="317"/>
      <c r="H22" s="349"/>
      <c r="I22" s="11"/>
      <c r="J22" s="315">
        <f t="shared" ref="J22:K28" si="5">SUM(B22,F22)</f>
        <v>5529</v>
      </c>
      <c r="K22" s="315">
        <f t="shared" si="5"/>
        <v>7439.9759999999997</v>
      </c>
      <c r="L22" s="426">
        <f t="shared" ref="L22:L28" si="6">IF(J22=0, "    ---- ", IF(ABS(ROUND(100/J22*K22-100,1))&lt;999,ROUND(100/J22*K22-100,1),IF(ROUND(100/J22*K22-100,1)&gt;999,999,-999)))</f>
        <v>34.6</v>
      </c>
      <c r="M22" s="24">
        <f>IFERROR(100/'Skjema total MA'!I22*K22,0)</f>
        <v>0.45649489832865614</v>
      </c>
    </row>
    <row r="23" spans="1:14" ht="15.75" x14ac:dyDescent="0.2">
      <c r="A23" s="587" t="s">
        <v>370</v>
      </c>
      <c r="B23" s="280"/>
      <c r="C23" s="280"/>
      <c r="D23" s="166"/>
      <c r="E23" s="11"/>
      <c r="F23" s="289"/>
      <c r="G23" s="289"/>
      <c r="H23" s="166"/>
      <c r="I23" s="416"/>
      <c r="J23" s="289"/>
      <c r="K23" s="289"/>
      <c r="L23" s="166"/>
      <c r="M23" s="23"/>
    </row>
    <row r="24" spans="1:14" ht="15.75" x14ac:dyDescent="0.2">
      <c r="A24" s="587" t="s">
        <v>371</v>
      </c>
      <c r="B24" s="280"/>
      <c r="C24" s="280"/>
      <c r="D24" s="166"/>
      <c r="E24" s="11"/>
      <c r="F24" s="289"/>
      <c r="G24" s="289"/>
      <c r="H24" s="166"/>
      <c r="I24" s="416"/>
      <c r="J24" s="289"/>
      <c r="K24" s="289"/>
      <c r="L24" s="166"/>
      <c r="M24" s="23"/>
    </row>
    <row r="25" spans="1:14" ht="15.75" x14ac:dyDescent="0.2">
      <c r="A25" s="587" t="s">
        <v>372</v>
      </c>
      <c r="B25" s="280"/>
      <c r="C25" s="280"/>
      <c r="D25" s="166"/>
      <c r="E25" s="11"/>
      <c r="F25" s="289"/>
      <c r="G25" s="289"/>
      <c r="H25" s="166"/>
      <c r="I25" s="416"/>
      <c r="J25" s="289"/>
      <c r="K25" s="289"/>
      <c r="L25" s="166"/>
      <c r="M25" s="23"/>
    </row>
    <row r="26" spans="1:14" ht="15.75" x14ac:dyDescent="0.2">
      <c r="A26" s="587" t="s">
        <v>373</v>
      </c>
      <c r="B26" s="280"/>
      <c r="C26" s="280"/>
      <c r="D26" s="166"/>
      <c r="E26" s="11"/>
      <c r="F26" s="289"/>
      <c r="G26" s="289"/>
      <c r="H26" s="166"/>
      <c r="I26" s="416"/>
      <c r="J26" s="289"/>
      <c r="K26" s="289"/>
      <c r="L26" s="166"/>
      <c r="M26" s="23"/>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v>5529</v>
      </c>
      <c r="C28" s="286">
        <v>7439.9759999999997</v>
      </c>
      <c r="D28" s="166">
        <f t="shared" si="4"/>
        <v>34.6</v>
      </c>
      <c r="E28" s="11">
        <f>IFERROR(100/'Skjema total MA'!C28*C28,0)</f>
        <v>0.68988914264140799</v>
      </c>
      <c r="F28" s="233"/>
      <c r="G28" s="286"/>
      <c r="H28" s="166"/>
      <c r="I28" s="27"/>
      <c r="J28" s="44">
        <f t="shared" si="5"/>
        <v>5529</v>
      </c>
      <c r="K28" s="44">
        <f t="shared" si="5"/>
        <v>7439.9759999999997</v>
      </c>
      <c r="L28" s="253">
        <f t="shared" si="6"/>
        <v>34.6</v>
      </c>
      <c r="M28" s="23">
        <f>IFERROR(100/'Skjema total MA'!I28*K28,0)</f>
        <v>0.68988914264140799</v>
      </c>
    </row>
    <row r="29" spans="1:14" s="3" customFormat="1" ht="15.75" x14ac:dyDescent="0.2">
      <c r="A29" s="13" t="s">
        <v>367</v>
      </c>
      <c r="B29" s="235"/>
      <c r="C29" s="235"/>
      <c r="D29" s="171"/>
      <c r="E29" s="11"/>
      <c r="F29" s="307"/>
      <c r="G29" s="307"/>
      <c r="H29" s="171"/>
      <c r="I29" s="11"/>
      <c r="J29" s="235"/>
      <c r="K29" s="235"/>
      <c r="L29" s="427"/>
      <c r="M29" s="24"/>
      <c r="N29" s="148"/>
    </row>
    <row r="30" spans="1:14" s="3" customFormat="1" ht="15.75" x14ac:dyDescent="0.2">
      <c r="A30" s="587" t="s">
        <v>370</v>
      </c>
      <c r="B30" s="280"/>
      <c r="C30" s="280"/>
      <c r="D30" s="166"/>
      <c r="E30" s="11"/>
      <c r="F30" s="289"/>
      <c r="G30" s="289"/>
      <c r="H30" s="166"/>
      <c r="I30" s="416"/>
      <c r="J30" s="289"/>
      <c r="K30" s="289"/>
      <c r="L30" s="166"/>
      <c r="M30" s="23"/>
      <c r="N30" s="148"/>
    </row>
    <row r="31" spans="1:14" s="3" customFormat="1" ht="15.75" x14ac:dyDescent="0.2">
      <c r="A31" s="587" t="s">
        <v>371</v>
      </c>
      <c r="B31" s="280"/>
      <c r="C31" s="280"/>
      <c r="D31" s="166"/>
      <c r="E31" s="11"/>
      <c r="F31" s="289"/>
      <c r="G31" s="289"/>
      <c r="H31" s="166"/>
      <c r="I31" s="416"/>
      <c r="J31" s="289"/>
      <c r="K31" s="289"/>
      <c r="L31" s="166"/>
      <c r="M31" s="23"/>
      <c r="N31" s="148"/>
    </row>
    <row r="32" spans="1:14" ht="15.75" x14ac:dyDescent="0.2">
      <c r="A32" s="587" t="s">
        <v>372</v>
      </c>
      <c r="B32" s="280"/>
      <c r="C32" s="280"/>
      <c r="D32" s="166"/>
      <c r="E32" s="11"/>
      <c r="F32" s="289"/>
      <c r="G32" s="289"/>
      <c r="H32" s="166"/>
      <c r="I32" s="416"/>
      <c r="J32" s="289"/>
      <c r="K32" s="289"/>
      <c r="L32" s="166"/>
      <c r="M32" s="23"/>
    </row>
    <row r="33" spans="1:14" ht="15.75" x14ac:dyDescent="0.2">
      <c r="A33" s="587" t="s">
        <v>373</v>
      </c>
      <c r="B33" s="280"/>
      <c r="C33" s="280"/>
      <c r="D33" s="166"/>
      <c r="E33" s="11"/>
      <c r="F33" s="289"/>
      <c r="G33" s="289"/>
      <c r="H33" s="166"/>
      <c r="I33" s="416"/>
      <c r="J33" s="289"/>
      <c r="K33" s="289"/>
      <c r="L33" s="166"/>
      <c r="M33" s="23"/>
    </row>
    <row r="34" spans="1:14" ht="15.75" x14ac:dyDescent="0.2">
      <c r="A34" s="13" t="s">
        <v>368</v>
      </c>
      <c r="B34" s="235"/>
      <c r="C34" s="308"/>
      <c r="D34" s="171"/>
      <c r="E34" s="11"/>
      <c r="F34" s="307"/>
      <c r="G34" s="308"/>
      <c r="H34" s="171"/>
      <c r="I34" s="11"/>
      <c r="J34" s="235"/>
      <c r="K34" s="235"/>
      <c r="L34" s="427"/>
      <c r="M34" s="24"/>
    </row>
    <row r="35" spans="1:14" ht="15.75" x14ac:dyDescent="0.2">
      <c r="A35" s="13" t="s">
        <v>369</v>
      </c>
      <c r="B35" s="235"/>
      <c r="C35" s="308"/>
      <c r="D35" s="171"/>
      <c r="E35" s="11"/>
      <c r="F35" s="307"/>
      <c r="G35" s="308"/>
      <c r="H35" s="171"/>
      <c r="I35" s="11"/>
      <c r="J35" s="235"/>
      <c r="K35" s="235"/>
      <c r="L35" s="427"/>
      <c r="M35" s="24"/>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v>143923</v>
      </c>
      <c r="C47" s="310">
        <v>159009.068</v>
      </c>
      <c r="D47" s="426">
        <f t="shared" ref="D47:D48" si="7">IF(B47=0, "    ---- ", IF(ABS(ROUND(100/B47*C47-100,1))&lt;999,ROUND(100/B47*C47-100,1),IF(ROUND(100/B47*C47-100,1)&gt;999,999,-999)))</f>
        <v>10.5</v>
      </c>
      <c r="E47" s="11">
        <f>IFERROR(100/'Skjema total MA'!C47*C47,0)</f>
        <v>4.3537209768005622</v>
      </c>
      <c r="F47" s="145"/>
      <c r="G47" s="33"/>
      <c r="H47" s="159"/>
      <c r="I47" s="159"/>
      <c r="J47" s="37"/>
      <c r="K47" s="37"/>
      <c r="L47" s="159"/>
      <c r="M47" s="159"/>
      <c r="N47" s="148"/>
    </row>
    <row r="48" spans="1:14" s="3" customFormat="1" ht="15.75" x14ac:dyDescent="0.2">
      <c r="A48" s="38" t="s">
        <v>378</v>
      </c>
      <c r="B48" s="280">
        <v>143923</v>
      </c>
      <c r="C48" s="281">
        <v>159009.068</v>
      </c>
      <c r="D48" s="253">
        <f t="shared" si="7"/>
        <v>10.5</v>
      </c>
      <c r="E48" s="27">
        <f>IFERROR(100/'Skjema total MA'!C48*C48,0)</f>
        <v>7.6875722568383686</v>
      </c>
      <c r="F48" s="145"/>
      <c r="G48" s="33"/>
      <c r="H48" s="145"/>
      <c r="I48" s="145"/>
      <c r="J48" s="33"/>
      <c r="K48" s="33"/>
      <c r="L48" s="159"/>
      <c r="M48" s="159"/>
      <c r="N48" s="148"/>
    </row>
    <row r="49" spans="1:14" s="3" customFormat="1" ht="15.75" x14ac:dyDescent="0.2">
      <c r="A49" s="38" t="s">
        <v>379</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c r="C53" s="310"/>
      <c r="D53" s="427"/>
      <c r="E53" s="11"/>
      <c r="F53" s="145"/>
      <c r="G53" s="33"/>
      <c r="H53" s="145"/>
      <c r="I53" s="145"/>
      <c r="J53" s="33"/>
      <c r="K53" s="33"/>
      <c r="L53" s="159"/>
      <c r="M53" s="159"/>
      <c r="N53" s="148"/>
    </row>
    <row r="54" spans="1:14" s="3" customFormat="1" ht="15.75" x14ac:dyDescent="0.2">
      <c r="A54" s="38" t="s">
        <v>378</v>
      </c>
      <c r="B54" s="280"/>
      <c r="C54" s="281"/>
      <c r="D54" s="253"/>
      <c r="E54" s="27"/>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c r="C56" s="310"/>
      <c r="D56" s="427"/>
      <c r="E56" s="11"/>
      <c r="F56" s="145"/>
      <c r="G56" s="33"/>
      <c r="H56" s="145"/>
      <c r="I56" s="145"/>
      <c r="J56" s="33"/>
      <c r="K56" s="33"/>
      <c r="L56" s="159"/>
      <c r="M56" s="159"/>
      <c r="N56" s="148"/>
    </row>
    <row r="57" spans="1:14" s="3" customFormat="1" ht="15.75" x14ac:dyDescent="0.2">
      <c r="A57" s="38" t="s">
        <v>378</v>
      </c>
      <c r="B57" s="280"/>
      <c r="C57" s="281"/>
      <c r="D57" s="253"/>
      <c r="E57" s="27"/>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c r="C66" s="352"/>
      <c r="D66" s="349"/>
      <c r="E66" s="11"/>
      <c r="F66" s="351"/>
      <c r="G66" s="351"/>
      <c r="H66" s="349"/>
      <c r="I66" s="11"/>
      <c r="J66" s="308"/>
      <c r="K66" s="315"/>
      <c r="L66" s="427"/>
      <c r="M66" s="11"/>
    </row>
    <row r="67" spans="1:14" x14ac:dyDescent="0.2">
      <c r="A67" s="41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c r="G86" s="145"/>
      <c r="H86" s="166"/>
      <c r="I86" s="27"/>
      <c r="J86" s="286"/>
      <c r="K86" s="44"/>
      <c r="L86" s="253"/>
      <c r="M86" s="27"/>
    </row>
    <row r="87" spans="1:13" ht="15.75" x14ac:dyDescent="0.2">
      <c r="A87" s="13" t="s">
        <v>367</v>
      </c>
      <c r="B87" s="352"/>
      <c r="C87" s="352"/>
      <c r="D87" s="171"/>
      <c r="E87" s="11"/>
      <c r="F87" s="351"/>
      <c r="G87" s="351"/>
      <c r="H87" s="171"/>
      <c r="I87" s="11"/>
      <c r="J87" s="308"/>
      <c r="K87" s="235"/>
      <c r="L87" s="427"/>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row>
    <row r="98" spans="1:13" ht="15.75" x14ac:dyDescent="0.2">
      <c r="A98" s="21" t="s">
        <v>384</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c r="G107" s="145"/>
      <c r="H107" s="166"/>
      <c r="I107" s="27"/>
      <c r="J107" s="286"/>
      <c r="K107" s="44"/>
      <c r="L107" s="253"/>
      <c r="M107" s="27"/>
    </row>
    <row r="108" spans="1:13" ht="15.75" x14ac:dyDescent="0.2">
      <c r="A108" s="21" t="s">
        <v>386</v>
      </c>
      <c r="B108" s="233"/>
      <c r="C108" s="233"/>
      <c r="D108" s="166"/>
      <c r="E108" s="27"/>
      <c r="F108" s="233"/>
      <c r="G108" s="233"/>
      <c r="H108" s="166"/>
      <c r="I108" s="27"/>
      <c r="J108" s="286"/>
      <c r="K108" s="44"/>
      <c r="L108" s="253"/>
      <c r="M108" s="27"/>
    </row>
    <row r="109" spans="1:13" ht="15.75" x14ac:dyDescent="0.2">
      <c r="A109" s="21" t="s">
        <v>387</v>
      </c>
      <c r="B109" s="233"/>
      <c r="C109" s="233"/>
      <c r="D109" s="166"/>
      <c r="E109" s="27"/>
      <c r="F109" s="233"/>
      <c r="G109" s="233"/>
      <c r="H109" s="166"/>
      <c r="I109" s="27"/>
      <c r="J109" s="286"/>
      <c r="K109" s="44"/>
      <c r="L109" s="253"/>
      <c r="M109" s="27"/>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c r="C111" s="159"/>
      <c r="D111" s="171"/>
      <c r="E111" s="11"/>
      <c r="F111" s="307"/>
      <c r="G111" s="159"/>
      <c r="H111" s="171"/>
      <c r="I111" s="11"/>
      <c r="J111" s="308"/>
      <c r="K111" s="235"/>
      <c r="L111" s="427"/>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c r="C116" s="233"/>
      <c r="D116" s="166"/>
      <c r="E116" s="27"/>
      <c r="F116" s="233"/>
      <c r="G116" s="233"/>
      <c r="H116" s="166"/>
      <c r="I116" s="27"/>
      <c r="J116" s="286"/>
      <c r="K116" s="44"/>
      <c r="L116" s="253"/>
      <c r="M116" s="27"/>
    </row>
    <row r="117" spans="1:14" ht="15.75" x14ac:dyDescent="0.2">
      <c r="A117" s="21" t="s">
        <v>390</v>
      </c>
      <c r="B117" s="233"/>
      <c r="C117" s="233"/>
      <c r="D117" s="166"/>
      <c r="E117" s="27"/>
      <c r="F117" s="233"/>
      <c r="G117" s="233"/>
      <c r="H117" s="166"/>
      <c r="I117" s="27"/>
      <c r="J117" s="286"/>
      <c r="K117" s="44"/>
      <c r="L117" s="253"/>
      <c r="M117" s="27"/>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c r="C119" s="159"/>
      <c r="D119" s="171"/>
      <c r="E119" s="11"/>
      <c r="F119" s="307"/>
      <c r="G119" s="159"/>
      <c r="H119" s="171"/>
      <c r="I119" s="11"/>
      <c r="J119" s="308"/>
      <c r="K119" s="235"/>
      <c r="L119" s="427"/>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c r="G125" s="233"/>
      <c r="H125" s="166"/>
      <c r="I125" s="27"/>
      <c r="J125" s="286"/>
      <c r="K125" s="44"/>
      <c r="L125" s="253"/>
      <c r="M125" s="27"/>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877" priority="132">
      <formula>kvartal &lt; 4</formula>
    </cfRule>
  </conditionalFormatting>
  <conditionalFormatting sqref="B69">
    <cfRule type="expression" dxfId="876" priority="100">
      <formula>kvartal &lt; 4</formula>
    </cfRule>
  </conditionalFormatting>
  <conditionalFormatting sqref="C69">
    <cfRule type="expression" dxfId="875" priority="99">
      <formula>kvartal &lt; 4</formula>
    </cfRule>
  </conditionalFormatting>
  <conditionalFormatting sqref="B72">
    <cfRule type="expression" dxfId="874" priority="98">
      <formula>kvartal &lt; 4</formula>
    </cfRule>
  </conditionalFormatting>
  <conditionalFormatting sqref="C72">
    <cfRule type="expression" dxfId="873" priority="97">
      <formula>kvartal &lt; 4</formula>
    </cfRule>
  </conditionalFormatting>
  <conditionalFormatting sqref="B80">
    <cfRule type="expression" dxfId="872" priority="96">
      <formula>kvartal &lt; 4</formula>
    </cfRule>
  </conditionalFormatting>
  <conditionalFormatting sqref="C80">
    <cfRule type="expression" dxfId="871" priority="95">
      <formula>kvartal &lt; 4</formula>
    </cfRule>
  </conditionalFormatting>
  <conditionalFormatting sqref="B83">
    <cfRule type="expression" dxfId="870" priority="94">
      <formula>kvartal &lt; 4</formula>
    </cfRule>
  </conditionalFormatting>
  <conditionalFormatting sqref="C83">
    <cfRule type="expression" dxfId="869" priority="93">
      <formula>kvartal &lt; 4</formula>
    </cfRule>
  </conditionalFormatting>
  <conditionalFormatting sqref="B90">
    <cfRule type="expression" dxfId="868" priority="84">
      <formula>kvartal &lt; 4</formula>
    </cfRule>
  </conditionalFormatting>
  <conditionalFormatting sqref="C90">
    <cfRule type="expression" dxfId="867" priority="83">
      <formula>kvartal &lt; 4</formula>
    </cfRule>
  </conditionalFormatting>
  <conditionalFormatting sqref="B93">
    <cfRule type="expression" dxfId="866" priority="82">
      <formula>kvartal &lt; 4</formula>
    </cfRule>
  </conditionalFormatting>
  <conditionalFormatting sqref="C93">
    <cfRule type="expression" dxfId="865" priority="81">
      <formula>kvartal &lt; 4</formula>
    </cfRule>
  </conditionalFormatting>
  <conditionalFormatting sqref="B101">
    <cfRule type="expression" dxfId="864" priority="80">
      <formula>kvartal &lt; 4</formula>
    </cfRule>
  </conditionalFormatting>
  <conditionalFormatting sqref="C101">
    <cfRule type="expression" dxfId="863" priority="79">
      <formula>kvartal &lt; 4</formula>
    </cfRule>
  </conditionalFormatting>
  <conditionalFormatting sqref="B104">
    <cfRule type="expression" dxfId="862" priority="78">
      <formula>kvartal &lt; 4</formula>
    </cfRule>
  </conditionalFormatting>
  <conditionalFormatting sqref="C104">
    <cfRule type="expression" dxfId="861" priority="77">
      <formula>kvartal &lt; 4</formula>
    </cfRule>
  </conditionalFormatting>
  <conditionalFormatting sqref="B115">
    <cfRule type="expression" dxfId="860" priority="76">
      <formula>kvartal &lt; 4</formula>
    </cfRule>
  </conditionalFormatting>
  <conditionalFormatting sqref="C115">
    <cfRule type="expression" dxfId="859" priority="75">
      <formula>kvartal &lt; 4</formula>
    </cfRule>
  </conditionalFormatting>
  <conditionalFormatting sqref="B123">
    <cfRule type="expression" dxfId="858" priority="74">
      <formula>kvartal &lt; 4</formula>
    </cfRule>
  </conditionalFormatting>
  <conditionalFormatting sqref="C123">
    <cfRule type="expression" dxfId="857" priority="73">
      <formula>kvartal &lt; 4</formula>
    </cfRule>
  </conditionalFormatting>
  <conditionalFormatting sqref="F70">
    <cfRule type="expression" dxfId="856" priority="72">
      <formula>kvartal &lt; 4</formula>
    </cfRule>
  </conditionalFormatting>
  <conditionalFormatting sqref="G70">
    <cfRule type="expression" dxfId="855" priority="71">
      <formula>kvartal &lt; 4</formula>
    </cfRule>
  </conditionalFormatting>
  <conditionalFormatting sqref="F71:G71">
    <cfRule type="expression" dxfId="854" priority="70">
      <formula>kvartal &lt; 4</formula>
    </cfRule>
  </conditionalFormatting>
  <conditionalFormatting sqref="F73:G74">
    <cfRule type="expression" dxfId="853" priority="69">
      <formula>kvartal &lt; 4</formula>
    </cfRule>
  </conditionalFormatting>
  <conditionalFormatting sqref="F81:G82">
    <cfRule type="expression" dxfId="852" priority="68">
      <formula>kvartal &lt; 4</formula>
    </cfRule>
  </conditionalFormatting>
  <conditionalFormatting sqref="F84:G85">
    <cfRule type="expression" dxfId="851" priority="67">
      <formula>kvartal &lt; 4</formula>
    </cfRule>
  </conditionalFormatting>
  <conditionalFormatting sqref="F91:G92">
    <cfRule type="expression" dxfId="850" priority="62">
      <formula>kvartal &lt; 4</formula>
    </cfRule>
  </conditionalFormatting>
  <conditionalFormatting sqref="F94:G95">
    <cfRule type="expression" dxfId="849" priority="61">
      <formula>kvartal &lt; 4</formula>
    </cfRule>
  </conditionalFormatting>
  <conditionalFormatting sqref="F102:G103">
    <cfRule type="expression" dxfId="848" priority="60">
      <formula>kvartal &lt; 4</formula>
    </cfRule>
  </conditionalFormatting>
  <conditionalFormatting sqref="F105:G106">
    <cfRule type="expression" dxfId="847" priority="59">
      <formula>kvartal &lt; 4</formula>
    </cfRule>
  </conditionalFormatting>
  <conditionalFormatting sqref="F115">
    <cfRule type="expression" dxfId="846" priority="58">
      <formula>kvartal &lt; 4</formula>
    </cfRule>
  </conditionalFormatting>
  <conditionalFormatting sqref="G115">
    <cfRule type="expression" dxfId="845" priority="57">
      <formula>kvartal &lt; 4</formula>
    </cfRule>
  </conditionalFormatting>
  <conditionalFormatting sqref="F123:G123">
    <cfRule type="expression" dxfId="844" priority="56">
      <formula>kvartal &lt; 4</formula>
    </cfRule>
  </conditionalFormatting>
  <conditionalFormatting sqref="F69:G69">
    <cfRule type="expression" dxfId="843" priority="55">
      <formula>kvartal &lt; 4</formula>
    </cfRule>
  </conditionalFormatting>
  <conditionalFormatting sqref="F72:G72">
    <cfRule type="expression" dxfId="842" priority="54">
      <formula>kvartal &lt; 4</formula>
    </cfRule>
  </conditionalFormatting>
  <conditionalFormatting sqref="F80:G80">
    <cfRule type="expression" dxfId="841" priority="53">
      <formula>kvartal &lt; 4</formula>
    </cfRule>
  </conditionalFormatting>
  <conditionalFormatting sqref="F83:G83">
    <cfRule type="expression" dxfId="840" priority="52">
      <formula>kvartal &lt; 4</formula>
    </cfRule>
  </conditionalFormatting>
  <conditionalFormatting sqref="F90:G90">
    <cfRule type="expression" dxfId="839" priority="46">
      <formula>kvartal &lt; 4</formula>
    </cfRule>
  </conditionalFormatting>
  <conditionalFormatting sqref="F93">
    <cfRule type="expression" dxfId="838" priority="45">
      <formula>kvartal &lt; 4</formula>
    </cfRule>
  </conditionalFormatting>
  <conditionalFormatting sqref="G93">
    <cfRule type="expression" dxfId="837" priority="44">
      <formula>kvartal &lt; 4</formula>
    </cfRule>
  </conditionalFormatting>
  <conditionalFormatting sqref="F101">
    <cfRule type="expression" dxfId="836" priority="43">
      <formula>kvartal &lt; 4</formula>
    </cfRule>
  </conditionalFormatting>
  <conditionalFormatting sqref="G101">
    <cfRule type="expression" dxfId="835" priority="42">
      <formula>kvartal &lt; 4</formula>
    </cfRule>
  </conditionalFormatting>
  <conditionalFormatting sqref="G104">
    <cfRule type="expression" dxfId="834" priority="41">
      <formula>kvartal &lt; 4</formula>
    </cfRule>
  </conditionalFormatting>
  <conditionalFormatting sqref="F104">
    <cfRule type="expression" dxfId="833" priority="40">
      <formula>kvartal &lt; 4</formula>
    </cfRule>
  </conditionalFormatting>
  <conditionalFormatting sqref="J69:K73">
    <cfRule type="expression" dxfId="832" priority="39">
      <formula>kvartal &lt; 4</formula>
    </cfRule>
  </conditionalFormatting>
  <conditionalFormatting sqref="J74:K74">
    <cfRule type="expression" dxfId="831" priority="38">
      <formula>kvartal &lt; 4</formula>
    </cfRule>
  </conditionalFormatting>
  <conditionalFormatting sqref="J80:K85">
    <cfRule type="expression" dxfId="830" priority="37">
      <formula>kvartal &lt; 4</formula>
    </cfRule>
  </conditionalFormatting>
  <conditionalFormatting sqref="J90:K95">
    <cfRule type="expression" dxfId="829" priority="34">
      <formula>kvartal &lt; 4</formula>
    </cfRule>
  </conditionalFormatting>
  <conditionalFormatting sqref="J101:K106">
    <cfRule type="expression" dxfId="828" priority="33">
      <formula>kvartal &lt; 4</formula>
    </cfRule>
  </conditionalFormatting>
  <conditionalFormatting sqref="J115:K115">
    <cfRule type="expression" dxfId="827" priority="32">
      <formula>kvartal &lt; 4</formula>
    </cfRule>
  </conditionalFormatting>
  <conditionalFormatting sqref="J123:K123">
    <cfRule type="expression" dxfId="826" priority="31">
      <formula>kvartal &lt; 4</formula>
    </cfRule>
  </conditionalFormatting>
  <conditionalFormatting sqref="A50:A52">
    <cfRule type="expression" dxfId="825" priority="12">
      <formula>kvartal &lt; 4</formula>
    </cfRule>
  </conditionalFormatting>
  <conditionalFormatting sqref="A69:A74">
    <cfRule type="expression" dxfId="824" priority="10">
      <formula>kvartal &lt; 4</formula>
    </cfRule>
  </conditionalFormatting>
  <conditionalFormatting sqref="A80:A85">
    <cfRule type="expression" dxfId="823" priority="9">
      <formula>kvartal &lt; 4</formula>
    </cfRule>
  </conditionalFormatting>
  <conditionalFormatting sqref="A90:A95">
    <cfRule type="expression" dxfId="822" priority="6">
      <formula>kvartal &lt; 4</formula>
    </cfRule>
  </conditionalFormatting>
  <conditionalFormatting sqref="A101:A106">
    <cfRule type="expression" dxfId="821" priority="5">
      <formula>kvartal &lt; 4</formula>
    </cfRule>
  </conditionalFormatting>
  <conditionalFormatting sqref="A115">
    <cfRule type="expression" dxfId="820" priority="4">
      <formula>kvartal &lt; 4</formula>
    </cfRule>
  </conditionalFormatting>
  <conditionalFormatting sqref="A123">
    <cfRule type="expression" dxfId="819" priority="3">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586" t="s">
        <v>416</v>
      </c>
      <c r="D1" s="26"/>
      <c r="E1" s="26"/>
      <c r="F1" s="26"/>
      <c r="G1" s="26"/>
      <c r="H1" s="26"/>
      <c r="I1" s="26"/>
      <c r="J1" s="26"/>
      <c r="K1" s="26"/>
      <c r="L1" s="26"/>
      <c r="M1" s="26"/>
    </row>
    <row r="2" spans="1:14" ht="15.75" x14ac:dyDescent="0.25">
      <c r="A2" s="165" t="s">
        <v>28</v>
      </c>
      <c r="B2" s="736"/>
      <c r="C2" s="736"/>
      <c r="D2" s="736"/>
      <c r="E2" s="298"/>
      <c r="F2" s="736"/>
      <c r="G2" s="736"/>
      <c r="H2" s="736"/>
      <c r="I2" s="298"/>
      <c r="J2" s="736"/>
      <c r="K2" s="736"/>
      <c r="L2" s="736"/>
      <c r="M2" s="298"/>
    </row>
    <row r="3" spans="1:14" ht="15.75" x14ac:dyDescent="0.25">
      <c r="A3" s="163"/>
      <c r="B3" s="298"/>
      <c r="C3" s="298"/>
      <c r="D3" s="298"/>
      <c r="E3" s="298"/>
      <c r="F3" s="298"/>
      <c r="G3" s="298"/>
      <c r="H3" s="298"/>
      <c r="I3" s="298"/>
      <c r="J3" s="298"/>
      <c r="K3" s="298"/>
      <c r="L3" s="298"/>
      <c r="M3" s="298"/>
    </row>
    <row r="4" spans="1:14" x14ac:dyDescent="0.2">
      <c r="A4" s="144"/>
      <c r="B4" s="737" t="s">
        <v>0</v>
      </c>
      <c r="C4" s="738"/>
      <c r="D4" s="738"/>
      <c r="E4" s="300"/>
      <c r="F4" s="737" t="s">
        <v>1</v>
      </c>
      <c r="G4" s="738"/>
      <c r="H4" s="738"/>
      <c r="I4" s="303"/>
      <c r="J4" s="737" t="s">
        <v>2</v>
      </c>
      <c r="K4" s="738"/>
      <c r="L4" s="738"/>
      <c r="M4" s="303"/>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c r="C7" s="306"/>
      <c r="D7" s="349"/>
      <c r="E7" s="11"/>
      <c r="F7" s="305"/>
      <c r="G7" s="306"/>
      <c r="H7" s="349"/>
      <c r="I7" s="160"/>
      <c r="J7" s="307"/>
      <c r="K7" s="308"/>
      <c r="L7" s="426"/>
      <c r="M7" s="11"/>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c r="D9" s="166"/>
      <c r="E9" s="27"/>
      <c r="F9" s="284"/>
      <c r="G9" s="285"/>
      <c r="H9" s="166"/>
      <c r="I9" s="175"/>
      <c r="J9" s="233"/>
      <c r="K9" s="286"/>
      <c r="L9" s="253"/>
      <c r="M9" s="27"/>
    </row>
    <row r="10" spans="1:14" ht="15.75" x14ac:dyDescent="0.2">
      <c r="A10" s="13" t="s">
        <v>367</v>
      </c>
      <c r="B10" s="309"/>
      <c r="C10" s="310"/>
      <c r="D10" s="171"/>
      <c r="E10" s="11"/>
      <c r="F10" s="309"/>
      <c r="G10" s="310"/>
      <c r="H10" s="171"/>
      <c r="I10" s="160"/>
      <c r="J10" s="307"/>
      <c r="K10" s="308"/>
      <c r="L10" s="427"/>
      <c r="M10" s="11"/>
    </row>
    <row r="11" spans="1:14" s="43" customFormat="1" ht="15.75" x14ac:dyDescent="0.2">
      <c r="A11" s="13" t="s">
        <v>368</v>
      </c>
      <c r="B11" s="309"/>
      <c r="C11" s="310"/>
      <c r="D11" s="171"/>
      <c r="E11" s="11"/>
      <c r="F11" s="309"/>
      <c r="G11" s="310"/>
      <c r="H11" s="171"/>
      <c r="I11" s="160"/>
      <c r="J11" s="307"/>
      <c r="K11" s="308"/>
      <c r="L11" s="427"/>
      <c r="M11" s="11"/>
      <c r="N11" s="143"/>
    </row>
    <row r="12" spans="1:14" s="43" customFormat="1" ht="15.75" x14ac:dyDescent="0.2">
      <c r="A12" s="41" t="s">
        <v>369</v>
      </c>
      <c r="B12" s="311"/>
      <c r="C12" s="312"/>
      <c r="D12" s="169"/>
      <c r="E12" s="36"/>
      <c r="F12" s="311"/>
      <c r="G12" s="312"/>
      <c r="H12" s="169"/>
      <c r="I12" s="169"/>
      <c r="J12" s="313"/>
      <c r="K12" s="314"/>
      <c r="L12" s="428"/>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426"/>
      <c r="M22" s="24"/>
    </row>
    <row r="23" spans="1:14" ht="15.75" x14ac:dyDescent="0.2">
      <c r="A23" s="587" t="s">
        <v>370</v>
      </c>
      <c r="B23" s="280"/>
      <c r="C23" s="280"/>
      <c r="D23" s="166"/>
      <c r="E23" s="11"/>
      <c r="F23" s="289"/>
      <c r="G23" s="289"/>
      <c r="H23" s="166"/>
      <c r="I23" s="416"/>
      <c r="J23" s="289"/>
      <c r="K23" s="289"/>
      <c r="L23" s="166"/>
      <c r="M23" s="23"/>
    </row>
    <row r="24" spans="1:14" ht="15.75" x14ac:dyDescent="0.2">
      <c r="A24" s="587" t="s">
        <v>371</v>
      </c>
      <c r="B24" s="280"/>
      <c r="C24" s="280"/>
      <c r="D24" s="166"/>
      <c r="E24" s="11"/>
      <c r="F24" s="289"/>
      <c r="G24" s="289"/>
      <c r="H24" s="166"/>
      <c r="I24" s="416"/>
      <c r="J24" s="289"/>
      <c r="K24" s="289"/>
      <c r="L24" s="166"/>
      <c r="M24" s="23"/>
    </row>
    <row r="25" spans="1:14" ht="15.75" x14ac:dyDescent="0.2">
      <c r="A25" s="587" t="s">
        <v>372</v>
      </c>
      <c r="B25" s="280"/>
      <c r="C25" s="280"/>
      <c r="D25" s="166"/>
      <c r="E25" s="11"/>
      <c r="F25" s="289"/>
      <c r="G25" s="289"/>
      <c r="H25" s="166"/>
      <c r="I25" s="416"/>
      <c r="J25" s="289"/>
      <c r="K25" s="289"/>
      <c r="L25" s="166"/>
      <c r="M25" s="23"/>
    </row>
    <row r="26" spans="1:14" ht="15.75" x14ac:dyDescent="0.2">
      <c r="A26" s="587" t="s">
        <v>373</v>
      </c>
      <c r="B26" s="280"/>
      <c r="C26" s="280"/>
      <c r="D26" s="166"/>
      <c r="E26" s="11"/>
      <c r="F26" s="289"/>
      <c r="G26" s="289"/>
      <c r="H26" s="166"/>
      <c r="I26" s="416"/>
      <c r="J26" s="289"/>
      <c r="K26" s="289"/>
      <c r="L26" s="166"/>
      <c r="M26" s="23"/>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c r="C28" s="286"/>
      <c r="D28" s="166"/>
      <c r="E28" s="11"/>
      <c r="F28" s="233"/>
      <c r="G28" s="286"/>
      <c r="H28" s="166"/>
      <c r="I28" s="27"/>
      <c r="J28" s="44"/>
      <c r="K28" s="44"/>
      <c r="L28" s="253"/>
      <c r="M28" s="23"/>
    </row>
    <row r="29" spans="1:14" s="3" customFormat="1" ht="15.75" x14ac:dyDescent="0.2">
      <c r="A29" s="13" t="s">
        <v>367</v>
      </c>
      <c r="B29" s="235"/>
      <c r="C29" s="235"/>
      <c r="D29" s="171"/>
      <c r="E29" s="11"/>
      <c r="F29" s="307"/>
      <c r="G29" s="307"/>
      <c r="H29" s="171"/>
      <c r="I29" s="11"/>
      <c r="J29" s="235"/>
      <c r="K29" s="235"/>
      <c r="L29" s="427"/>
      <c r="M29" s="24"/>
      <c r="N29" s="148"/>
    </row>
    <row r="30" spans="1:14" s="3" customFormat="1" ht="15.75" x14ac:dyDescent="0.2">
      <c r="A30" s="587" t="s">
        <v>370</v>
      </c>
      <c r="B30" s="280"/>
      <c r="C30" s="280"/>
      <c r="D30" s="166"/>
      <c r="E30" s="11"/>
      <c r="F30" s="289"/>
      <c r="G30" s="289"/>
      <c r="H30" s="166"/>
      <c r="I30" s="416"/>
      <c r="J30" s="289"/>
      <c r="K30" s="289"/>
      <c r="L30" s="166"/>
      <c r="M30" s="23"/>
      <c r="N30" s="148"/>
    </row>
    <row r="31" spans="1:14" s="3" customFormat="1" ht="15.75" x14ac:dyDescent="0.2">
      <c r="A31" s="587" t="s">
        <v>371</v>
      </c>
      <c r="B31" s="280"/>
      <c r="C31" s="280"/>
      <c r="D31" s="166"/>
      <c r="E31" s="11"/>
      <c r="F31" s="289"/>
      <c r="G31" s="289"/>
      <c r="H31" s="166"/>
      <c r="I31" s="416"/>
      <c r="J31" s="289"/>
      <c r="K31" s="289"/>
      <c r="L31" s="166"/>
      <c r="M31" s="23"/>
      <c r="N31" s="148"/>
    </row>
    <row r="32" spans="1:14" ht="15.75" x14ac:dyDescent="0.2">
      <c r="A32" s="587" t="s">
        <v>372</v>
      </c>
      <c r="B32" s="280"/>
      <c r="C32" s="280"/>
      <c r="D32" s="166"/>
      <c r="E32" s="11"/>
      <c r="F32" s="289"/>
      <c r="G32" s="289"/>
      <c r="H32" s="166"/>
      <c r="I32" s="416"/>
      <c r="J32" s="289"/>
      <c r="K32" s="289"/>
      <c r="L32" s="166"/>
      <c r="M32" s="23"/>
    </row>
    <row r="33" spans="1:14" ht="15.75" x14ac:dyDescent="0.2">
      <c r="A33" s="587" t="s">
        <v>373</v>
      </c>
      <c r="B33" s="280"/>
      <c r="C33" s="280"/>
      <c r="D33" s="166"/>
      <c r="E33" s="11"/>
      <c r="F33" s="289"/>
      <c r="G33" s="289"/>
      <c r="H33" s="166"/>
      <c r="I33" s="416"/>
      <c r="J33" s="289"/>
      <c r="K33" s="289"/>
      <c r="L33" s="166"/>
      <c r="M33" s="23"/>
    </row>
    <row r="34" spans="1:14" ht="15.75" x14ac:dyDescent="0.2">
      <c r="A34" s="13" t="s">
        <v>368</v>
      </c>
      <c r="B34" s="235"/>
      <c r="C34" s="308"/>
      <c r="D34" s="171"/>
      <c r="E34" s="11"/>
      <c r="F34" s="307"/>
      <c r="G34" s="308"/>
      <c r="H34" s="171"/>
      <c r="I34" s="11"/>
      <c r="J34" s="235"/>
      <c r="K34" s="235"/>
      <c r="L34" s="427"/>
      <c r="M34" s="24"/>
    </row>
    <row r="35" spans="1:14" ht="15.75" x14ac:dyDescent="0.2">
      <c r="A35" s="13" t="s">
        <v>369</v>
      </c>
      <c r="B35" s="235"/>
      <c r="C35" s="308"/>
      <c r="D35" s="171"/>
      <c r="E35" s="11"/>
      <c r="F35" s="307"/>
      <c r="G35" s="308"/>
      <c r="H35" s="171"/>
      <c r="I35" s="11"/>
      <c r="J35" s="235"/>
      <c r="K35" s="235"/>
      <c r="L35" s="427"/>
      <c r="M35" s="24"/>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v>26907</v>
      </c>
      <c r="C47" s="310">
        <v>36699</v>
      </c>
      <c r="D47" s="426">
        <f t="shared" ref="D47:D57" si="0">IF(B47=0, "    ---- ", IF(ABS(ROUND(100/B47*C47-100,1))&lt;999,ROUND(100/B47*C47-100,1),IF(ROUND(100/B47*C47-100,1)&gt;999,999,-999)))</f>
        <v>36.4</v>
      </c>
      <c r="E47" s="11">
        <f>IFERROR(100/'Skjema total MA'!C47*C47,0)</f>
        <v>1.0048307818998337</v>
      </c>
      <c r="F47" s="145"/>
      <c r="G47" s="33"/>
      <c r="H47" s="159"/>
      <c r="I47" s="159"/>
      <c r="J47" s="37"/>
      <c r="K47" s="37"/>
      <c r="L47" s="159"/>
      <c r="M47" s="159"/>
      <c r="N47" s="148"/>
    </row>
    <row r="48" spans="1:14" s="3" customFormat="1" ht="15.75" x14ac:dyDescent="0.2">
      <c r="A48" s="38" t="s">
        <v>378</v>
      </c>
      <c r="B48" s="280">
        <v>26907</v>
      </c>
      <c r="C48" s="281">
        <v>36699</v>
      </c>
      <c r="D48" s="253">
        <f t="shared" si="0"/>
        <v>36.4</v>
      </c>
      <c r="E48" s="27">
        <f>IFERROR(100/'Skjema total MA'!C48*C48,0)</f>
        <v>1.7742775163848599</v>
      </c>
      <c r="F48" s="145"/>
      <c r="G48" s="33"/>
      <c r="H48" s="145"/>
      <c r="I48" s="145"/>
      <c r="J48" s="33"/>
      <c r="K48" s="33"/>
      <c r="L48" s="159"/>
      <c r="M48" s="159"/>
      <c r="N48" s="148"/>
    </row>
    <row r="49" spans="1:14" s="3" customFormat="1" ht="15.75" x14ac:dyDescent="0.2">
      <c r="A49" s="38" t="s">
        <v>379</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v>802</v>
      </c>
      <c r="C53" s="310">
        <v>8309</v>
      </c>
      <c r="D53" s="427">
        <f t="shared" si="0"/>
        <v>936</v>
      </c>
      <c r="E53" s="11">
        <f>IFERROR(100/'Skjema total MA'!C53*C53,0)</f>
        <v>6.3417863185588494</v>
      </c>
      <c r="F53" s="145"/>
      <c r="G53" s="33"/>
      <c r="H53" s="145"/>
      <c r="I53" s="145"/>
      <c r="J53" s="33"/>
      <c r="K53" s="33"/>
      <c r="L53" s="159"/>
      <c r="M53" s="159"/>
      <c r="N53" s="148"/>
    </row>
    <row r="54" spans="1:14" s="3" customFormat="1" ht="15.75" x14ac:dyDescent="0.2">
      <c r="A54" s="38" t="s">
        <v>378</v>
      </c>
      <c r="B54" s="280">
        <v>802</v>
      </c>
      <c r="C54" s="281">
        <v>8309</v>
      </c>
      <c r="D54" s="253">
        <f t="shared" si="0"/>
        <v>936</v>
      </c>
      <c r="E54" s="27">
        <f>IFERROR(100/'Skjema total MA'!C54*C54,0)</f>
        <v>6.3417863185588494</v>
      </c>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v>586</v>
      </c>
      <c r="C56" s="310">
        <v>163</v>
      </c>
      <c r="D56" s="427">
        <f t="shared" si="0"/>
        <v>-72.2</v>
      </c>
      <c r="E56" s="11">
        <f>IFERROR(100/'Skjema total MA'!C56*C56,0)</f>
        <v>0.14637815848930771</v>
      </c>
      <c r="F56" s="145"/>
      <c r="G56" s="33"/>
      <c r="H56" s="145"/>
      <c r="I56" s="145"/>
      <c r="J56" s="33"/>
      <c r="K56" s="33"/>
      <c r="L56" s="159"/>
      <c r="M56" s="159"/>
      <c r="N56" s="148"/>
    </row>
    <row r="57" spans="1:14" s="3" customFormat="1" ht="15.75" x14ac:dyDescent="0.2">
      <c r="A57" s="38" t="s">
        <v>378</v>
      </c>
      <c r="B57" s="280">
        <v>586</v>
      </c>
      <c r="C57" s="281">
        <v>163</v>
      </c>
      <c r="D57" s="253">
        <f t="shared" si="0"/>
        <v>-72.2</v>
      </c>
      <c r="E57" s="27">
        <f>IFERROR(100/'Skjema total MA'!C57*C57,0)</f>
        <v>0.14638262797067941</v>
      </c>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c r="C66" s="352"/>
      <c r="D66" s="349"/>
      <c r="E66" s="11"/>
      <c r="F66" s="351"/>
      <c r="G66" s="351"/>
      <c r="H66" s="349"/>
      <c r="I66" s="11"/>
      <c r="J66" s="308"/>
      <c r="K66" s="315"/>
      <c r="L66" s="427"/>
      <c r="M66" s="11"/>
    </row>
    <row r="67" spans="1:14" x14ac:dyDescent="0.2">
      <c r="A67" s="41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c r="G86" s="145"/>
      <c r="H86" s="166"/>
      <c r="I86" s="27"/>
      <c r="J86" s="286"/>
      <c r="K86" s="44"/>
      <c r="L86" s="253"/>
      <c r="M86" s="27"/>
    </row>
    <row r="87" spans="1:13" ht="15.75" x14ac:dyDescent="0.2">
      <c r="A87" s="13" t="s">
        <v>367</v>
      </c>
      <c r="B87" s="352"/>
      <c r="C87" s="352"/>
      <c r="D87" s="171"/>
      <c r="E87" s="11"/>
      <c r="F87" s="351"/>
      <c r="G87" s="351"/>
      <c r="H87" s="171"/>
      <c r="I87" s="11"/>
      <c r="J87" s="308"/>
      <c r="K87" s="235"/>
      <c r="L87" s="427"/>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row>
    <row r="98" spans="1:13" ht="15.75" x14ac:dyDescent="0.2">
      <c r="A98" s="21" t="s">
        <v>384</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c r="G107" s="145"/>
      <c r="H107" s="166"/>
      <c r="I107" s="27"/>
      <c r="J107" s="286"/>
      <c r="K107" s="44"/>
      <c r="L107" s="253"/>
      <c r="M107" s="27"/>
    </row>
    <row r="108" spans="1:13" ht="15.75" x14ac:dyDescent="0.2">
      <c r="A108" s="21" t="s">
        <v>386</v>
      </c>
      <c r="B108" s="233"/>
      <c r="C108" s="233"/>
      <c r="D108" s="166"/>
      <c r="E108" s="27"/>
      <c r="F108" s="233"/>
      <c r="G108" s="233"/>
      <c r="H108" s="166"/>
      <c r="I108" s="27"/>
      <c r="J108" s="286"/>
      <c r="K108" s="44"/>
      <c r="L108" s="253"/>
      <c r="M108" s="27"/>
    </row>
    <row r="109" spans="1:13" ht="15.75" x14ac:dyDescent="0.2">
      <c r="A109" s="21" t="s">
        <v>387</v>
      </c>
      <c r="B109" s="233"/>
      <c r="C109" s="233"/>
      <c r="D109" s="166"/>
      <c r="E109" s="27"/>
      <c r="F109" s="233"/>
      <c r="G109" s="233"/>
      <c r="H109" s="166"/>
      <c r="I109" s="27"/>
      <c r="J109" s="286"/>
      <c r="K109" s="44"/>
      <c r="L109" s="253"/>
      <c r="M109" s="27"/>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c r="C111" s="159"/>
      <c r="D111" s="171"/>
      <c r="E111" s="11"/>
      <c r="F111" s="307"/>
      <c r="G111" s="159"/>
      <c r="H111" s="171"/>
      <c r="I111" s="11"/>
      <c r="J111" s="308"/>
      <c r="K111" s="235"/>
      <c r="L111" s="427"/>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c r="C116" s="233"/>
      <c r="D116" s="166"/>
      <c r="E116" s="27"/>
      <c r="F116" s="233"/>
      <c r="G116" s="233"/>
      <c r="H116" s="166"/>
      <c r="I116" s="27"/>
      <c r="J116" s="286"/>
      <c r="K116" s="44"/>
      <c r="L116" s="253"/>
      <c r="M116" s="27"/>
    </row>
    <row r="117" spans="1:14" ht="15.75" x14ac:dyDescent="0.2">
      <c r="A117" s="21" t="s">
        <v>390</v>
      </c>
      <c r="B117" s="233"/>
      <c r="C117" s="233"/>
      <c r="D117" s="166"/>
      <c r="E117" s="27"/>
      <c r="F117" s="233"/>
      <c r="G117" s="233"/>
      <c r="H117" s="166"/>
      <c r="I117" s="27"/>
      <c r="J117" s="286"/>
      <c r="K117" s="44"/>
      <c r="L117" s="253"/>
      <c r="M117" s="27"/>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c r="C119" s="159"/>
      <c r="D119" s="171"/>
      <c r="E119" s="11"/>
      <c r="F119" s="307"/>
      <c r="G119" s="159"/>
      <c r="H119" s="171"/>
      <c r="I119" s="11"/>
      <c r="J119" s="308"/>
      <c r="K119" s="235"/>
      <c r="L119" s="427"/>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c r="G125" s="233"/>
      <c r="H125" s="166"/>
      <c r="I125" s="27"/>
      <c r="J125" s="286"/>
      <c r="K125" s="44"/>
      <c r="L125" s="253"/>
      <c r="M125" s="27"/>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818" priority="132">
      <formula>kvartal &lt; 4</formula>
    </cfRule>
  </conditionalFormatting>
  <conditionalFormatting sqref="B69">
    <cfRule type="expression" dxfId="817" priority="100">
      <formula>kvartal &lt; 4</formula>
    </cfRule>
  </conditionalFormatting>
  <conditionalFormatting sqref="C69">
    <cfRule type="expression" dxfId="816" priority="99">
      <formula>kvartal &lt; 4</formula>
    </cfRule>
  </conditionalFormatting>
  <conditionalFormatting sqref="B72">
    <cfRule type="expression" dxfId="815" priority="98">
      <formula>kvartal &lt; 4</formula>
    </cfRule>
  </conditionalFormatting>
  <conditionalFormatting sqref="C72">
    <cfRule type="expression" dxfId="814" priority="97">
      <formula>kvartal &lt; 4</formula>
    </cfRule>
  </conditionalFormatting>
  <conditionalFormatting sqref="B80">
    <cfRule type="expression" dxfId="813" priority="96">
      <formula>kvartal &lt; 4</formula>
    </cfRule>
  </conditionalFormatting>
  <conditionalFormatting sqref="C80">
    <cfRule type="expression" dxfId="812" priority="95">
      <formula>kvartal &lt; 4</formula>
    </cfRule>
  </conditionalFormatting>
  <conditionalFormatting sqref="B83">
    <cfRule type="expression" dxfId="811" priority="94">
      <formula>kvartal &lt; 4</formula>
    </cfRule>
  </conditionalFormatting>
  <conditionalFormatting sqref="C83">
    <cfRule type="expression" dxfId="810" priority="93">
      <formula>kvartal &lt; 4</formula>
    </cfRule>
  </conditionalFormatting>
  <conditionalFormatting sqref="B90">
    <cfRule type="expression" dxfId="809" priority="84">
      <formula>kvartal &lt; 4</formula>
    </cfRule>
  </conditionalFormatting>
  <conditionalFormatting sqref="C90">
    <cfRule type="expression" dxfId="808" priority="83">
      <formula>kvartal &lt; 4</formula>
    </cfRule>
  </conditionalFormatting>
  <conditionalFormatting sqref="B93">
    <cfRule type="expression" dxfId="807" priority="82">
      <formula>kvartal &lt; 4</formula>
    </cfRule>
  </conditionalFormatting>
  <conditionalFormatting sqref="C93">
    <cfRule type="expression" dxfId="806" priority="81">
      <formula>kvartal &lt; 4</formula>
    </cfRule>
  </conditionalFormatting>
  <conditionalFormatting sqref="B101">
    <cfRule type="expression" dxfId="805" priority="80">
      <formula>kvartal &lt; 4</formula>
    </cfRule>
  </conditionalFormatting>
  <conditionalFormatting sqref="C101">
    <cfRule type="expression" dxfId="804" priority="79">
      <formula>kvartal &lt; 4</formula>
    </cfRule>
  </conditionalFormatting>
  <conditionalFormatting sqref="B104">
    <cfRule type="expression" dxfId="803" priority="78">
      <formula>kvartal &lt; 4</formula>
    </cfRule>
  </conditionalFormatting>
  <conditionalFormatting sqref="C104">
    <cfRule type="expression" dxfId="802" priority="77">
      <formula>kvartal &lt; 4</formula>
    </cfRule>
  </conditionalFormatting>
  <conditionalFormatting sqref="B115">
    <cfRule type="expression" dxfId="801" priority="76">
      <formula>kvartal &lt; 4</formula>
    </cfRule>
  </conditionalFormatting>
  <conditionalFormatting sqref="C115">
    <cfRule type="expression" dxfId="800" priority="75">
      <formula>kvartal &lt; 4</formula>
    </cfRule>
  </conditionalFormatting>
  <conditionalFormatting sqref="B123">
    <cfRule type="expression" dxfId="799" priority="74">
      <formula>kvartal &lt; 4</formula>
    </cfRule>
  </conditionalFormatting>
  <conditionalFormatting sqref="C123">
    <cfRule type="expression" dxfId="798" priority="73">
      <formula>kvartal &lt; 4</formula>
    </cfRule>
  </conditionalFormatting>
  <conditionalFormatting sqref="F70">
    <cfRule type="expression" dxfId="797" priority="72">
      <formula>kvartal &lt; 4</formula>
    </cfRule>
  </conditionalFormatting>
  <conditionalFormatting sqref="G70">
    <cfRule type="expression" dxfId="796" priority="71">
      <formula>kvartal &lt; 4</formula>
    </cfRule>
  </conditionalFormatting>
  <conditionalFormatting sqref="F71:G71">
    <cfRule type="expression" dxfId="795" priority="70">
      <formula>kvartal &lt; 4</formula>
    </cfRule>
  </conditionalFormatting>
  <conditionalFormatting sqref="F73:G74">
    <cfRule type="expression" dxfId="794" priority="69">
      <formula>kvartal &lt; 4</formula>
    </cfRule>
  </conditionalFormatting>
  <conditionalFormatting sqref="F81:G82">
    <cfRule type="expression" dxfId="793" priority="68">
      <formula>kvartal &lt; 4</formula>
    </cfRule>
  </conditionalFormatting>
  <conditionalFormatting sqref="F84:G85">
    <cfRule type="expression" dxfId="792" priority="67">
      <formula>kvartal &lt; 4</formula>
    </cfRule>
  </conditionalFormatting>
  <conditionalFormatting sqref="F91:G92">
    <cfRule type="expression" dxfId="791" priority="62">
      <formula>kvartal &lt; 4</formula>
    </cfRule>
  </conditionalFormatting>
  <conditionalFormatting sqref="F94:G95">
    <cfRule type="expression" dxfId="790" priority="61">
      <formula>kvartal &lt; 4</formula>
    </cfRule>
  </conditionalFormatting>
  <conditionalFormatting sqref="F102:G103">
    <cfRule type="expression" dxfId="789" priority="60">
      <formula>kvartal &lt; 4</formula>
    </cfRule>
  </conditionalFormatting>
  <conditionalFormatting sqref="F105:G106">
    <cfRule type="expression" dxfId="788" priority="59">
      <formula>kvartal &lt; 4</formula>
    </cfRule>
  </conditionalFormatting>
  <conditionalFormatting sqref="F115">
    <cfRule type="expression" dxfId="787" priority="58">
      <formula>kvartal &lt; 4</formula>
    </cfRule>
  </conditionalFormatting>
  <conditionalFormatting sqref="G115">
    <cfRule type="expression" dxfId="786" priority="57">
      <formula>kvartal &lt; 4</formula>
    </cfRule>
  </conditionalFormatting>
  <conditionalFormatting sqref="F123:G123">
    <cfRule type="expression" dxfId="785" priority="56">
      <formula>kvartal &lt; 4</formula>
    </cfRule>
  </conditionalFormatting>
  <conditionalFormatting sqref="F69:G69">
    <cfRule type="expression" dxfId="784" priority="55">
      <formula>kvartal &lt; 4</formula>
    </cfRule>
  </conditionalFormatting>
  <conditionalFormatting sqref="F72:G72">
    <cfRule type="expression" dxfId="783" priority="54">
      <formula>kvartal &lt; 4</formula>
    </cfRule>
  </conditionalFormatting>
  <conditionalFormatting sqref="F80:G80">
    <cfRule type="expression" dxfId="782" priority="53">
      <formula>kvartal &lt; 4</formula>
    </cfRule>
  </conditionalFormatting>
  <conditionalFormatting sqref="F83:G83">
    <cfRule type="expression" dxfId="781" priority="52">
      <formula>kvartal &lt; 4</formula>
    </cfRule>
  </conditionalFormatting>
  <conditionalFormatting sqref="F90:G90">
    <cfRule type="expression" dxfId="780" priority="46">
      <formula>kvartal &lt; 4</formula>
    </cfRule>
  </conditionalFormatting>
  <conditionalFormatting sqref="F93">
    <cfRule type="expression" dxfId="779" priority="45">
      <formula>kvartal &lt; 4</formula>
    </cfRule>
  </conditionalFormatting>
  <conditionalFormatting sqref="G93">
    <cfRule type="expression" dxfId="778" priority="44">
      <formula>kvartal &lt; 4</formula>
    </cfRule>
  </conditionalFormatting>
  <conditionalFormatting sqref="F101">
    <cfRule type="expression" dxfId="777" priority="43">
      <formula>kvartal &lt; 4</formula>
    </cfRule>
  </conditionalFormatting>
  <conditionalFormatting sqref="G101">
    <cfRule type="expression" dxfId="776" priority="42">
      <formula>kvartal &lt; 4</formula>
    </cfRule>
  </conditionalFormatting>
  <conditionalFormatting sqref="G104">
    <cfRule type="expression" dxfId="775" priority="41">
      <formula>kvartal &lt; 4</formula>
    </cfRule>
  </conditionalFormatting>
  <conditionalFormatting sqref="F104">
    <cfRule type="expression" dxfId="774" priority="40">
      <formula>kvartal &lt; 4</formula>
    </cfRule>
  </conditionalFormatting>
  <conditionalFormatting sqref="J69:K73">
    <cfRule type="expression" dxfId="773" priority="39">
      <formula>kvartal &lt; 4</formula>
    </cfRule>
  </conditionalFormatting>
  <conditionalFormatting sqref="J74:K74">
    <cfRule type="expression" dxfId="772" priority="38">
      <formula>kvartal &lt; 4</formula>
    </cfRule>
  </conditionalFormatting>
  <conditionalFormatting sqref="J80:K85">
    <cfRule type="expression" dxfId="771" priority="37">
      <formula>kvartal &lt; 4</formula>
    </cfRule>
  </conditionalFormatting>
  <conditionalFormatting sqref="J90:K95">
    <cfRule type="expression" dxfId="770" priority="34">
      <formula>kvartal &lt; 4</formula>
    </cfRule>
  </conditionalFormatting>
  <conditionalFormatting sqref="J101:K106">
    <cfRule type="expression" dxfId="769" priority="33">
      <formula>kvartal &lt; 4</formula>
    </cfRule>
  </conditionalFormatting>
  <conditionalFormatting sqref="J115:K115">
    <cfRule type="expression" dxfId="768" priority="32">
      <formula>kvartal &lt; 4</formula>
    </cfRule>
  </conditionalFormatting>
  <conditionalFormatting sqref="J123:K123">
    <cfRule type="expression" dxfId="767" priority="31">
      <formula>kvartal &lt; 4</formula>
    </cfRule>
  </conditionalFormatting>
  <conditionalFormatting sqref="A50:A52">
    <cfRule type="expression" dxfId="766" priority="12">
      <formula>kvartal &lt; 4</formula>
    </cfRule>
  </conditionalFormatting>
  <conditionalFormatting sqref="A69:A74">
    <cfRule type="expression" dxfId="765" priority="10">
      <formula>kvartal &lt; 4</formula>
    </cfRule>
  </conditionalFormatting>
  <conditionalFormatting sqref="A80:A85">
    <cfRule type="expression" dxfId="764" priority="9">
      <formula>kvartal &lt; 4</formula>
    </cfRule>
  </conditionalFormatting>
  <conditionalFormatting sqref="A90:A95">
    <cfRule type="expression" dxfId="763" priority="6">
      <formula>kvartal &lt; 4</formula>
    </cfRule>
  </conditionalFormatting>
  <conditionalFormatting sqref="A101:A106">
    <cfRule type="expression" dxfId="762" priority="5">
      <formula>kvartal &lt; 4</formula>
    </cfRule>
  </conditionalFormatting>
  <conditionalFormatting sqref="A115">
    <cfRule type="expression" dxfId="761" priority="4">
      <formula>kvartal &lt; 4</formula>
    </cfRule>
  </conditionalFormatting>
  <conditionalFormatting sqref="A123">
    <cfRule type="expression" dxfId="760" priority="3">
      <formula>kvartal &lt; 4</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131</v>
      </c>
      <c r="D1" s="26"/>
      <c r="E1" s="26"/>
      <c r="F1" s="26"/>
      <c r="G1" s="26"/>
      <c r="H1" s="26"/>
      <c r="I1" s="26"/>
      <c r="J1" s="26"/>
      <c r="K1" s="26"/>
      <c r="L1" s="26"/>
      <c r="M1" s="26"/>
    </row>
    <row r="2" spans="1:14" ht="15.75" x14ac:dyDescent="0.25">
      <c r="A2" s="165" t="s">
        <v>28</v>
      </c>
      <c r="B2" s="736"/>
      <c r="C2" s="736"/>
      <c r="D2" s="736"/>
      <c r="E2" s="298"/>
      <c r="F2" s="736"/>
      <c r="G2" s="736"/>
      <c r="H2" s="736"/>
      <c r="I2" s="298"/>
      <c r="J2" s="736"/>
      <c r="K2" s="736"/>
      <c r="L2" s="736"/>
      <c r="M2" s="298"/>
    </row>
    <row r="3" spans="1:14" ht="15.75" x14ac:dyDescent="0.25">
      <c r="A3" s="163"/>
      <c r="B3" s="298"/>
      <c r="C3" s="298"/>
      <c r="D3" s="298"/>
      <c r="E3" s="298"/>
      <c r="F3" s="298"/>
      <c r="G3" s="298"/>
      <c r="H3" s="298"/>
      <c r="I3" s="298"/>
      <c r="J3" s="298"/>
      <c r="K3" s="298"/>
      <c r="L3" s="298"/>
      <c r="M3" s="298"/>
    </row>
    <row r="4" spans="1:14" x14ac:dyDescent="0.2">
      <c r="A4" s="144"/>
      <c r="B4" s="737" t="s">
        <v>0</v>
      </c>
      <c r="C4" s="738"/>
      <c r="D4" s="738"/>
      <c r="E4" s="300"/>
      <c r="F4" s="737" t="s">
        <v>1</v>
      </c>
      <c r="G4" s="738"/>
      <c r="H4" s="738"/>
      <c r="I4" s="303"/>
      <c r="J4" s="737" t="s">
        <v>2</v>
      </c>
      <c r="K4" s="738"/>
      <c r="L4" s="738"/>
      <c r="M4" s="303"/>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v>236865.61363168701</v>
      </c>
      <c r="C7" s="306">
        <v>244377.627944854</v>
      </c>
      <c r="D7" s="349">
        <f>IF(B7=0, "    ---- ", IF(ABS(ROUND(100/B7*C7-100,1))&lt;999,ROUND(100/B7*C7-100,1),IF(ROUND(100/B7*C7-100,1)&gt;999,999,-999)))</f>
        <v>3.2</v>
      </c>
      <c r="E7" s="11">
        <f>IFERROR(100/'Skjema total MA'!C7*C7,0)</f>
        <v>9.0938186984195237</v>
      </c>
      <c r="F7" s="305">
        <v>3704036.0983000002</v>
      </c>
      <c r="G7" s="306">
        <v>3295340.7623600001</v>
      </c>
      <c r="H7" s="349">
        <f>IF(F7=0, "    ---- ", IF(ABS(ROUND(100/F7*G7-100,1))&lt;999,ROUND(100/F7*G7-100,1),IF(ROUND(100/F7*G7-100,1)&gt;999,999,-999)))</f>
        <v>-11</v>
      </c>
      <c r="I7" s="160">
        <f>IFERROR(100/'Skjema total MA'!F7*G7,0)</f>
        <v>69.775518723897903</v>
      </c>
      <c r="J7" s="307">
        <f t="shared" ref="J7:K12" si="0">SUM(B7,F7)</f>
        <v>3940901.7119316873</v>
      </c>
      <c r="K7" s="308">
        <f t="shared" si="0"/>
        <v>3539718.3903048541</v>
      </c>
      <c r="L7" s="426">
        <f>IF(J7=0, "    ---- ", IF(ABS(ROUND(100/J7*K7-100,1))&lt;999,ROUND(100/J7*K7-100,1),IF(ROUND(100/J7*K7-100,1)&gt;999,999,-999)))</f>
        <v>-10.199999999999999</v>
      </c>
      <c r="M7" s="11">
        <f>IFERROR(100/'Skjema total MA'!I7*K7,0)</f>
        <v>47.769035221289919</v>
      </c>
    </row>
    <row r="8" spans="1:14" ht="15.75" x14ac:dyDescent="0.2">
      <c r="A8" s="21" t="s">
        <v>25</v>
      </c>
      <c r="B8" s="280">
        <v>194085.79887916899</v>
      </c>
      <c r="C8" s="281">
        <v>203502.45393589401</v>
      </c>
      <c r="D8" s="166">
        <f t="shared" ref="D8:D10" si="1">IF(B8=0, "    ---- ", IF(ABS(ROUND(100/B8*C8-100,1))&lt;999,ROUND(100/B8*C8-100,1),IF(ROUND(100/B8*C8-100,1)&gt;999,999,-999)))</f>
        <v>4.9000000000000004</v>
      </c>
      <c r="E8" s="27">
        <f>IFERROR(100/'Skjema total MA'!C8*C8,0)</f>
        <v>11.280526167724039</v>
      </c>
      <c r="F8" s="284"/>
      <c r="G8" s="285"/>
      <c r="H8" s="166"/>
      <c r="I8" s="175"/>
      <c r="J8" s="233">
        <f t="shared" si="0"/>
        <v>194085.79887916899</v>
      </c>
      <c r="K8" s="286">
        <f t="shared" si="0"/>
        <v>203502.45393589401</v>
      </c>
      <c r="L8" s="166">
        <f t="shared" ref="L8:L9" si="2">IF(J8=0, "    ---- ", IF(ABS(ROUND(100/J8*K8-100,1))&lt;999,ROUND(100/J8*K8-100,1),IF(ROUND(100/J8*K8-100,1)&gt;999,999,-999)))</f>
        <v>4.9000000000000004</v>
      </c>
      <c r="M8" s="27">
        <f>IFERROR(100/'Skjema total MA'!I8*K8,0)</f>
        <v>11.280526167724039</v>
      </c>
    </row>
    <row r="9" spans="1:14" ht="15.75" x14ac:dyDescent="0.2">
      <c r="A9" s="21" t="s">
        <v>24</v>
      </c>
      <c r="B9" s="280">
        <v>39022.778988213002</v>
      </c>
      <c r="C9" s="281">
        <v>37301.4366423795</v>
      </c>
      <c r="D9" s="166">
        <f t="shared" si="1"/>
        <v>-4.4000000000000004</v>
      </c>
      <c r="E9" s="27">
        <f>IFERROR(100/'Skjema total MA'!C9*C9,0)</f>
        <v>7.1737583264519769</v>
      </c>
      <c r="F9" s="284"/>
      <c r="G9" s="285"/>
      <c r="H9" s="166"/>
      <c r="I9" s="175"/>
      <c r="J9" s="233">
        <f t="shared" si="0"/>
        <v>39022.778988213002</v>
      </c>
      <c r="K9" s="286">
        <f t="shared" si="0"/>
        <v>37301.4366423795</v>
      </c>
      <c r="L9" s="166">
        <f t="shared" si="2"/>
        <v>-4.4000000000000004</v>
      </c>
      <c r="M9" s="27">
        <f>IFERROR(100/'Skjema total MA'!I9*K9,0)</f>
        <v>7.1737583264519769</v>
      </c>
    </row>
    <row r="10" spans="1:14" ht="15.75" x14ac:dyDescent="0.2">
      <c r="A10" s="13" t="s">
        <v>367</v>
      </c>
      <c r="B10" s="309">
        <v>809298.10703344899</v>
      </c>
      <c r="C10" s="310">
        <v>760825.460028111</v>
      </c>
      <c r="D10" s="171">
        <f t="shared" si="1"/>
        <v>-6</v>
      </c>
      <c r="E10" s="11">
        <f>IFERROR(100/'Skjema total MA'!C10*C10,0)</f>
        <v>4.1363062795859991</v>
      </c>
      <c r="F10" s="309">
        <v>27203986.6063339</v>
      </c>
      <c r="G10" s="310">
        <v>31513059.754829999</v>
      </c>
      <c r="H10" s="171">
        <f t="shared" ref="H10:H12" si="3">IF(F10=0, "    ---- ", IF(ABS(ROUND(100/F10*G10-100,1))&lt;999,ROUND(100/F10*G10-100,1),IF(ROUND(100/F10*G10-100,1)&gt;999,999,-999)))</f>
        <v>15.8</v>
      </c>
      <c r="I10" s="160">
        <f>IFERROR(100/'Skjema total MA'!F10*G10,0)</f>
        <v>60.741618916522121</v>
      </c>
      <c r="J10" s="307">
        <f t="shared" si="0"/>
        <v>28013284.71336735</v>
      </c>
      <c r="K10" s="308">
        <f t="shared" si="0"/>
        <v>32273885.214858111</v>
      </c>
      <c r="L10" s="427">
        <f t="shared" ref="L10:L12" si="4">IF(J10=0, "    ---- ", IF(ABS(ROUND(100/J10*K10-100,1))&lt;999,ROUND(100/J10*K10-100,1),IF(ROUND(100/J10*K10-100,1)&gt;999,999,-999)))</f>
        <v>15.2</v>
      </c>
      <c r="M10" s="11">
        <f>IFERROR(100/'Skjema total MA'!I10*K10,0)</f>
        <v>45.925558566052302</v>
      </c>
    </row>
    <row r="11" spans="1:14" s="43" customFormat="1" ht="15.75" x14ac:dyDescent="0.2">
      <c r="A11" s="13" t="s">
        <v>368</v>
      </c>
      <c r="B11" s="309"/>
      <c r="C11" s="310"/>
      <c r="D11" s="171"/>
      <c r="E11" s="11"/>
      <c r="F11" s="309">
        <v>99012.209650000004</v>
      </c>
      <c r="G11" s="310">
        <v>130181.77864</v>
      </c>
      <c r="H11" s="171">
        <f t="shared" si="3"/>
        <v>31.5</v>
      </c>
      <c r="I11" s="160">
        <f>IFERROR(100/'Skjema total MA'!F11*G11,0)</f>
        <v>59.863897088300682</v>
      </c>
      <c r="J11" s="307">
        <f t="shared" si="0"/>
        <v>99012.209650000004</v>
      </c>
      <c r="K11" s="308">
        <f t="shared" si="0"/>
        <v>130181.77864</v>
      </c>
      <c r="L11" s="427">
        <f t="shared" si="4"/>
        <v>31.5</v>
      </c>
      <c r="M11" s="11">
        <f>IFERROR(100/'Skjema total MA'!I11*K11,0)</f>
        <v>55.165763113060663</v>
      </c>
      <c r="N11" s="143"/>
    </row>
    <row r="12" spans="1:14" s="43" customFormat="1" ht="15.75" x14ac:dyDescent="0.2">
      <c r="A12" s="41" t="s">
        <v>369</v>
      </c>
      <c r="B12" s="311"/>
      <c r="C12" s="312"/>
      <c r="D12" s="169"/>
      <c r="E12" s="36"/>
      <c r="F12" s="311">
        <v>15286.565060000001</v>
      </c>
      <c r="G12" s="312">
        <v>28867.636299999998</v>
      </c>
      <c r="H12" s="169">
        <f t="shared" si="3"/>
        <v>88.8</v>
      </c>
      <c r="I12" s="169">
        <f>IFERROR(100/'Skjema total MA'!F12*G12,0)</f>
        <v>18.744564859541342</v>
      </c>
      <c r="J12" s="313">
        <f t="shared" si="0"/>
        <v>15286.565060000001</v>
      </c>
      <c r="K12" s="314">
        <f t="shared" si="0"/>
        <v>28867.636299999998</v>
      </c>
      <c r="L12" s="428">
        <f t="shared" si="4"/>
        <v>88.8</v>
      </c>
      <c r="M12" s="36">
        <f>IFERROR(100/'Skjema total MA'!I12*K12,0)</f>
        <v>18.45705236002534</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v>76099.621192406601</v>
      </c>
      <c r="C22" s="309">
        <v>83036.3796215271</v>
      </c>
      <c r="D22" s="349">
        <f t="shared" ref="D22:D32" si="5">IF(B22=0, "    ---- ", IF(ABS(ROUND(100/B22*C22-100,1))&lt;999,ROUND(100/B22*C22-100,1),IF(ROUND(100/B22*C22-100,1)&gt;999,999,-999)))</f>
        <v>9.1</v>
      </c>
      <c r="E22" s="11">
        <f>IFERROR(100/'Skjema total MA'!C22*C22,0)</f>
        <v>8.4076117580217034</v>
      </c>
      <c r="F22" s="317">
        <v>142128.97700000001</v>
      </c>
      <c r="G22" s="317">
        <v>149750.13855999999</v>
      </c>
      <c r="H22" s="349">
        <f t="shared" ref="H22:H35" si="6">IF(F22=0, "    ---- ", IF(ABS(ROUND(100/F22*G22-100,1))&lt;999,ROUND(100/F22*G22-100,1),IF(ROUND(100/F22*G22-100,1)&gt;999,999,-999)))</f>
        <v>5.4</v>
      </c>
      <c r="I22" s="11">
        <f>IFERROR(100/'Skjema total MA'!F22*G22,0)</f>
        <v>23.319338157945634</v>
      </c>
      <c r="J22" s="315">
        <f t="shared" ref="J22:K35" si="7">SUM(B22,F22)</f>
        <v>218228.59819240661</v>
      </c>
      <c r="K22" s="315">
        <f t="shared" si="7"/>
        <v>232786.51818152709</v>
      </c>
      <c r="L22" s="426">
        <f t="shared" ref="L22:L35" si="8">IF(J22=0, "    ---- ", IF(ABS(ROUND(100/J22*K22-100,1))&lt;999,ROUND(100/J22*K22-100,1),IF(ROUND(100/J22*K22-100,1)&gt;999,999,-999)))</f>
        <v>6.7</v>
      </c>
      <c r="M22" s="24">
        <f>IFERROR(100/'Skjema total MA'!I22*K22,0)</f>
        <v>14.2830914978164</v>
      </c>
    </row>
    <row r="23" spans="1:14" ht="15.75" x14ac:dyDescent="0.2">
      <c r="A23" s="587" t="s">
        <v>370</v>
      </c>
      <c r="B23" s="280">
        <v>75765.236192406606</v>
      </c>
      <c r="C23" s="280">
        <v>82762.028621527104</v>
      </c>
      <c r="D23" s="166">
        <f t="shared" si="5"/>
        <v>9.1999999999999993</v>
      </c>
      <c r="E23" s="27">
        <f>IFERROR(100/'Skjema total MA'!C23*C23,0)</f>
        <v>20.231141473896393</v>
      </c>
      <c r="F23" s="289">
        <v>2112.4409999999998</v>
      </c>
      <c r="G23" s="289">
        <v>1870.627</v>
      </c>
      <c r="H23" s="166">
        <f t="shared" si="6"/>
        <v>-11.4</v>
      </c>
      <c r="I23" s="416">
        <f>IFERROR(100/'Skjema total MA'!F23*G23,0)</f>
        <v>2.1412730391984449</v>
      </c>
      <c r="J23" s="289">
        <f t="shared" ref="J23:J26" si="9">SUM(B23,F23)</f>
        <v>77877.677192406612</v>
      </c>
      <c r="K23" s="289">
        <f t="shared" ref="K23:K26" si="10">SUM(C23,G23)</f>
        <v>84632.655621527098</v>
      </c>
      <c r="L23" s="166">
        <f t="shared" si="8"/>
        <v>8.6999999999999993</v>
      </c>
      <c r="M23" s="23">
        <f>IFERROR(100/'Skjema total MA'!I23*K23,0)</f>
        <v>17.047814182756138</v>
      </c>
    </row>
    <row r="24" spans="1:14" ht="15.75" x14ac:dyDescent="0.2">
      <c r="A24" s="587" t="s">
        <v>371</v>
      </c>
      <c r="B24" s="280">
        <v>334.38499999999999</v>
      </c>
      <c r="C24" s="280">
        <v>274.351</v>
      </c>
      <c r="D24" s="166">
        <f t="shared" si="5"/>
        <v>-18</v>
      </c>
      <c r="E24" s="27">
        <f>IFERROR(100/'Skjema total MA'!C24*C24,0)</f>
        <v>1.6118906069865198</v>
      </c>
      <c r="F24" s="289"/>
      <c r="G24" s="289"/>
      <c r="H24" s="166"/>
      <c r="I24" s="416"/>
      <c r="J24" s="289">
        <f t="shared" si="9"/>
        <v>334.38499999999999</v>
      </c>
      <c r="K24" s="289">
        <f t="shared" si="10"/>
        <v>274.351</v>
      </c>
      <c r="L24" s="166">
        <f t="shared" si="8"/>
        <v>-18</v>
      </c>
      <c r="M24" s="23">
        <f>IFERROR(100/'Skjema total MA'!I24*K24,0)</f>
        <v>1.527571429329067</v>
      </c>
    </row>
    <row r="25" spans="1:14" ht="15.75" x14ac:dyDescent="0.2">
      <c r="A25" s="587" t="s">
        <v>372</v>
      </c>
      <c r="B25" s="280"/>
      <c r="C25" s="280"/>
      <c r="D25" s="166"/>
      <c r="E25" s="11"/>
      <c r="F25" s="289">
        <v>443.62299999999999</v>
      </c>
      <c r="G25" s="289">
        <v>508.74799999999999</v>
      </c>
      <c r="H25" s="166">
        <f t="shared" ref="H25:H26" si="11">IF(F25=0, "    ---- ", IF(ABS(ROUND(100/F25*G25-100,1))&lt;999,ROUND(100/F25*G25-100,1),IF(ROUND(100/F25*G25-100,1)&gt;999,999,-999)))</f>
        <v>14.7</v>
      </c>
      <c r="I25" s="416">
        <f>IFERROR(100/'Skjema total MA'!F25*G25,0)</f>
        <v>2.5593418142425093</v>
      </c>
      <c r="J25" s="289">
        <f t="shared" si="9"/>
        <v>443.62299999999999</v>
      </c>
      <c r="K25" s="289">
        <f t="shared" si="10"/>
        <v>508.74799999999999</v>
      </c>
      <c r="L25" s="166">
        <f t="shared" si="8"/>
        <v>14.7</v>
      </c>
      <c r="M25" s="23">
        <f>IFERROR(100/'Skjema total MA'!I25*K25,0)</f>
        <v>1.4118459300591923</v>
      </c>
    </row>
    <row r="26" spans="1:14" ht="15.75" x14ac:dyDescent="0.2">
      <c r="A26" s="587" t="s">
        <v>373</v>
      </c>
      <c r="B26" s="280"/>
      <c r="C26" s="280"/>
      <c r="D26" s="166"/>
      <c r="E26" s="11"/>
      <c r="F26" s="289">
        <v>139572.913</v>
      </c>
      <c r="G26" s="289">
        <v>147370.76355999999</v>
      </c>
      <c r="H26" s="166">
        <f t="shared" si="11"/>
        <v>5.6</v>
      </c>
      <c r="I26" s="416">
        <f>IFERROR(100/'Skjema total MA'!F26*G26,0)</f>
        <v>27.597862722282983</v>
      </c>
      <c r="J26" s="289">
        <f t="shared" si="9"/>
        <v>139572.913</v>
      </c>
      <c r="K26" s="289">
        <f t="shared" si="10"/>
        <v>147370.76355999999</v>
      </c>
      <c r="L26" s="166">
        <f t="shared" si="8"/>
        <v>5.6</v>
      </c>
      <c r="M26" s="23">
        <f>IFERROR(100/'Skjema total MA'!I26*K26,0)</f>
        <v>27.597862722282983</v>
      </c>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v>78244.337285332993</v>
      </c>
      <c r="C28" s="286">
        <v>85450.986914553505</v>
      </c>
      <c r="D28" s="166">
        <f t="shared" si="5"/>
        <v>9.1999999999999993</v>
      </c>
      <c r="E28" s="11">
        <f>IFERROR(100/'Skjema total MA'!C28*C28,0)</f>
        <v>7.9236422402899542</v>
      </c>
      <c r="F28" s="233"/>
      <c r="G28" s="286"/>
      <c r="H28" s="166"/>
      <c r="I28" s="27"/>
      <c r="J28" s="44">
        <f t="shared" si="7"/>
        <v>78244.337285332993</v>
      </c>
      <c r="K28" s="44">
        <f t="shared" si="7"/>
        <v>85450.986914553505</v>
      </c>
      <c r="L28" s="253">
        <f t="shared" si="8"/>
        <v>9.1999999999999993</v>
      </c>
      <c r="M28" s="23">
        <f>IFERROR(100/'Skjema total MA'!I28*K28,0)</f>
        <v>7.9236422402899542</v>
      </c>
    </row>
    <row r="29" spans="1:14" s="3" customFormat="1" ht="15.75" x14ac:dyDescent="0.2">
      <c r="A29" s="13" t="s">
        <v>367</v>
      </c>
      <c r="B29" s="235">
        <v>3857421.5410000002</v>
      </c>
      <c r="C29" s="235">
        <v>3816434.5322365202</v>
      </c>
      <c r="D29" s="171">
        <f t="shared" si="5"/>
        <v>-1.1000000000000001</v>
      </c>
      <c r="E29" s="11">
        <f>IFERROR(100/'Skjema total MA'!C29*C29,0)</f>
        <v>8.2265327733237648</v>
      </c>
      <c r="F29" s="307">
        <v>3439453.56</v>
      </c>
      <c r="G29" s="307">
        <v>4281149.5599999996</v>
      </c>
      <c r="H29" s="171">
        <f t="shared" si="6"/>
        <v>24.5</v>
      </c>
      <c r="I29" s="11">
        <f>IFERROR(100/'Skjema total MA'!F29*G29,0)</f>
        <v>19.546498987037047</v>
      </c>
      <c r="J29" s="235">
        <f t="shared" si="7"/>
        <v>7296875.1009999998</v>
      </c>
      <c r="K29" s="235">
        <f t="shared" si="7"/>
        <v>8097584.0922365198</v>
      </c>
      <c r="L29" s="427">
        <f t="shared" si="8"/>
        <v>11</v>
      </c>
      <c r="M29" s="24">
        <f>IFERROR(100/'Skjema total MA'!I29*K29,0)</f>
        <v>11.85692026053864</v>
      </c>
      <c r="N29" s="148"/>
    </row>
    <row r="30" spans="1:14" s="3" customFormat="1" ht="15.75" x14ac:dyDescent="0.2">
      <c r="A30" s="587" t="s">
        <v>370</v>
      </c>
      <c r="B30" s="280">
        <v>743302.90368802904</v>
      </c>
      <c r="C30" s="280">
        <v>669447.42810134206</v>
      </c>
      <c r="D30" s="166">
        <f t="shared" si="5"/>
        <v>-9.9</v>
      </c>
      <c r="E30" s="11">
        <f>IFERROR(100/'Skjema total MA'!C30*C30,0)</f>
        <v>4.7837934453110931</v>
      </c>
      <c r="F30" s="289">
        <v>469404.717</v>
      </c>
      <c r="G30" s="289">
        <v>464710.73523409199</v>
      </c>
      <c r="H30" s="166">
        <f t="shared" si="6"/>
        <v>-1</v>
      </c>
      <c r="I30" s="416">
        <f>IFERROR(100/'Skjema total MA'!F30*G30,0)</f>
        <v>10.843736105290265</v>
      </c>
      <c r="J30" s="289">
        <f t="shared" ref="J30:J33" si="12">SUM(B30,F30)</f>
        <v>1212707.6206880291</v>
      </c>
      <c r="K30" s="289">
        <f t="shared" ref="K30:K33" si="13">SUM(C30,G30)</f>
        <v>1134158.1633354342</v>
      </c>
      <c r="L30" s="166">
        <f t="shared" si="8"/>
        <v>-6.5</v>
      </c>
      <c r="M30" s="23">
        <f>IFERROR(100/'Skjema total MA'!I30*K30,0)</f>
        <v>6.2045045046758576</v>
      </c>
      <c r="N30" s="148"/>
    </row>
    <row r="31" spans="1:14" s="3" customFormat="1" ht="15.75" x14ac:dyDescent="0.2">
      <c r="A31" s="587" t="s">
        <v>371</v>
      </c>
      <c r="B31" s="280">
        <v>2806272.2723119701</v>
      </c>
      <c r="C31" s="280">
        <v>2704148.5430506798</v>
      </c>
      <c r="D31" s="166">
        <f t="shared" si="5"/>
        <v>-3.6</v>
      </c>
      <c r="E31" s="11">
        <f>IFERROR(100/'Skjema total MA'!C31*C31,0)</f>
        <v>11.195100830725789</v>
      </c>
      <c r="F31" s="289">
        <v>405422.44300000003</v>
      </c>
      <c r="G31" s="289">
        <v>811024.81426187197</v>
      </c>
      <c r="H31" s="166">
        <f t="shared" si="6"/>
        <v>100</v>
      </c>
      <c r="I31" s="416">
        <f>IFERROR(100/'Skjema total MA'!F31*G31,0)</f>
        <v>8.9025781607572547</v>
      </c>
      <c r="J31" s="289">
        <f t="shared" si="12"/>
        <v>3211694.7153119701</v>
      </c>
      <c r="K31" s="289">
        <f t="shared" si="13"/>
        <v>3515173.3573125517</v>
      </c>
      <c r="L31" s="166">
        <f t="shared" si="8"/>
        <v>9.4</v>
      </c>
      <c r="M31" s="23">
        <f>IFERROR(100/'Skjema total MA'!I31*K31,0)</f>
        <v>10.567262626841146</v>
      </c>
      <c r="N31" s="148"/>
    </row>
    <row r="32" spans="1:14" ht="15.75" x14ac:dyDescent="0.2">
      <c r="A32" s="587" t="s">
        <v>372</v>
      </c>
      <c r="B32" s="280">
        <v>307846.36499999999</v>
      </c>
      <c r="C32" s="280">
        <v>442838.56108449498</v>
      </c>
      <c r="D32" s="166">
        <f t="shared" si="5"/>
        <v>43.9</v>
      </c>
      <c r="E32" s="11">
        <f>IFERROR(100/'Skjema total MA'!C32*C32,0)</f>
        <v>15.024920074047897</v>
      </c>
      <c r="F32" s="289">
        <v>1924493.34</v>
      </c>
      <c r="G32" s="289">
        <v>2012093.8020459099</v>
      </c>
      <c r="H32" s="166">
        <f t="shared" si="6"/>
        <v>4.5999999999999996</v>
      </c>
      <c r="I32" s="416">
        <f>IFERROR(100/'Skjema total MA'!F32*G32,0)</f>
        <v>43.008304769854739</v>
      </c>
      <c r="J32" s="289">
        <f t="shared" si="12"/>
        <v>2232339.7050000001</v>
      </c>
      <c r="K32" s="289">
        <f t="shared" si="13"/>
        <v>2454932.3631304051</v>
      </c>
      <c r="L32" s="166">
        <f t="shared" si="8"/>
        <v>10</v>
      </c>
      <c r="M32" s="23">
        <f>IFERROR(100/'Skjema total MA'!I32*K32,0)</f>
        <v>32.192689448508744</v>
      </c>
    </row>
    <row r="33" spans="1:14" ht="15.75" x14ac:dyDescent="0.2">
      <c r="A33" s="587" t="s">
        <v>373</v>
      </c>
      <c r="B33" s="280"/>
      <c r="C33" s="280"/>
      <c r="D33" s="166"/>
      <c r="E33" s="11"/>
      <c r="F33" s="289">
        <v>640133.06000000006</v>
      </c>
      <c r="G33" s="289">
        <v>993320.20845812897</v>
      </c>
      <c r="H33" s="166">
        <f t="shared" si="6"/>
        <v>55.2</v>
      </c>
      <c r="I33" s="416">
        <f>IFERROR(100/'Skjema total MA'!F33*G33,0)</f>
        <v>25.945554358472648</v>
      </c>
      <c r="J33" s="289">
        <f t="shared" si="12"/>
        <v>640133.06000000006</v>
      </c>
      <c r="K33" s="289">
        <f t="shared" si="13"/>
        <v>993320.20845812897</v>
      </c>
      <c r="L33" s="166">
        <f t="shared" si="8"/>
        <v>55.2</v>
      </c>
      <c r="M33" s="23">
        <f>IFERROR(100/'Skjema total MA'!I33*K33,0)</f>
        <v>25.945554358472648</v>
      </c>
    </row>
    <row r="34" spans="1:14" ht="15.75" x14ac:dyDescent="0.2">
      <c r="A34" s="13" t="s">
        <v>368</v>
      </c>
      <c r="B34" s="235"/>
      <c r="C34" s="308"/>
      <c r="D34" s="171"/>
      <c r="E34" s="11"/>
      <c r="F34" s="307">
        <v>2831.7718599999998</v>
      </c>
      <c r="G34" s="308">
        <v>4218.7230200000004</v>
      </c>
      <c r="H34" s="171">
        <f t="shared" si="6"/>
        <v>49</v>
      </c>
      <c r="I34" s="11">
        <f>IFERROR(100/'Skjema total MA'!F34*G34,0)</f>
        <v>-218.80087856369127</v>
      </c>
      <c r="J34" s="235">
        <f t="shared" si="7"/>
        <v>2831.7718599999998</v>
      </c>
      <c r="K34" s="235">
        <f t="shared" si="7"/>
        <v>4218.7230200000004</v>
      </c>
      <c r="L34" s="427">
        <f t="shared" si="8"/>
        <v>49</v>
      </c>
      <c r="M34" s="24">
        <f>IFERROR(100/'Skjema total MA'!I34*K34,0)</f>
        <v>43.890080346238484</v>
      </c>
    </row>
    <row r="35" spans="1:14" ht="15.75" x14ac:dyDescent="0.2">
      <c r="A35" s="13" t="s">
        <v>369</v>
      </c>
      <c r="B35" s="235"/>
      <c r="C35" s="308"/>
      <c r="D35" s="171"/>
      <c r="E35" s="11"/>
      <c r="F35" s="307">
        <v>11643.185240000001</v>
      </c>
      <c r="G35" s="308">
        <v>10921.795760000001</v>
      </c>
      <c r="H35" s="171">
        <f t="shared" si="6"/>
        <v>-6.2</v>
      </c>
      <c r="I35" s="11">
        <f>IFERROR(100/'Skjema total MA'!F35*G35,0)</f>
        <v>14.286966179915927</v>
      </c>
      <c r="J35" s="235">
        <f t="shared" si="7"/>
        <v>11643.185240000001</v>
      </c>
      <c r="K35" s="235">
        <f t="shared" si="7"/>
        <v>10921.795760000001</v>
      </c>
      <c r="L35" s="427">
        <f t="shared" si="8"/>
        <v>-6.2</v>
      </c>
      <c r="M35" s="24">
        <f>IFERROR(100/'Skjema total MA'!I35*K35,0)</f>
        <v>71.598678381418978</v>
      </c>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c r="C47" s="310"/>
      <c r="D47" s="426"/>
      <c r="E47" s="11"/>
      <c r="F47" s="145"/>
      <c r="G47" s="33"/>
      <c r="H47" s="159"/>
      <c r="I47" s="159"/>
      <c r="J47" s="37"/>
      <c r="K47" s="37"/>
      <c r="L47" s="159"/>
      <c r="M47" s="159"/>
      <c r="N47" s="148"/>
    </row>
    <row r="48" spans="1:14" s="3" customFormat="1" ht="15.75" x14ac:dyDescent="0.2">
      <c r="A48" s="38" t="s">
        <v>378</v>
      </c>
      <c r="B48" s="280"/>
      <c r="C48" s="281"/>
      <c r="D48" s="253"/>
      <c r="E48" s="27"/>
      <c r="F48" s="145"/>
      <c r="G48" s="33"/>
      <c r="H48" s="145"/>
      <c r="I48" s="145"/>
      <c r="J48" s="33"/>
      <c r="K48" s="33"/>
      <c r="L48" s="159"/>
      <c r="M48" s="159"/>
      <c r="N48" s="148"/>
    </row>
    <row r="49" spans="1:14" s="3" customFormat="1" ht="15.75" x14ac:dyDescent="0.2">
      <c r="A49" s="38" t="s">
        <v>379</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c r="C53" s="310"/>
      <c r="D53" s="427"/>
      <c r="E53" s="11"/>
      <c r="F53" s="145"/>
      <c r="G53" s="33"/>
      <c r="H53" s="145"/>
      <c r="I53" s="145"/>
      <c r="J53" s="33"/>
      <c r="K53" s="33"/>
      <c r="L53" s="159"/>
      <c r="M53" s="159"/>
      <c r="N53" s="148"/>
    </row>
    <row r="54" spans="1:14" s="3" customFormat="1" ht="15.75" x14ac:dyDescent="0.2">
      <c r="A54" s="38" t="s">
        <v>378</v>
      </c>
      <c r="B54" s="280"/>
      <c r="C54" s="281"/>
      <c r="D54" s="253"/>
      <c r="E54" s="27"/>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c r="C56" s="310"/>
      <c r="D56" s="427"/>
      <c r="E56" s="11"/>
      <c r="F56" s="145"/>
      <c r="G56" s="33"/>
      <c r="H56" s="145"/>
      <c r="I56" s="145"/>
      <c r="J56" s="33"/>
      <c r="K56" s="33"/>
      <c r="L56" s="159"/>
      <c r="M56" s="159"/>
      <c r="N56" s="148"/>
    </row>
    <row r="57" spans="1:14" s="3" customFormat="1" ht="15.75" x14ac:dyDescent="0.2">
      <c r="A57" s="38" t="s">
        <v>378</v>
      </c>
      <c r="B57" s="280"/>
      <c r="C57" s="281"/>
      <c r="D57" s="253"/>
      <c r="E57" s="27"/>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v>611810</v>
      </c>
      <c r="C66" s="352">
        <v>576025.99999999965</v>
      </c>
      <c r="D66" s="349">
        <f t="shared" ref="D66:D111" si="14">IF(B66=0, "    ---- ", IF(ABS(ROUND(100/B66*C66-100,1))&lt;999,ROUND(100/B66*C66-100,1),IF(ROUND(100/B66*C66-100,1)&gt;999,999,-999)))</f>
        <v>-5.8</v>
      </c>
      <c r="E66" s="11">
        <f>IFERROR(100/'Skjema total MA'!C66*C66,0)</f>
        <v>12.250958660083754</v>
      </c>
      <c r="F66" s="351">
        <v>1995231.7279999999</v>
      </c>
      <c r="G66" s="351">
        <v>2418460.0639999998</v>
      </c>
      <c r="H66" s="349">
        <f t="shared" ref="H66:H111" si="15">IF(F66=0, "    ---- ", IF(ABS(ROUND(100/F66*G66-100,1))&lt;999,ROUND(100/F66*G66-100,1),IF(ROUND(100/F66*G66-100,1)&gt;999,999,-999)))</f>
        <v>21.2</v>
      </c>
      <c r="I66" s="11">
        <f>IFERROR(100/'Skjema total MA'!F66*G66,0)</f>
        <v>13.950567131377657</v>
      </c>
      <c r="J66" s="308">
        <f t="shared" ref="J66:K86" si="16">SUM(B66,F66)</f>
        <v>2607041.7280000001</v>
      </c>
      <c r="K66" s="315">
        <f t="shared" si="16"/>
        <v>2994486.0639999993</v>
      </c>
      <c r="L66" s="427">
        <f t="shared" ref="L66:L111" si="17">IF(J66=0, "    ---- ", IF(ABS(ROUND(100/J66*K66-100,1))&lt;999,ROUND(100/J66*K66-100,1),IF(ROUND(100/J66*K66-100,1)&gt;999,999,-999)))</f>
        <v>14.9</v>
      </c>
      <c r="M66" s="11">
        <f>IFERROR(100/'Skjema total MA'!I66*K66,0)</f>
        <v>13.587946563857699</v>
      </c>
    </row>
    <row r="67" spans="1:14" x14ac:dyDescent="0.2">
      <c r="A67" s="418" t="s">
        <v>9</v>
      </c>
      <c r="B67" s="44">
        <v>496267.58100000001</v>
      </c>
      <c r="C67" s="145">
        <v>468433.18541485001</v>
      </c>
      <c r="D67" s="166">
        <f t="shared" si="14"/>
        <v>-5.6</v>
      </c>
      <c r="E67" s="27">
        <f>IFERROR(100/'Skjema total MA'!C67*C67,0)</f>
        <v>13.51792394630545</v>
      </c>
      <c r="F67" s="233"/>
      <c r="G67" s="145"/>
      <c r="H67" s="166"/>
      <c r="I67" s="27"/>
      <c r="J67" s="286">
        <f t="shared" si="16"/>
        <v>496267.58100000001</v>
      </c>
      <c r="K67" s="44">
        <f t="shared" si="16"/>
        <v>468433.18541485001</v>
      </c>
      <c r="L67" s="253">
        <f t="shared" si="17"/>
        <v>-5.6</v>
      </c>
      <c r="M67" s="27">
        <f>IFERROR(100/'Skjema total MA'!I67*K67,0)</f>
        <v>13.51792394630545</v>
      </c>
    </row>
    <row r="68" spans="1:14" x14ac:dyDescent="0.2">
      <c r="A68" s="21" t="s">
        <v>10</v>
      </c>
      <c r="B68" s="291">
        <v>9865</v>
      </c>
      <c r="C68" s="292">
        <v>8982</v>
      </c>
      <c r="D68" s="166">
        <f t="shared" si="14"/>
        <v>-9</v>
      </c>
      <c r="E68" s="27">
        <f>IFERROR(100/'Skjema total MA'!C68*C68,0)</f>
        <v>8.5065355940264435</v>
      </c>
      <c r="F68" s="291">
        <v>1995231.7279999999</v>
      </c>
      <c r="G68" s="292">
        <v>2418460.0639999998</v>
      </c>
      <c r="H68" s="166">
        <f t="shared" si="15"/>
        <v>21.2</v>
      </c>
      <c r="I68" s="27">
        <f>IFERROR(100/'Skjema total MA'!F68*G68,0)</f>
        <v>14.522284280185731</v>
      </c>
      <c r="J68" s="286">
        <f t="shared" si="16"/>
        <v>2005096.7279999999</v>
      </c>
      <c r="K68" s="44">
        <f t="shared" si="16"/>
        <v>2427442.0639999998</v>
      </c>
      <c r="L68" s="253">
        <f t="shared" si="17"/>
        <v>21.1</v>
      </c>
      <c r="M68" s="27">
        <f>IFERROR(100/'Skjema total MA'!I68*K68,0)</f>
        <v>14.484382368113701</v>
      </c>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v>105677.41899999999</v>
      </c>
      <c r="C76" s="145">
        <v>98610.814585149594</v>
      </c>
      <c r="D76" s="166">
        <f t="shared" ref="D76" si="18">IF(B76=0, "    ---- ", IF(ABS(ROUND(100/B76*C76-100,1))&lt;999,ROUND(100/B76*C76-100,1),IF(ROUND(100/B76*C76-100,1)&gt;999,999,-999)))</f>
        <v>-6.7</v>
      </c>
      <c r="E76" s="27">
        <f>IFERROR(100/'Skjema total MA'!C76*C76,0)</f>
        <v>10.924142086824608</v>
      </c>
      <c r="F76" s="233"/>
      <c r="G76" s="145"/>
      <c r="H76" s="166"/>
      <c r="I76" s="27"/>
      <c r="J76" s="286">
        <f t="shared" ref="J76" si="19">SUM(B76,F76)</f>
        <v>105677.41899999999</v>
      </c>
      <c r="K76" s="44">
        <f t="shared" ref="K76" si="20">SUM(C76,G76)</f>
        <v>98610.814585149594</v>
      </c>
      <c r="L76" s="253">
        <f t="shared" ref="L76" si="21">IF(J76=0, "    ---- ", IF(ABS(ROUND(100/J76*K76-100,1))&lt;999,ROUND(100/J76*K76-100,1),IF(ROUND(100/J76*K76-100,1)&gt;999,999,-999)))</f>
        <v>-6.7</v>
      </c>
      <c r="M76" s="27">
        <f>IFERROR(100/'Skjema total MA'!I76*K76,0)</f>
        <v>10.924142086824608</v>
      </c>
      <c r="N76" s="148"/>
    </row>
    <row r="77" spans="1:14" ht="15.75" x14ac:dyDescent="0.2">
      <c r="A77" s="21" t="s">
        <v>384</v>
      </c>
      <c r="B77" s="233">
        <v>498494.01999999996</v>
      </c>
      <c r="C77" s="233">
        <v>470649.56341484998</v>
      </c>
      <c r="D77" s="166">
        <f t="shared" si="14"/>
        <v>-5.6</v>
      </c>
      <c r="E77" s="27">
        <f>IFERROR(100/'Skjema total MA'!C77*C77,0)</f>
        <v>13.696315689571325</v>
      </c>
      <c r="F77" s="233">
        <v>1993150.3859999999</v>
      </c>
      <c r="G77" s="145">
        <v>2417069.2239999999</v>
      </c>
      <c r="H77" s="166">
        <f t="shared" si="15"/>
        <v>21.3</v>
      </c>
      <c r="I77" s="27">
        <f>IFERROR(100/'Skjema total MA'!F77*G77,0)</f>
        <v>14.52152648600879</v>
      </c>
      <c r="J77" s="286">
        <f t="shared" si="16"/>
        <v>2491644.406</v>
      </c>
      <c r="K77" s="44">
        <f t="shared" si="16"/>
        <v>2887718.7874148497</v>
      </c>
      <c r="L77" s="253">
        <f t="shared" si="17"/>
        <v>15.9</v>
      </c>
      <c r="M77" s="27">
        <f>IFERROR(100/'Skjema total MA'!I77*K77,0)</f>
        <v>14.380314265348348</v>
      </c>
    </row>
    <row r="78" spans="1:14" x14ac:dyDescent="0.2">
      <c r="A78" s="21" t="s">
        <v>9</v>
      </c>
      <c r="B78" s="233">
        <v>490710.44699999999</v>
      </c>
      <c r="C78" s="145">
        <v>463058.56341484998</v>
      </c>
      <c r="D78" s="166">
        <f t="shared" si="14"/>
        <v>-5.6</v>
      </c>
      <c r="E78" s="27">
        <f>IFERROR(100/'Skjema total MA'!C78*C78,0)</f>
        <v>13.896798684459695</v>
      </c>
      <c r="F78" s="233"/>
      <c r="G78" s="145"/>
      <c r="H78" s="166"/>
      <c r="I78" s="27"/>
      <c r="J78" s="286">
        <f t="shared" si="16"/>
        <v>490710.44699999999</v>
      </c>
      <c r="K78" s="44">
        <f t="shared" si="16"/>
        <v>463058.56341484998</v>
      </c>
      <c r="L78" s="253">
        <f t="shared" si="17"/>
        <v>-5.6</v>
      </c>
      <c r="M78" s="27">
        <f>IFERROR(100/'Skjema total MA'!I78*K78,0)</f>
        <v>13.896798684459695</v>
      </c>
    </row>
    <row r="79" spans="1:14" x14ac:dyDescent="0.2">
      <c r="A79" s="21" t="s">
        <v>10</v>
      </c>
      <c r="B79" s="291">
        <v>7783.5730000000003</v>
      </c>
      <c r="C79" s="292">
        <v>7591</v>
      </c>
      <c r="D79" s="166">
        <f t="shared" si="14"/>
        <v>-2.5</v>
      </c>
      <c r="E79" s="27">
        <f>IFERROR(100/'Skjema total MA'!C79*C79,0)</f>
        <v>7.2851405680550343</v>
      </c>
      <c r="F79" s="291">
        <v>1993150.3859999999</v>
      </c>
      <c r="G79" s="292">
        <v>2417069.2239999999</v>
      </c>
      <c r="H79" s="166">
        <f t="shared" si="15"/>
        <v>21.3</v>
      </c>
      <c r="I79" s="27">
        <f>IFERROR(100/'Skjema total MA'!F79*G79,0)</f>
        <v>14.52152648600879</v>
      </c>
      <c r="J79" s="286">
        <f t="shared" si="16"/>
        <v>2000933.959</v>
      </c>
      <c r="K79" s="44">
        <f t="shared" si="16"/>
        <v>2424660.2239999999</v>
      </c>
      <c r="L79" s="253">
        <f t="shared" si="17"/>
        <v>21.2</v>
      </c>
      <c r="M79" s="27">
        <f>IFERROR(100/'Skjema total MA'!I79*K79,0)</f>
        <v>14.476507502268772</v>
      </c>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v>7638.5609999999997</v>
      </c>
      <c r="C86" s="145">
        <v>6765.5529999999999</v>
      </c>
      <c r="D86" s="166">
        <f t="shared" si="14"/>
        <v>-11.4</v>
      </c>
      <c r="E86" s="27">
        <f>IFERROR(100/'Skjema total MA'!C86*C86,0)</f>
        <v>5.0285978590701434</v>
      </c>
      <c r="F86" s="233">
        <v>2081.3420000000001</v>
      </c>
      <c r="G86" s="145">
        <v>1390.84</v>
      </c>
      <c r="H86" s="166">
        <f t="shared" si="15"/>
        <v>-33.200000000000003</v>
      </c>
      <c r="I86" s="27">
        <f>IFERROR(100/'Skjema total MA'!F86*G86,0)</f>
        <v>15.970632628790636</v>
      </c>
      <c r="J86" s="286">
        <f t="shared" si="16"/>
        <v>9719.9030000000002</v>
      </c>
      <c r="K86" s="44">
        <f t="shared" si="16"/>
        <v>8156.393</v>
      </c>
      <c r="L86" s="253">
        <f t="shared" si="17"/>
        <v>-16.100000000000001</v>
      </c>
      <c r="M86" s="27">
        <f>IFERROR(100/'Skjema total MA'!I86*K86,0)</f>
        <v>5.6938061907326247</v>
      </c>
    </row>
    <row r="87" spans="1:13" ht="15.75" x14ac:dyDescent="0.2">
      <c r="A87" s="13" t="s">
        <v>367</v>
      </c>
      <c r="B87" s="352">
        <v>46352982.351856299</v>
      </c>
      <c r="C87" s="352">
        <v>47278838.77896671</v>
      </c>
      <c r="D87" s="171">
        <f t="shared" si="14"/>
        <v>2</v>
      </c>
      <c r="E87" s="11">
        <f>IFERROR(100/'Skjema total MA'!C87*C87,0)</f>
        <v>12.031371861861983</v>
      </c>
      <c r="F87" s="351">
        <v>37708649.833666198</v>
      </c>
      <c r="G87" s="351">
        <v>43892830.685170002</v>
      </c>
      <c r="H87" s="171">
        <f t="shared" si="15"/>
        <v>16.399999999999999</v>
      </c>
      <c r="I87" s="11">
        <f>IFERROR(100/'Skjema total MA'!F87*G87,0)</f>
        <v>13.820732197787533</v>
      </c>
      <c r="J87" s="308">
        <f t="shared" ref="J87:K111" si="22">SUM(B87,F87)</f>
        <v>84061632.185522497</v>
      </c>
      <c r="K87" s="235">
        <f t="shared" si="22"/>
        <v>91171669.46413672</v>
      </c>
      <c r="L87" s="427">
        <f t="shared" si="17"/>
        <v>8.5</v>
      </c>
      <c r="M87" s="11">
        <f>IFERROR(100/'Skjema total MA'!I87*K87,0)</f>
        <v>12.831143107237265</v>
      </c>
    </row>
    <row r="88" spans="1:13" x14ac:dyDescent="0.2">
      <c r="A88" s="21" t="s">
        <v>9</v>
      </c>
      <c r="B88" s="233">
        <v>45071903.805105597</v>
      </c>
      <c r="C88" s="145">
        <v>45844485.934693202</v>
      </c>
      <c r="D88" s="166">
        <f t="shared" si="14"/>
        <v>1.7</v>
      </c>
      <c r="E88" s="27">
        <f>IFERROR(100/'Skjema total MA'!C88*C88,0)</f>
        <v>12.009081737789185</v>
      </c>
      <c r="F88" s="233"/>
      <c r="G88" s="145"/>
      <c r="H88" s="166"/>
      <c r="I88" s="27"/>
      <c r="J88" s="286">
        <f t="shared" si="22"/>
        <v>45071903.805105597</v>
      </c>
      <c r="K88" s="44">
        <f t="shared" si="22"/>
        <v>45844485.934693202</v>
      </c>
      <c r="L88" s="253">
        <f t="shared" si="17"/>
        <v>1.7</v>
      </c>
      <c r="M88" s="27">
        <f>IFERROR(100/'Skjema total MA'!I88*K88,0)</f>
        <v>12.009081737789185</v>
      </c>
    </row>
    <row r="89" spans="1:13" x14ac:dyDescent="0.2">
      <c r="A89" s="21" t="s">
        <v>10</v>
      </c>
      <c r="B89" s="233">
        <v>1131234.6667507</v>
      </c>
      <c r="C89" s="145">
        <v>1206173.4152735099</v>
      </c>
      <c r="D89" s="166">
        <f t="shared" si="14"/>
        <v>6.6</v>
      </c>
      <c r="E89" s="27">
        <f>IFERROR(100/'Skjema total MA'!C89*C89,0)</f>
        <v>38.00137244709196</v>
      </c>
      <c r="F89" s="233">
        <v>37708649.833666198</v>
      </c>
      <c r="G89" s="145">
        <v>43892830.685170002</v>
      </c>
      <c r="H89" s="166">
        <f t="shared" si="15"/>
        <v>16.399999999999999</v>
      </c>
      <c r="I89" s="27">
        <f>IFERROR(100/'Skjema total MA'!F89*G89,0)</f>
        <v>13.916964352762104</v>
      </c>
      <c r="J89" s="286">
        <f t="shared" si="22"/>
        <v>38839884.500416897</v>
      </c>
      <c r="K89" s="44">
        <f t="shared" si="22"/>
        <v>45099004.100443512</v>
      </c>
      <c r="L89" s="253">
        <f t="shared" si="17"/>
        <v>16.100000000000001</v>
      </c>
      <c r="M89" s="27">
        <f>IFERROR(100/'Skjema total MA'!I89*K89,0)</f>
        <v>14.156929722873512</v>
      </c>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v>149843.88</v>
      </c>
      <c r="C97" s="145">
        <v>228179.429</v>
      </c>
      <c r="D97" s="166">
        <f t="shared" ref="D97" si="23">IF(B97=0, "    ---- ", IF(ABS(ROUND(100/B97*C97-100,1))&lt;999,ROUND(100/B97*C97-100,1),IF(ROUND(100/B97*C97-100,1)&gt;999,999,-999)))</f>
        <v>52.3</v>
      </c>
      <c r="E97" s="27">
        <f>IFERROR(100/'Skjema total MA'!C98*C97,0)</f>
        <v>5.9969030293503915E-2</v>
      </c>
      <c r="F97" s="233"/>
      <c r="G97" s="145"/>
      <c r="H97" s="166"/>
      <c r="I97" s="27"/>
      <c r="J97" s="286">
        <f t="shared" ref="J97" si="24">SUM(B97,F97)</f>
        <v>149843.88</v>
      </c>
      <c r="K97" s="44">
        <f t="shared" ref="K97" si="25">SUM(C97,G97)</f>
        <v>228179.429</v>
      </c>
      <c r="L97" s="253">
        <f t="shared" ref="L97" si="26">IF(J97=0, "    ---- ", IF(ABS(ROUND(100/J97*K97-100,1))&lt;999,ROUND(100/J97*K97-100,1),IF(ROUND(100/J97*K97-100,1)&gt;999,999,-999)))</f>
        <v>52.3</v>
      </c>
      <c r="M97" s="27">
        <f>IFERROR(100/'Skjema total MA'!I97*K97,0)</f>
        <v>3.5892145519957972</v>
      </c>
    </row>
    <row r="98" spans="1:13" ht="15.75" x14ac:dyDescent="0.2">
      <c r="A98" s="21" t="s">
        <v>384</v>
      </c>
      <c r="B98" s="233">
        <v>46181455.927856296</v>
      </c>
      <c r="C98" s="233">
        <v>47032207.221966706</v>
      </c>
      <c r="D98" s="166">
        <f t="shared" si="14"/>
        <v>1.8</v>
      </c>
      <c r="E98" s="27">
        <f>IFERROR(100/'Skjema total MA'!C98*C98,0)</f>
        <v>12.360780601587336</v>
      </c>
      <c r="F98" s="291">
        <v>37685545.520666197</v>
      </c>
      <c r="G98" s="291">
        <v>43879760.98917</v>
      </c>
      <c r="H98" s="166">
        <f t="shared" si="15"/>
        <v>16.399999999999999</v>
      </c>
      <c r="I98" s="27">
        <f>IFERROR(100/'Skjema total MA'!F98*G98,0)</f>
        <v>13.951743979186874</v>
      </c>
      <c r="J98" s="286">
        <f t="shared" si="22"/>
        <v>83867001.448522493</v>
      </c>
      <c r="K98" s="44">
        <f t="shared" si="22"/>
        <v>90911968.211136699</v>
      </c>
      <c r="L98" s="253">
        <f t="shared" si="17"/>
        <v>8.4</v>
      </c>
      <c r="M98" s="27">
        <f>IFERROR(100/'Skjema total MA'!I98*K98,0)</f>
        <v>13.080738571606089</v>
      </c>
    </row>
    <row r="99" spans="1:13" x14ac:dyDescent="0.2">
      <c r="A99" s="21" t="s">
        <v>9</v>
      </c>
      <c r="B99" s="291">
        <v>45050221.261105597</v>
      </c>
      <c r="C99" s="292">
        <v>45826033.806693196</v>
      </c>
      <c r="D99" s="166">
        <f t="shared" si="14"/>
        <v>1.7</v>
      </c>
      <c r="E99" s="27">
        <f>IFERROR(100/'Skjema total MA'!C99*C99,0)</f>
        <v>12.145092068808168</v>
      </c>
      <c r="F99" s="233"/>
      <c r="G99" s="145"/>
      <c r="H99" s="166"/>
      <c r="I99" s="27"/>
      <c r="J99" s="286">
        <f t="shared" si="22"/>
        <v>45050221.261105597</v>
      </c>
      <c r="K99" s="44">
        <f t="shared" si="22"/>
        <v>45826033.806693196</v>
      </c>
      <c r="L99" s="253">
        <f t="shared" si="17"/>
        <v>1.7</v>
      </c>
      <c r="M99" s="27">
        <f>IFERROR(100/'Skjema total MA'!I99*K99,0)</f>
        <v>12.145092068808168</v>
      </c>
    </row>
    <row r="100" spans="1:13" x14ac:dyDescent="0.2">
      <c r="A100" s="21" t="s">
        <v>10</v>
      </c>
      <c r="B100" s="291">
        <v>1131234.6667507</v>
      </c>
      <c r="C100" s="292">
        <v>1206173.4152735099</v>
      </c>
      <c r="D100" s="166">
        <f t="shared" si="14"/>
        <v>6.6</v>
      </c>
      <c r="E100" s="27">
        <f>IFERROR(100/'Skjema total MA'!C100*C100,0)</f>
        <v>38.00137244709196</v>
      </c>
      <c r="F100" s="233">
        <v>37685545.520666197</v>
      </c>
      <c r="G100" s="233">
        <v>43879760.98917</v>
      </c>
      <c r="H100" s="166">
        <f t="shared" si="15"/>
        <v>16.399999999999999</v>
      </c>
      <c r="I100" s="27">
        <f>IFERROR(100/'Skjema total MA'!F100*G100,0)</f>
        <v>13.951743979186874</v>
      </c>
      <c r="J100" s="286">
        <f t="shared" si="22"/>
        <v>38816780.187416896</v>
      </c>
      <c r="K100" s="44">
        <f t="shared" si="22"/>
        <v>45085934.40444351</v>
      </c>
      <c r="L100" s="253">
        <f t="shared" si="17"/>
        <v>16.2</v>
      </c>
      <c r="M100" s="27">
        <f>IFERROR(100/'Skjema total MA'!I100*K100,0)</f>
        <v>14.19202650056841</v>
      </c>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v>21682.544000000002</v>
      </c>
      <c r="C107" s="145">
        <v>18452.128000000001</v>
      </c>
      <c r="D107" s="166">
        <f t="shared" si="14"/>
        <v>-14.9</v>
      </c>
      <c r="E107" s="27">
        <f>IFERROR(100/'Skjema total MA'!C107*C107,0)</f>
        <v>0.41680404300785501</v>
      </c>
      <c r="F107" s="233">
        <v>23104.312999999998</v>
      </c>
      <c r="G107" s="145">
        <v>13069.696</v>
      </c>
      <c r="H107" s="166">
        <f t="shared" si="15"/>
        <v>-43.4</v>
      </c>
      <c r="I107" s="27">
        <f>IFERROR(100/'Skjema total MA'!F107*G107,0)</f>
        <v>1.4853608355340333</v>
      </c>
      <c r="J107" s="286">
        <f t="shared" si="22"/>
        <v>44786.857000000004</v>
      </c>
      <c r="K107" s="44">
        <f t="shared" si="22"/>
        <v>31521.824000000001</v>
      </c>
      <c r="L107" s="253">
        <f t="shared" si="17"/>
        <v>-29.6</v>
      </c>
      <c r="M107" s="27">
        <f>IFERROR(100/'Skjema total MA'!I107*K107,0)</f>
        <v>0.59397233857804388</v>
      </c>
    </row>
    <row r="108" spans="1:13" ht="15.75" x14ac:dyDescent="0.2">
      <c r="A108" s="21" t="s">
        <v>386</v>
      </c>
      <c r="B108" s="233">
        <v>34882289.194998898</v>
      </c>
      <c r="C108" s="233">
        <v>36353177.0412504</v>
      </c>
      <c r="D108" s="166">
        <f t="shared" si="14"/>
        <v>4.2</v>
      </c>
      <c r="E108" s="27">
        <f>IFERROR(100/'Skjema total MA'!C108*C108,0)</f>
        <v>11.218421685590462</v>
      </c>
      <c r="F108" s="233"/>
      <c r="G108" s="233"/>
      <c r="H108" s="166"/>
      <c r="I108" s="27"/>
      <c r="J108" s="286">
        <f t="shared" si="22"/>
        <v>34882289.194998898</v>
      </c>
      <c r="K108" s="44">
        <f t="shared" si="22"/>
        <v>36353177.0412504</v>
      </c>
      <c r="L108" s="253">
        <f t="shared" si="17"/>
        <v>4.2</v>
      </c>
      <c r="M108" s="27">
        <f>IFERROR(100/'Skjema total MA'!I108*K108,0)</f>
        <v>10.67292762215939</v>
      </c>
    </row>
    <row r="109" spans="1:13" ht="15.75" x14ac:dyDescent="0.2">
      <c r="A109" s="21" t="s">
        <v>387</v>
      </c>
      <c r="B109" s="233">
        <v>570437.941744813</v>
      </c>
      <c r="C109" s="233">
        <v>615173.58073695202</v>
      </c>
      <c r="D109" s="166">
        <f t="shared" si="14"/>
        <v>7.8</v>
      </c>
      <c r="E109" s="27">
        <f>IFERROR(100/'Skjema total MA'!C109*C109,0)</f>
        <v>57.882345770832856</v>
      </c>
      <c r="F109" s="233">
        <v>15737492.2137777</v>
      </c>
      <c r="G109" s="233">
        <v>17211620.862596001</v>
      </c>
      <c r="H109" s="166">
        <f t="shared" si="15"/>
        <v>9.4</v>
      </c>
      <c r="I109" s="27">
        <f>IFERROR(100/'Skjema total MA'!F109*G109,0)</f>
        <v>15.673441199579303</v>
      </c>
      <c r="J109" s="286">
        <f t="shared" si="22"/>
        <v>16307930.155522514</v>
      </c>
      <c r="K109" s="44">
        <f t="shared" si="22"/>
        <v>17826794.443332955</v>
      </c>
      <c r="L109" s="253">
        <f t="shared" si="17"/>
        <v>9.3000000000000007</v>
      </c>
      <c r="M109" s="27">
        <f>IFERROR(100/'Skjema total MA'!I109*K109,0)</f>
        <v>16.078031295052714</v>
      </c>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v>260.63900000000001</v>
      </c>
      <c r="C111" s="159">
        <v>165.28</v>
      </c>
      <c r="D111" s="171">
        <f t="shared" si="14"/>
        <v>-36.6</v>
      </c>
      <c r="E111" s="11">
        <f>IFERROR(100/'Skjema total MA'!C111*C111,0)</f>
        <v>3.1011640197176428E-2</v>
      </c>
      <c r="F111" s="307">
        <v>1451429.754</v>
      </c>
      <c r="G111" s="159">
        <v>3492660.7080000001</v>
      </c>
      <c r="H111" s="171">
        <f t="shared" si="15"/>
        <v>140.6</v>
      </c>
      <c r="I111" s="11">
        <f>IFERROR(100/'Skjema total MA'!F111*G111,0)</f>
        <v>29.556500240437547</v>
      </c>
      <c r="J111" s="308">
        <f t="shared" si="22"/>
        <v>1451690.3929999999</v>
      </c>
      <c r="K111" s="235">
        <f t="shared" si="22"/>
        <v>3492825.9879999999</v>
      </c>
      <c r="L111" s="427">
        <f t="shared" si="17"/>
        <v>140.6</v>
      </c>
      <c r="M111" s="11">
        <f>IFERROR(100/'Skjema total MA'!I111*K111,0)</f>
        <v>28.282320345238503</v>
      </c>
    </row>
    <row r="112" spans="1:13" x14ac:dyDescent="0.2">
      <c r="A112" s="21" t="s">
        <v>9</v>
      </c>
      <c r="B112" s="233">
        <v>260.63900000000001</v>
      </c>
      <c r="C112" s="145">
        <v>165.28</v>
      </c>
      <c r="D112" s="166">
        <f t="shared" ref="D112:D120" si="27">IF(B112=0, "    ---- ", IF(ABS(ROUND(100/B112*C112-100,1))&lt;999,ROUND(100/B112*C112-100,1),IF(ROUND(100/B112*C112-100,1)&gt;999,999,-999)))</f>
        <v>-36.6</v>
      </c>
      <c r="E112" s="27">
        <f>IFERROR(100/'Skjema total MA'!C112*C112,0)</f>
        <v>9.0973713439536974E-2</v>
      </c>
      <c r="F112" s="233"/>
      <c r="G112" s="145"/>
      <c r="H112" s="166"/>
      <c r="I112" s="27"/>
      <c r="J112" s="286">
        <f t="shared" ref="J112:K125" si="28">SUM(B112,F112)</f>
        <v>260.63900000000001</v>
      </c>
      <c r="K112" s="44">
        <f t="shared" si="28"/>
        <v>165.28</v>
      </c>
      <c r="L112" s="253">
        <f t="shared" ref="L112:L125" si="29">IF(J112=0, "    ---- ", IF(ABS(ROUND(100/J112*K112-100,1))&lt;999,ROUND(100/J112*K112-100,1),IF(ROUND(100/J112*K112-100,1)&gt;999,999,-999)))</f>
        <v>-36.6</v>
      </c>
      <c r="M112" s="27">
        <f>IFERROR(100/'Skjema total MA'!I112*K112,0)</f>
        <v>8.9646923205336279E-2</v>
      </c>
    </row>
    <row r="113" spans="1:14" x14ac:dyDescent="0.2">
      <c r="A113" s="21" t="s">
        <v>10</v>
      </c>
      <c r="B113" s="233"/>
      <c r="C113" s="145"/>
      <c r="D113" s="166"/>
      <c r="E113" s="27"/>
      <c r="F113" s="233">
        <v>1451429.754</v>
      </c>
      <c r="G113" s="145">
        <v>3492660.7080000001</v>
      </c>
      <c r="H113" s="166">
        <f t="shared" ref="H113:H125" si="30">IF(F113=0, "    ---- ", IF(ABS(ROUND(100/F113*G113-100,1))&lt;999,ROUND(100/F113*G113-100,1),IF(ROUND(100/F113*G113-100,1)&gt;999,999,-999)))</f>
        <v>140.6</v>
      </c>
      <c r="I113" s="27">
        <f>IFERROR(100/'Skjema total MA'!F113*G113,0)</f>
        <v>29.736108064369137</v>
      </c>
      <c r="J113" s="286">
        <f t="shared" si="28"/>
        <v>1451429.754</v>
      </c>
      <c r="K113" s="44">
        <f t="shared" si="28"/>
        <v>3492660.7080000001</v>
      </c>
      <c r="L113" s="253">
        <f t="shared" si="29"/>
        <v>140.6</v>
      </c>
      <c r="M113" s="27">
        <f>IFERROR(100/'Skjema total MA'!I113*K113,0)</f>
        <v>29.725338055215087</v>
      </c>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v>260.63900000000001</v>
      </c>
      <c r="C116" s="233">
        <v>0</v>
      </c>
      <c r="D116" s="166">
        <f t="shared" si="27"/>
        <v>-100</v>
      </c>
      <c r="E116" s="27">
        <f>IFERROR(100/'Skjema total MA'!C116*C116,0)</f>
        <v>0</v>
      </c>
      <c r="F116" s="233"/>
      <c r="G116" s="233"/>
      <c r="H116" s="166"/>
      <c r="I116" s="27"/>
      <c r="J116" s="286">
        <f t="shared" si="28"/>
        <v>260.63900000000001</v>
      </c>
      <c r="K116" s="44">
        <f t="shared" si="28"/>
        <v>0</v>
      </c>
      <c r="L116" s="253">
        <f t="shared" si="29"/>
        <v>-100</v>
      </c>
      <c r="M116" s="27">
        <f>IFERROR(100/'Skjema total MA'!I116*K116,0)</f>
        <v>0</v>
      </c>
    </row>
    <row r="117" spans="1:14" ht="15.75" x14ac:dyDescent="0.2">
      <c r="A117" s="21" t="s">
        <v>390</v>
      </c>
      <c r="B117" s="233"/>
      <c r="C117" s="233"/>
      <c r="D117" s="166"/>
      <c r="E117" s="27"/>
      <c r="F117" s="233">
        <v>161698.533</v>
      </c>
      <c r="G117" s="233">
        <v>279001.88299999997</v>
      </c>
      <c r="H117" s="166">
        <f t="shared" si="30"/>
        <v>72.5</v>
      </c>
      <c r="I117" s="27">
        <f>IFERROR(100/'Skjema total MA'!F117*G117,0)</f>
        <v>15.411484916211242</v>
      </c>
      <c r="J117" s="286">
        <f t="shared" si="28"/>
        <v>161698.533</v>
      </c>
      <c r="K117" s="44">
        <f t="shared" si="28"/>
        <v>279001.88299999997</v>
      </c>
      <c r="L117" s="253">
        <f t="shared" si="29"/>
        <v>72.5</v>
      </c>
      <c r="M117" s="27">
        <f>IFERROR(100/'Skjema total MA'!I117*K117,0)</f>
        <v>15.411484916211242</v>
      </c>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v>15175.9727</v>
      </c>
      <c r="C119" s="159">
        <v>6333.8179399999699</v>
      </c>
      <c r="D119" s="171">
        <f t="shared" si="27"/>
        <v>-58.3</v>
      </c>
      <c r="E119" s="11">
        <f>IFERROR(100/'Skjema total MA'!C119*C119,0)</f>
        <v>1.0645689238913361</v>
      </c>
      <c r="F119" s="307">
        <v>1125894.277</v>
      </c>
      <c r="G119" s="159">
        <v>1223876.75</v>
      </c>
      <c r="H119" s="171">
        <f t="shared" si="30"/>
        <v>8.6999999999999993</v>
      </c>
      <c r="I119" s="11">
        <f>IFERROR(100/'Skjema total MA'!F119*G119,0)</f>
        <v>10.582527550135005</v>
      </c>
      <c r="J119" s="308">
        <f t="shared" si="28"/>
        <v>1141070.2497</v>
      </c>
      <c r="K119" s="235">
        <f t="shared" si="28"/>
        <v>1230210.56794</v>
      </c>
      <c r="L119" s="427">
        <f t="shared" si="29"/>
        <v>7.8</v>
      </c>
      <c r="M119" s="11">
        <f>IFERROR(100/'Skjema total MA'!I119*K119,0)</f>
        <v>10.116833434549132</v>
      </c>
    </row>
    <row r="120" spans="1:14" x14ac:dyDescent="0.2">
      <c r="A120" s="21" t="s">
        <v>9</v>
      </c>
      <c r="B120" s="233">
        <v>15175.9727</v>
      </c>
      <c r="C120" s="145">
        <v>6333.8179399999699</v>
      </c>
      <c r="D120" s="166">
        <f t="shared" si="27"/>
        <v>-58.3</v>
      </c>
      <c r="E120" s="27">
        <f>IFERROR(100/'Skjema total MA'!C120*C120,0)</f>
        <v>1.3499474527994992</v>
      </c>
      <c r="F120" s="233"/>
      <c r="G120" s="145"/>
      <c r="H120" s="166"/>
      <c r="I120" s="27"/>
      <c r="J120" s="286">
        <f t="shared" si="28"/>
        <v>15175.9727</v>
      </c>
      <c r="K120" s="44">
        <f t="shared" si="28"/>
        <v>6333.8179399999699</v>
      </c>
      <c r="L120" s="253">
        <f t="shared" si="29"/>
        <v>-58.3</v>
      </c>
      <c r="M120" s="27">
        <f>IFERROR(100/'Skjema total MA'!I120*K120,0)</f>
        <v>1.3499474527994992</v>
      </c>
    </row>
    <row r="121" spans="1:14" x14ac:dyDescent="0.2">
      <c r="A121" s="21" t="s">
        <v>10</v>
      </c>
      <c r="B121" s="233"/>
      <c r="C121" s="145"/>
      <c r="D121" s="166"/>
      <c r="E121" s="27"/>
      <c r="F121" s="233">
        <v>1125894.277</v>
      </c>
      <c r="G121" s="145">
        <v>1223876.75</v>
      </c>
      <c r="H121" s="166">
        <f t="shared" si="30"/>
        <v>8.6999999999999993</v>
      </c>
      <c r="I121" s="27">
        <f>IFERROR(100/'Skjema total MA'!F121*G121,0)</f>
        <v>10.582527550135005</v>
      </c>
      <c r="J121" s="286">
        <f t="shared" si="28"/>
        <v>1125894.277</v>
      </c>
      <c r="K121" s="44">
        <f t="shared" si="28"/>
        <v>1223876.75</v>
      </c>
      <c r="L121" s="253">
        <f t="shared" si="29"/>
        <v>8.6999999999999993</v>
      </c>
      <c r="M121" s="27">
        <f>IFERROR(100/'Skjema total MA'!I121*K121,0)</f>
        <v>10.57824972361521</v>
      </c>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v>264912.03000000003</v>
      </c>
      <c r="G125" s="233">
        <v>367968.16899999999</v>
      </c>
      <c r="H125" s="166">
        <f t="shared" si="30"/>
        <v>38.9</v>
      </c>
      <c r="I125" s="27">
        <f>IFERROR(100/'Skjema total MA'!F125*G125,0)</f>
        <v>18.700496325140346</v>
      </c>
      <c r="J125" s="286">
        <f t="shared" si="28"/>
        <v>264912.03000000003</v>
      </c>
      <c r="K125" s="44">
        <f t="shared" si="28"/>
        <v>367968.16899999999</v>
      </c>
      <c r="L125" s="253">
        <f t="shared" si="29"/>
        <v>38.9</v>
      </c>
      <c r="M125" s="27">
        <f>IFERROR(100/'Skjema total MA'!I125*K125,0)</f>
        <v>18.690396030029476</v>
      </c>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759" priority="132">
      <formula>kvartal &lt; 4</formula>
    </cfRule>
  </conditionalFormatting>
  <conditionalFormatting sqref="B69">
    <cfRule type="expression" dxfId="758" priority="100">
      <formula>kvartal &lt; 4</formula>
    </cfRule>
  </conditionalFormatting>
  <conditionalFormatting sqref="C69">
    <cfRule type="expression" dxfId="757" priority="99">
      <formula>kvartal &lt; 4</formula>
    </cfRule>
  </conditionalFormatting>
  <conditionalFormatting sqref="B72">
    <cfRule type="expression" dxfId="756" priority="98">
      <formula>kvartal &lt; 4</formula>
    </cfRule>
  </conditionalFormatting>
  <conditionalFormatting sqref="C72">
    <cfRule type="expression" dxfId="755" priority="97">
      <formula>kvartal &lt; 4</formula>
    </cfRule>
  </conditionalFormatting>
  <conditionalFormatting sqref="B80">
    <cfRule type="expression" dxfId="754" priority="96">
      <formula>kvartal &lt; 4</formula>
    </cfRule>
  </conditionalFormatting>
  <conditionalFormatting sqref="C80">
    <cfRule type="expression" dxfId="753" priority="95">
      <formula>kvartal &lt; 4</formula>
    </cfRule>
  </conditionalFormatting>
  <conditionalFormatting sqref="B83">
    <cfRule type="expression" dxfId="752" priority="94">
      <formula>kvartal &lt; 4</formula>
    </cfRule>
  </conditionalFormatting>
  <conditionalFormatting sqref="C83">
    <cfRule type="expression" dxfId="751" priority="93">
      <formula>kvartal &lt; 4</formula>
    </cfRule>
  </conditionalFormatting>
  <conditionalFormatting sqref="B90">
    <cfRule type="expression" dxfId="750" priority="84">
      <formula>kvartal &lt; 4</formula>
    </cfRule>
  </conditionalFormatting>
  <conditionalFormatting sqref="C90">
    <cfRule type="expression" dxfId="749" priority="83">
      <formula>kvartal &lt; 4</formula>
    </cfRule>
  </conditionalFormatting>
  <conditionalFormatting sqref="B93">
    <cfRule type="expression" dxfId="748" priority="82">
      <formula>kvartal &lt; 4</formula>
    </cfRule>
  </conditionalFormatting>
  <conditionalFormatting sqref="C93">
    <cfRule type="expression" dxfId="747" priority="81">
      <formula>kvartal &lt; 4</formula>
    </cfRule>
  </conditionalFormatting>
  <conditionalFormatting sqref="B101">
    <cfRule type="expression" dxfId="746" priority="80">
      <formula>kvartal &lt; 4</formula>
    </cfRule>
  </conditionalFormatting>
  <conditionalFormatting sqref="C101">
    <cfRule type="expression" dxfId="745" priority="79">
      <formula>kvartal &lt; 4</formula>
    </cfRule>
  </conditionalFormatting>
  <conditionalFormatting sqref="B104">
    <cfRule type="expression" dxfId="744" priority="78">
      <formula>kvartal &lt; 4</formula>
    </cfRule>
  </conditionalFormatting>
  <conditionalFormatting sqref="C104">
    <cfRule type="expression" dxfId="743" priority="77">
      <formula>kvartal &lt; 4</formula>
    </cfRule>
  </conditionalFormatting>
  <conditionalFormatting sqref="B115">
    <cfRule type="expression" dxfId="742" priority="76">
      <formula>kvartal &lt; 4</formula>
    </cfRule>
  </conditionalFormatting>
  <conditionalFormatting sqref="C115">
    <cfRule type="expression" dxfId="741" priority="75">
      <formula>kvartal &lt; 4</formula>
    </cfRule>
  </conditionalFormatting>
  <conditionalFormatting sqref="B123">
    <cfRule type="expression" dxfId="740" priority="74">
      <formula>kvartal &lt; 4</formula>
    </cfRule>
  </conditionalFormatting>
  <conditionalFormatting sqref="C123">
    <cfRule type="expression" dxfId="739" priority="73">
      <formula>kvartal &lt; 4</formula>
    </cfRule>
  </conditionalFormatting>
  <conditionalFormatting sqref="F70">
    <cfRule type="expression" dxfId="738" priority="72">
      <formula>kvartal &lt; 4</formula>
    </cfRule>
  </conditionalFormatting>
  <conditionalFormatting sqref="G70">
    <cfRule type="expression" dxfId="737" priority="71">
      <formula>kvartal &lt; 4</formula>
    </cfRule>
  </conditionalFormatting>
  <conditionalFormatting sqref="F71:G71">
    <cfRule type="expression" dxfId="736" priority="70">
      <formula>kvartal &lt; 4</formula>
    </cfRule>
  </conditionalFormatting>
  <conditionalFormatting sqref="F73:G74">
    <cfRule type="expression" dxfId="735" priority="69">
      <formula>kvartal &lt; 4</formula>
    </cfRule>
  </conditionalFormatting>
  <conditionalFormatting sqref="F81:G82">
    <cfRule type="expression" dxfId="734" priority="68">
      <formula>kvartal &lt; 4</formula>
    </cfRule>
  </conditionalFormatting>
  <conditionalFormatting sqref="F84:G85">
    <cfRule type="expression" dxfId="733" priority="67">
      <formula>kvartal &lt; 4</formula>
    </cfRule>
  </conditionalFormatting>
  <conditionalFormatting sqref="F91:G92">
    <cfRule type="expression" dxfId="732" priority="62">
      <formula>kvartal &lt; 4</formula>
    </cfRule>
  </conditionalFormatting>
  <conditionalFormatting sqref="F94:G95">
    <cfRule type="expression" dxfId="731" priority="61">
      <formula>kvartal &lt; 4</formula>
    </cfRule>
  </conditionalFormatting>
  <conditionalFormatting sqref="F102:G103">
    <cfRule type="expression" dxfId="730" priority="60">
      <formula>kvartal &lt; 4</formula>
    </cfRule>
  </conditionalFormatting>
  <conditionalFormatting sqref="F105:G106">
    <cfRule type="expression" dxfId="729" priority="59">
      <formula>kvartal &lt; 4</formula>
    </cfRule>
  </conditionalFormatting>
  <conditionalFormatting sqref="F115">
    <cfRule type="expression" dxfId="728" priority="58">
      <formula>kvartal &lt; 4</formula>
    </cfRule>
  </conditionalFormatting>
  <conditionalFormatting sqref="G115">
    <cfRule type="expression" dxfId="727" priority="57">
      <formula>kvartal &lt; 4</formula>
    </cfRule>
  </conditionalFormatting>
  <conditionalFormatting sqref="F123:G123">
    <cfRule type="expression" dxfId="726" priority="56">
      <formula>kvartal &lt; 4</formula>
    </cfRule>
  </conditionalFormatting>
  <conditionalFormatting sqref="F69:G69">
    <cfRule type="expression" dxfId="725" priority="55">
      <formula>kvartal &lt; 4</formula>
    </cfRule>
  </conditionalFormatting>
  <conditionalFormatting sqref="F72:G72">
    <cfRule type="expression" dxfId="724" priority="54">
      <formula>kvartal &lt; 4</formula>
    </cfRule>
  </conditionalFormatting>
  <conditionalFormatting sqref="F80:G80">
    <cfRule type="expression" dxfId="723" priority="53">
      <formula>kvartal &lt; 4</formula>
    </cfRule>
  </conditionalFormatting>
  <conditionalFormatting sqref="F83:G83">
    <cfRule type="expression" dxfId="722" priority="52">
      <formula>kvartal &lt; 4</formula>
    </cfRule>
  </conditionalFormatting>
  <conditionalFormatting sqref="F90:G90">
    <cfRule type="expression" dxfId="721" priority="46">
      <formula>kvartal &lt; 4</formula>
    </cfRule>
  </conditionalFormatting>
  <conditionalFormatting sqref="F93">
    <cfRule type="expression" dxfId="720" priority="45">
      <formula>kvartal &lt; 4</formula>
    </cfRule>
  </conditionalFormatting>
  <conditionalFormatting sqref="G93">
    <cfRule type="expression" dxfId="719" priority="44">
      <formula>kvartal &lt; 4</formula>
    </cfRule>
  </conditionalFormatting>
  <conditionalFormatting sqref="F101">
    <cfRule type="expression" dxfId="718" priority="43">
      <formula>kvartal &lt; 4</formula>
    </cfRule>
  </conditionalFormatting>
  <conditionalFormatting sqref="G101">
    <cfRule type="expression" dxfId="717" priority="42">
      <formula>kvartal &lt; 4</formula>
    </cfRule>
  </conditionalFormatting>
  <conditionalFormatting sqref="G104">
    <cfRule type="expression" dxfId="716" priority="41">
      <formula>kvartal &lt; 4</formula>
    </cfRule>
  </conditionalFormatting>
  <conditionalFormatting sqref="F104">
    <cfRule type="expression" dxfId="715" priority="40">
      <formula>kvartal &lt; 4</formula>
    </cfRule>
  </conditionalFormatting>
  <conditionalFormatting sqref="J69:K73">
    <cfRule type="expression" dxfId="714" priority="39">
      <formula>kvartal &lt; 4</formula>
    </cfRule>
  </conditionalFormatting>
  <conditionalFormatting sqref="J74:K74">
    <cfRule type="expression" dxfId="713" priority="38">
      <formula>kvartal &lt; 4</formula>
    </cfRule>
  </conditionalFormatting>
  <conditionalFormatting sqref="J80:K85">
    <cfRule type="expression" dxfId="712" priority="37">
      <formula>kvartal &lt; 4</formula>
    </cfRule>
  </conditionalFormatting>
  <conditionalFormatting sqref="J90:K95">
    <cfRule type="expression" dxfId="711" priority="34">
      <formula>kvartal &lt; 4</formula>
    </cfRule>
  </conditionalFormatting>
  <conditionalFormatting sqref="J101:K106">
    <cfRule type="expression" dxfId="710" priority="33">
      <formula>kvartal &lt; 4</formula>
    </cfRule>
  </conditionalFormatting>
  <conditionalFormatting sqref="J115:K115">
    <cfRule type="expression" dxfId="709" priority="32">
      <formula>kvartal &lt; 4</formula>
    </cfRule>
  </conditionalFormatting>
  <conditionalFormatting sqref="J123:K123">
    <cfRule type="expression" dxfId="708" priority="31">
      <formula>kvartal &lt; 4</formula>
    </cfRule>
  </conditionalFormatting>
  <conditionalFormatting sqref="A50:A52">
    <cfRule type="expression" dxfId="707" priority="12">
      <formula>kvartal &lt; 4</formula>
    </cfRule>
  </conditionalFormatting>
  <conditionalFormatting sqref="A69:A74">
    <cfRule type="expression" dxfId="706" priority="10">
      <formula>kvartal &lt; 4</formula>
    </cfRule>
  </conditionalFormatting>
  <conditionalFormatting sqref="A80:A85">
    <cfRule type="expression" dxfId="705" priority="9">
      <formula>kvartal &lt; 4</formula>
    </cfRule>
  </conditionalFormatting>
  <conditionalFormatting sqref="A90:A95">
    <cfRule type="expression" dxfId="704" priority="6">
      <formula>kvartal &lt; 4</formula>
    </cfRule>
  </conditionalFormatting>
  <conditionalFormatting sqref="A101:A106">
    <cfRule type="expression" dxfId="703" priority="5">
      <formula>kvartal &lt; 4</formula>
    </cfRule>
  </conditionalFormatting>
  <conditionalFormatting sqref="A115">
    <cfRule type="expression" dxfId="702" priority="4">
      <formula>kvartal &lt; 4</formula>
    </cfRule>
  </conditionalFormatting>
  <conditionalFormatting sqref="A123">
    <cfRule type="expression" dxfId="701" priority="3">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96</v>
      </c>
      <c r="D1" s="26"/>
      <c r="E1" s="26"/>
      <c r="F1" s="26"/>
      <c r="G1" s="26"/>
      <c r="H1" s="26"/>
      <c r="I1" s="26"/>
      <c r="J1" s="26"/>
      <c r="K1" s="26"/>
      <c r="L1" s="26"/>
      <c r="M1" s="26"/>
    </row>
    <row r="2" spans="1:14" ht="15.75" x14ac:dyDescent="0.25">
      <c r="A2" s="165" t="s">
        <v>28</v>
      </c>
      <c r="B2" s="736"/>
      <c r="C2" s="736"/>
      <c r="D2" s="736"/>
      <c r="E2" s="298"/>
      <c r="F2" s="736"/>
      <c r="G2" s="736"/>
      <c r="H2" s="736"/>
      <c r="I2" s="298"/>
      <c r="J2" s="736"/>
      <c r="K2" s="736"/>
      <c r="L2" s="736"/>
      <c r="M2" s="298"/>
    </row>
    <row r="3" spans="1:14" ht="15.75" x14ac:dyDescent="0.25">
      <c r="A3" s="163"/>
      <c r="B3" s="298"/>
      <c r="C3" s="298"/>
      <c r="D3" s="298"/>
      <c r="E3" s="298"/>
      <c r="F3" s="298"/>
      <c r="G3" s="298"/>
      <c r="H3" s="298"/>
      <c r="I3" s="298"/>
      <c r="J3" s="298"/>
      <c r="K3" s="298"/>
      <c r="L3" s="298"/>
      <c r="M3" s="298"/>
    </row>
    <row r="4" spans="1:14" x14ac:dyDescent="0.2">
      <c r="A4" s="144"/>
      <c r="B4" s="737" t="s">
        <v>0</v>
      </c>
      <c r="C4" s="738"/>
      <c r="D4" s="738"/>
      <c r="E4" s="300"/>
      <c r="F4" s="737" t="s">
        <v>1</v>
      </c>
      <c r="G4" s="738"/>
      <c r="H4" s="738"/>
      <c r="I4" s="303"/>
      <c r="J4" s="737" t="s">
        <v>2</v>
      </c>
      <c r="K4" s="738"/>
      <c r="L4" s="738"/>
      <c r="M4" s="303"/>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c r="C7" s="306"/>
      <c r="D7" s="349"/>
      <c r="E7" s="11"/>
      <c r="F7" s="305"/>
      <c r="G7" s="306"/>
      <c r="H7" s="349"/>
      <c r="I7" s="160"/>
      <c r="J7" s="307"/>
      <c r="K7" s="308"/>
      <c r="L7" s="426"/>
      <c r="M7" s="11"/>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c r="D9" s="166"/>
      <c r="E9" s="27"/>
      <c r="F9" s="284"/>
      <c r="G9" s="285"/>
      <c r="H9" s="166"/>
      <c r="I9" s="175"/>
      <c r="J9" s="233"/>
      <c r="K9" s="286"/>
      <c r="L9" s="253"/>
      <c r="M9" s="27"/>
    </row>
    <row r="10" spans="1:14" ht="15.75" x14ac:dyDescent="0.2">
      <c r="A10" s="13" t="s">
        <v>367</v>
      </c>
      <c r="B10" s="309"/>
      <c r="C10" s="310"/>
      <c r="D10" s="171"/>
      <c r="E10" s="11"/>
      <c r="F10" s="309"/>
      <c r="G10" s="310"/>
      <c r="H10" s="171"/>
      <c r="I10" s="160"/>
      <c r="J10" s="307"/>
      <c r="K10" s="308"/>
      <c r="L10" s="427"/>
      <c r="M10" s="11"/>
    </row>
    <row r="11" spans="1:14" s="43" customFormat="1" ht="15.75" x14ac:dyDescent="0.2">
      <c r="A11" s="13" t="s">
        <v>368</v>
      </c>
      <c r="B11" s="309"/>
      <c r="C11" s="310"/>
      <c r="D11" s="171"/>
      <c r="E11" s="11"/>
      <c r="F11" s="309"/>
      <c r="G11" s="310"/>
      <c r="H11" s="171"/>
      <c r="I11" s="160"/>
      <c r="J11" s="307"/>
      <c r="K11" s="308"/>
      <c r="L11" s="427"/>
      <c r="M11" s="11"/>
      <c r="N11" s="143"/>
    </row>
    <row r="12" spans="1:14" s="43" customFormat="1" ht="15.75" x14ac:dyDescent="0.2">
      <c r="A12" s="41" t="s">
        <v>369</v>
      </c>
      <c r="B12" s="311"/>
      <c r="C12" s="312"/>
      <c r="D12" s="169"/>
      <c r="E12" s="36"/>
      <c r="F12" s="311"/>
      <c r="G12" s="312"/>
      <c r="H12" s="169"/>
      <c r="I12" s="169"/>
      <c r="J12" s="313"/>
      <c r="K12" s="314"/>
      <c r="L12" s="428"/>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426"/>
      <c r="M22" s="24"/>
    </row>
    <row r="23" spans="1:14" ht="15.75" x14ac:dyDescent="0.2">
      <c r="A23" s="587" t="s">
        <v>370</v>
      </c>
      <c r="B23" s="280"/>
      <c r="C23" s="280"/>
      <c r="D23" s="166"/>
      <c r="E23" s="11"/>
      <c r="F23" s="289"/>
      <c r="G23" s="289"/>
      <c r="H23" s="166"/>
      <c r="I23" s="416"/>
      <c r="J23" s="289"/>
      <c r="K23" s="289"/>
      <c r="L23" s="166"/>
      <c r="M23" s="23"/>
    </row>
    <row r="24" spans="1:14" ht="15.75" x14ac:dyDescent="0.2">
      <c r="A24" s="587" t="s">
        <v>371</v>
      </c>
      <c r="B24" s="280"/>
      <c r="C24" s="280"/>
      <c r="D24" s="166"/>
      <c r="E24" s="11"/>
      <c r="F24" s="289"/>
      <c r="G24" s="289"/>
      <c r="H24" s="166"/>
      <c r="I24" s="416"/>
      <c r="J24" s="289"/>
      <c r="K24" s="289"/>
      <c r="L24" s="166"/>
      <c r="M24" s="23"/>
    </row>
    <row r="25" spans="1:14" ht="15.75" x14ac:dyDescent="0.2">
      <c r="A25" s="587" t="s">
        <v>372</v>
      </c>
      <c r="B25" s="280"/>
      <c r="C25" s="280"/>
      <c r="D25" s="166"/>
      <c r="E25" s="11"/>
      <c r="F25" s="289"/>
      <c r="G25" s="289"/>
      <c r="H25" s="166"/>
      <c r="I25" s="416"/>
      <c r="J25" s="289"/>
      <c r="K25" s="289"/>
      <c r="L25" s="166"/>
      <c r="M25" s="23"/>
    </row>
    <row r="26" spans="1:14" ht="15.75" x14ac:dyDescent="0.2">
      <c r="A26" s="587" t="s">
        <v>373</v>
      </c>
      <c r="B26" s="280"/>
      <c r="C26" s="280"/>
      <c r="D26" s="166"/>
      <c r="E26" s="11"/>
      <c r="F26" s="289"/>
      <c r="G26" s="289"/>
      <c r="H26" s="166"/>
      <c r="I26" s="416"/>
      <c r="J26" s="289"/>
      <c r="K26" s="289"/>
      <c r="L26" s="166"/>
      <c r="M26" s="23"/>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c r="C28" s="286"/>
      <c r="D28" s="166"/>
      <c r="E28" s="11"/>
      <c r="F28" s="233"/>
      <c r="G28" s="286"/>
      <c r="H28" s="166"/>
      <c r="I28" s="27"/>
      <c r="J28" s="44"/>
      <c r="K28" s="44"/>
      <c r="L28" s="253"/>
      <c r="M28" s="23"/>
    </row>
    <row r="29" spans="1:14" s="3" customFormat="1" ht="15.75" x14ac:dyDescent="0.2">
      <c r="A29" s="13" t="s">
        <v>367</v>
      </c>
      <c r="B29" s="235"/>
      <c r="C29" s="235"/>
      <c r="D29" s="171"/>
      <c r="E29" s="11"/>
      <c r="F29" s="307"/>
      <c r="G29" s="307"/>
      <c r="H29" s="171"/>
      <c r="I29" s="11"/>
      <c r="J29" s="235"/>
      <c r="K29" s="235"/>
      <c r="L29" s="427"/>
      <c r="M29" s="24"/>
      <c r="N29" s="148"/>
    </row>
    <row r="30" spans="1:14" s="3" customFormat="1" ht="15.75" x14ac:dyDescent="0.2">
      <c r="A30" s="587" t="s">
        <v>370</v>
      </c>
      <c r="B30" s="280"/>
      <c r="C30" s="280"/>
      <c r="D30" s="166"/>
      <c r="E30" s="11"/>
      <c r="F30" s="289"/>
      <c r="G30" s="289"/>
      <c r="H30" s="166"/>
      <c r="I30" s="416"/>
      <c r="J30" s="289"/>
      <c r="K30" s="289"/>
      <c r="L30" s="166"/>
      <c r="M30" s="23"/>
      <c r="N30" s="148"/>
    </row>
    <row r="31" spans="1:14" s="3" customFormat="1" ht="15.75" x14ac:dyDescent="0.2">
      <c r="A31" s="587" t="s">
        <v>371</v>
      </c>
      <c r="B31" s="280"/>
      <c r="C31" s="280"/>
      <c r="D31" s="166"/>
      <c r="E31" s="11"/>
      <c r="F31" s="289"/>
      <c r="G31" s="289"/>
      <c r="H31" s="166"/>
      <c r="I31" s="416"/>
      <c r="J31" s="289"/>
      <c r="K31" s="289"/>
      <c r="L31" s="166"/>
      <c r="M31" s="23"/>
      <c r="N31" s="148"/>
    </row>
    <row r="32" spans="1:14" ht="15.75" x14ac:dyDescent="0.2">
      <c r="A32" s="587" t="s">
        <v>372</v>
      </c>
      <c r="B32" s="280"/>
      <c r="C32" s="280"/>
      <c r="D32" s="166"/>
      <c r="E32" s="11"/>
      <c r="F32" s="289"/>
      <c r="G32" s="289"/>
      <c r="H32" s="166"/>
      <c r="I32" s="416"/>
      <c r="J32" s="289"/>
      <c r="K32" s="289"/>
      <c r="L32" s="166"/>
      <c r="M32" s="23"/>
    </row>
    <row r="33" spans="1:14" ht="15.75" x14ac:dyDescent="0.2">
      <c r="A33" s="587" t="s">
        <v>373</v>
      </c>
      <c r="B33" s="280"/>
      <c r="C33" s="280"/>
      <c r="D33" s="166"/>
      <c r="E33" s="11"/>
      <c r="F33" s="289"/>
      <c r="G33" s="289"/>
      <c r="H33" s="166"/>
      <c r="I33" s="416"/>
      <c r="J33" s="289"/>
      <c r="K33" s="289"/>
      <c r="L33" s="166"/>
      <c r="M33" s="23"/>
    </row>
    <row r="34" spans="1:14" ht="15.75" x14ac:dyDescent="0.2">
      <c r="A34" s="13" t="s">
        <v>368</v>
      </c>
      <c r="B34" s="235"/>
      <c r="C34" s="308"/>
      <c r="D34" s="171"/>
      <c r="E34" s="11"/>
      <c r="F34" s="307"/>
      <c r="G34" s="308"/>
      <c r="H34" s="171"/>
      <c r="I34" s="11"/>
      <c r="J34" s="235"/>
      <c r="K34" s="235"/>
      <c r="L34" s="427"/>
      <c r="M34" s="24"/>
    </row>
    <row r="35" spans="1:14" ht="15.75" x14ac:dyDescent="0.2">
      <c r="A35" s="13" t="s">
        <v>369</v>
      </c>
      <c r="B35" s="235"/>
      <c r="C35" s="308"/>
      <c r="D35" s="171"/>
      <c r="E35" s="11"/>
      <c r="F35" s="307"/>
      <c r="G35" s="308"/>
      <c r="H35" s="171"/>
      <c r="I35" s="11"/>
      <c r="J35" s="235"/>
      <c r="K35" s="235"/>
      <c r="L35" s="427"/>
      <c r="M35" s="24"/>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v>15369</v>
      </c>
      <c r="C47" s="310">
        <v>16000</v>
      </c>
      <c r="D47" s="426">
        <v>4.0999999999999996</v>
      </c>
      <c r="E47" s="11">
        <v>0.43808530233514098</v>
      </c>
      <c r="F47" s="145"/>
      <c r="G47" s="33"/>
      <c r="H47" s="159"/>
      <c r="I47" s="159"/>
      <c r="J47" s="37"/>
      <c r="K47" s="37"/>
      <c r="L47" s="159"/>
      <c r="M47" s="159"/>
      <c r="N47" s="148"/>
    </row>
    <row r="48" spans="1:14" s="3" customFormat="1" ht="15.75" x14ac:dyDescent="0.2">
      <c r="A48" s="38" t="s">
        <v>378</v>
      </c>
      <c r="B48" s="280">
        <v>15369</v>
      </c>
      <c r="C48" s="281">
        <v>16000</v>
      </c>
      <c r="D48" s="253">
        <v>4.0999999999999996</v>
      </c>
      <c r="E48" s="27">
        <v>0.7735480602239232</v>
      </c>
      <c r="F48" s="145"/>
      <c r="G48" s="33"/>
      <c r="H48" s="145"/>
      <c r="I48" s="145"/>
      <c r="J48" s="33"/>
      <c r="K48" s="33"/>
      <c r="L48" s="159"/>
      <c r="M48" s="159"/>
      <c r="N48" s="148"/>
    </row>
    <row r="49" spans="1:14" s="3" customFormat="1" ht="15.75" x14ac:dyDescent="0.2">
      <c r="A49" s="38" t="s">
        <v>379</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c r="C53" s="310"/>
      <c r="D53" s="427"/>
      <c r="E53" s="11"/>
      <c r="F53" s="145"/>
      <c r="G53" s="33"/>
      <c r="H53" s="145"/>
      <c r="I53" s="145"/>
      <c r="J53" s="33"/>
      <c r="K53" s="33"/>
      <c r="L53" s="159"/>
      <c r="M53" s="159"/>
      <c r="N53" s="148"/>
    </row>
    <row r="54" spans="1:14" s="3" customFormat="1" ht="15.75" x14ac:dyDescent="0.2">
      <c r="A54" s="38" t="s">
        <v>378</v>
      </c>
      <c r="B54" s="280"/>
      <c r="C54" s="281"/>
      <c r="D54" s="253"/>
      <c r="E54" s="27"/>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c r="C56" s="310"/>
      <c r="D56" s="427"/>
      <c r="E56" s="11"/>
      <c r="F56" s="145"/>
      <c r="G56" s="33"/>
      <c r="H56" s="145"/>
      <c r="I56" s="145"/>
      <c r="J56" s="33"/>
      <c r="K56" s="33"/>
      <c r="L56" s="159"/>
      <c r="M56" s="159"/>
      <c r="N56" s="148"/>
    </row>
    <row r="57" spans="1:14" s="3" customFormat="1" ht="15.75" x14ac:dyDescent="0.2">
      <c r="A57" s="38" t="s">
        <v>378</v>
      </c>
      <c r="B57" s="280"/>
      <c r="C57" s="281"/>
      <c r="D57" s="253"/>
      <c r="E57" s="27"/>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c r="C66" s="352"/>
      <c r="D66" s="349"/>
      <c r="E66" s="11"/>
      <c r="F66" s="351"/>
      <c r="G66" s="351"/>
      <c r="H66" s="349"/>
      <c r="I66" s="11"/>
      <c r="J66" s="308"/>
      <c r="K66" s="315"/>
      <c r="L66" s="427"/>
      <c r="M66" s="11"/>
    </row>
    <row r="67" spans="1:14" x14ac:dyDescent="0.2">
      <c r="A67" s="41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c r="G86" s="145"/>
      <c r="H86" s="166"/>
      <c r="I86" s="27"/>
      <c r="J86" s="286"/>
      <c r="K86" s="44"/>
      <c r="L86" s="253"/>
      <c r="M86" s="27"/>
    </row>
    <row r="87" spans="1:13" ht="15.75" x14ac:dyDescent="0.2">
      <c r="A87" s="13" t="s">
        <v>367</v>
      </c>
      <c r="B87" s="352"/>
      <c r="C87" s="352"/>
      <c r="D87" s="171"/>
      <c r="E87" s="11"/>
      <c r="F87" s="351"/>
      <c r="G87" s="351"/>
      <c r="H87" s="171"/>
      <c r="I87" s="11"/>
      <c r="J87" s="308"/>
      <c r="K87" s="235"/>
      <c r="L87" s="427"/>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row>
    <row r="98" spans="1:13" ht="15.75" x14ac:dyDescent="0.2">
      <c r="A98" s="21" t="s">
        <v>384</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c r="G107" s="145"/>
      <c r="H107" s="166"/>
      <c r="I107" s="27"/>
      <c r="J107" s="286"/>
      <c r="K107" s="44"/>
      <c r="L107" s="253"/>
      <c r="M107" s="27"/>
    </row>
    <row r="108" spans="1:13" ht="15.75" x14ac:dyDescent="0.2">
      <c r="A108" s="21" t="s">
        <v>386</v>
      </c>
      <c r="B108" s="233"/>
      <c r="C108" s="233"/>
      <c r="D108" s="166"/>
      <c r="E108" s="27"/>
      <c r="F108" s="233"/>
      <c r="G108" s="233"/>
      <c r="H108" s="166"/>
      <c r="I108" s="27"/>
      <c r="J108" s="286"/>
      <c r="K108" s="44"/>
      <c r="L108" s="253"/>
      <c r="M108" s="27"/>
    </row>
    <row r="109" spans="1:13" ht="15.75" x14ac:dyDescent="0.2">
      <c r="A109" s="21" t="s">
        <v>387</v>
      </c>
      <c r="B109" s="233"/>
      <c r="C109" s="233"/>
      <c r="D109" s="166"/>
      <c r="E109" s="27"/>
      <c r="F109" s="233"/>
      <c r="G109" s="233"/>
      <c r="H109" s="166"/>
      <c r="I109" s="27"/>
      <c r="J109" s="286"/>
      <c r="K109" s="44"/>
      <c r="L109" s="253"/>
      <c r="M109" s="27"/>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c r="C111" s="159"/>
      <c r="D111" s="171"/>
      <c r="E111" s="11"/>
      <c r="F111" s="307"/>
      <c r="G111" s="159"/>
      <c r="H111" s="171"/>
      <c r="I111" s="11"/>
      <c r="J111" s="308"/>
      <c r="K111" s="235"/>
      <c r="L111" s="427"/>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c r="C116" s="233"/>
      <c r="D116" s="166"/>
      <c r="E116" s="27"/>
      <c r="F116" s="233"/>
      <c r="G116" s="233"/>
      <c r="H116" s="166"/>
      <c r="I116" s="27"/>
      <c r="J116" s="286"/>
      <c r="K116" s="44"/>
      <c r="L116" s="253"/>
      <c r="M116" s="27"/>
    </row>
    <row r="117" spans="1:14" ht="15.75" x14ac:dyDescent="0.2">
      <c r="A117" s="21" t="s">
        <v>390</v>
      </c>
      <c r="B117" s="233"/>
      <c r="C117" s="233"/>
      <c r="D117" s="166"/>
      <c r="E117" s="27"/>
      <c r="F117" s="233"/>
      <c r="G117" s="233"/>
      <c r="H117" s="166"/>
      <c r="I117" s="27"/>
      <c r="J117" s="286"/>
      <c r="K117" s="44"/>
      <c r="L117" s="253"/>
      <c r="M117" s="27"/>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c r="C119" s="159"/>
      <c r="D119" s="171"/>
      <c r="E119" s="11"/>
      <c r="F119" s="307"/>
      <c r="G119" s="159"/>
      <c r="H119" s="171"/>
      <c r="I119" s="11"/>
      <c r="J119" s="308"/>
      <c r="K119" s="235"/>
      <c r="L119" s="427"/>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c r="G125" s="233"/>
      <c r="H125" s="166"/>
      <c r="I125" s="27"/>
      <c r="J125" s="286"/>
      <c r="K125" s="44"/>
      <c r="L125" s="253"/>
      <c r="M125" s="27"/>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v>1791535</v>
      </c>
      <c r="C134" s="308">
        <v>1555000</v>
      </c>
      <c r="D134" s="349">
        <f t="shared" ref="D134:D137" si="0">IF(B134=0, "    ---- ", IF(ABS(ROUND(100/B134*C134-100,1))&lt;999,ROUND(100/B134*C134-100,1),IF(ROUND(100/B134*C134-100,1)&gt;999,999,-999)))</f>
        <v>-13.2</v>
      </c>
      <c r="E134" s="11">
        <f>IFERROR(100/'Skjema total MA'!C134*C134,0)</f>
        <v>9.7461025549065603</v>
      </c>
      <c r="F134" s="315"/>
      <c r="G134" s="316"/>
      <c r="H134" s="430"/>
      <c r="I134" s="24"/>
      <c r="J134" s="317">
        <f t="shared" ref="J134:K137" si="1">SUM(B134,F134)</f>
        <v>1791535</v>
      </c>
      <c r="K134" s="317">
        <f t="shared" si="1"/>
        <v>1555000</v>
      </c>
      <c r="L134" s="426">
        <f t="shared" ref="L134:L137" si="2">IF(J134=0, "    ---- ", IF(ABS(ROUND(100/J134*K134-100,1))&lt;999,ROUND(100/J134*K134-100,1),IF(ROUND(100/J134*K134-100,1)&gt;999,999,-999)))</f>
        <v>-13.2</v>
      </c>
      <c r="M134" s="11">
        <f>IFERROR(100/'Skjema total MA'!I134*K134,0)</f>
        <v>9.7260040689283027</v>
      </c>
      <c r="N134" s="148"/>
    </row>
    <row r="135" spans="1:14" s="3" customFormat="1" ht="15.75" x14ac:dyDescent="0.2">
      <c r="A135" s="13" t="s">
        <v>396</v>
      </c>
      <c r="B135" s="235">
        <v>75627238.392739996</v>
      </c>
      <c r="C135" s="308">
        <v>77112000</v>
      </c>
      <c r="D135" s="171">
        <f t="shared" si="0"/>
        <v>2</v>
      </c>
      <c r="E135" s="11">
        <f>IFERROR(100/'Skjema total MA'!C135*C135,0)</f>
        <v>12.917066928074831</v>
      </c>
      <c r="F135" s="235"/>
      <c r="G135" s="308"/>
      <c r="H135" s="431"/>
      <c r="I135" s="24"/>
      <c r="J135" s="307">
        <f t="shared" si="1"/>
        <v>75627238.392739996</v>
      </c>
      <c r="K135" s="307">
        <f t="shared" si="1"/>
        <v>77112000</v>
      </c>
      <c r="L135" s="427">
        <f t="shared" si="2"/>
        <v>2</v>
      </c>
      <c r="M135" s="11">
        <f>IFERROR(100/'Skjema total MA'!I135*K135,0)</f>
        <v>12.875373426690285</v>
      </c>
      <c r="N135" s="148"/>
    </row>
    <row r="136" spans="1:14" s="3" customFormat="1" ht="15.75" x14ac:dyDescent="0.2">
      <c r="A136" s="13" t="s">
        <v>393</v>
      </c>
      <c r="B136" s="235">
        <v>105872.379</v>
      </c>
      <c r="C136" s="308">
        <v>0</v>
      </c>
      <c r="D136" s="171">
        <f t="shared" si="0"/>
        <v>-100</v>
      </c>
      <c r="E136" s="11">
        <f>IFERROR(100/'Skjema total MA'!C136*C136,0)</f>
        <v>0</v>
      </c>
      <c r="F136" s="235"/>
      <c r="G136" s="308"/>
      <c r="H136" s="431"/>
      <c r="I136" s="24"/>
      <c r="J136" s="307">
        <f t="shared" si="1"/>
        <v>105872.379</v>
      </c>
      <c r="K136" s="307">
        <f t="shared" si="1"/>
        <v>0</v>
      </c>
      <c r="L136" s="427">
        <f t="shared" si="2"/>
        <v>-100</v>
      </c>
      <c r="M136" s="11">
        <f>IFERROR(100/'Skjema total MA'!I136*K136,0)</f>
        <v>0</v>
      </c>
      <c r="N136" s="148"/>
    </row>
    <row r="137" spans="1:14" s="3" customFormat="1" ht="15.75" x14ac:dyDescent="0.2">
      <c r="A137" s="41" t="s">
        <v>394</v>
      </c>
      <c r="B137" s="275">
        <v>0</v>
      </c>
      <c r="C137" s="314">
        <v>41000</v>
      </c>
      <c r="D137" s="169" t="str">
        <f t="shared" si="0"/>
        <v xml:space="preserve">    ---- </v>
      </c>
      <c r="E137" s="9">
        <f>IFERROR(100/'Skjema total MA'!C137*C137,0)</f>
        <v>0.53271248632931623</v>
      </c>
      <c r="F137" s="275"/>
      <c r="G137" s="314"/>
      <c r="H137" s="432"/>
      <c r="I137" s="36"/>
      <c r="J137" s="313">
        <f t="shared" si="1"/>
        <v>0</v>
      </c>
      <c r="K137" s="313">
        <f t="shared" si="1"/>
        <v>41000</v>
      </c>
      <c r="L137" s="428" t="str">
        <f t="shared" si="2"/>
        <v xml:space="preserve">    ---- </v>
      </c>
      <c r="M137" s="36">
        <f>IFERROR(100/'Skjema total MA'!I137*K137,0)</f>
        <v>0.53271248632931623</v>
      </c>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700" priority="132">
      <formula>kvartal &lt; 4</formula>
    </cfRule>
  </conditionalFormatting>
  <conditionalFormatting sqref="B69">
    <cfRule type="expression" dxfId="699" priority="100">
      <formula>kvartal &lt; 4</formula>
    </cfRule>
  </conditionalFormatting>
  <conditionalFormatting sqref="C69">
    <cfRule type="expression" dxfId="698" priority="99">
      <formula>kvartal &lt; 4</formula>
    </cfRule>
  </conditionalFormatting>
  <conditionalFormatting sqref="B72">
    <cfRule type="expression" dxfId="697" priority="98">
      <formula>kvartal &lt; 4</formula>
    </cfRule>
  </conditionalFormatting>
  <conditionalFormatting sqref="C72">
    <cfRule type="expression" dxfId="696" priority="97">
      <formula>kvartal &lt; 4</formula>
    </cfRule>
  </conditionalFormatting>
  <conditionalFormatting sqref="B80">
    <cfRule type="expression" dxfId="695" priority="96">
      <formula>kvartal &lt; 4</formula>
    </cfRule>
  </conditionalFormatting>
  <conditionalFormatting sqref="C80">
    <cfRule type="expression" dxfId="694" priority="95">
      <formula>kvartal &lt; 4</formula>
    </cfRule>
  </conditionalFormatting>
  <conditionalFormatting sqref="B83">
    <cfRule type="expression" dxfId="693" priority="94">
      <formula>kvartal &lt; 4</formula>
    </cfRule>
  </conditionalFormatting>
  <conditionalFormatting sqref="C83">
    <cfRule type="expression" dxfId="692" priority="93">
      <formula>kvartal &lt; 4</formula>
    </cfRule>
  </conditionalFormatting>
  <conditionalFormatting sqref="B90">
    <cfRule type="expression" dxfId="691" priority="84">
      <formula>kvartal &lt; 4</formula>
    </cfRule>
  </conditionalFormatting>
  <conditionalFormatting sqref="C90">
    <cfRule type="expression" dxfId="690" priority="83">
      <formula>kvartal &lt; 4</formula>
    </cfRule>
  </conditionalFormatting>
  <conditionalFormatting sqref="B93">
    <cfRule type="expression" dxfId="689" priority="82">
      <formula>kvartal &lt; 4</formula>
    </cfRule>
  </conditionalFormatting>
  <conditionalFormatting sqref="C93">
    <cfRule type="expression" dxfId="688" priority="81">
      <formula>kvartal &lt; 4</formula>
    </cfRule>
  </conditionalFormatting>
  <conditionalFormatting sqref="B101">
    <cfRule type="expression" dxfId="687" priority="80">
      <formula>kvartal &lt; 4</formula>
    </cfRule>
  </conditionalFormatting>
  <conditionalFormatting sqref="C101">
    <cfRule type="expression" dxfId="686" priority="79">
      <formula>kvartal &lt; 4</formula>
    </cfRule>
  </conditionalFormatting>
  <conditionalFormatting sqref="B104">
    <cfRule type="expression" dxfId="685" priority="78">
      <formula>kvartal &lt; 4</formula>
    </cfRule>
  </conditionalFormatting>
  <conditionalFormatting sqref="C104">
    <cfRule type="expression" dxfId="684" priority="77">
      <formula>kvartal &lt; 4</formula>
    </cfRule>
  </conditionalFormatting>
  <conditionalFormatting sqref="B115">
    <cfRule type="expression" dxfId="683" priority="76">
      <formula>kvartal &lt; 4</formula>
    </cfRule>
  </conditionalFormatting>
  <conditionalFormatting sqref="C115">
    <cfRule type="expression" dxfId="682" priority="75">
      <formula>kvartal &lt; 4</formula>
    </cfRule>
  </conditionalFormatting>
  <conditionalFormatting sqref="B123">
    <cfRule type="expression" dxfId="681" priority="74">
      <formula>kvartal &lt; 4</formula>
    </cfRule>
  </conditionalFormatting>
  <conditionalFormatting sqref="C123">
    <cfRule type="expression" dxfId="680" priority="73">
      <formula>kvartal &lt; 4</formula>
    </cfRule>
  </conditionalFormatting>
  <conditionalFormatting sqref="F70">
    <cfRule type="expression" dxfId="679" priority="72">
      <formula>kvartal &lt; 4</formula>
    </cfRule>
  </conditionalFormatting>
  <conditionalFormatting sqref="G70">
    <cfRule type="expression" dxfId="678" priority="71">
      <formula>kvartal &lt; 4</formula>
    </cfRule>
  </conditionalFormatting>
  <conditionalFormatting sqref="F71:G71">
    <cfRule type="expression" dxfId="677" priority="70">
      <formula>kvartal &lt; 4</formula>
    </cfRule>
  </conditionalFormatting>
  <conditionalFormatting sqref="F73:G74">
    <cfRule type="expression" dxfId="676" priority="69">
      <formula>kvartal &lt; 4</formula>
    </cfRule>
  </conditionalFormatting>
  <conditionalFormatting sqref="F81:G82">
    <cfRule type="expression" dxfId="675" priority="68">
      <formula>kvartal &lt; 4</formula>
    </cfRule>
  </conditionalFormatting>
  <conditionalFormatting sqref="F84:G85">
    <cfRule type="expression" dxfId="674" priority="67">
      <formula>kvartal &lt; 4</formula>
    </cfRule>
  </conditionalFormatting>
  <conditionalFormatting sqref="F91:G92">
    <cfRule type="expression" dxfId="673" priority="62">
      <formula>kvartal &lt; 4</formula>
    </cfRule>
  </conditionalFormatting>
  <conditionalFormatting sqref="F94:G95">
    <cfRule type="expression" dxfId="672" priority="61">
      <formula>kvartal &lt; 4</formula>
    </cfRule>
  </conditionalFormatting>
  <conditionalFormatting sqref="F102:G103">
    <cfRule type="expression" dxfId="671" priority="60">
      <formula>kvartal &lt; 4</formula>
    </cfRule>
  </conditionalFormatting>
  <conditionalFormatting sqref="F105:G106">
    <cfRule type="expression" dxfId="670" priority="59">
      <formula>kvartal &lt; 4</formula>
    </cfRule>
  </conditionalFormatting>
  <conditionalFormatting sqref="F115">
    <cfRule type="expression" dxfId="669" priority="58">
      <formula>kvartal &lt; 4</formula>
    </cfRule>
  </conditionalFormatting>
  <conditionalFormatting sqref="G115">
    <cfRule type="expression" dxfId="668" priority="57">
      <formula>kvartal &lt; 4</formula>
    </cfRule>
  </conditionalFormatting>
  <conditionalFormatting sqref="F123:G123">
    <cfRule type="expression" dxfId="667" priority="56">
      <formula>kvartal &lt; 4</formula>
    </cfRule>
  </conditionalFormatting>
  <conditionalFormatting sqref="F69:G69">
    <cfRule type="expression" dxfId="666" priority="55">
      <formula>kvartal &lt; 4</formula>
    </cfRule>
  </conditionalFormatting>
  <conditionalFormatting sqref="F72:G72">
    <cfRule type="expression" dxfId="665" priority="54">
      <formula>kvartal &lt; 4</formula>
    </cfRule>
  </conditionalFormatting>
  <conditionalFormatting sqref="F80:G80">
    <cfRule type="expression" dxfId="664" priority="53">
      <formula>kvartal &lt; 4</formula>
    </cfRule>
  </conditionalFormatting>
  <conditionalFormatting sqref="F83:G83">
    <cfRule type="expression" dxfId="663" priority="52">
      <formula>kvartal &lt; 4</formula>
    </cfRule>
  </conditionalFormatting>
  <conditionalFormatting sqref="F90:G90">
    <cfRule type="expression" dxfId="662" priority="46">
      <formula>kvartal &lt; 4</formula>
    </cfRule>
  </conditionalFormatting>
  <conditionalFormatting sqref="F93">
    <cfRule type="expression" dxfId="661" priority="45">
      <formula>kvartal &lt; 4</formula>
    </cfRule>
  </conditionalFormatting>
  <conditionalFormatting sqref="G93">
    <cfRule type="expression" dxfId="660" priority="44">
      <formula>kvartal &lt; 4</formula>
    </cfRule>
  </conditionalFormatting>
  <conditionalFormatting sqref="F101">
    <cfRule type="expression" dxfId="659" priority="43">
      <formula>kvartal &lt; 4</formula>
    </cfRule>
  </conditionalFormatting>
  <conditionalFormatting sqref="G101">
    <cfRule type="expression" dxfId="658" priority="42">
      <formula>kvartal &lt; 4</formula>
    </cfRule>
  </conditionalFormatting>
  <conditionalFormatting sqref="G104">
    <cfRule type="expression" dxfId="657" priority="41">
      <formula>kvartal &lt; 4</formula>
    </cfRule>
  </conditionalFormatting>
  <conditionalFormatting sqref="F104">
    <cfRule type="expression" dxfId="656" priority="40">
      <formula>kvartal &lt; 4</formula>
    </cfRule>
  </conditionalFormatting>
  <conditionalFormatting sqref="J69:K73">
    <cfRule type="expression" dxfId="655" priority="39">
      <formula>kvartal &lt; 4</formula>
    </cfRule>
  </conditionalFormatting>
  <conditionalFormatting sqref="J74:K74">
    <cfRule type="expression" dxfId="654" priority="38">
      <formula>kvartal &lt; 4</formula>
    </cfRule>
  </conditionalFormatting>
  <conditionalFormatting sqref="J80:K85">
    <cfRule type="expression" dxfId="653" priority="37">
      <formula>kvartal &lt; 4</formula>
    </cfRule>
  </conditionalFormatting>
  <conditionalFormatting sqref="J90:K95">
    <cfRule type="expression" dxfId="652" priority="34">
      <formula>kvartal &lt; 4</formula>
    </cfRule>
  </conditionalFormatting>
  <conditionalFormatting sqref="J101:K106">
    <cfRule type="expression" dxfId="651" priority="33">
      <formula>kvartal &lt; 4</formula>
    </cfRule>
  </conditionalFormatting>
  <conditionalFormatting sqref="J115:K115">
    <cfRule type="expression" dxfId="650" priority="32">
      <formula>kvartal &lt; 4</formula>
    </cfRule>
  </conditionalFormatting>
  <conditionalFormatting sqref="J123:K123">
    <cfRule type="expression" dxfId="649" priority="31">
      <formula>kvartal &lt; 4</formula>
    </cfRule>
  </conditionalFormatting>
  <conditionalFormatting sqref="A50:A52">
    <cfRule type="expression" dxfId="648" priority="12">
      <formula>kvartal &lt; 4</formula>
    </cfRule>
  </conditionalFormatting>
  <conditionalFormatting sqref="A69:A74">
    <cfRule type="expression" dxfId="647" priority="10">
      <formula>kvartal &lt; 4</formula>
    </cfRule>
  </conditionalFormatting>
  <conditionalFormatting sqref="A80:A85">
    <cfRule type="expression" dxfId="646" priority="9">
      <formula>kvartal &lt; 4</formula>
    </cfRule>
  </conditionalFormatting>
  <conditionalFormatting sqref="A90:A95">
    <cfRule type="expression" dxfId="645" priority="6">
      <formula>kvartal &lt; 4</formula>
    </cfRule>
  </conditionalFormatting>
  <conditionalFormatting sqref="A101:A106">
    <cfRule type="expression" dxfId="644" priority="5">
      <formula>kvartal &lt; 4</formula>
    </cfRule>
  </conditionalFormatting>
  <conditionalFormatting sqref="A115">
    <cfRule type="expression" dxfId="643" priority="4">
      <formula>kvartal &lt; 4</formula>
    </cfRule>
  </conditionalFormatting>
  <conditionalFormatting sqref="A123">
    <cfRule type="expression" dxfId="642" priority="3">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586" t="s">
        <v>366</v>
      </c>
      <c r="D1" s="26"/>
      <c r="E1" s="26"/>
      <c r="F1" s="26"/>
      <c r="G1" s="26"/>
      <c r="H1" s="26"/>
      <c r="I1" s="26"/>
      <c r="J1" s="26"/>
      <c r="K1" s="26"/>
      <c r="L1" s="26"/>
      <c r="M1" s="26"/>
    </row>
    <row r="2" spans="1:14" ht="15.75" x14ac:dyDescent="0.25">
      <c r="A2" s="165" t="s">
        <v>28</v>
      </c>
      <c r="B2" s="736"/>
      <c r="C2" s="736"/>
      <c r="D2" s="736"/>
      <c r="E2" s="583"/>
      <c r="F2" s="736"/>
      <c r="G2" s="736"/>
      <c r="H2" s="736"/>
      <c r="I2" s="583"/>
      <c r="J2" s="736"/>
      <c r="K2" s="736"/>
      <c r="L2" s="736"/>
      <c r="M2" s="583"/>
    </row>
    <row r="3" spans="1:14" ht="15.75" x14ac:dyDescent="0.25">
      <c r="A3" s="163"/>
      <c r="B3" s="583"/>
      <c r="C3" s="583"/>
      <c r="D3" s="583"/>
      <c r="E3" s="583"/>
      <c r="F3" s="583"/>
      <c r="G3" s="583"/>
      <c r="H3" s="583"/>
      <c r="I3" s="583"/>
      <c r="J3" s="583"/>
      <c r="K3" s="583"/>
      <c r="L3" s="583"/>
      <c r="M3" s="583"/>
    </row>
    <row r="4" spans="1:14" x14ac:dyDescent="0.2">
      <c r="A4" s="144"/>
      <c r="B4" s="737" t="s">
        <v>0</v>
      </c>
      <c r="C4" s="738"/>
      <c r="D4" s="738"/>
      <c r="E4" s="581"/>
      <c r="F4" s="737" t="s">
        <v>1</v>
      </c>
      <c r="G4" s="738"/>
      <c r="H4" s="738"/>
      <c r="I4" s="582"/>
      <c r="J4" s="737" t="s">
        <v>2</v>
      </c>
      <c r="K4" s="738"/>
      <c r="L4" s="738"/>
      <c r="M4" s="582"/>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v>1468.97373069841</v>
      </c>
      <c r="C7" s="306">
        <v>1387.1944973725599</v>
      </c>
      <c r="D7" s="349">
        <f>IF(B7=0, "    ---- ", IF(ABS(ROUND(100/B7*C7-100,1))&lt;999,ROUND(100/B7*C7-100,1),IF(ROUND(100/B7*C7-100,1)&gt;999,999,-999)))</f>
        <v>-5.6</v>
      </c>
      <c r="E7" s="11">
        <f>IFERROR(100/'Skjema total MA'!C7*C7,0)</f>
        <v>5.1620499653093954E-2</v>
      </c>
      <c r="F7" s="305"/>
      <c r="G7" s="306"/>
      <c r="H7" s="349"/>
      <c r="I7" s="160"/>
      <c r="J7" s="307">
        <f t="shared" ref="J7:K9" si="0">SUM(B7,F7)</f>
        <v>1468.97373069841</v>
      </c>
      <c r="K7" s="308">
        <f t="shared" si="0"/>
        <v>1387.1944973725599</v>
      </c>
      <c r="L7" s="426">
        <f>IF(J7=0, "    ---- ", IF(ABS(ROUND(100/J7*K7-100,1))&lt;999,ROUND(100/J7*K7-100,1),IF(ROUND(100/J7*K7-100,1)&gt;999,999,-999)))</f>
        <v>-5.6</v>
      </c>
      <c r="M7" s="11">
        <f>IFERROR(100/'Skjema total MA'!I7*K7,0)</f>
        <v>1.8720399618587281E-2</v>
      </c>
    </row>
    <row r="8" spans="1:14" ht="15.75" x14ac:dyDescent="0.2">
      <c r="A8" s="21" t="s">
        <v>25</v>
      </c>
      <c r="B8" s="280"/>
      <c r="C8" s="281"/>
      <c r="D8" s="166"/>
      <c r="E8" s="27"/>
      <c r="F8" s="284"/>
      <c r="G8" s="285"/>
      <c r="H8" s="166"/>
      <c r="I8" s="175"/>
      <c r="J8" s="233"/>
      <c r="K8" s="286"/>
      <c r="L8" s="253"/>
      <c r="M8" s="27"/>
    </row>
    <row r="9" spans="1:14" ht="15.75" x14ac:dyDescent="0.2">
      <c r="A9" s="21" t="s">
        <v>24</v>
      </c>
      <c r="B9" s="280">
        <v>1468.97373069841</v>
      </c>
      <c r="C9" s="281">
        <v>1387.1944973725599</v>
      </c>
      <c r="D9" s="166">
        <f t="shared" ref="D9" si="1">IF(B9=0, "    ---- ", IF(ABS(ROUND(100/B9*C9-100,1))&lt;999,ROUND(100/B9*C9-100,1),IF(ROUND(100/B9*C9-100,1)&gt;999,999,-999)))</f>
        <v>-5.6</v>
      </c>
      <c r="E9" s="27">
        <f>IFERROR(100/'Skjema total MA'!C9*C9,0)</f>
        <v>0.26678323870852272</v>
      </c>
      <c r="F9" s="284"/>
      <c r="G9" s="285"/>
      <c r="H9" s="166"/>
      <c r="I9" s="175"/>
      <c r="J9" s="233">
        <f t="shared" si="0"/>
        <v>1468.97373069841</v>
      </c>
      <c r="K9" s="286">
        <f t="shared" si="0"/>
        <v>1387.1944973725599</v>
      </c>
      <c r="L9" s="166">
        <f t="shared" ref="L9" si="2">IF(J9=0, "    ---- ", IF(ABS(ROUND(100/J9*K9-100,1))&lt;999,ROUND(100/J9*K9-100,1),IF(ROUND(100/J9*K9-100,1)&gt;999,999,-999)))</f>
        <v>-5.6</v>
      </c>
      <c r="M9" s="27">
        <f>IFERROR(100/'Skjema total MA'!I9*K9,0)</f>
        <v>0.26678323870852272</v>
      </c>
    </row>
    <row r="10" spans="1:14" ht="15.75" x14ac:dyDescent="0.2">
      <c r="A10" s="13" t="s">
        <v>367</v>
      </c>
      <c r="B10" s="309"/>
      <c r="C10" s="310"/>
      <c r="D10" s="171"/>
      <c r="E10" s="11"/>
      <c r="F10" s="309"/>
      <c r="G10" s="310"/>
      <c r="H10" s="171"/>
      <c r="I10" s="160"/>
      <c r="J10" s="307"/>
      <c r="K10" s="308"/>
      <c r="L10" s="427"/>
      <c r="M10" s="11"/>
    </row>
    <row r="11" spans="1:14" s="43" customFormat="1" ht="15.75" x14ac:dyDescent="0.2">
      <c r="A11" s="13" t="s">
        <v>368</v>
      </c>
      <c r="B11" s="309"/>
      <c r="C11" s="310"/>
      <c r="D11" s="171"/>
      <c r="E11" s="11"/>
      <c r="F11" s="309"/>
      <c r="G11" s="310"/>
      <c r="H11" s="171"/>
      <c r="I11" s="160"/>
      <c r="J11" s="307"/>
      <c r="K11" s="308"/>
      <c r="L11" s="427"/>
      <c r="M11" s="11"/>
      <c r="N11" s="143"/>
    </row>
    <row r="12" spans="1:14" s="43" customFormat="1" ht="15.75" x14ac:dyDescent="0.2">
      <c r="A12" s="41" t="s">
        <v>369</v>
      </c>
      <c r="B12" s="311"/>
      <c r="C12" s="312"/>
      <c r="D12" s="169"/>
      <c r="E12" s="36"/>
      <c r="F12" s="311"/>
      <c r="G12" s="312"/>
      <c r="H12" s="169"/>
      <c r="I12" s="169"/>
      <c r="J12" s="313"/>
      <c r="K12" s="314"/>
      <c r="L12" s="428"/>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583"/>
      <c r="F18" s="739"/>
      <c r="G18" s="739"/>
      <c r="H18" s="739"/>
      <c r="I18" s="583"/>
      <c r="J18" s="739"/>
      <c r="K18" s="739"/>
      <c r="L18" s="739"/>
      <c r="M18" s="583"/>
    </row>
    <row r="19" spans="1:14" x14ac:dyDescent="0.2">
      <c r="A19" s="144"/>
      <c r="B19" s="737" t="s">
        <v>0</v>
      </c>
      <c r="C19" s="738"/>
      <c r="D19" s="738"/>
      <c r="E19" s="581"/>
      <c r="F19" s="737" t="s">
        <v>1</v>
      </c>
      <c r="G19" s="738"/>
      <c r="H19" s="738"/>
      <c r="I19" s="582"/>
      <c r="J19" s="737" t="s">
        <v>2</v>
      </c>
      <c r="K19" s="738"/>
      <c r="L19" s="738"/>
      <c r="M19" s="582"/>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426"/>
      <c r="M22" s="24"/>
    </row>
    <row r="23" spans="1:14" ht="15.75" x14ac:dyDescent="0.2">
      <c r="A23" s="587" t="s">
        <v>370</v>
      </c>
      <c r="B23" s="280"/>
      <c r="C23" s="280"/>
      <c r="D23" s="166"/>
      <c r="E23" s="11"/>
      <c r="F23" s="289"/>
      <c r="G23" s="289"/>
      <c r="H23" s="166"/>
      <c r="I23" s="416"/>
      <c r="J23" s="289"/>
      <c r="K23" s="289"/>
      <c r="L23" s="166"/>
      <c r="M23" s="23"/>
    </row>
    <row r="24" spans="1:14" ht="15.75" x14ac:dyDescent="0.2">
      <c r="A24" s="587" t="s">
        <v>371</v>
      </c>
      <c r="B24" s="280"/>
      <c r="C24" s="280"/>
      <c r="D24" s="166"/>
      <c r="E24" s="11"/>
      <c r="F24" s="289"/>
      <c r="G24" s="289"/>
      <c r="H24" s="166"/>
      <c r="I24" s="416"/>
      <c r="J24" s="289"/>
      <c r="K24" s="289"/>
      <c r="L24" s="166"/>
      <c r="M24" s="23"/>
    </row>
    <row r="25" spans="1:14" ht="15.75" x14ac:dyDescent="0.2">
      <c r="A25" s="587" t="s">
        <v>372</v>
      </c>
      <c r="B25" s="280"/>
      <c r="C25" s="280"/>
      <c r="D25" s="166"/>
      <c r="E25" s="11"/>
      <c r="F25" s="289"/>
      <c r="G25" s="289"/>
      <c r="H25" s="166"/>
      <c r="I25" s="416"/>
      <c r="J25" s="289"/>
      <c r="K25" s="289"/>
      <c r="L25" s="166"/>
      <c r="M25" s="23"/>
    </row>
    <row r="26" spans="1:14" ht="15.75" x14ac:dyDescent="0.2">
      <c r="A26" s="587" t="s">
        <v>373</v>
      </c>
      <c r="B26" s="280"/>
      <c r="C26" s="280"/>
      <c r="D26" s="166"/>
      <c r="E26" s="11"/>
      <c r="F26" s="289"/>
      <c r="G26" s="289"/>
      <c r="H26" s="166"/>
      <c r="I26" s="416"/>
      <c r="J26" s="289"/>
      <c r="K26" s="289"/>
      <c r="L26" s="166"/>
      <c r="M26" s="23"/>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c r="C28" s="286"/>
      <c r="D28" s="166"/>
      <c r="E28" s="11"/>
      <c r="F28" s="233"/>
      <c r="G28" s="286"/>
      <c r="H28" s="166"/>
      <c r="I28" s="27"/>
      <c r="J28" s="44"/>
      <c r="K28" s="44"/>
      <c r="L28" s="253"/>
      <c r="M28" s="23"/>
    </row>
    <row r="29" spans="1:14" s="3" customFormat="1" ht="15.75" x14ac:dyDescent="0.2">
      <c r="A29" s="13" t="s">
        <v>367</v>
      </c>
      <c r="B29" s="235"/>
      <c r="C29" s="235"/>
      <c r="D29" s="171"/>
      <c r="E29" s="11"/>
      <c r="F29" s="307"/>
      <c r="G29" s="307"/>
      <c r="H29" s="171"/>
      <c r="I29" s="11"/>
      <c r="J29" s="235"/>
      <c r="K29" s="235"/>
      <c r="L29" s="427"/>
      <c r="M29" s="24"/>
      <c r="N29" s="148"/>
    </row>
    <row r="30" spans="1:14" s="3" customFormat="1" ht="15.75" x14ac:dyDescent="0.2">
      <c r="A30" s="587" t="s">
        <v>370</v>
      </c>
      <c r="B30" s="280"/>
      <c r="C30" s="280"/>
      <c r="D30" s="166"/>
      <c r="E30" s="11"/>
      <c r="F30" s="289"/>
      <c r="G30" s="289"/>
      <c r="H30" s="166"/>
      <c r="I30" s="416"/>
      <c r="J30" s="289"/>
      <c r="K30" s="289"/>
      <c r="L30" s="166"/>
      <c r="M30" s="23"/>
      <c r="N30" s="148"/>
    </row>
    <row r="31" spans="1:14" s="3" customFormat="1" ht="15.75" x14ac:dyDescent="0.2">
      <c r="A31" s="587" t="s">
        <v>371</v>
      </c>
      <c r="B31" s="280"/>
      <c r="C31" s="280"/>
      <c r="D31" s="166"/>
      <c r="E31" s="11"/>
      <c r="F31" s="289"/>
      <c r="G31" s="289"/>
      <c r="H31" s="166"/>
      <c r="I31" s="416"/>
      <c r="J31" s="289"/>
      <c r="K31" s="289"/>
      <c r="L31" s="166"/>
      <c r="M31" s="23"/>
      <c r="N31" s="148"/>
    </row>
    <row r="32" spans="1:14" ht="15.75" x14ac:dyDescent="0.2">
      <c r="A32" s="587" t="s">
        <v>372</v>
      </c>
      <c r="B32" s="280"/>
      <c r="C32" s="280"/>
      <c r="D32" s="166"/>
      <c r="E32" s="11"/>
      <c r="F32" s="289"/>
      <c r="G32" s="289"/>
      <c r="H32" s="166"/>
      <c r="I32" s="416"/>
      <c r="J32" s="289"/>
      <c r="K32" s="289"/>
      <c r="L32" s="166"/>
      <c r="M32" s="23"/>
    </row>
    <row r="33" spans="1:14" ht="15.75" x14ac:dyDescent="0.2">
      <c r="A33" s="587" t="s">
        <v>373</v>
      </c>
      <c r="B33" s="280"/>
      <c r="C33" s="280"/>
      <c r="D33" s="166"/>
      <c r="E33" s="11"/>
      <c r="F33" s="289"/>
      <c r="G33" s="289"/>
      <c r="H33" s="166"/>
      <c r="I33" s="416"/>
      <c r="J33" s="289"/>
      <c r="K33" s="289"/>
      <c r="L33" s="166"/>
      <c r="M33" s="23"/>
    </row>
    <row r="34" spans="1:14" ht="15.75" x14ac:dyDescent="0.2">
      <c r="A34" s="13" t="s">
        <v>368</v>
      </c>
      <c r="B34" s="235"/>
      <c r="C34" s="308"/>
      <c r="D34" s="171"/>
      <c r="E34" s="11"/>
      <c r="F34" s="307"/>
      <c r="G34" s="308"/>
      <c r="H34" s="171"/>
      <c r="I34" s="11"/>
      <c r="J34" s="235"/>
      <c r="K34" s="235"/>
      <c r="L34" s="427"/>
      <c r="M34" s="24"/>
    </row>
    <row r="35" spans="1:14" ht="15.75" x14ac:dyDescent="0.2">
      <c r="A35" s="13" t="s">
        <v>369</v>
      </c>
      <c r="B35" s="235"/>
      <c r="C35" s="308"/>
      <c r="D35" s="171"/>
      <c r="E35" s="11"/>
      <c r="F35" s="307"/>
      <c r="G35" s="308"/>
      <c r="H35" s="171"/>
      <c r="I35" s="11"/>
      <c r="J35" s="235"/>
      <c r="K35" s="235"/>
      <c r="L35" s="427"/>
      <c r="M35" s="24"/>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585"/>
    </row>
    <row r="41" spans="1:14" x14ac:dyDescent="0.2">
      <c r="A41" s="155"/>
    </row>
    <row r="42" spans="1:14" ht="15.75" x14ac:dyDescent="0.25">
      <c r="A42" s="147" t="s">
        <v>275</v>
      </c>
      <c r="B42" s="736"/>
      <c r="C42" s="736"/>
      <c r="D42" s="736"/>
      <c r="E42" s="583"/>
      <c r="F42" s="741"/>
      <c r="G42" s="741"/>
      <c r="H42" s="741"/>
      <c r="I42" s="585"/>
      <c r="J42" s="741"/>
      <c r="K42" s="741"/>
      <c r="L42" s="741"/>
      <c r="M42" s="585"/>
    </row>
    <row r="43" spans="1:14" ht="15.75" x14ac:dyDescent="0.25">
      <c r="A43" s="163"/>
      <c r="B43" s="584"/>
      <c r="C43" s="584"/>
      <c r="D43" s="584"/>
      <c r="E43" s="584"/>
      <c r="F43" s="585"/>
      <c r="G43" s="585"/>
      <c r="H43" s="585"/>
      <c r="I43" s="585"/>
      <c r="J43" s="585"/>
      <c r="K43" s="585"/>
      <c r="L43" s="585"/>
      <c r="M43" s="585"/>
    </row>
    <row r="44" spans="1:14" ht="15.75" x14ac:dyDescent="0.25">
      <c r="A44" s="246"/>
      <c r="B44" s="737" t="s">
        <v>0</v>
      </c>
      <c r="C44" s="738"/>
      <c r="D44" s="738"/>
      <c r="E44" s="242"/>
      <c r="F44" s="585"/>
      <c r="G44" s="585"/>
      <c r="H44" s="585"/>
      <c r="I44" s="585"/>
      <c r="J44" s="585"/>
      <c r="K44" s="585"/>
      <c r="L44" s="585"/>
      <c r="M44" s="585"/>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v>253139.66236868699</v>
      </c>
      <c r="C47" s="310">
        <v>262218.98743644601</v>
      </c>
      <c r="D47" s="426">
        <f t="shared" ref="D47:D48" si="3">IF(B47=0, "    ---- ", IF(ABS(ROUND(100/B47*C47-100,1))&lt;999,ROUND(100/B47*C47-100,1),IF(ROUND(100/B47*C47-100,1)&gt;999,999,-999)))</f>
        <v>3.6</v>
      </c>
      <c r="E47" s="11">
        <f>IFERROR(100/'Skjema total MA'!C47*C47,0)</f>
        <v>7.1796427743193743</v>
      </c>
      <c r="F47" s="145"/>
      <c r="G47" s="33"/>
      <c r="H47" s="159"/>
      <c r="I47" s="159"/>
      <c r="J47" s="37"/>
      <c r="K47" s="37"/>
      <c r="L47" s="159"/>
      <c r="M47" s="159"/>
      <c r="N47" s="148"/>
    </row>
    <row r="48" spans="1:14" s="3" customFormat="1" ht="15.75" x14ac:dyDescent="0.2">
      <c r="A48" s="38" t="s">
        <v>378</v>
      </c>
      <c r="B48" s="280">
        <v>253139.66236868699</v>
      </c>
      <c r="C48" s="281">
        <v>262218.98743644601</v>
      </c>
      <c r="D48" s="253">
        <f t="shared" si="3"/>
        <v>3.6</v>
      </c>
      <c r="E48" s="27">
        <f>IFERROR(100/'Skjema total MA'!C48*C48,0)</f>
        <v>12.677436817834005</v>
      </c>
      <c r="F48" s="145"/>
      <c r="G48" s="33"/>
      <c r="H48" s="145"/>
      <c r="I48" s="145"/>
      <c r="J48" s="33"/>
      <c r="K48" s="33"/>
      <c r="L48" s="159"/>
      <c r="M48" s="159"/>
      <c r="N48" s="148"/>
    </row>
    <row r="49" spans="1:14" s="3" customFormat="1" ht="15.75" x14ac:dyDescent="0.2">
      <c r="A49" s="38" t="s">
        <v>379</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c r="C53" s="310"/>
      <c r="D53" s="427"/>
      <c r="E53" s="11"/>
      <c r="F53" s="145"/>
      <c r="G53" s="33"/>
      <c r="H53" s="145"/>
      <c r="I53" s="145"/>
      <c r="J53" s="33"/>
      <c r="K53" s="33"/>
      <c r="L53" s="159"/>
      <c r="M53" s="159"/>
      <c r="N53" s="148"/>
    </row>
    <row r="54" spans="1:14" s="3" customFormat="1" ht="15.75" x14ac:dyDescent="0.2">
      <c r="A54" s="38" t="s">
        <v>378</v>
      </c>
      <c r="B54" s="280"/>
      <c r="C54" s="281"/>
      <c r="D54" s="253"/>
      <c r="E54" s="27"/>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c r="C56" s="310"/>
      <c r="D56" s="427"/>
      <c r="E56" s="11"/>
      <c r="F56" s="145"/>
      <c r="G56" s="33"/>
      <c r="H56" s="145"/>
      <c r="I56" s="145"/>
      <c r="J56" s="33"/>
      <c r="K56" s="33"/>
      <c r="L56" s="159"/>
      <c r="M56" s="159"/>
      <c r="N56" s="148"/>
    </row>
    <row r="57" spans="1:14" s="3" customFormat="1" ht="15.75" x14ac:dyDescent="0.2">
      <c r="A57" s="38" t="s">
        <v>378</v>
      </c>
      <c r="B57" s="280"/>
      <c r="C57" s="281"/>
      <c r="D57" s="253"/>
      <c r="E57" s="27"/>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583"/>
      <c r="F62" s="739"/>
      <c r="G62" s="739"/>
      <c r="H62" s="739"/>
      <c r="I62" s="583"/>
      <c r="J62" s="739"/>
      <c r="K62" s="739"/>
      <c r="L62" s="739"/>
      <c r="M62" s="583"/>
    </row>
    <row r="63" spans="1:14" x14ac:dyDescent="0.2">
      <c r="A63" s="144"/>
      <c r="B63" s="737" t="s">
        <v>0</v>
      </c>
      <c r="C63" s="738"/>
      <c r="D63" s="742"/>
      <c r="E63" s="580"/>
      <c r="F63" s="738" t="s">
        <v>1</v>
      </c>
      <c r="G63" s="738"/>
      <c r="H63" s="738"/>
      <c r="I63" s="582"/>
      <c r="J63" s="737" t="s">
        <v>2</v>
      </c>
      <c r="K63" s="738"/>
      <c r="L63" s="738"/>
      <c r="M63" s="582"/>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c r="C66" s="352"/>
      <c r="D66" s="349"/>
      <c r="E66" s="11"/>
      <c r="F66" s="351"/>
      <c r="G66" s="351"/>
      <c r="H66" s="349"/>
      <c r="I66" s="11"/>
      <c r="J66" s="308"/>
      <c r="K66" s="315"/>
      <c r="L66" s="427"/>
      <c r="M66" s="11"/>
    </row>
    <row r="67" spans="1:14" x14ac:dyDescent="0.2">
      <c r="A67" s="41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c r="G86" s="145"/>
      <c r="H86" s="166"/>
      <c r="I86" s="27"/>
      <c r="J86" s="286"/>
      <c r="K86" s="44"/>
      <c r="L86" s="253"/>
      <c r="M86" s="27"/>
    </row>
    <row r="87" spans="1:13" ht="15.75" x14ac:dyDescent="0.2">
      <c r="A87" s="13" t="s">
        <v>367</v>
      </c>
      <c r="B87" s="352"/>
      <c r="C87" s="352"/>
      <c r="D87" s="171"/>
      <c r="E87" s="11"/>
      <c r="F87" s="351"/>
      <c r="G87" s="351"/>
      <c r="H87" s="171"/>
      <c r="I87" s="11"/>
      <c r="J87" s="308"/>
      <c r="K87" s="235"/>
      <c r="L87" s="427"/>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row>
    <row r="98" spans="1:13" ht="15.75" x14ac:dyDescent="0.2">
      <c r="A98" s="21" t="s">
        <v>384</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c r="G107" s="145"/>
      <c r="H107" s="166"/>
      <c r="I107" s="27"/>
      <c r="J107" s="286"/>
      <c r="K107" s="44"/>
      <c r="L107" s="253"/>
      <c r="M107" s="27"/>
    </row>
    <row r="108" spans="1:13" ht="15.75" x14ac:dyDescent="0.2">
      <c r="A108" s="21" t="s">
        <v>386</v>
      </c>
      <c r="B108" s="233"/>
      <c r="C108" s="233"/>
      <c r="D108" s="166"/>
      <c r="E108" s="27"/>
      <c r="F108" s="233"/>
      <c r="G108" s="233"/>
      <c r="H108" s="166"/>
      <c r="I108" s="27"/>
      <c r="J108" s="286"/>
      <c r="K108" s="44"/>
      <c r="L108" s="253"/>
      <c r="M108" s="27"/>
    </row>
    <row r="109" spans="1:13" ht="15.75" x14ac:dyDescent="0.2">
      <c r="A109" s="21" t="s">
        <v>387</v>
      </c>
      <c r="B109" s="233"/>
      <c r="C109" s="233"/>
      <c r="D109" s="166"/>
      <c r="E109" s="27"/>
      <c r="F109" s="233"/>
      <c r="G109" s="233"/>
      <c r="H109" s="166"/>
      <c r="I109" s="27"/>
      <c r="J109" s="286"/>
      <c r="K109" s="44"/>
      <c r="L109" s="253"/>
      <c r="M109" s="27"/>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c r="C111" s="159"/>
      <c r="D111" s="171"/>
      <c r="E111" s="11"/>
      <c r="F111" s="307"/>
      <c r="G111" s="159"/>
      <c r="H111" s="171"/>
      <c r="I111" s="11"/>
      <c r="J111" s="308"/>
      <c r="K111" s="235"/>
      <c r="L111" s="427"/>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c r="C116" s="233"/>
      <c r="D116" s="166"/>
      <c r="E116" s="27"/>
      <c r="F116" s="233"/>
      <c r="G116" s="233"/>
      <c r="H116" s="166"/>
      <c r="I116" s="27"/>
      <c r="J116" s="286"/>
      <c r="K116" s="44"/>
      <c r="L116" s="253"/>
      <c r="M116" s="27"/>
    </row>
    <row r="117" spans="1:14" ht="15.75" x14ac:dyDescent="0.2">
      <c r="A117" s="21" t="s">
        <v>390</v>
      </c>
      <c r="B117" s="233"/>
      <c r="C117" s="233"/>
      <c r="D117" s="166"/>
      <c r="E117" s="27"/>
      <c r="F117" s="233"/>
      <c r="G117" s="233"/>
      <c r="H117" s="166"/>
      <c r="I117" s="27"/>
      <c r="J117" s="286"/>
      <c r="K117" s="44"/>
      <c r="L117" s="253"/>
      <c r="M117" s="27"/>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c r="C119" s="159"/>
      <c r="D119" s="171"/>
      <c r="E119" s="11"/>
      <c r="F119" s="307"/>
      <c r="G119" s="159"/>
      <c r="H119" s="171"/>
      <c r="I119" s="11"/>
      <c r="J119" s="308"/>
      <c r="K119" s="235"/>
      <c r="L119" s="427"/>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c r="G125" s="233"/>
      <c r="H125" s="166"/>
      <c r="I125" s="27"/>
      <c r="J125" s="286"/>
      <c r="K125" s="44"/>
      <c r="L125" s="253"/>
      <c r="M125" s="27"/>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583"/>
      <c r="F130" s="739"/>
      <c r="G130" s="739"/>
      <c r="H130" s="739"/>
      <c r="I130" s="583"/>
      <c r="J130" s="739"/>
      <c r="K130" s="739"/>
      <c r="L130" s="739"/>
      <c r="M130" s="583"/>
    </row>
    <row r="131" spans="1:14" s="3" customFormat="1" x14ac:dyDescent="0.2">
      <c r="A131" s="144"/>
      <c r="B131" s="737" t="s">
        <v>0</v>
      </c>
      <c r="C131" s="738"/>
      <c r="D131" s="738"/>
      <c r="E131" s="581"/>
      <c r="F131" s="737" t="s">
        <v>1</v>
      </c>
      <c r="G131" s="738"/>
      <c r="H131" s="738"/>
      <c r="I131" s="582"/>
      <c r="J131" s="737" t="s">
        <v>2</v>
      </c>
      <c r="K131" s="738"/>
      <c r="L131" s="738"/>
      <c r="M131" s="582"/>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641" priority="82">
      <formula>kvartal &lt; 4</formula>
    </cfRule>
  </conditionalFormatting>
  <conditionalFormatting sqref="B69">
    <cfRule type="expression" dxfId="640" priority="61">
      <formula>kvartal &lt; 4</formula>
    </cfRule>
  </conditionalFormatting>
  <conditionalFormatting sqref="C69">
    <cfRule type="expression" dxfId="639" priority="60">
      <formula>kvartal &lt; 4</formula>
    </cfRule>
  </conditionalFormatting>
  <conditionalFormatting sqref="B72">
    <cfRule type="expression" dxfId="638" priority="59">
      <formula>kvartal &lt; 4</formula>
    </cfRule>
  </conditionalFormatting>
  <conditionalFormatting sqref="C72">
    <cfRule type="expression" dxfId="637" priority="58">
      <formula>kvartal &lt; 4</formula>
    </cfRule>
  </conditionalFormatting>
  <conditionalFormatting sqref="B80">
    <cfRule type="expression" dxfId="636" priority="57">
      <formula>kvartal &lt; 4</formula>
    </cfRule>
  </conditionalFormatting>
  <conditionalFormatting sqref="C80">
    <cfRule type="expression" dxfId="635" priority="56">
      <formula>kvartal &lt; 4</formula>
    </cfRule>
  </conditionalFormatting>
  <conditionalFormatting sqref="B83">
    <cfRule type="expression" dxfId="634" priority="55">
      <formula>kvartal &lt; 4</formula>
    </cfRule>
  </conditionalFormatting>
  <conditionalFormatting sqref="C83">
    <cfRule type="expression" dxfId="633" priority="54">
      <formula>kvartal &lt; 4</formula>
    </cfRule>
  </conditionalFormatting>
  <conditionalFormatting sqref="B90">
    <cfRule type="expression" dxfId="632" priority="53">
      <formula>kvartal &lt; 4</formula>
    </cfRule>
  </conditionalFormatting>
  <conditionalFormatting sqref="C90">
    <cfRule type="expression" dxfId="631" priority="52">
      <formula>kvartal &lt; 4</formula>
    </cfRule>
  </conditionalFormatting>
  <conditionalFormatting sqref="B93">
    <cfRule type="expression" dxfId="630" priority="51">
      <formula>kvartal &lt; 4</formula>
    </cfRule>
  </conditionalFormatting>
  <conditionalFormatting sqref="C93">
    <cfRule type="expression" dxfId="629" priority="50">
      <formula>kvartal &lt; 4</formula>
    </cfRule>
  </conditionalFormatting>
  <conditionalFormatting sqref="B101">
    <cfRule type="expression" dxfId="628" priority="49">
      <formula>kvartal &lt; 4</formula>
    </cfRule>
  </conditionalFormatting>
  <conditionalFormatting sqref="C101">
    <cfRule type="expression" dxfId="627" priority="48">
      <formula>kvartal &lt; 4</formula>
    </cfRule>
  </conditionalFormatting>
  <conditionalFormatting sqref="B104">
    <cfRule type="expression" dxfId="626" priority="47">
      <formula>kvartal &lt; 4</formula>
    </cfRule>
  </conditionalFormatting>
  <conditionalFormatting sqref="C104">
    <cfRule type="expression" dxfId="625" priority="46">
      <formula>kvartal &lt; 4</formula>
    </cfRule>
  </conditionalFormatting>
  <conditionalFormatting sqref="B115">
    <cfRule type="expression" dxfId="624" priority="45">
      <formula>kvartal &lt; 4</formula>
    </cfRule>
  </conditionalFormatting>
  <conditionalFormatting sqref="C115">
    <cfRule type="expression" dxfId="623" priority="44">
      <formula>kvartal &lt; 4</formula>
    </cfRule>
  </conditionalFormatting>
  <conditionalFormatting sqref="B123">
    <cfRule type="expression" dxfId="622" priority="43">
      <formula>kvartal &lt; 4</formula>
    </cfRule>
  </conditionalFormatting>
  <conditionalFormatting sqref="C123">
    <cfRule type="expression" dxfId="621" priority="42">
      <formula>kvartal &lt; 4</formula>
    </cfRule>
  </conditionalFormatting>
  <conditionalFormatting sqref="F70">
    <cfRule type="expression" dxfId="620" priority="41">
      <formula>kvartal &lt; 4</formula>
    </cfRule>
  </conditionalFormatting>
  <conditionalFormatting sqref="G70">
    <cfRule type="expression" dxfId="619" priority="40">
      <formula>kvartal &lt; 4</formula>
    </cfRule>
  </conditionalFormatting>
  <conditionalFormatting sqref="F71:G71">
    <cfRule type="expression" dxfId="618" priority="39">
      <formula>kvartal &lt; 4</formula>
    </cfRule>
  </conditionalFormatting>
  <conditionalFormatting sqref="F73:G74">
    <cfRule type="expression" dxfId="617" priority="38">
      <formula>kvartal &lt; 4</formula>
    </cfRule>
  </conditionalFormatting>
  <conditionalFormatting sqref="F81:G82">
    <cfRule type="expression" dxfId="616" priority="37">
      <formula>kvartal &lt; 4</formula>
    </cfRule>
  </conditionalFormatting>
  <conditionalFormatting sqref="F84:G85">
    <cfRule type="expression" dxfId="615" priority="36">
      <formula>kvartal &lt; 4</formula>
    </cfRule>
  </conditionalFormatting>
  <conditionalFormatting sqref="F91:G92">
    <cfRule type="expression" dxfId="614" priority="35">
      <formula>kvartal &lt; 4</formula>
    </cfRule>
  </conditionalFormatting>
  <conditionalFormatting sqref="F94:G95">
    <cfRule type="expression" dxfId="613" priority="34">
      <formula>kvartal &lt; 4</formula>
    </cfRule>
  </conditionalFormatting>
  <conditionalFormatting sqref="F102:G103">
    <cfRule type="expression" dxfId="612" priority="33">
      <formula>kvartal &lt; 4</formula>
    </cfRule>
  </conditionalFormatting>
  <conditionalFormatting sqref="F105:G106">
    <cfRule type="expression" dxfId="611" priority="32">
      <formula>kvartal &lt; 4</formula>
    </cfRule>
  </conditionalFormatting>
  <conditionalFormatting sqref="F115">
    <cfRule type="expression" dxfId="610" priority="31">
      <formula>kvartal &lt; 4</formula>
    </cfRule>
  </conditionalFormatting>
  <conditionalFormatting sqref="G115">
    <cfRule type="expression" dxfId="609" priority="30">
      <formula>kvartal &lt; 4</formula>
    </cfRule>
  </conditionalFormatting>
  <conditionalFormatting sqref="F123:G123">
    <cfRule type="expression" dxfId="608" priority="29">
      <formula>kvartal &lt; 4</formula>
    </cfRule>
  </conditionalFormatting>
  <conditionalFormatting sqref="F69:G69">
    <cfRule type="expression" dxfId="607" priority="28">
      <formula>kvartal &lt; 4</formula>
    </cfRule>
  </conditionalFormatting>
  <conditionalFormatting sqref="F72:G72">
    <cfRule type="expression" dxfId="606" priority="27">
      <formula>kvartal &lt; 4</formula>
    </cfRule>
  </conditionalFormatting>
  <conditionalFormatting sqref="F80:G80">
    <cfRule type="expression" dxfId="605" priority="26">
      <formula>kvartal &lt; 4</formula>
    </cfRule>
  </conditionalFormatting>
  <conditionalFormatting sqref="F83:G83">
    <cfRule type="expression" dxfId="604" priority="25">
      <formula>kvartal &lt; 4</formula>
    </cfRule>
  </conditionalFormatting>
  <conditionalFormatting sqref="F90:G90">
    <cfRule type="expression" dxfId="603" priority="24">
      <formula>kvartal &lt; 4</formula>
    </cfRule>
  </conditionalFormatting>
  <conditionalFormatting sqref="F93">
    <cfRule type="expression" dxfId="602" priority="23">
      <formula>kvartal &lt; 4</formula>
    </cfRule>
  </conditionalFormatting>
  <conditionalFormatting sqref="G93">
    <cfRule type="expression" dxfId="601" priority="22">
      <formula>kvartal &lt; 4</formula>
    </cfRule>
  </conditionalFormatting>
  <conditionalFormatting sqref="F101">
    <cfRule type="expression" dxfId="600" priority="21">
      <formula>kvartal &lt; 4</formula>
    </cfRule>
  </conditionalFormatting>
  <conditionalFormatting sqref="G101">
    <cfRule type="expression" dxfId="599" priority="20">
      <formula>kvartal &lt; 4</formula>
    </cfRule>
  </conditionalFormatting>
  <conditionalFormatting sqref="G104">
    <cfRule type="expression" dxfId="598" priority="19">
      <formula>kvartal &lt; 4</formula>
    </cfRule>
  </conditionalFormatting>
  <conditionalFormatting sqref="F104">
    <cfRule type="expression" dxfId="597" priority="18">
      <formula>kvartal &lt; 4</formula>
    </cfRule>
  </conditionalFormatting>
  <conditionalFormatting sqref="J69:K73">
    <cfRule type="expression" dxfId="596" priority="17">
      <formula>kvartal &lt; 4</formula>
    </cfRule>
  </conditionalFormatting>
  <conditionalFormatting sqref="J74:K74">
    <cfRule type="expression" dxfId="595" priority="16">
      <formula>kvartal &lt; 4</formula>
    </cfRule>
  </conditionalFormatting>
  <conditionalFormatting sqref="J80:K85">
    <cfRule type="expression" dxfId="594" priority="15">
      <formula>kvartal &lt; 4</formula>
    </cfRule>
  </conditionalFormatting>
  <conditionalFormatting sqref="J90:K95">
    <cfRule type="expression" dxfId="593" priority="14">
      <formula>kvartal &lt; 4</formula>
    </cfRule>
  </conditionalFormatting>
  <conditionalFormatting sqref="J101:K106">
    <cfRule type="expression" dxfId="592" priority="13">
      <formula>kvartal &lt; 4</formula>
    </cfRule>
  </conditionalFormatting>
  <conditionalFormatting sqref="J115:K115">
    <cfRule type="expression" dxfId="591" priority="12">
      <formula>kvartal &lt; 4</formula>
    </cfRule>
  </conditionalFormatting>
  <conditionalFormatting sqref="J123:K123">
    <cfRule type="expression" dxfId="590" priority="11">
      <formula>kvartal &lt; 4</formula>
    </cfRule>
  </conditionalFormatting>
  <conditionalFormatting sqref="A50:A52">
    <cfRule type="expression" dxfId="589" priority="8">
      <formula>kvartal &lt; 4</formula>
    </cfRule>
  </conditionalFormatting>
  <conditionalFormatting sqref="A69:A74">
    <cfRule type="expression" dxfId="588" priority="7">
      <formula>kvartal &lt; 4</formula>
    </cfRule>
  </conditionalFormatting>
  <conditionalFormatting sqref="A80:A85">
    <cfRule type="expression" dxfId="587" priority="6">
      <formula>kvartal &lt; 4</formula>
    </cfRule>
  </conditionalFormatting>
  <conditionalFormatting sqref="A90:A95">
    <cfRule type="expression" dxfId="586" priority="5">
      <formula>kvartal &lt; 4</formula>
    </cfRule>
  </conditionalFormatting>
  <conditionalFormatting sqref="A101:A106">
    <cfRule type="expression" dxfId="585" priority="4">
      <formula>kvartal &lt; 4</formula>
    </cfRule>
  </conditionalFormatting>
  <conditionalFormatting sqref="A115">
    <cfRule type="expression" dxfId="584" priority="3">
      <formula>kvartal &lt; 4</formula>
    </cfRule>
  </conditionalFormatting>
  <conditionalFormatting sqref="A123">
    <cfRule type="expression" dxfId="583" priority="2">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72</v>
      </c>
      <c r="D1" s="26"/>
      <c r="E1" s="26"/>
      <c r="F1" s="26"/>
      <c r="G1" s="26"/>
      <c r="H1" s="26"/>
      <c r="I1" s="26"/>
      <c r="J1" s="26"/>
      <c r="K1" s="26"/>
      <c r="L1" s="26"/>
      <c r="M1" s="26"/>
    </row>
    <row r="2" spans="1:14" ht="15.75" x14ac:dyDescent="0.25">
      <c r="A2" s="165" t="s">
        <v>28</v>
      </c>
      <c r="B2" s="736"/>
      <c r="C2" s="736"/>
      <c r="D2" s="736"/>
      <c r="E2" s="298"/>
      <c r="F2" s="736"/>
      <c r="G2" s="736"/>
      <c r="H2" s="736"/>
      <c r="I2" s="298"/>
      <c r="J2" s="736"/>
      <c r="K2" s="736"/>
      <c r="L2" s="736"/>
      <c r="M2" s="298"/>
    </row>
    <row r="3" spans="1:14" ht="15.75" x14ac:dyDescent="0.25">
      <c r="A3" s="163"/>
      <c r="B3" s="298"/>
      <c r="C3" s="298"/>
      <c r="D3" s="298"/>
      <c r="E3" s="298"/>
      <c r="F3" s="298"/>
      <c r="G3" s="298"/>
      <c r="H3" s="298"/>
      <c r="I3" s="298"/>
      <c r="J3" s="298"/>
      <c r="K3" s="298"/>
      <c r="L3" s="298"/>
      <c r="M3" s="298"/>
    </row>
    <row r="4" spans="1:14" x14ac:dyDescent="0.2">
      <c r="A4" s="144"/>
      <c r="B4" s="737" t="s">
        <v>0</v>
      </c>
      <c r="C4" s="738"/>
      <c r="D4" s="738"/>
      <c r="E4" s="300"/>
      <c r="F4" s="737" t="s">
        <v>1</v>
      </c>
      <c r="G4" s="738"/>
      <c r="H4" s="738"/>
      <c r="I4" s="303"/>
      <c r="J4" s="737" t="s">
        <v>2</v>
      </c>
      <c r="K4" s="738"/>
      <c r="L4" s="738"/>
      <c r="M4" s="303"/>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c r="C7" s="306"/>
      <c r="D7" s="349"/>
      <c r="E7" s="11"/>
      <c r="F7" s="305">
        <v>48236.799550000003</v>
      </c>
      <c r="G7" s="306">
        <v>43820.113420000001</v>
      </c>
      <c r="H7" s="349">
        <f>IF(F7=0, "    ---- ", IF(ABS(ROUND(100/F7*G7-100,1))&lt;999,ROUND(100/F7*G7-100,1),IF(ROUND(100/F7*G7-100,1)&gt;999,999,-999)))</f>
        <v>-9.1999999999999993</v>
      </c>
      <c r="I7" s="160">
        <f>IFERROR(100/'Skjema total MA'!F7*G7,0)</f>
        <v>0.92784672812738833</v>
      </c>
      <c r="J7" s="307">
        <f t="shared" ref="J7:K12" si="0">SUM(B7,F7)</f>
        <v>48236.799550000003</v>
      </c>
      <c r="K7" s="308">
        <f t="shared" si="0"/>
        <v>43820.113420000001</v>
      </c>
      <c r="L7" s="426">
        <f>IF(J7=0, "    ---- ", IF(ABS(ROUND(100/J7*K7-100,1))&lt;999,ROUND(100/J7*K7-100,1),IF(ROUND(100/J7*K7-100,1)&gt;999,999,-999)))</f>
        <v>-9.1999999999999993</v>
      </c>
      <c r="M7" s="11">
        <f>IFERROR(100/'Skjema total MA'!I7*K7,0)</f>
        <v>0.59135906039706754</v>
      </c>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c r="D9" s="166"/>
      <c r="E9" s="27"/>
      <c r="F9" s="284"/>
      <c r="G9" s="285"/>
      <c r="H9" s="166"/>
      <c r="I9" s="175"/>
      <c r="J9" s="233"/>
      <c r="K9" s="286"/>
      <c r="L9" s="253"/>
      <c r="M9" s="27"/>
    </row>
    <row r="10" spans="1:14" ht="15.75" x14ac:dyDescent="0.2">
      <c r="A10" s="13" t="s">
        <v>367</v>
      </c>
      <c r="B10" s="309"/>
      <c r="C10" s="310"/>
      <c r="D10" s="171"/>
      <c r="E10" s="11"/>
      <c r="F10" s="309">
        <v>853810.09080000001</v>
      </c>
      <c r="G10" s="310">
        <v>915274.03810000001</v>
      </c>
      <c r="H10" s="171">
        <f t="shared" ref="H10:H12" si="1">IF(F10=0, "    ---- ", IF(ABS(ROUND(100/F10*G10-100,1))&lt;999,ROUND(100/F10*G10-100,1),IF(ROUND(100/F10*G10-100,1)&gt;999,999,-999)))</f>
        <v>7.2</v>
      </c>
      <c r="I10" s="160">
        <f>IFERROR(100/'Skjema total MA'!F10*G10,0)</f>
        <v>1.7641964080601689</v>
      </c>
      <c r="J10" s="307">
        <f t="shared" si="0"/>
        <v>853810.09080000001</v>
      </c>
      <c r="K10" s="308">
        <f t="shared" si="0"/>
        <v>915274.03810000001</v>
      </c>
      <c r="L10" s="427">
        <f t="shared" ref="L10:L12" si="2">IF(J10=0, "    ---- ", IF(ABS(ROUND(100/J10*K10-100,1))&lt;999,ROUND(100/J10*K10-100,1),IF(ROUND(100/J10*K10-100,1)&gt;999,999,-999)))</f>
        <v>7.2</v>
      </c>
      <c r="M10" s="11">
        <f>IFERROR(100/'Skjema total MA'!I10*K10,0)</f>
        <v>1.3024298488053458</v>
      </c>
    </row>
    <row r="11" spans="1:14" s="43" customFormat="1" ht="15.75" x14ac:dyDescent="0.2">
      <c r="A11" s="13" t="s">
        <v>368</v>
      </c>
      <c r="B11" s="309"/>
      <c r="C11" s="310"/>
      <c r="D11" s="171"/>
      <c r="E11" s="11"/>
      <c r="F11" s="309">
        <v>7899.1570000000002</v>
      </c>
      <c r="G11" s="310">
        <v>6877.18</v>
      </c>
      <c r="H11" s="171">
        <f t="shared" si="1"/>
        <v>-12.9</v>
      </c>
      <c r="I11" s="160">
        <f>IFERROR(100/'Skjema total MA'!F11*G11,0)</f>
        <v>3.1624609840076436</v>
      </c>
      <c r="J11" s="307">
        <f t="shared" si="0"/>
        <v>7899.1570000000002</v>
      </c>
      <c r="K11" s="308">
        <f t="shared" si="0"/>
        <v>6877.18</v>
      </c>
      <c r="L11" s="427">
        <f t="shared" si="2"/>
        <v>-12.9</v>
      </c>
      <c r="M11" s="11">
        <f>IFERROR(100/'Skjema total MA'!I11*K11,0)</f>
        <v>2.9142702360444455</v>
      </c>
      <c r="N11" s="143"/>
    </row>
    <row r="12" spans="1:14" s="43" customFormat="1" ht="15.75" x14ac:dyDescent="0.2">
      <c r="A12" s="41" t="s">
        <v>369</v>
      </c>
      <c r="B12" s="311"/>
      <c r="C12" s="312"/>
      <c r="D12" s="169"/>
      <c r="E12" s="36"/>
      <c r="F12" s="311">
        <v>1805.7926399999999</v>
      </c>
      <c r="G12" s="312">
        <v>255.10544999999999</v>
      </c>
      <c r="H12" s="169">
        <f t="shared" si="1"/>
        <v>-85.9</v>
      </c>
      <c r="I12" s="169">
        <f>IFERROR(100/'Skjema total MA'!F12*G12,0)</f>
        <v>0.165647114431308</v>
      </c>
      <c r="J12" s="313">
        <f t="shared" si="0"/>
        <v>1805.7926399999999</v>
      </c>
      <c r="K12" s="314">
        <f t="shared" si="0"/>
        <v>255.10544999999999</v>
      </c>
      <c r="L12" s="428">
        <f t="shared" si="2"/>
        <v>-85.9</v>
      </c>
      <c r="M12" s="36">
        <f>IFERROR(100/'Skjema total MA'!I12*K12,0)</f>
        <v>0.16310634507951821</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49"/>
      <c r="E22" s="11"/>
      <c r="F22" s="317">
        <v>21531.84779</v>
      </c>
      <c r="G22" s="317">
        <v>23325.158650000001</v>
      </c>
      <c r="H22" s="349">
        <f t="shared" ref="H22:H35" si="3">IF(F22=0, "    ---- ", IF(ABS(ROUND(100/F22*G22-100,1))&lt;999,ROUND(100/F22*G22-100,1),IF(ROUND(100/F22*G22-100,1)&gt;999,999,-999)))</f>
        <v>8.3000000000000007</v>
      </c>
      <c r="I22" s="11">
        <f>IFERROR(100/'Skjema total MA'!F22*G22,0)</f>
        <v>3.63223211262103</v>
      </c>
      <c r="J22" s="315">
        <f t="shared" ref="J22:K35" si="4">SUM(B22,F22)</f>
        <v>21531.84779</v>
      </c>
      <c r="K22" s="315">
        <f t="shared" si="4"/>
        <v>23325.158650000001</v>
      </c>
      <c r="L22" s="426">
        <f t="shared" ref="L22:L35" si="5">IF(J22=0, "    ---- ", IF(ABS(ROUND(100/J22*K22-100,1))&lt;999,ROUND(100/J22*K22-100,1),IF(ROUND(100/J22*K22-100,1)&gt;999,999,-999)))</f>
        <v>8.3000000000000007</v>
      </c>
      <c r="M22" s="24">
        <f>IFERROR(100/'Skjema total MA'!I22*K22,0)</f>
        <v>1.4311626712816714</v>
      </c>
    </row>
    <row r="23" spans="1:14" ht="15.75" x14ac:dyDescent="0.2">
      <c r="A23" s="587" t="s">
        <v>370</v>
      </c>
      <c r="B23" s="280"/>
      <c r="C23" s="280"/>
      <c r="D23" s="166"/>
      <c r="E23" s="11"/>
      <c r="F23" s="289">
        <v>186.8</v>
      </c>
      <c r="G23" s="289">
        <v>138.82565</v>
      </c>
      <c r="H23" s="166">
        <f t="shared" si="3"/>
        <v>-25.7</v>
      </c>
      <c r="I23" s="416">
        <f>IFERROR(100/'Skjema total MA'!F23*G23,0)</f>
        <v>0.15891122147504533</v>
      </c>
      <c r="J23" s="289">
        <f t="shared" ref="J23:J26" si="6">SUM(B23,F23)</f>
        <v>186.8</v>
      </c>
      <c r="K23" s="289">
        <f t="shared" ref="K23:K26" si="7">SUM(C23,G23)</f>
        <v>138.82565</v>
      </c>
      <c r="L23" s="166">
        <f t="shared" si="5"/>
        <v>-25.7</v>
      </c>
      <c r="M23" s="23">
        <f>IFERROR(100/'Skjema total MA'!I23*K23,0)</f>
        <v>2.7964074477161441E-2</v>
      </c>
    </row>
    <row r="24" spans="1:14" ht="15.75" x14ac:dyDescent="0.2">
      <c r="A24" s="587" t="s">
        <v>371</v>
      </c>
      <c r="B24" s="280"/>
      <c r="C24" s="280"/>
      <c r="D24" s="166"/>
      <c r="E24" s="11"/>
      <c r="F24" s="289"/>
      <c r="G24" s="289"/>
      <c r="H24" s="166"/>
      <c r="I24" s="416"/>
      <c r="J24" s="289"/>
      <c r="K24" s="289"/>
      <c r="L24" s="166"/>
      <c r="M24" s="23"/>
    </row>
    <row r="25" spans="1:14" ht="15.75" x14ac:dyDescent="0.2">
      <c r="A25" s="587" t="s">
        <v>372</v>
      </c>
      <c r="B25" s="280"/>
      <c r="C25" s="280"/>
      <c r="D25" s="166"/>
      <c r="E25" s="11"/>
      <c r="F25" s="289"/>
      <c r="G25" s="289"/>
      <c r="H25" s="166"/>
      <c r="I25" s="416"/>
      <c r="J25" s="289"/>
      <c r="K25" s="289"/>
      <c r="L25" s="166"/>
      <c r="M25" s="23"/>
    </row>
    <row r="26" spans="1:14" ht="15.75" x14ac:dyDescent="0.2">
      <c r="A26" s="587" t="s">
        <v>373</v>
      </c>
      <c r="B26" s="280"/>
      <c r="C26" s="280"/>
      <c r="D26" s="166"/>
      <c r="E26" s="11"/>
      <c r="F26" s="289">
        <v>21345.047790000001</v>
      </c>
      <c r="G26" s="289">
        <v>23186.332999999999</v>
      </c>
      <c r="H26" s="166">
        <f t="shared" si="3"/>
        <v>8.6</v>
      </c>
      <c r="I26" s="416">
        <f>IFERROR(100/'Skjema total MA'!F26*G26,0)</f>
        <v>4.3420636475607051</v>
      </c>
      <c r="J26" s="289">
        <f t="shared" si="6"/>
        <v>21345.047790000001</v>
      </c>
      <c r="K26" s="289">
        <f t="shared" si="7"/>
        <v>23186.332999999999</v>
      </c>
      <c r="L26" s="166">
        <f t="shared" ref="L26" si="8">IF(J26=0, "    ---- ", IF(ABS(ROUND(100/J26*K26-100,1))&lt;999,ROUND(100/J26*K26-100,1),IF(ROUND(100/J26*K26-100,1)&gt;999,999,-999)))</f>
        <v>8.6</v>
      </c>
      <c r="M26" s="23">
        <f>IFERROR(100/'Skjema total MA'!I26*K26,0)</f>
        <v>4.3420636475607051</v>
      </c>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c r="C28" s="286"/>
      <c r="D28" s="166"/>
      <c r="E28" s="11"/>
      <c r="F28" s="233"/>
      <c r="G28" s="286"/>
      <c r="H28" s="166"/>
      <c r="I28" s="27"/>
      <c r="J28" s="44"/>
      <c r="K28" s="44"/>
      <c r="L28" s="253"/>
      <c r="M28" s="23"/>
    </row>
    <row r="29" spans="1:14" s="3" customFormat="1" ht="15.75" x14ac:dyDescent="0.2">
      <c r="A29" s="13" t="s">
        <v>367</v>
      </c>
      <c r="B29" s="235"/>
      <c r="C29" s="235"/>
      <c r="D29" s="171"/>
      <c r="E29" s="11"/>
      <c r="F29" s="307">
        <v>877860.14728999999</v>
      </c>
      <c r="G29" s="307">
        <v>903812.19882000005</v>
      </c>
      <c r="H29" s="171">
        <f t="shared" si="3"/>
        <v>3</v>
      </c>
      <c r="I29" s="11">
        <f>IFERROR(100/'Skjema total MA'!F29*G29,0)</f>
        <v>4.1265468494183741</v>
      </c>
      <c r="J29" s="235">
        <f t="shared" si="4"/>
        <v>877860.14728999999</v>
      </c>
      <c r="K29" s="235">
        <f t="shared" si="4"/>
        <v>903812.19882000005</v>
      </c>
      <c r="L29" s="427">
        <f t="shared" si="5"/>
        <v>3</v>
      </c>
      <c r="M29" s="24">
        <f>IFERROR(100/'Skjema total MA'!I29*K29,0)</f>
        <v>1.3234106679034194</v>
      </c>
      <c r="N29" s="148"/>
    </row>
    <row r="30" spans="1:14" s="3" customFormat="1" ht="15.75" x14ac:dyDescent="0.2">
      <c r="A30" s="587" t="s">
        <v>370</v>
      </c>
      <c r="B30" s="280"/>
      <c r="C30" s="280"/>
      <c r="D30" s="166"/>
      <c r="E30" s="11"/>
      <c r="F30" s="289">
        <v>120508.41299</v>
      </c>
      <c r="G30" s="289">
        <v>115078.35593999999</v>
      </c>
      <c r="H30" s="166">
        <f t="shared" si="3"/>
        <v>-4.5</v>
      </c>
      <c r="I30" s="416">
        <f>IFERROR(100/'Skjema total MA'!F30*G30,0)</f>
        <v>2.6852818939407963</v>
      </c>
      <c r="J30" s="289">
        <f t="shared" ref="J30:J33" si="9">SUM(B30,F30)</f>
        <v>120508.41299</v>
      </c>
      <c r="K30" s="289">
        <f t="shared" ref="K30:K33" si="10">SUM(C30,G30)</f>
        <v>115078.35593999999</v>
      </c>
      <c r="L30" s="166">
        <f t="shared" si="5"/>
        <v>-4.5</v>
      </c>
      <c r="M30" s="23">
        <f>IFERROR(100/'Skjema total MA'!I30*K30,0)</f>
        <v>0.62954550864459158</v>
      </c>
      <c r="N30" s="148"/>
    </row>
    <row r="31" spans="1:14" s="3" customFormat="1" ht="15.75" x14ac:dyDescent="0.2">
      <c r="A31" s="587" t="s">
        <v>371</v>
      </c>
      <c r="B31" s="280"/>
      <c r="C31" s="280"/>
      <c r="D31" s="166"/>
      <c r="E31" s="11"/>
      <c r="F31" s="289">
        <v>647248.68137999997</v>
      </c>
      <c r="G31" s="289">
        <v>611409.31596000004</v>
      </c>
      <c r="H31" s="166">
        <f t="shared" si="3"/>
        <v>-5.5</v>
      </c>
      <c r="I31" s="416">
        <f>IFERROR(100/'Skjema total MA'!F31*G31,0)</f>
        <v>6.7114089826004983</v>
      </c>
      <c r="J31" s="289">
        <f t="shared" si="9"/>
        <v>647248.68137999997</v>
      </c>
      <c r="K31" s="289">
        <f t="shared" si="10"/>
        <v>611409.31596000004</v>
      </c>
      <c r="L31" s="166">
        <f t="shared" si="5"/>
        <v>-5.5</v>
      </c>
      <c r="M31" s="23">
        <f>IFERROR(100/'Skjema total MA'!I31*K31,0)</f>
        <v>1.8380097245577025</v>
      </c>
      <c r="N31" s="148"/>
    </row>
    <row r="32" spans="1:14" ht="15.75" x14ac:dyDescent="0.2">
      <c r="A32" s="587" t="s">
        <v>372</v>
      </c>
      <c r="B32" s="280"/>
      <c r="C32" s="280"/>
      <c r="D32" s="166"/>
      <c r="E32" s="11"/>
      <c r="F32" s="289"/>
      <c r="G32" s="289"/>
      <c r="H32" s="166"/>
      <c r="I32" s="416"/>
      <c r="J32" s="289"/>
      <c r="K32" s="289"/>
      <c r="L32" s="166"/>
      <c r="M32" s="23"/>
    </row>
    <row r="33" spans="1:14" ht="15.75" x14ac:dyDescent="0.2">
      <c r="A33" s="587" t="s">
        <v>373</v>
      </c>
      <c r="B33" s="280"/>
      <c r="C33" s="280"/>
      <c r="D33" s="166"/>
      <c r="E33" s="11"/>
      <c r="F33" s="289">
        <v>110103.05292</v>
      </c>
      <c r="G33" s="289">
        <v>177324.52692</v>
      </c>
      <c r="H33" s="166">
        <f t="shared" si="3"/>
        <v>61.1</v>
      </c>
      <c r="I33" s="416">
        <f>IFERROR(100/'Skjema total MA'!F33*G33,0)</f>
        <v>4.6317220903366341</v>
      </c>
      <c r="J33" s="289">
        <f t="shared" si="9"/>
        <v>110103.05292</v>
      </c>
      <c r="K33" s="289">
        <f t="shared" si="10"/>
        <v>177324.52692</v>
      </c>
      <c r="L33" s="166">
        <f t="shared" ref="L33" si="11">IF(J33=0, "    ---- ", IF(ABS(ROUND(100/J33*K33-100,1))&lt;999,ROUND(100/J33*K33-100,1),IF(ROUND(100/J33*K33-100,1)&gt;999,999,-999)))</f>
        <v>61.1</v>
      </c>
      <c r="M33" s="23">
        <f>IFERROR(100/'Skjema total MA'!I33*K33,0)</f>
        <v>4.6317220903366341</v>
      </c>
    </row>
    <row r="34" spans="1:14" ht="15.75" x14ac:dyDescent="0.2">
      <c r="A34" s="13" t="s">
        <v>368</v>
      </c>
      <c r="B34" s="235"/>
      <c r="C34" s="308"/>
      <c r="D34" s="171"/>
      <c r="E34" s="11"/>
      <c r="F34" s="307">
        <v>3046.1039999999998</v>
      </c>
      <c r="G34" s="308">
        <v>3773.529</v>
      </c>
      <c r="H34" s="171">
        <f t="shared" si="3"/>
        <v>23.9</v>
      </c>
      <c r="I34" s="11">
        <f>IFERROR(100/'Skjema total MA'!F34*G34,0)</f>
        <v>-195.7112274428406</v>
      </c>
      <c r="J34" s="235">
        <f t="shared" si="4"/>
        <v>3046.1039999999998</v>
      </c>
      <c r="K34" s="235">
        <f t="shared" si="4"/>
        <v>3773.529</v>
      </c>
      <c r="L34" s="427">
        <f t="shared" si="5"/>
        <v>23.9</v>
      </c>
      <c r="M34" s="24">
        <f>IFERROR(100/'Skjema total MA'!I34*K34,0)</f>
        <v>39.258441526900938</v>
      </c>
    </row>
    <row r="35" spans="1:14" ht="15.75" x14ac:dyDescent="0.2">
      <c r="A35" s="13" t="s">
        <v>369</v>
      </c>
      <c r="B35" s="235"/>
      <c r="C35" s="308"/>
      <c r="D35" s="171"/>
      <c r="E35" s="11"/>
      <c r="F35" s="307">
        <v>4951.17076</v>
      </c>
      <c r="G35" s="308">
        <v>2534.1643800000002</v>
      </c>
      <c r="H35" s="171">
        <f t="shared" si="3"/>
        <v>-48.8</v>
      </c>
      <c r="I35" s="11">
        <f>IFERROR(100/'Skjema total MA'!F35*G35,0)</f>
        <v>3.3149787440639353</v>
      </c>
      <c r="J35" s="235">
        <f t="shared" si="4"/>
        <v>4951.17076</v>
      </c>
      <c r="K35" s="235">
        <f t="shared" si="4"/>
        <v>2534.1643800000002</v>
      </c>
      <c r="L35" s="427">
        <f t="shared" si="5"/>
        <v>-48.8</v>
      </c>
      <c r="M35" s="24">
        <f>IFERROR(100/'Skjema total MA'!I35*K35,0)</f>
        <v>16.612910953140553</v>
      </c>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c r="C47" s="310"/>
      <c r="D47" s="426"/>
      <c r="E47" s="11"/>
      <c r="F47" s="145"/>
      <c r="G47" s="33"/>
      <c r="H47" s="159"/>
      <c r="I47" s="159"/>
      <c r="J47" s="37"/>
      <c r="K47" s="37"/>
      <c r="L47" s="159"/>
      <c r="M47" s="159"/>
      <c r="N47" s="148"/>
    </row>
    <row r="48" spans="1:14" s="3" customFormat="1" ht="15.75" x14ac:dyDescent="0.2">
      <c r="A48" s="38" t="s">
        <v>378</v>
      </c>
      <c r="B48" s="280"/>
      <c r="C48" s="281"/>
      <c r="D48" s="253"/>
      <c r="E48" s="27"/>
      <c r="F48" s="145"/>
      <c r="G48" s="33"/>
      <c r="H48" s="145"/>
      <c r="I48" s="145"/>
      <c r="J48" s="33"/>
      <c r="K48" s="33"/>
      <c r="L48" s="159"/>
      <c r="M48" s="159"/>
      <c r="N48" s="148"/>
    </row>
    <row r="49" spans="1:14" s="3" customFormat="1" ht="15.75" x14ac:dyDescent="0.2">
      <c r="A49" s="38" t="s">
        <v>379</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c r="C53" s="310"/>
      <c r="D53" s="427"/>
      <c r="E53" s="11"/>
      <c r="F53" s="145"/>
      <c r="G53" s="33"/>
      <c r="H53" s="145"/>
      <c r="I53" s="145"/>
      <c r="J53" s="33"/>
      <c r="K53" s="33"/>
      <c r="L53" s="159"/>
      <c r="M53" s="159"/>
      <c r="N53" s="148"/>
    </row>
    <row r="54" spans="1:14" s="3" customFormat="1" ht="15.75" x14ac:dyDescent="0.2">
      <c r="A54" s="38" t="s">
        <v>378</v>
      </c>
      <c r="B54" s="280"/>
      <c r="C54" s="281"/>
      <c r="D54" s="253"/>
      <c r="E54" s="27"/>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c r="C56" s="310"/>
      <c r="D56" s="427"/>
      <c r="E56" s="11"/>
      <c r="F56" s="145"/>
      <c r="G56" s="33"/>
      <c r="H56" s="145"/>
      <c r="I56" s="145"/>
      <c r="J56" s="33"/>
      <c r="K56" s="33"/>
      <c r="L56" s="159"/>
      <c r="M56" s="159"/>
      <c r="N56" s="148"/>
    </row>
    <row r="57" spans="1:14" s="3" customFormat="1" ht="15.75" x14ac:dyDescent="0.2">
      <c r="A57" s="38" t="s">
        <v>378</v>
      </c>
      <c r="B57" s="280"/>
      <c r="C57" s="281"/>
      <c r="D57" s="253"/>
      <c r="E57" s="27"/>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c r="C66" s="352"/>
      <c r="D66" s="349"/>
      <c r="E66" s="11"/>
      <c r="F66" s="351">
        <v>38.290959999999998</v>
      </c>
      <c r="G66" s="351">
        <v>52.11148</v>
      </c>
      <c r="H66" s="349">
        <f t="shared" ref="H66:H111" si="12">IF(F66=0, "    ---- ", IF(ABS(ROUND(100/F66*G66-100,1))&lt;999,ROUND(100/F66*G66-100,1),IF(ROUND(100/F66*G66-100,1)&gt;999,999,-999)))</f>
        <v>36.1</v>
      </c>
      <c r="I66" s="11">
        <f>IFERROR(100/'Skjema total MA'!F66*G66,0)</f>
        <v>3.0059818265225E-4</v>
      </c>
      <c r="J66" s="308">
        <f t="shared" ref="J66:K86" si="13">SUM(B66,F66)</f>
        <v>38.290959999999998</v>
      </c>
      <c r="K66" s="315">
        <f t="shared" si="13"/>
        <v>52.11148</v>
      </c>
      <c r="L66" s="427">
        <f t="shared" ref="L66:L111" si="14">IF(J66=0, "    ---- ", IF(ABS(ROUND(100/J66*K66-100,1))&lt;999,ROUND(100/J66*K66-100,1),IF(ROUND(100/J66*K66-100,1)&gt;999,999,-999)))</f>
        <v>36.1</v>
      </c>
      <c r="M66" s="11">
        <f>IFERROR(100/'Skjema total MA'!I66*K66,0)</f>
        <v>2.3646395089836671E-4</v>
      </c>
    </row>
    <row r="67" spans="1:14" x14ac:dyDescent="0.2">
      <c r="A67" s="418" t="s">
        <v>9</v>
      </c>
      <c r="B67" s="44"/>
      <c r="C67" s="145"/>
      <c r="D67" s="166"/>
      <c r="E67" s="27"/>
      <c r="F67" s="233"/>
      <c r="G67" s="145"/>
      <c r="H67" s="166"/>
      <c r="I67" s="27"/>
      <c r="J67" s="286"/>
      <c r="K67" s="44"/>
      <c r="L67" s="253"/>
      <c r="M67" s="27"/>
    </row>
    <row r="68" spans="1:14" x14ac:dyDescent="0.2">
      <c r="A68" s="21" t="s">
        <v>10</v>
      </c>
      <c r="B68" s="291"/>
      <c r="C68" s="292"/>
      <c r="D68" s="166"/>
      <c r="E68" s="27"/>
      <c r="F68" s="291">
        <v>38.290959999999998</v>
      </c>
      <c r="G68" s="292">
        <v>52.11148</v>
      </c>
      <c r="H68" s="166">
        <f t="shared" si="12"/>
        <v>36.1</v>
      </c>
      <c r="I68" s="27">
        <f>IFERROR(100/'Skjema total MA'!F68*G68,0)</f>
        <v>3.1291718977965858E-4</v>
      </c>
      <c r="J68" s="286">
        <f t="shared" si="13"/>
        <v>38.290959999999998</v>
      </c>
      <c r="K68" s="44">
        <f t="shared" si="13"/>
        <v>52.11148</v>
      </c>
      <c r="L68" s="253">
        <f t="shared" si="14"/>
        <v>36.1</v>
      </c>
      <c r="M68" s="27">
        <f>IFERROR(100/'Skjema total MA'!I68*K68,0)</f>
        <v>3.1094567128186248E-4</v>
      </c>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v>38.290959999999998</v>
      </c>
      <c r="G86" s="145">
        <v>52.11148</v>
      </c>
      <c r="H86" s="166">
        <f t="shared" si="12"/>
        <v>36.1</v>
      </c>
      <c r="I86" s="27">
        <f>IFERROR(100/'Skjema total MA'!F86*G86,0)</f>
        <v>0.59838177131990067</v>
      </c>
      <c r="J86" s="286">
        <f t="shared" si="13"/>
        <v>38.290959999999998</v>
      </c>
      <c r="K86" s="44">
        <f t="shared" si="13"/>
        <v>52.11148</v>
      </c>
      <c r="L86" s="253">
        <f t="shared" si="14"/>
        <v>36.1</v>
      </c>
      <c r="M86" s="27">
        <f>IFERROR(100/'Skjema total MA'!I86*K86,0)</f>
        <v>3.6377926790952732E-2</v>
      </c>
    </row>
    <row r="87" spans="1:13" ht="15.75" x14ac:dyDescent="0.2">
      <c r="A87" s="13" t="s">
        <v>367</v>
      </c>
      <c r="B87" s="352"/>
      <c r="C87" s="352"/>
      <c r="D87" s="171"/>
      <c r="E87" s="11"/>
      <c r="F87" s="351">
        <v>576022.80160000001</v>
      </c>
      <c r="G87" s="351">
        <v>694980.44322000002</v>
      </c>
      <c r="H87" s="171">
        <f t="shared" si="12"/>
        <v>20.7</v>
      </c>
      <c r="I87" s="11">
        <f>IFERROR(100/'Skjema total MA'!F87*G87,0)</f>
        <v>0.21883160503677829</v>
      </c>
      <c r="J87" s="308">
        <f t="shared" ref="J87:K111" si="15">SUM(B87,F87)</f>
        <v>576022.80160000001</v>
      </c>
      <c r="K87" s="235">
        <f t="shared" si="15"/>
        <v>694980.44322000002</v>
      </c>
      <c r="L87" s="427">
        <f t="shared" si="14"/>
        <v>20.7</v>
      </c>
      <c r="M87" s="11">
        <f>IFERROR(100/'Skjema total MA'!I87*K87,0)</f>
        <v>9.7808821271993349E-2</v>
      </c>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v>576022.80160000001</v>
      </c>
      <c r="G89" s="145">
        <v>694980.44322000002</v>
      </c>
      <c r="H89" s="166">
        <f t="shared" si="12"/>
        <v>20.7</v>
      </c>
      <c r="I89" s="27">
        <f>IFERROR(100/'Skjema total MA'!F89*G89,0)</f>
        <v>0.2203553041163831</v>
      </c>
      <c r="J89" s="286">
        <f t="shared" si="15"/>
        <v>576022.80160000001</v>
      </c>
      <c r="K89" s="44">
        <f t="shared" si="15"/>
        <v>694980.44322000002</v>
      </c>
      <c r="L89" s="253">
        <f t="shared" si="14"/>
        <v>20.7</v>
      </c>
      <c r="M89" s="27">
        <f>IFERROR(100/'Skjema total MA'!I89*K89,0)</f>
        <v>0.21815979065799967</v>
      </c>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row>
    <row r="98" spans="1:13" ht="15.75" x14ac:dyDescent="0.2">
      <c r="A98" s="21" t="s">
        <v>384</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v>576022.80160000001</v>
      </c>
      <c r="G107" s="145">
        <v>694980.44322000002</v>
      </c>
      <c r="H107" s="166">
        <f t="shared" si="12"/>
        <v>20.7</v>
      </c>
      <c r="I107" s="27">
        <f>IFERROR(100/'Skjema total MA'!F107*G107,0)</f>
        <v>78.98398951445175</v>
      </c>
      <c r="J107" s="286">
        <f t="shared" si="15"/>
        <v>576022.80160000001</v>
      </c>
      <c r="K107" s="44">
        <f t="shared" si="15"/>
        <v>694980.44322000002</v>
      </c>
      <c r="L107" s="253">
        <f t="shared" si="14"/>
        <v>20.7</v>
      </c>
      <c r="M107" s="27">
        <f>IFERROR(100/'Skjema total MA'!I107*K107,0)</f>
        <v>13.095662202967343</v>
      </c>
    </row>
    <row r="108" spans="1:13" ht="15.75" x14ac:dyDescent="0.2">
      <c r="A108" s="21" t="s">
        <v>386</v>
      </c>
      <c r="B108" s="233"/>
      <c r="C108" s="233"/>
      <c r="D108" s="166"/>
      <c r="E108" s="27"/>
      <c r="F108" s="233"/>
      <c r="G108" s="233"/>
      <c r="H108" s="166"/>
      <c r="I108" s="27"/>
      <c r="J108" s="286"/>
      <c r="K108" s="44"/>
      <c r="L108" s="253"/>
      <c r="M108" s="27"/>
    </row>
    <row r="109" spans="1:13" ht="15.75" x14ac:dyDescent="0.2">
      <c r="A109" s="21" t="s">
        <v>387</v>
      </c>
      <c r="B109" s="233"/>
      <c r="C109" s="233"/>
      <c r="D109" s="166"/>
      <c r="E109" s="27"/>
      <c r="F109" s="233">
        <v>407994.33632</v>
      </c>
      <c r="G109" s="233">
        <v>527914.53951000003</v>
      </c>
      <c r="H109" s="166">
        <f t="shared" si="12"/>
        <v>29.4</v>
      </c>
      <c r="I109" s="27">
        <f>IFERROR(100/'Skjema total MA'!F109*G109,0)</f>
        <v>0.48073551930221753</v>
      </c>
      <c r="J109" s="286">
        <f t="shared" si="15"/>
        <v>407994.33632</v>
      </c>
      <c r="K109" s="44">
        <f t="shared" si="15"/>
        <v>527914.53951000003</v>
      </c>
      <c r="L109" s="253">
        <f t="shared" si="14"/>
        <v>29.4</v>
      </c>
      <c r="M109" s="27">
        <f>IFERROR(100/'Skjema total MA'!I109*K109,0)</f>
        <v>0.47612746724240629</v>
      </c>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c r="C111" s="159"/>
      <c r="D111" s="171"/>
      <c r="E111" s="11"/>
      <c r="F111" s="307">
        <v>47052.203999999998</v>
      </c>
      <c r="G111" s="159">
        <v>48745.726999999999</v>
      </c>
      <c r="H111" s="171">
        <f t="shared" si="12"/>
        <v>3.6</v>
      </c>
      <c r="I111" s="11">
        <f>IFERROR(100/'Skjema total MA'!F111*G111,0)</f>
        <v>0.41250874684040534</v>
      </c>
      <c r="J111" s="308">
        <f t="shared" si="15"/>
        <v>47052.203999999998</v>
      </c>
      <c r="K111" s="235">
        <f t="shared" si="15"/>
        <v>48745.726999999999</v>
      </c>
      <c r="L111" s="427">
        <f t="shared" si="14"/>
        <v>3.6</v>
      </c>
      <c r="M111" s="11">
        <f>IFERROR(100/'Skjema total MA'!I111*K111,0)</f>
        <v>0.39470682799888218</v>
      </c>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v>47052.203999999998</v>
      </c>
      <c r="G113" s="145">
        <v>48745.726999999999</v>
      </c>
      <c r="H113" s="166">
        <f t="shared" ref="H113:H125" si="16">IF(F113=0, "    ---- ", IF(ABS(ROUND(100/F113*G113-100,1))&lt;999,ROUND(100/F113*G113-100,1),IF(ROUND(100/F113*G113-100,1)&gt;999,999,-999)))</f>
        <v>3.6</v>
      </c>
      <c r="I113" s="27">
        <f>IFERROR(100/'Skjema total MA'!F113*G113,0)</f>
        <v>0.41501546440743947</v>
      </c>
      <c r="J113" s="286">
        <f t="shared" ref="J113:K125" si="17">SUM(B113,F113)</f>
        <v>47052.203999999998</v>
      </c>
      <c r="K113" s="44">
        <f t="shared" si="17"/>
        <v>48745.726999999999</v>
      </c>
      <c r="L113" s="253">
        <f t="shared" ref="L113:L125" si="18">IF(J113=0, "    ---- ", IF(ABS(ROUND(100/J113*K113-100,1))&lt;999,ROUND(100/J113*K113-100,1),IF(ROUND(100/J113*K113-100,1)&gt;999,999,-999)))</f>
        <v>3.6</v>
      </c>
      <c r="M113" s="27">
        <f>IFERROR(100/'Skjema total MA'!I113*K113,0)</f>
        <v>0.41486515151709535</v>
      </c>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c r="C116" s="233"/>
      <c r="D116" s="166"/>
      <c r="E116" s="27"/>
      <c r="F116" s="233"/>
      <c r="G116" s="233"/>
      <c r="H116" s="166"/>
      <c r="I116" s="27"/>
      <c r="J116" s="286"/>
      <c r="K116" s="44"/>
      <c r="L116" s="253"/>
      <c r="M116" s="27"/>
    </row>
    <row r="117" spans="1:14" ht="15.75" x14ac:dyDescent="0.2">
      <c r="A117" s="21" t="s">
        <v>390</v>
      </c>
      <c r="B117" s="233"/>
      <c r="C117" s="233"/>
      <c r="D117" s="166"/>
      <c r="E117" s="27"/>
      <c r="F117" s="233">
        <v>47052.203999999998</v>
      </c>
      <c r="G117" s="233">
        <v>48745.726999999999</v>
      </c>
      <c r="H117" s="166">
        <f t="shared" si="16"/>
        <v>3.6</v>
      </c>
      <c r="I117" s="27">
        <f>IFERROR(100/'Skjema total MA'!F117*G117,0)</f>
        <v>2.6926127820802241</v>
      </c>
      <c r="J117" s="286">
        <f t="shared" si="17"/>
        <v>47052.203999999998</v>
      </c>
      <c r="K117" s="44">
        <f t="shared" si="17"/>
        <v>48745.726999999999</v>
      </c>
      <c r="L117" s="253">
        <f t="shared" si="18"/>
        <v>3.6</v>
      </c>
      <c r="M117" s="27">
        <f>IFERROR(100/'Skjema total MA'!I117*K117,0)</f>
        <v>2.6926127820802241</v>
      </c>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c r="C119" s="159"/>
      <c r="D119" s="171"/>
      <c r="E119" s="11"/>
      <c r="F119" s="307">
        <v>3353.4990200000002</v>
      </c>
      <c r="G119" s="159">
        <v>3502.4160099999999</v>
      </c>
      <c r="H119" s="171">
        <f t="shared" si="16"/>
        <v>4.4000000000000004</v>
      </c>
      <c r="I119" s="11">
        <f>IFERROR(100/'Skjema total MA'!F119*G119,0)</f>
        <v>3.0284433394015303E-2</v>
      </c>
      <c r="J119" s="308">
        <f t="shared" si="17"/>
        <v>3353.4990200000002</v>
      </c>
      <c r="K119" s="235">
        <f t="shared" si="17"/>
        <v>3502.4160099999999</v>
      </c>
      <c r="L119" s="427">
        <f t="shared" si="18"/>
        <v>4.4000000000000004</v>
      </c>
      <c r="M119" s="11">
        <f>IFERROR(100/'Skjema total MA'!I119*K119,0)</f>
        <v>2.8802678431710832E-2</v>
      </c>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v>3353.4990200000002</v>
      </c>
      <c r="G121" s="145">
        <v>3502.4160099999999</v>
      </c>
      <c r="H121" s="166">
        <f t="shared" si="16"/>
        <v>4.4000000000000004</v>
      </c>
      <c r="I121" s="27">
        <f>IFERROR(100/'Skjema total MA'!F121*G121,0)</f>
        <v>3.0284433394015303E-2</v>
      </c>
      <c r="J121" s="286">
        <f t="shared" si="17"/>
        <v>3353.4990200000002</v>
      </c>
      <c r="K121" s="44">
        <f t="shared" si="17"/>
        <v>3502.4160099999999</v>
      </c>
      <c r="L121" s="253">
        <f t="shared" si="18"/>
        <v>4.4000000000000004</v>
      </c>
      <c r="M121" s="27">
        <f>IFERROR(100/'Skjema total MA'!I121*K121,0)</f>
        <v>3.0272191370387568E-2</v>
      </c>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v>3353.4990200000002</v>
      </c>
      <c r="G125" s="233">
        <v>3502.4160099999999</v>
      </c>
      <c r="H125" s="166">
        <f t="shared" si="16"/>
        <v>4.4000000000000004</v>
      </c>
      <c r="I125" s="27">
        <f>IFERROR(100/'Skjema total MA'!F125*G125,0)</f>
        <v>0.1779961508684674</v>
      </c>
      <c r="J125" s="286">
        <f t="shared" si="17"/>
        <v>3353.4990200000002</v>
      </c>
      <c r="K125" s="44">
        <f t="shared" si="17"/>
        <v>3502.4160099999999</v>
      </c>
      <c r="L125" s="253">
        <f t="shared" si="18"/>
        <v>4.4000000000000004</v>
      </c>
      <c r="M125" s="27">
        <f>IFERROR(100/'Skjema total MA'!I125*K125,0)</f>
        <v>0.17790001365258221</v>
      </c>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582" priority="132">
      <formula>kvartal &lt; 4</formula>
    </cfRule>
  </conditionalFormatting>
  <conditionalFormatting sqref="B69">
    <cfRule type="expression" dxfId="581" priority="100">
      <formula>kvartal &lt; 4</formula>
    </cfRule>
  </conditionalFormatting>
  <conditionalFormatting sqref="C69">
    <cfRule type="expression" dxfId="580" priority="99">
      <formula>kvartal &lt; 4</formula>
    </cfRule>
  </conditionalFormatting>
  <conditionalFormatting sqref="B72">
    <cfRule type="expression" dxfId="579" priority="98">
      <formula>kvartal &lt; 4</formula>
    </cfRule>
  </conditionalFormatting>
  <conditionalFormatting sqref="C72">
    <cfRule type="expression" dxfId="578" priority="97">
      <formula>kvartal &lt; 4</formula>
    </cfRule>
  </conditionalFormatting>
  <conditionalFormatting sqref="B80">
    <cfRule type="expression" dxfId="577" priority="96">
      <formula>kvartal &lt; 4</formula>
    </cfRule>
  </conditionalFormatting>
  <conditionalFormatting sqref="C80">
    <cfRule type="expression" dxfId="576" priority="95">
      <formula>kvartal &lt; 4</formula>
    </cfRule>
  </conditionalFormatting>
  <conditionalFormatting sqref="B83">
    <cfRule type="expression" dxfId="575" priority="94">
      <formula>kvartal &lt; 4</formula>
    </cfRule>
  </conditionalFormatting>
  <conditionalFormatting sqref="C83">
    <cfRule type="expression" dxfId="574" priority="93">
      <formula>kvartal &lt; 4</formula>
    </cfRule>
  </conditionalFormatting>
  <conditionalFormatting sqref="B90">
    <cfRule type="expression" dxfId="573" priority="84">
      <formula>kvartal &lt; 4</formula>
    </cfRule>
  </conditionalFormatting>
  <conditionalFormatting sqref="C90">
    <cfRule type="expression" dxfId="572" priority="83">
      <formula>kvartal &lt; 4</formula>
    </cfRule>
  </conditionalFormatting>
  <conditionalFormatting sqref="B93">
    <cfRule type="expression" dxfId="571" priority="82">
      <formula>kvartal &lt; 4</formula>
    </cfRule>
  </conditionalFormatting>
  <conditionalFormatting sqref="C93">
    <cfRule type="expression" dxfId="570" priority="81">
      <formula>kvartal &lt; 4</formula>
    </cfRule>
  </conditionalFormatting>
  <conditionalFormatting sqref="B101">
    <cfRule type="expression" dxfId="569" priority="80">
      <formula>kvartal &lt; 4</formula>
    </cfRule>
  </conditionalFormatting>
  <conditionalFormatting sqref="C101">
    <cfRule type="expression" dxfId="568" priority="79">
      <formula>kvartal &lt; 4</formula>
    </cfRule>
  </conditionalFormatting>
  <conditionalFormatting sqref="B104">
    <cfRule type="expression" dxfId="567" priority="78">
      <formula>kvartal &lt; 4</formula>
    </cfRule>
  </conditionalFormatting>
  <conditionalFormatting sqref="C104">
    <cfRule type="expression" dxfId="566" priority="77">
      <formula>kvartal &lt; 4</formula>
    </cfRule>
  </conditionalFormatting>
  <conditionalFormatting sqref="B115">
    <cfRule type="expression" dxfId="565" priority="76">
      <formula>kvartal &lt; 4</formula>
    </cfRule>
  </conditionalFormatting>
  <conditionalFormatting sqref="C115">
    <cfRule type="expression" dxfId="564" priority="75">
      <formula>kvartal &lt; 4</formula>
    </cfRule>
  </conditionalFormatting>
  <conditionalFormatting sqref="B123">
    <cfRule type="expression" dxfId="563" priority="74">
      <formula>kvartal &lt; 4</formula>
    </cfRule>
  </conditionalFormatting>
  <conditionalFormatting sqref="C123">
    <cfRule type="expression" dxfId="562" priority="73">
      <formula>kvartal &lt; 4</formula>
    </cfRule>
  </conditionalFormatting>
  <conditionalFormatting sqref="F70">
    <cfRule type="expression" dxfId="561" priority="72">
      <formula>kvartal &lt; 4</formula>
    </cfRule>
  </conditionalFormatting>
  <conditionalFormatting sqref="G70">
    <cfRule type="expression" dxfId="560" priority="71">
      <formula>kvartal &lt; 4</formula>
    </cfRule>
  </conditionalFormatting>
  <conditionalFormatting sqref="F71:G71">
    <cfRule type="expression" dxfId="559" priority="70">
      <formula>kvartal &lt; 4</formula>
    </cfRule>
  </conditionalFormatting>
  <conditionalFormatting sqref="F73:G74">
    <cfRule type="expression" dxfId="558" priority="69">
      <formula>kvartal &lt; 4</formula>
    </cfRule>
  </conditionalFormatting>
  <conditionalFormatting sqref="F81:G82">
    <cfRule type="expression" dxfId="557" priority="68">
      <formula>kvartal &lt; 4</formula>
    </cfRule>
  </conditionalFormatting>
  <conditionalFormatting sqref="F84:G85">
    <cfRule type="expression" dxfId="556" priority="67">
      <formula>kvartal &lt; 4</formula>
    </cfRule>
  </conditionalFormatting>
  <conditionalFormatting sqref="F91:G92">
    <cfRule type="expression" dxfId="555" priority="62">
      <formula>kvartal &lt; 4</formula>
    </cfRule>
  </conditionalFormatting>
  <conditionalFormatting sqref="F94:G95">
    <cfRule type="expression" dxfId="554" priority="61">
      <formula>kvartal &lt; 4</formula>
    </cfRule>
  </conditionalFormatting>
  <conditionalFormatting sqref="F102:G103">
    <cfRule type="expression" dxfId="553" priority="60">
      <formula>kvartal &lt; 4</formula>
    </cfRule>
  </conditionalFormatting>
  <conditionalFormatting sqref="F105:G106">
    <cfRule type="expression" dxfId="552" priority="59">
      <formula>kvartal &lt; 4</formula>
    </cfRule>
  </conditionalFormatting>
  <conditionalFormatting sqref="F115">
    <cfRule type="expression" dxfId="551" priority="58">
      <formula>kvartal &lt; 4</formula>
    </cfRule>
  </conditionalFormatting>
  <conditionalFormatting sqref="G115">
    <cfRule type="expression" dxfId="550" priority="57">
      <formula>kvartal &lt; 4</formula>
    </cfRule>
  </conditionalFormatting>
  <conditionalFormatting sqref="F123:G123">
    <cfRule type="expression" dxfId="549" priority="56">
      <formula>kvartal &lt; 4</formula>
    </cfRule>
  </conditionalFormatting>
  <conditionalFormatting sqref="F69:G69">
    <cfRule type="expression" dxfId="548" priority="55">
      <formula>kvartal &lt; 4</formula>
    </cfRule>
  </conditionalFormatting>
  <conditionalFormatting sqref="F72:G72">
    <cfRule type="expression" dxfId="547" priority="54">
      <formula>kvartal &lt; 4</formula>
    </cfRule>
  </conditionalFormatting>
  <conditionalFormatting sqref="F80:G80">
    <cfRule type="expression" dxfId="546" priority="53">
      <formula>kvartal &lt; 4</formula>
    </cfRule>
  </conditionalFormatting>
  <conditionalFormatting sqref="F83:G83">
    <cfRule type="expression" dxfId="545" priority="52">
      <formula>kvartal &lt; 4</formula>
    </cfRule>
  </conditionalFormatting>
  <conditionalFormatting sqref="F90:G90">
    <cfRule type="expression" dxfId="544" priority="46">
      <formula>kvartal &lt; 4</formula>
    </cfRule>
  </conditionalFormatting>
  <conditionalFormatting sqref="F93">
    <cfRule type="expression" dxfId="543" priority="45">
      <formula>kvartal &lt; 4</formula>
    </cfRule>
  </conditionalFormatting>
  <conditionalFormatting sqref="G93">
    <cfRule type="expression" dxfId="542" priority="44">
      <formula>kvartal &lt; 4</formula>
    </cfRule>
  </conditionalFormatting>
  <conditionalFormatting sqref="F101">
    <cfRule type="expression" dxfId="541" priority="43">
      <formula>kvartal &lt; 4</formula>
    </cfRule>
  </conditionalFormatting>
  <conditionalFormatting sqref="G101">
    <cfRule type="expression" dxfId="540" priority="42">
      <formula>kvartal &lt; 4</formula>
    </cfRule>
  </conditionalFormatting>
  <conditionalFormatting sqref="G104">
    <cfRule type="expression" dxfId="539" priority="41">
      <formula>kvartal &lt; 4</formula>
    </cfRule>
  </conditionalFormatting>
  <conditionalFormatting sqref="F104">
    <cfRule type="expression" dxfId="538" priority="40">
      <formula>kvartal &lt; 4</formula>
    </cfRule>
  </conditionalFormatting>
  <conditionalFormatting sqref="J69:K73">
    <cfRule type="expression" dxfId="537" priority="39">
      <formula>kvartal &lt; 4</formula>
    </cfRule>
  </conditionalFormatting>
  <conditionalFormatting sqref="J74:K74">
    <cfRule type="expression" dxfId="536" priority="38">
      <formula>kvartal &lt; 4</formula>
    </cfRule>
  </conditionalFormatting>
  <conditionalFormatting sqref="J80:K85">
    <cfRule type="expression" dxfId="535" priority="37">
      <formula>kvartal &lt; 4</formula>
    </cfRule>
  </conditionalFormatting>
  <conditionalFormatting sqref="J90:K95">
    <cfRule type="expression" dxfId="534" priority="34">
      <formula>kvartal &lt; 4</formula>
    </cfRule>
  </conditionalFormatting>
  <conditionalFormatting sqref="J101:K106">
    <cfRule type="expression" dxfId="533" priority="33">
      <formula>kvartal &lt; 4</formula>
    </cfRule>
  </conditionalFormatting>
  <conditionalFormatting sqref="J115:K115">
    <cfRule type="expression" dxfId="532" priority="32">
      <formula>kvartal &lt; 4</formula>
    </cfRule>
  </conditionalFormatting>
  <conditionalFormatting sqref="J123:K123">
    <cfRule type="expression" dxfId="531" priority="31">
      <formula>kvartal &lt; 4</formula>
    </cfRule>
  </conditionalFormatting>
  <conditionalFormatting sqref="A50:A52">
    <cfRule type="expression" dxfId="530" priority="12">
      <formula>kvartal &lt; 4</formula>
    </cfRule>
  </conditionalFormatting>
  <conditionalFormatting sqref="A69:A74">
    <cfRule type="expression" dxfId="529" priority="10">
      <formula>kvartal &lt; 4</formula>
    </cfRule>
  </conditionalFormatting>
  <conditionalFormatting sqref="A80:A85">
    <cfRule type="expression" dxfId="528" priority="9">
      <formula>kvartal &lt; 4</formula>
    </cfRule>
  </conditionalFormatting>
  <conditionalFormatting sqref="A90:A95">
    <cfRule type="expression" dxfId="527" priority="6">
      <formula>kvartal &lt; 4</formula>
    </cfRule>
  </conditionalFormatting>
  <conditionalFormatting sqref="A101:A106">
    <cfRule type="expression" dxfId="526" priority="5">
      <formula>kvartal &lt; 4</formula>
    </cfRule>
  </conditionalFormatting>
  <conditionalFormatting sqref="A115">
    <cfRule type="expression" dxfId="525" priority="4">
      <formula>kvartal &lt; 4</formula>
    </cfRule>
  </conditionalFormatting>
  <conditionalFormatting sqref="A123">
    <cfRule type="expression" dxfId="524" priority="3">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133</v>
      </c>
      <c r="D1" s="26"/>
      <c r="E1" s="26"/>
      <c r="F1" s="26"/>
      <c r="G1" s="26"/>
      <c r="H1" s="26"/>
      <c r="I1" s="26"/>
      <c r="J1" s="26"/>
      <c r="K1" s="26"/>
      <c r="L1" s="26"/>
      <c r="M1" s="26"/>
    </row>
    <row r="2" spans="1:14" ht="15.75" x14ac:dyDescent="0.25">
      <c r="A2" s="165" t="s">
        <v>28</v>
      </c>
      <c r="B2" s="736"/>
      <c r="C2" s="736"/>
      <c r="D2" s="736"/>
      <c r="E2" s="298"/>
      <c r="F2" s="736"/>
      <c r="G2" s="736"/>
      <c r="H2" s="736"/>
      <c r="I2" s="298"/>
      <c r="J2" s="736"/>
      <c r="K2" s="736"/>
      <c r="L2" s="736"/>
      <c r="M2" s="298"/>
    </row>
    <row r="3" spans="1:14" ht="15.75" x14ac:dyDescent="0.25">
      <c r="A3" s="163"/>
      <c r="B3" s="298"/>
      <c r="C3" s="298"/>
      <c r="D3" s="298"/>
      <c r="E3" s="298"/>
      <c r="F3" s="298"/>
      <c r="G3" s="298"/>
      <c r="H3" s="298"/>
      <c r="I3" s="298"/>
      <c r="J3" s="298"/>
      <c r="K3" s="298"/>
      <c r="L3" s="298"/>
      <c r="M3" s="298"/>
    </row>
    <row r="4" spans="1:14" x14ac:dyDescent="0.2">
      <c r="A4" s="144"/>
      <c r="B4" s="737" t="s">
        <v>0</v>
      </c>
      <c r="C4" s="738"/>
      <c r="D4" s="738"/>
      <c r="E4" s="300"/>
      <c r="F4" s="737" t="s">
        <v>1</v>
      </c>
      <c r="G4" s="738"/>
      <c r="H4" s="738"/>
      <c r="I4" s="303"/>
      <c r="J4" s="737" t="s">
        <v>2</v>
      </c>
      <c r="K4" s="738"/>
      <c r="L4" s="738"/>
      <c r="M4" s="303"/>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v>445603.01763000002</v>
      </c>
      <c r="C7" s="306">
        <v>3568.1770999999999</v>
      </c>
      <c r="D7" s="349">
        <f>IF(B7=0, "    ---- ", IF(ABS(ROUND(100/B7*C7-100,1))&lt;999,ROUND(100/B7*C7-100,1),IF(ROUND(100/B7*C7-100,1)&gt;999,999,-999)))</f>
        <v>-99.2</v>
      </c>
      <c r="E7" s="11">
        <f>IFERROR(100/'Skjema total MA'!C7*C7,0)</f>
        <v>0.13277956703374916</v>
      </c>
      <c r="F7" s="305">
        <v>197650.44701</v>
      </c>
      <c r="G7" s="306">
        <v>221672.35461000001</v>
      </c>
      <c r="H7" s="349">
        <f>IF(F7=0, "    ---- ", IF(ABS(ROUND(100/F7*G7-100,1))&lt;999,ROUND(100/F7*G7-100,1),IF(ROUND(100/F7*G7-100,1)&gt;999,999,-999)))</f>
        <v>12.2</v>
      </c>
      <c r="I7" s="160">
        <f>IFERROR(100/'Skjema total MA'!F7*G7,0)</f>
        <v>4.6936886486311309</v>
      </c>
      <c r="J7" s="307">
        <f t="shared" ref="J7:K12" si="0">SUM(B7,F7)</f>
        <v>643253.46464000002</v>
      </c>
      <c r="K7" s="308">
        <f t="shared" si="0"/>
        <v>225240.53171000001</v>
      </c>
      <c r="L7" s="426">
        <f>IF(J7=0, "    ---- ", IF(ABS(ROUND(100/J7*K7-100,1))&lt;999,ROUND(100/J7*K7-100,1),IF(ROUND(100/J7*K7-100,1)&gt;999,999,-999)))</f>
        <v>-65</v>
      </c>
      <c r="M7" s="11">
        <f>IFERROR(100/'Skjema total MA'!I7*K7,0)</f>
        <v>3.039655053347452</v>
      </c>
    </row>
    <row r="8" spans="1:14" ht="15.75" x14ac:dyDescent="0.2">
      <c r="A8" s="21" t="s">
        <v>25</v>
      </c>
      <c r="B8" s="280">
        <v>399457.609341676</v>
      </c>
      <c r="C8" s="281">
        <v>3072.5246299999999</v>
      </c>
      <c r="D8" s="166">
        <f t="shared" ref="D8:D10" si="1">IF(B8=0, "    ---- ", IF(ABS(ROUND(100/B8*C8-100,1))&lt;999,ROUND(100/B8*C8-100,1),IF(ROUND(100/B8*C8-100,1)&gt;999,999,-999)))</f>
        <v>-99.2</v>
      </c>
      <c r="E8" s="27">
        <f>IFERROR(100/'Skjema total MA'!C8*C8,0)</f>
        <v>0.17031585526044754</v>
      </c>
      <c r="F8" s="284"/>
      <c r="G8" s="285"/>
      <c r="H8" s="166"/>
      <c r="I8" s="175"/>
      <c r="J8" s="233">
        <f t="shared" si="0"/>
        <v>399457.609341676</v>
      </c>
      <c r="K8" s="286">
        <f t="shared" si="0"/>
        <v>3072.5246299999999</v>
      </c>
      <c r="L8" s="166">
        <f t="shared" ref="L8:L9" si="2">IF(J8=0, "    ---- ", IF(ABS(ROUND(100/J8*K8-100,1))&lt;999,ROUND(100/J8*K8-100,1),IF(ROUND(100/J8*K8-100,1)&gt;999,999,-999)))</f>
        <v>-99.2</v>
      </c>
      <c r="M8" s="27">
        <f>IFERROR(100/'Skjema total MA'!I8*K8,0)</f>
        <v>0.17031585526044754</v>
      </c>
    </row>
    <row r="9" spans="1:14" ht="15.75" x14ac:dyDescent="0.2">
      <c r="A9" s="21" t="s">
        <v>24</v>
      </c>
      <c r="B9" s="280">
        <v>46707.845848841003</v>
      </c>
      <c r="C9" s="281">
        <v>1271.6267399999999</v>
      </c>
      <c r="D9" s="166">
        <f t="shared" si="1"/>
        <v>-97.3</v>
      </c>
      <c r="E9" s="27">
        <f>IFERROR(100/'Skjema total MA'!C9*C9,0)</f>
        <v>0.24455741481682669</v>
      </c>
      <c r="F9" s="284"/>
      <c r="G9" s="285"/>
      <c r="H9" s="166"/>
      <c r="I9" s="175"/>
      <c r="J9" s="233">
        <f t="shared" si="0"/>
        <v>46707.845848841003</v>
      </c>
      <c r="K9" s="286">
        <f t="shared" si="0"/>
        <v>1271.6267399999999</v>
      </c>
      <c r="L9" s="166">
        <f t="shared" si="2"/>
        <v>-97.3</v>
      </c>
      <c r="M9" s="27">
        <f>IFERROR(100/'Skjema total MA'!I9*K9,0)</f>
        <v>0.24455741481682669</v>
      </c>
    </row>
    <row r="10" spans="1:14" ht="15.75" x14ac:dyDescent="0.2">
      <c r="A10" s="13" t="s">
        <v>367</v>
      </c>
      <c r="B10" s="309">
        <v>831286.37531000003</v>
      </c>
      <c r="C10" s="310">
        <v>438059.82214</v>
      </c>
      <c r="D10" s="171">
        <f t="shared" si="1"/>
        <v>-47.3</v>
      </c>
      <c r="E10" s="11">
        <f>IFERROR(100/'Skjema total MA'!C10*C10,0)</f>
        <v>2.3815575166018497</v>
      </c>
      <c r="F10" s="309">
        <v>2453634.0844899998</v>
      </c>
      <c r="G10" s="310">
        <v>2727012.1039700001</v>
      </c>
      <c r="H10" s="171">
        <f t="shared" ref="H10:H12" si="3">IF(F10=0, "    ---- ", IF(ABS(ROUND(100/F10*G10-100,1))&lt;999,ROUND(100/F10*G10-100,1),IF(ROUND(100/F10*G10-100,1)&gt;999,999,-999)))</f>
        <v>11.1</v>
      </c>
      <c r="I10" s="160">
        <f>IFERROR(100/'Skjema total MA'!F10*G10,0)</f>
        <v>5.2563328121351613</v>
      </c>
      <c r="J10" s="307">
        <f t="shared" si="0"/>
        <v>3284920.4597999998</v>
      </c>
      <c r="K10" s="308">
        <f t="shared" si="0"/>
        <v>3165071.9261099999</v>
      </c>
      <c r="L10" s="427">
        <f t="shared" ref="L10:L12" si="4">IF(J10=0, "    ---- ", IF(ABS(ROUND(100/J10*K10-100,1))&lt;999,ROUND(100/J10*K10-100,1),IF(ROUND(100/J10*K10-100,1)&gt;999,999,-999)))</f>
        <v>-3.6</v>
      </c>
      <c r="M10" s="11">
        <f>IFERROR(100/'Skjema total MA'!I10*K10,0)</f>
        <v>4.5038796891244317</v>
      </c>
    </row>
    <row r="11" spans="1:14" s="43" customFormat="1" ht="15.75" x14ac:dyDescent="0.2">
      <c r="A11" s="13" t="s">
        <v>368</v>
      </c>
      <c r="B11" s="309"/>
      <c r="C11" s="310"/>
      <c r="D11" s="171"/>
      <c r="E11" s="11"/>
      <c r="F11" s="309">
        <v>17427.42524</v>
      </c>
      <c r="G11" s="310">
        <v>25973.408370000001</v>
      </c>
      <c r="H11" s="171">
        <f t="shared" si="3"/>
        <v>49</v>
      </c>
      <c r="I11" s="160">
        <f>IFERROR(100/'Skjema total MA'!F11*G11,0)</f>
        <v>11.94383316880212</v>
      </c>
      <c r="J11" s="307">
        <f t="shared" si="0"/>
        <v>17427.42524</v>
      </c>
      <c r="K11" s="308">
        <f t="shared" si="0"/>
        <v>25973.408370000001</v>
      </c>
      <c r="L11" s="427">
        <f t="shared" si="4"/>
        <v>49</v>
      </c>
      <c r="M11" s="11">
        <f>IFERROR(100/'Skjema total MA'!I11*K11,0)</f>
        <v>11.006478082777923</v>
      </c>
      <c r="N11" s="143"/>
    </row>
    <row r="12" spans="1:14" s="43" customFormat="1" ht="15.75" x14ac:dyDescent="0.2">
      <c r="A12" s="41" t="s">
        <v>369</v>
      </c>
      <c r="B12" s="311"/>
      <c r="C12" s="312"/>
      <c r="D12" s="169"/>
      <c r="E12" s="36"/>
      <c r="F12" s="311">
        <v>15166.385920000001</v>
      </c>
      <c r="G12" s="312">
        <v>4901.6503599999996</v>
      </c>
      <c r="H12" s="169">
        <f t="shared" si="3"/>
        <v>-67.7</v>
      </c>
      <c r="I12" s="169">
        <f>IFERROR(100/'Skjema total MA'!F12*G12,0)</f>
        <v>3.1827788786369795</v>
      </c>
      <c r="J12" s="313">
        <f t="shared" si="0"/>
        <v>15166.385920000001</v>
      </c>
      <c r="K12" s="314">
        <f t="shared" si="0"/>
        <v>4901.6503599999996</v>
      </c>
      <c r="L12" s="428">
        <f t="shared" si="4"/>
        <v>-67.7</v>
      </c>
      <c r="M12" s="36">
        <f>IFERROR(100/'Skjema total MA'!I12*K12,0)</f>
        <v>3.1339599960616469</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v>345098.86265999998</v>
      </c>
      <c r="C22" s="309">
        <v>1836.07458</v>
      </c>
      <c r="D22" s="349">
        <f t="shared" ref="D22:D35" si="5">IF(B22=0, "    ---- ", IF(ABS(ROUND(100/B22*C22-100,1))&lt;999,ROUND(100/B22*C22-100,1),IF(ROUND(100/B22*C22-100,1)&gt;999,999,-999)))</f>
        <v>-99.5</v>
      </c>
      <c r="E22" s="11">
        <f>IFERROR(100/'Skjema total MA'!C22*C22,0)</f>
        <v>0.18590649421101127</v>
      </c>
      <c r="F22" s="317">
        <v>119334.73173</v>
      </c>
      <c r="G22" s="317">
        <v>133761.27200999999</v>
      </c>
      <c r="H22" s="349">
        <f t="shared" ref="H22:H35" si="6">IF(F22=0, "    ---- ", IF(ABS(ROUND(100/F22*G22-100,1))&lt;999,ROUND(100/F22*G22-100,1),IF(ROUND(100/F22*G22-100,1)&gt;999,999,-999)))</f>
        <v>12.1</v>
      </c>
      <c r="I22" s="11">
        <f>IFERROR(100/'Skjema total MA'!F22*G22,0)</f>
        <v>20.829525531212557</v>
      </c>
      <c r="J22" s="315">
        <f t="shared" ref="J22:K35" si="7">SUM(B22,F22)</f>
        <v>464433.59438999998</v>
      </c>
      <c r="K22" s="315">
        <f t="shared" si="7"/>
        <v>135597.34658999997</v>
      </c>
      <c r="L22" s="426">
        <f t="shared" ref="L22:L35" si="8">IF(J22=0, "    ---- ", IF(ABS(ROUND(100/J22*K22-100,1))&lt;999,ROUND(100/J22*K22-100,1),IF(ROUND(100/J22*K22-100,1)&gt;999,999,-999)))</f>
        <v>-70.8</v>
      </c>
      <c r="M22" s="24">
        <f>IFERROR(100/'Skjema total MA'!I22*K22,0)</f>
        <v>8.3198516964621376</v>
      </c>
    </row>
    <row r="23" spans="1:14" ht="15.75" x14ac:dyDescent="0.2">
      <c r="A23" s="587" t="s">
        <v>370</v>
      </c>
      <c r="B23" s="280">
        <v>342373.02203667403</v>
      </c>
      <c r="C23" s="280">
        <v>1830.99064</v>
      </c>
      <c r="D23" s="166">
        <f t="shared" si="5"/>
        <v>-99.5</v>
      </c>
      <c r="E23" s="11">
        <f>IFERROR(100/'Skjema total MA'!C23*C23,0)</f>
        <v>0.44758485614965821</v>
      </c>
      <c r="F23" s="289">
        <v>3756.7240000000002</v>
      </c>
      <c r="G23" s="289">
        <v>3255.6541299999999</v>
      </c>
      <c r="H23" s="166">
        <f t="shared" si="6"/>
        <v>-13.3</v>
      </c>
      <c r="I23" s="416">
        <f>IFERROR(100/'Skjema total MA'!F23*G23,0)</f>
        <v>3.7266886522668976</v>
      </c>
      <c r="J23" s="289">
        <f t="shared" ref="J23:J26" si="9">SUM(B23,F23)</f>
        <v>346129.74603667401</v>
      </c>
      <c r="K23" s="289">
        <f t="shared" ref="K23:K26" si="10">SUM(C23,G23)</f>
        <v>5086.6447699999999</v>
      </c>
      <c r="L23" s="166">
        <f t="shared" si="8"/>
        <v>-98.5</v>
      </c>
      <c r="M23" s="23">
        <f>IFERROR(100/'Skjema total MA'!I23*K23,0)</f>
        <v>1.0246183841901242</v>
      </c>
    </row>
    <row r="24" spans="1:14" ht="15.75" x14ac:dyDescent="0.2">
      <c r="A24" s="587" t="s">
        <v>371</v>
      </c>
      <c r="B24" s="280">
        <v>2725.8406233257301</v>
      </c>
      <c r="C24" s="280">
        <v>5.0839400000000001</v>
      </c>
      <c r="D24" s="166">
        <f t="shared" si="5"/>
        <v>-99.8</v>
      </c>
      <c r="E24" s="11">
        <f>IFERROR(100/'Skjema total MA'!C24*C24,0)</f>
        <v>2.9869601832991487E-2</v>
      </c>
      <c r="F24" s="289">
        <v>-373.12831</v>
      </c>
      <c r="G24" s="289">
        <v>430.97690999999998</v>
      </c>
      <c r="H24" s="166">
        <f t="shared" si="6"/>
        <v>-215.5</v>
      </c>
      <c r="I24" s="416">
        <f>IFERROR(100/'Skjema total MA'!F24*G24,0)</f>
        <v>45.873110031718966</v>
      </c>
      <c r="J24" s="289">
        <f t="shared" si="9"/>
        <v>2352.7123133257301</v>
      </c>
      <c r="K24" s="289">
        <f t="shared" si="10"/>
        <v>436.06084999999996</v>
      </c>
      <c r="L24" s="166">
        <f t="shared" si="8"/>
        <v>-81.5</v>
      </c>
      <c r="M24" s="23">
        <f>IFERROR(100/'Skjema total MA'!I24*K24,0)</f>
        <v>2.4279630688750826</v>
      </c>
    </row>
    <row r="25" spans="1:14" ht="15.75" x14ac:dyDescent="0.2">
      <c r="A25" s="587" t="s">
        <v>372</v>
      </c>
      <c r="B25" s="280"/>
      <c r="C25" s="280"/>
      <c r="D25" s="166"/>
      <c r="E25" s="11"/>
      <c r="F25" s="289">
        <v>4803.3653599999998</v>
      </c>
      <c r="G25" s="289">
        <v>4408.0884800000003</v>
      </c>
      <c r="H25" s="166">
        <f t="shared" si="6"/>
        <v>-8.1999999999999993</v>
      </c>
      <c r="I25" s="416">
        <f>IFERROR(100/'Skjema total MA'!F25*G25,0)</f>
        <v>22.175625590163904</v>
      </c>
      <c r="J25" s="289">
        <f t="shared" si="9"/>
        <v>4803.3653599999998</v>
      </c>
      <c r="K25" s="289">
        <f t="shared" si="10"/>
        <v>4408.0884800000003</v>
      </c>
      <c r="L25" s="166">
        <f t="shared" si="8"/>
        <v>-8.1999999999999993</v>
      </c>
      <c r="M25" s="23">
        <f>IFERROR(100/'Skjema total MA'!I25*K25,0)</f>
        <v>12.233054046067625</v>
      </c>
    </row>
    <row r="26" spans="1:14" ht="15.75" x14ac:dyDescent="0.2">
      <c r="A26" s="587" t="s">
        <v>373</v>
      </c>
      <c r="B26" s="280"/>
      <c r="C26" s="280"/>
      <c r="D26" s="166"/>
      <c r="E26" s="11"/>
      <c r="F26" s="289">
        <v>111147.77068</v>
      </c>
      <c r="G26" s="289">
        <v>125666.55249</v>
      </c>
      <c r="H26" s="166">
        <f t="shared" si="6"/>
        <v>13.1</v>
      </c>
      <c r="I26" s="416">
        <f>IFERROR(100/'Skjema total MA'!F26*G26,0)</f>
        <v>23.53335343200273</v>
      </c>
      <c r="J26" s="289">
        <f t="shared" si="9"/>
        <v>111147.77068</v>
      </c>
      <c r="K26" s="289">
        <f t="shared" si="10"/>
        <v>125666.55249</v>
      </c>
      <c r="L26" s="166">
        <f t="shared" si="8"/>
        <v>13.1</v>
      </c>
      <c r="M26" s="23">
        <f>IFERROR(100/'Skjema total MA'!I26*K26,0)</f>
        <v>23.53335343200273</v>
      </c>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v>273275.64920054498</v>
      </c>
      <c r="C28" s="286">
        <v>0</v>
      </c>
      <c r="D28" s="166">
        <f t="shared" si="5"/>
        <v>-100</v>
      </c>
      <c r="E28" s="11">
        <f>IFERROR(100/'Skjema total MA'!C28*C28,0)</f>
        <v>0</v>
      </c>
      <c r="F28" s="233"/>
      <c r="G28" s="286"/>
      <c r="H28" s="166"/>
      <c r="I28" s="27"/>
      <c r="J28" s="44">
        <f t="shared" si="7"/>
        <v>273275.64920054498</v>
      </c>
      <c r="K28" s="44">
        <f t="shared" si="7"/>
        <v>0</v>
      </c>
      <c r="L28" s="253">
        <f t="shared" si="8"/>
        <v>-100</v>
      </c>
      <c r="M28" s="23">
        <f>IFERROR(100/'Skjema total MA'!I28*K28,0)</f>
        <v>0</v>
      </c>
    </row>
    <row r="29" spans="1:14" s="3" customFormat="1" ht="15.75" x14ac:dyDescent="0.2">
      <c r="A29" s="13" t="s">
        <v>367</v>
      </c>
      <c r="B29" s="235">
        <v>5538249.7708900003</v>
      </c>
      <c r="C29" s="235">
        <v>2790496.4951499999</v>
      </c>
      <c r="D29" s="171">
        <f t="shared" si="5"/>
        <v>-49.6</v>
      </c>
      <c r="E29" s="11">
        <f>IFERROR(100/'Skjema total MA'!C29*C29,0)</f>
        <v>6.0150673822102103</v>
      </c>
      <c r="F29" s="307">
        <v>2409655.0911699999</v>
      </c>
      <c r="G29" s="307">
        <v>2680813.9717199998</v>
      </c>
      <c r="H29" s="171">
        <f t="shared" si="6"/>
        <v>11.3</v>
      </c>
      <c r="I29" s="11">
        <f>IFERROR(100/'Skjema total MA'!F29*G29,0)</f>
        <v>12.239826441069193</v>
      </c>
      <c r="J29" s="235">
        <f t="shared" si="7"/>
        <v>7947904.8620600002</v>
      </c>
      <c r="K29" s="235">
        <f t="shared" si="7"/>
        <v>5471310.4668699997</v>
      </c>
      <c r="L29" s="427">
        <f t="shared" si="8"/>
        <v>-31.2</v>
      </c>
      <c r="M29" s="24">
        <f>IFERROR(100/'Skjema total MA'!I29*K29,0)</f>
        <v>8.0113884817231202</v>
      </c>
      <c r="N29" s="148"/>
    </row>
    <row r="30" spans="1:14" s="3" customFormat="1" ht="15.75" x14ac:dyDescent="0.2">
      <c r="A30" s="587" t="s">
        <v>370</v>
      </c>
      <c r="B30" s="280">
        <v>3177249.7445891998</v>
      </c>
      <c r="C30" s="280">
        <v>1600885.59441544</v>
      </c>
      <c r="D30" s="166">
        <f t="shared" si="5"/>
        <v>-49.6</v>
      </c>
      <c r="E30" s="11">
        <f>IFERROR(100/'Skjema total MA'!C30*C30,0)</f>
        <v>11.43974222886731</v>
      </c>
      <c r="F30" s="289">
        <v>607859.64477000001</v>
      </c>
      <c r="G30" s="289">
        <v>587957.78981999902</v>
      </c>
      <c r="H30" s="166">
        <f t="shared" si="6"/>
        <v>-3.3</v>
      </c>
      <c r="I30" s="416">
        <f>IFERROR(100/'Skjema total MA'!F30*G30,0)</f>
        <v>13.719629503816247</v>
      </c>
      <c r="J30" s="289">
        <f t="shared" ref="J30:J33" si="11">SUM(B30,F30)</f>
        <v>3785109.3893591999</v>
      </c>
      <c r="K30" s="289">
        <f t="shared" ref="K30:K33" si="12">SUM(C30,G30)</f>
        <v>2188843.3842354389</v>
      </c>
      <c r="L30" s="166">
        <f t="shared" si="8"/>
        <v>-42.2</v>
      </c>
      <c r="M30" s="23">
        <f>IFERROR(100/'Skjema total MA'!I30*K30,0)</f>
        <v>11.974245812047432</v>
      </c>
      <c r="N30" s="148"/>
    </row>
    <row r="31" spans="1:14" s="3" customFormat="1" ht="15.75" x14ac:dyDescent="0.2">
      <c r="A31" s="587" t="s">
        <v>371</v>
      </c>
      <c r="B31" s="280">
        <v>2361000.0263008</v>
      </c>
      <c r="C31" s="280">
        <v>1189610.9007345601</v>
      </c>
      <c r="D31" s="166">
        <f t="shared" si="5"/>
        <v>-49.6</v>
      </c>
      <c r="E31" s="11">
        <f>IFERROR(100/'Skjema total MA'!C31*C31,0)</f>
        <v>4.9249565144189393</v>
      </c>
      <c r="F31" s="289">
        <v>915185.75529</v>
      </c>
      <c r="G31" s="289">
        <v>858477.81868999905</v>
      </c>
      <c r="H31" s="166">
        <f t="shared" si="6"/>
        <v>-6.2</v>
      </c>
      <c r="I31" s="416">
        <f>IFERROR(100/'Skjema total MA'!F31*G31,0)</f>
        <v>9.4234673782698462</v>
      </c>
      <c r="J31" s="289">
        <f t="shared" si="11"/>
        <v>3276185.7815907998</v>
      </c>
      <c r="K31" s="289">
        <f t="shared" si="12"/>
        <v>2048088.7194245593</v>
      </c>
      <c r="L31" s="166">
        <f t="shared" si="8"/>
        <v>-37.5</v>
      </c>
      <c r="M31" s="23">
        <f>IFERROR(100/'Skjema total MA'!I31*K31,0)</f>
        <v>6.1569342906537408</v>
      </c>
      <c r="N31" s="148"/>
    </row>
    <row r="32" spans="1:14" ht="15.75" x14ac:dyDescent="0.2">
      <c r="A32" s="587" t="s">
        <v>372</v>
      </c>
      <c r="B32" s="280"/>
      <c r="C32" s="280"/>
      <c r="D32" s="166"/>
      <c r="E32" s="11"/>
      <c r="F32" s="289">
        <v>392004.09732</v>
      </c>
      <c r="G32" s="289">
        <v>411953.95374999999</v>
      </c>
      <c r="H32" s="166">
        <f t="shared" si="6"/>
        <v>5.0999999999999996</v>
      </c>
      <c r="I32" s="416">
        <f>IFERROR(100/'Skjema total MA'!F32*G32,0)</f>
        <v>8.8054747626633674</v>
      </c>
      <c r="J32" s="289">
        <f t="shared" si="11"/>
        <v>392004.09732</v>
      </c>
      <c r="K32" s="289">
        <f t="shared" si="12"/>
        <v>411953.95374999999</v>
      </c>
      <c r="L32" s="166">
        <f t="shared" si="8"/>
        <v>5.0999999999999996</v>
      </c>
      <c r="M32" s="23">
        <f>IFERROR(100/'Skjema total MA'!I32*K32,0)</f>
        <v>5.4021470812532595</v>
      </c>
    </row>
    <row r="33" spans="1:14" ht="15.75" x14ac:dyDescent="0.2">
      <c r="A33" s="587" t="s">
        <v>373</v>
      </c>
      <c r="B33" s="280"/>
      <c r="C33" s="280"/>
      <c r="D33" s="166"/>
      <c r="E33" s="11"/>
      <c r="F33" s="289">
        <v>494605.59379000001</v>
      </c>
      <c r="G33" s="289">
        <v>822424.40946</v>
      </c>
      <c r="H33" s="166">
        <f t="shared" si="6"/>
        <v>66.3</v>
      </c>
      <c r="I33" s="416">
        <f>IFERROR(100/'Skjema total MA'!F33*G33,0)</f>
        <v>21.481750838937714</v>
      </c>
      <c r="J33" s="289">
        <f t="shared" si="11"/>
        <v>494605.59379000001</v>
      </c>
      <c r="K33" s="289">
        <f t="shared" si="12"/>
        <v>822424.40946</v>
      </c>
      <c r="L33" s="166">
        <f t="shared" si="8"/>
        <v>66.3</v>
      </c>
      <c r="M33" s="23">
        <f>IFERROR(100/'Skjema total MA'!I33*K33,0)</f>
        <v>21.481750838937714</v>
      </c>
    </row>
    <row r="34" spans="1:14" ht="15.75" x14ac:dyDescent="0.2">
      <c r="A34" s="13" t="s">
        <v>368</v>
      </c>
      <c r="B34" s="235"/>
      <c r="C34" s="308"/>
      <c r="D34" s="171"/>
      <c r="E34" s="11"/>
      <c r="F34" s="307">
        <v>9648.9389100000008</v>
      </c>
      <c r="G34" s="308">
        <v>13399.592339999999</v>
      </c>
      <c r="H34" s="171">
        <f t="shared" si="6"/>
        <v>38.9</v>
      </c>
      <c r="I34" s="11">
        <f>IFERROR(100/'Skjema total MA'!F34*G34,0)</f>
        <v>-694.95972181347599</v>
      </c>
      <c r="J34" s="235">
        <f t="shared" si="7"/>
        <v>9648.9389100000008</v>
      </c>
      <c r="K34" s="235">
        <f t="shared" si="7"/>
        <v>13399.592339999999</v>
      </c>
      <c r="L34" s="427">
        <f t="shared" si="8"/>
        <v>38.9</v>
      </c>
      <c r="M34" s="24">
        <f>IFERROR(100/'Skjema total MA'!I34*K34,0)</f>
        <v>139.40455005492197</v>
      </c>
    </row>
    <row r="35" spans="1:14" ht="15.75" x14ac:dyDescent="0.2">
      <c r="A35" s="13" t="s">
        <v>369</v>
      </c>
      <c r="B35" s="235">
        <v>336.08064999999999</v>
      </c>
      <c r="C35" s="308">
        <v>446.67009000000002</v>
      </c>
      <c r="D35" s="171">
        <f t="shared" si="5"/>
        <v>32.9</v>
      </c>
      <c r="E35" s="11">
        <f>IFERROR(100/'Skjema total MA'!C35*C35,0)</f>
        <v>-0.72995226501273336</v>
      </c>
      <c r="F35" s="307">
        <v>4710.89138</v>
      </c>
      <c r="G35" s="308">
        <v>3966.5920299999998</v>
      </c>
      <c r="H35" s="171">
        <f t="shared" si="6"/>
        <v>-15.8</v>
      </c>
      <c r="I35" s="11">
        <f>IFERROR(100/'Skjema total MA'!F35*G35,0)</f>
        <v>5.1887590124770888</v>
      </c>
      <c r="J35" s="235">
        <f t="shared" si="7"/>
        <v>5046.9720299999999</v>
      </c>
      <c r="K35" s="235">
        <f t="shared" si="7"/>
        <v>4413.2621199999994</v>
      </c>
      <c r="L35" s="427">
        <f t="shared" si="8"/>
        <v>-12.6</v>
      </c>
      <c r="M35" s="24">
        <f>IFERROR(100/'Skjema total MA'!I35*K35,0)</f>
        <v>28.931481789838859</v>
      </c>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v>405258.93755999999</v>
      </c>
      <c r="C47" s="310">
        <v>0</v>
      </c>
      <c r="D47" s="426">
        <f t="shared" ref="D47:D58" si="13">IF(B47=0, "    ---- ", IF(ABS(ROUND(100/B47*C47-100,1))&lt;999,ROUND(100/B47*C47-100,1),IF(ROUND(100/B47*C47-100,1)&gt;999,999,-999)))</f>
        <v>-100</v>
      </c>
      <c r="E47" s="11">
        <f>IFERROR(100/'Skjema total MA'!C47*C47,0)</f>
        <v>0</v>
      </c>
      <c r="F47" s="145"/>
      <c r="G47" s="33"/>
      <c r="H47" s="159"/>
      <c r="I47" s="159"/>
      <c r="J47" s="37"/>
      <c r="K47" s="37"/>
      <c r="L47" s="159"/>
      <c r="M47" s="159"/>
      <c r="N47" s="148"/>
    </row>
    <row r="48" spans="1:14" s="3" customFormat="1" ht="15.75" x14ac:dyDescent="0.2">
      <c r="A48" s="38" t="s">
        <v>378</v>
      </c>
      <c r="B48" s="280">
        <v>82388.748399999997</v>
      </c>
      <c r="C48" s="281">
        <v>0</v>
      </c>
      <c r="D48" s="253">
        <f t="shared" si="13"/>
        <v>-100</v>
      </c>
      <c r="E48" s="27">
        <f>IFERROR(100/'Skjema total MA'!C48*C48,0)</f>
        <v>0</v>
      </c>
      <c r="F48" s="145"/>
      <c r="G48" s="33"/>
      <c r="H48" s="145"/>
      <c r="I48" s="145"/>
      <c r="J48" s="33"/>
      <c r="K48" s="33"/>
      <c r="L48" s="159"/>
      <c r="M48" s="159"/>
      <c r="N48" s="148"/>
    </row>
    <row r="49" spans="1:14" s="3" customFormat="1" ht="15.75" x14ac:dyDescent="0.2">
      <c r="A49" s="38" t="s">
        <v>379</v>
      </c>
      <c r="B49" s="44">
        <v>322870.18916000001</v>
      </c>
      <c r="C49" s="286">
        <v>0</v>
      </c>
      <c r="D49" s="253">
        <f>IF(B49=0, "    ---- ", IF(ABS(ROUND(100/B49*C49-100,1))&lt;999,ROUND(100/B49*C49-100,1),IF(ROUND(100/B49*C49-100,1)&gt;999,999,-999)))</f>
        <v>-100</v>
      </c>
      <c r="E49" s="27">
        <f>IFERROR(100/'Skjema total MA'!C49*C49,0)</f>
        <v>0</v>
      </c>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v>47.161000000000001</v>
      </c>
      <c r="C53" s="310">
        <v>0</v>
      </c>
      <c r="D53" s="427">
        <f t="shared" si="13"/>
        <v>-100</v>
      </c>
      <c r="E53" s="11">
        <f>IFERROR(100/'Skjema total MA'!C53*C53,0)</f>
        <v>0</v>
      </c>
      <c r="F53" s="145"/>
      <c r="G53" s="33"/>
      <c r="H53" s="145"/>
      <c r="I53" s="145"/>
      <c r="J53" s="33"/>
      <c r="K53" s="33"/>
      <c r="L53" s="159"/>
      <c r="M53" s="159"/>
      <c r="N53" s="148"/>
    </row>
    <row r="54" spans="1:14" s="3" customFormat="1" ht="15.75" x14ac:dyDescent="0.2">
      <c r="A54" s="38" t="s">
        <v>378</v>
      </c>
      <c r="B54" s="280">
        <v>47.161000000000001</v>
      </c>
      <c r="C54" s="281">
        <v>0</v>
      </c>
      <c r="D54" s="253">
        <f t="shared" si="13"/>
        <v>-100</v>
      </c>
      <c r="E54" s="27">
        <f>IFERROR(100/'Skjema total MA'!C54*C54,0)</f>
        <v>0</v>
      </c>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v>3506.3490000000002</v>
      </c>
      <c r="C56" s="310">
        <v>0</v>
      </c>
      <c r="D56" s="427">
        <f t="shared" si="13"/>
        <v>-100</v>
      </c>
      <c r="E56" s="11">
        <f>IFERROR(100/'Skjema total MA'!C56*C56,0)</f>
        <v>0</v>
      </c>
      <c r="F56" s="145"/>
      <c r="G56" s="33"/>
      <c r="H56" s="145"/>
      <c r="I56" s="145"/>
      <c r="J56" s="33"/>
      <c r="K56" s="33"/>
      <c r="L56" s="159"/>
      <c r="M56" s="159"/>
      <c r="N56" s="148"/>
    </row>
    <row r="57" spans="1:14" s="3" customFormat="1" ht="15.75" x14ac:dyDescent="0.2">
      <c r="A57" s="38" t="s">
        <v>378</v>
      </c>
      <c r="B57" s="280">
        <v>2952.4360000000001</v>
      </c>
      <c r="C57" s="281">
        <v>0</v>
      </c>
      <c r="D57" s="253">
        <f t="shared" si="13"/>
        <v>-100</v>
      </c>
      <c r="E57" s="27">
        <f>IFERROR(100/'Skjema total MA'!C57*C57,0)</f>
        <v>0</v>
      </c>
      <c r="F57" s="145"/>
      <c r="G57" s="33"/>
      <c r="H57" s="145"/>
      <c r="I57" s="145"/>
      <c r="J57" s="33"/>
      <c r="K57" s="33"/>
      <c r="L57" s="159"/>
      <c r="M57" s="159"/>
      <c r="N57" s="148"/>
    </row>
    <row r="58" spans="1:14" s="3" customFormat="1" ht="15.75" x14ac:dyDescent="0.2">
      <c r="A58" s="46" t="s">
        <v>379</v>
      </c>
      <c r="B58" s="282">
        <v>553.91300000000001</v>
      </c>
      <c r="C58" s="283">
        <v>0</v>
      </c>
      <c r="D58" s="254">
        <f t="shared" si="13"/>
        <v>-100</v>
      </c>
      <c r="E58" s="22">
        <f>IFERROR(100/'Skjema total MA'!C58*C58,0)</f>
        <v>0</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v>378389.27283999999</v>
      </c>
      <c r="C66" s="352">
        <v>400419.79025999992</v>
      </c>
      <c r="D66" s="349">
        <f t="shared" ref="D66:D111" si="14">IF(B66=0, "    ---- ", IF(ABS(ROUND(100/B66*C66-100,1))&lt;999,ROUND(100/B66*C66-100,1),IF(ROUND(100/B66*C66-100,1)&gt;999,999,-999)))</f>
        <v>5.8</v>
      </c>
      <c r="E66" s="11">
        <f>IFERROR(100/'Skjema total MA'!C66*C66,0)</f>
        <v>8.5161543005952325</v>
      </c>
      <c r="F66" s="351">
        <v>1824175.4605400001</v>
      </c>
      <c r="G66" s="351">
        <v>1983050.7448799999</v>
      </c>
      <c r="H66" s="349">
        <f t="shared" ref="H66:H111" si="15">IF(F66=0, "    ---- ", IF(ABS(ROUND(100/F66*G66-100,1))&lt;999,ROUND(100/F66*G66-100,1),IF(ROUND(100/F66*G66-100,1)&gt;999,999,-999)))</f>
        <v>8.6999999999999993</v>
      </c>
      <c r="I66" s="11">
        <f>IFERROR(100/'Skjema total MA'!F66*G66,0)</f>
        <v>11.438966040076362</v>
      </c>
      <c r="J66" s="308">
        <f t="shared" ref="J66:K86" si="16">SUM(B66,F66)</f>
        <v>2202564.7333800001</v>
      </c>
      <c r="K66" s="315">
        <f t="shared" si="16"/>
        <v>2383470.5351399998</v>
      </c>
      <c r="L66" s="427">
        <f t="shared" ref="L66:L111" si="17">IF(J66=0, "    ---- ", IF(ABS(ROUND(100/J66*K66-100,1))&lt;999,ROUND(100/J66*K66-100,1),IF(ROUND(100/J66*K66-100,1)&gt;999,999,-999)))</f>
        <v>8.1999999999999993</v>
      </c>
      <c r="M66" s="11">
        <f>IFERROR(100/'Skjema total MA'!I66*K66,0)</f>
        <v>10.815368505923239</v>
      </c>
    </row>
    <row r="67" spans="1:14" x14ac:dyDescent="0.2">
      <c r="A67" s="418" t="s">
        <v>9</v>
      </c>
      <c r="B67" s="44">
        <v>112917.83835000001</v>
      </c>
      <c r="C67" s="145">
        <v>117115.86996</v>
      </c>
      <c r="D67" s="166">
        <f t="shared" si="14"/>
        <v>3.7</v>
      </c>
      <c r="E67" s="27">
        <f>IFERROR(100/'Skjema total MA'!C67*C67,0)</f>
        <v>3.3796995437516038</v>
      </c>
      <c r="F67" s="233"/>
      <c r="G67" s="145"/>
      <c r="H67" s="166"/>
      <c r="I67" s="27"/>
      <c r="J67" s="286">
        <f t="shared" si="16"/>
        <v>112917.83835000001</v>
      </c>
      <c r="K67" s="44">
        <f t="shared" si="16"/>
        <v>117115.86996</v>
      </c>
      <c r="L67" s="253">
        <f t="shared" si="17"/>
        <v>3.7</v>
      </c>
      <c r="M67" s="27">
        <f>IFERROR(100/'Skjema total MA'!I67*K67,0)</f>
        <v>3.3796995437516038</v>
      </c>
    </row>
    <row r="68" spans="1:14" x14ac:dyDescent="0.2">
      <c r="A68" s="21" t="s">
        <v>10</v>
      </c>
      <c r="B68" s="291">
        <v>23543.544470000001</v>
      </c>
      <c r="C68" s="292">
        <v>21952.401239999999</v>
      </c>
      <c r="D68" s="166">
        <f t="shared" si="14"/>
        <v>-6.8</v>
      </c>
      <c r="E68" s="27">
        <f>IFERROR(100/'Skjema total MA'!C68*C68,0)</f>
        <v>20.790345415543335</v>
      </c>
      <c r="F68" s="291">
        <v>1706090.8590200001</v>
      </c>
      <c r="G68" s="292">
        <v>1842657.4271199999</v>
      </c>
      <c r="H68" s="166">
        <f t="shared" si="15"/>
        <v>8</v>
      </c>
      <c r="I68" s="27">
        <f>IFERROR(100/'Skjema total MA'!F68*G68,0)</f>
        <v>11.064724775059284</v>
      </c>
      <c r="J68" s="286">
        <f t="shared" si="16"/>
        <v>1729634.4034900002</v>
      </c>
      <c r="K68" s="44">
        <f t="shared" si="16"/>
        <v>1864609.8283599999</v>
      </c>
      <c r="L68" s="253">
        <f t="shared" si="17"/>
        <v>7.8</v>
      </c>
      <c r="M68" s="27">
        <f>IFERROR(100/'Skjema total MA'!I68*K68,0)</f>
        <v>11.12600054264739</v>
      </c>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v>154004.99758</v>
      </c>
      <c r="C75" s="145">
        <v>162995.92405999999</v>
      </c>
      <c r="D75" s="166">
        <f t="shared" si="14"/>
        <v>5.8</v>
      </c>
      <c r="E75" s="27">
        <f>IFERROR(100/'Skjema total MA'!C75*C75,0)</f>
        <v>71.384849343552844</v>
      </c>
      <c r="F75" s="233">
        <v>118084.60152</v>
      </c>
      <c r="G75" s="145">
        <v>140393.31776000001</v>
      </c>
      <c r="H75" s="166">
        <f t="shared" si="15"/>
        <v>18.899999999999999</v>
      </c>
      <c r="I75" s="27">
        <f>IFERROR(100/'Skjema total MA'!F75*G75,0)</f>
        <v>20.570890632223161</v>
      </c>
      <c r="J75" s="286">
        <f t="shared" si="16"/>
        <v>272089.59909999999</v>
      </c>
      <c r="K75" s="44">
        <f t="shared" si="16"/>
        <v>303389.24182</v>
      </c>
      <c r="L75" s="253">
        <f t="shared" si="17"/>
        <v>11.5</v>
      </c>
      <c r="M75" s="27">
        <f>IFERROR(100/'Skjema total MA'!I75*K75,0)</f>
        <v>33.309483111446234</v>
      </c>
      <c r="N75" s="148"/>
    </row>
    <row r="76" spans="1:14" s="3" customFormat="1" x14ac:dyDescent="0.2">
      <c r="A76" s="21" t="s">
        <v>351</v>
      </c>
      <c r="B76" s="233">
        <v>87922.892439999996</v>
      </c>
      <c r="C76" s="145">
        <v>98355.595000000001</v>
      </c>
      <c r="D76" s="166">
        <f t="shared" ref="D76" si="18">IF(B76=0, "    ---- ", IF(ABS(ROUND(100/B76*C76-100,1))&lt;999,ROUND(100/B76*C76-100,1),IF(ROUND(100/B76*C76-100,1)&gt;999,999,-999)))</f>
        <v>11.9</v>
      </c>
      <c r="E76" s="27">
        <f>IFERROR(100/'Skjema total MA'!C76*C76,0)</f>
        <v>10.895868767886478</v>
      </c>
      <c r="F76" s="233"/>
      <c r="G76" s="145"/>
      <c r="H76" s="166"/>
      <c r="I76" s="27"/>
      <c r="J76" s="286">
        <f t="shared" ref="J76" si="19">SUM(B76,F76)</f>
        <v>87922.892439999996</v>
      </c>
      <c r="K76" s="44">
        <f t="shared" ref="K76" si="20">SUM(C76,G76)</f>
        <v>98355.595000000001</v>
      </c>
      <c r="L76" s="253">
        <f t="shared" ref="L76" si="21">IF(J76=0, "    ---- ", IF(ABS(ROUND(100/J76*K76-100,1))&lt;999,ROUND(100/J76*K76-100,1),IF(ROUND(100/J76*K76-100,1)&gt;999,999,-999)))</f>
        <v>11.9</v>
      </c>
      <c r="M76" s="27">
        <f>IFERROR(100/'Skjema total MA'!I76*K76,0)</f>
        <v>10.895868767886478</v>
      </c>
      <c r="N76" s="148"/>
    </row>
    <row r="77" spans="1:14" ht="15.75" x14ac:dyDescent="0.2">
      <c r="A77" s="21" t="s">
        <v>384</v>
      </c>
      <c r="B77" s="233">
        <v>136461.38282</v>
      </c>
      <c r="C77" s="233">
        <v>139068.27119999999</v>
      </c>
      <c r="D77" s="166">
        <f t="shared" si="14"/>
        <v>1.9</v>
      </c>
      <c r="E77" s="27">
        <f>IFERROR(100/'Skjema total MA'!C77*C77,0)</f>
        <v>4.0470088422863748</v>
      </c>
      <c r="F77" s="233">
        <v>1701478.8220200001</v>
      </c>
      <c r="G77" s="145">
        <v>1835391.6440600001</v>
      </c>
      <c r="H77" s="166">
        <f t="shared" si="15"/>
        <v>7.9</v>
      </c>
      <c r="I77" s="27">
        <f>IFERROR(100/'Skjema total MA'!F77*G77,0)</f>
        <v>11.02686183199547</v>
      </c>
      <c r="J77" s="286">
        <f t="shared" si="16"/>
        <v>1837940.20484</v>
      </c>
      <c r="K77" s="44">
        <f t="shared" si="16"/>
        <v>1974459.9152600002</v>
      </c>
      <c r="L77" s="253">
        <f t="shared" si="17"/>
        <v>7.4</v>
      </c>
      <c r="M77" s="27">
        <f>IFERROR(100/'Skjema total MA'!I77*K77,0)</f>
        <v>9.8324512101090829</v>
      </c>
    </row>
    <row r="78" spans="1:14" x14ac:dyDescent="0.2">
      <c r="A78" s="21" t="s">
        <v>9</v>
      </c>
      <c r="B78" s="233">
        <v>112917.83835000001</v>
      </c>
      <c r="C78" s="145">
        <v>117115.86996</v>
      </c>
      <c r="D78" s="166">
        <f t="shared" si="14"/>
        <v>3.7</v>
      </c>
      <c r="E78" s="27">
        <f>IFERROR(100/'Skjema total MA'!C78*C78,0)</f>
        <v>3.5147512564871541</v>
      </c>
      <c r="F78" s="233"/>
      <c r="G78" s="145"/>
      <c r="H78" s="166"/>
      <c r="I78" s="27"/>
      <c r="J78" s="286">
        <f t="shared" si="16"/>
        <v>112917.83835000001</v>
      </c>
      <c r="K78" s="44">
        <f t="shared" si="16"/>
        <v>117115.86996</v>
      </c>
      <c r="L78" s="253">
        <f t="shared" si="17"/>
        <v>3.7</v>
      </c>
      <c r="M78" s="27">
        <f>IFERROR(100/'Skjema total MA'!I78*K78,0)</f>
        <v>3.5147512564871541</v>
      </c>
    </row>
    <row r="79" spans="1:14" x14ac:dyDescent="0.2">
      <c r="A79" s="21" t="s">
        <v>10</v>
      </c>
      <c r="B79" s="291">
        <v>23543.544470000001</v>
      </c>
      <c r="C79" s="292">
        <v>21952.401239999999</v>
      </c>
      <c r="D79" s="166">
        <f t="shared" si="14"/>
        <v>-6.8</v>
      </c>
      <c r="E79" s="27">
        <f>IFERROR(100/'Skjema total MA'!C79*C79,0)</f>
        <v>21.067886818567466</v>
      </c>
      <c r="F79" s="291">
        <v>1701478.8220200001</v>
      </c>
      <c r="G79" s="292">
        <v>1835391.6440600001</v>
      </c>
      <c r="H79" s="166">
        <f t="shared" si="15"/>
        <v>7.9</v>
      </c>
      <c r="I79" s="27">
        <f>IFERROR(100/'Skjema total MA'!F79*G79,0)</f>
        <v>11.02686183199547</v>
      </c>
      <c r="J79" s="286">
        <f t="shared" si="16"/>
        <v>1725022.3664900002</v>
      </c>
      <c r="K79" s="44">
        <f t="shared" si="16"/>
        <v>1857344.0453000001</v>
      </c>
      <c r="L79" s="253">
        <f t="shared" si="17"/>
        <v>7.7</v>
      </c>
      <c r="M79" s="27">
        <f>IFERROR(100/'Skjema total MA'!I79*K79,0)</f>
        <v>11.08932902842872</v>
      </c>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v>4612.0370000000003</v>
      </c>
      <c r="G86" s="145">
        <v>7265.7830599999998</v>
      </c>
      <c r="H86" s="166">
        <f t="shared" si="15"/>
        <v>57.5</v>
      </c>
      <c r="I86" s="27">
        <f>IFERROR(100/'Skjema total MA'!F86*G86,0)</f>
        <v>83.430985599889468</v>
      </c>
      <c r="J86" s="286">
        <f t="shared" si="16"/>
        <v>4612.0370000000003</v>
      </c>
      <c r="K86" s="44">
        <f t="shared" si="16"/>
        <v>7265.7830599999998</v>
      </c>
      <c r="L86" s="253">
        <f t="shared" si="17"/>
        <v>57.5</v>
      </c>
      <c r="M86" s="27">
        <f>IFERROR(100/'Skjema total MA'!I86*K86,0)</f>
        <v>5.0720901466552961</v>
      </c>
    </row>
    <row r="87" spans="1:13" ht="15.75" x14ac:dyDescent="0.2">
      <c r="A87" s="13" t="s">
        <v>367</v>
      </c>
      <c r="B87" s="352">
        <v>14314595.96026</v>
      </c>
      <c r="C87" s="352">
        <v>16022799.018410001</v>
      </c>
      <c r="D87" s="171">
        <f t="shared" si="14"/>
        <v>11.9</v>
      </c>
      <c r="E87" s="11">
        <f>IFERROR(100/'Skjema total MA'!C87*C87,0)</f>
        <v>4.0774320655296989</v>
      </c>
      <c r="F87" s="351">
        <v>27336931.954099998</v>
      </c>
      <c r="G87" s="351">
        <v>31128657.316970002</v>
      </c>
      <c r="H87" s="171">
        <f t="shared" si="15"/>
        <v>13.9</v>
      </c>
      <c r="I87" s="11">
        <f>IFERROR(100/'Skjema total MA'!F87*G87,0)</f>
        <v>9.8016197574584716</v>
      </c>
      <c r="J87" s="308">
        <f t="shared" ref="J87:K111" si="22">SUM(B87,F87)</f>
        <v>41651527.914360002</v>
      </c>
      <c r="K87" s="235">
        <f t="shared" si="22"/>
        <v>47151456.335380003</v>
      </c>
      <c r="L87" s="427">
        <f t="shared" si="17"/>
        <v>13.2</v>
      </c>
      <c r="M87" s="11">
        <f>IFERROR(100/'Skjema total MA'!I87*K87,0)</f>
        <v>6.6359109963637941</v>
      </c>
    </row>
    <row r="88" spans="1:13" x14ac:dyDescent="0.2">
      <c r="A88" s="21" t="s">
        <v>9</v>
      </c>
      <c r="B88" s="233">
        <v>11345889.218909999</v>
      </c>
      <c r="C88" s="145">
        <v>12218234.72404</v>
      </c>
      <c r="D88" s="166">
        <f t="shared" si="14"/>
        <v>7.7</v>
      </c>
      <c r="E88" s="27">
        <f>IFERROR(100/'Skjema total MA'!C88*C88,0)</f>
        <v>3.2005982071979444</v>
      </c>
      <c r="F88" s="233"/>
      <c r="G88" s="145"/>
      <c r="H88" s="166"/>
      <c r="I88" s="27"/>
      <c r="J88" s="286">
        <f t="shared" si="22"/>
        <v>11345889.218909999</v>
      </c>
      <c r="K88" s="44">
        <f t="shared" si="22"/>
        <v>12218234.72404</v>
      </c>
      <c r="L88" s="253">
        <f t="shared" si="17"/>
        <v>7.7</v>
      </c>
      <c r="M88" s="27">
        <f>IFERROR(100/'Skjema total MA'!I88*K88,0)</f>
        <v>3.2005982071979444</v>
      </c>
    </row>
    <row r="89" spans="1:13" x14ac:dyDescent="0.2">
      <c r="A89" s="21" t="s">
        <v>10</v>
      </c>
      <c r="B89" s="233">
        <v>1438683.30715</v>
      </c>
      <c r="C89" s="145">
        <v>1619955.8028500001</v>
      </c>
      <c r="D89" s="166">
        <f t="shared" si="14"/>
        <v>12.6</v>
      </c>
      <c r="E89" s="27">
        <f>IFERROR(100/'Skjema total MA'!C89*C89,0)</f>
        <v>51.037888111612347</v>
      </c>
      <c r="F89" s="233">
        <v>26538837.205499999</v>
      </c>
      <c r="G89" s="145">
        <v>30106218.819460001</v>
      </c>
      <c r="H89" s="166">
        <f t="shared" si="15"/>
        <v>13.4</v>
      </c>
      <c r="I89" s="27">
        <f>IFERROR(100/'Skjema total MA'!F89*G89,0)</f>
        <v>9.5456858800506339</v>
      </c>
      <c r="J89" s="286">
        <f t="shared" si="22"/>
        <v>27977520.512649998</v>
      </c>
      <c r="K89" s="44">
        <f t="shared" si="22"/>
        <v>31726174.622310001</v>
      </c>
      <c r="L89" s="253">
        <f t="shared" si="17"/>
        <v>13.4</v>
      </c>
      <c r="M89" s="27">
        <f>IFERROR(100/'Skjema total MA'!I89*K89,0)</f>
        <v>9.9590940745238932</v>
      </c>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v>944653.81955000001</v>
      </c>
      <c r="C96" s="145">
        <v>1357822.1765699999</v>
      </c>
      <c r="D96" s="166">
        <f t="shared" si="14"/>
        <v>43.7</v>
      </c>
      <c r="E96" s="27">
        <f>IFERROR(100/'Skjema total MA'!C96*C96,0)</f>
        <v>80.672425357289498</v>
      </c>
      <c r="F96" s="233">
        <v>798094.74860000005</v>
      </c>
      <c r="G96" s="145">
        <v>1022438.49751</v>
      </c>
      <c r="H96" s="166">
        <f t="shared" si="15"/>
        <v>28.1</v>
      </c>
      <c r="I96" s="27">
        <f>IFERROR(100/'Skjema total MA'!F96*G96,0)</f>
        <v>46.558497756603408</v>
      </c>
      <c r="J96" s="286">
        <f t="shared" si="22"/>
        <v>1742748.5681500002</v>
      </c>
      <c r="K96" s="44">
        <f t="shared" si="22"/>
        <v>2380260.6740799998</v>
      </c>
      <c r="L96" s="253">
        <f t="shared" si="17"/>
        <v>36.6</v>
      </c>
      <c r="M96" s="27">
        <f>IFERROR(100/'Skjema total MA'!I96*K96,0)</f>
        <v>61.36020398032295</v>
      </c>
    </row>
    <row r="97" spans="1:13" x14ac:dyDescent="0.2">
      <c r="A97" s="21" t="s">
        <v>349</v>
      </c>
      <c r="B97" s="233">
        <v>585369.61465</v>
      </c>
      <c r="C97" s="145">
        <v>826786.31495000003</v>
      </c>
      <c r="D97" s="166">
        <f t="shared" ref="D97" si="23">IF(B97=0, "    ---- ", IF(ABS(ROUND(100/B97*C97-100,1))&lt;999,ROUND(100/B97*C97-100,1),IF(ROUND(100/B97*C97-100,1)&gt;999,999,-999)))</f>
        <v>41.2</v>
      </c>
      <c r="E97" s="27">
        <f>IFERROR(100/'Skjema total MA'!C98*C97,0)</f>
        <v>0.21729203979860526</v>
      </c>
      <c r="F97" s="233"/>
      <c r="G97" s="145"/>
      <c r="H97" s="166"/>
      <c r="I97" s="27"/>
      <c r="J97" s="286">
        <f t="shared" ref="J97" si="24">SUM(B97,F97)</f>
        <v>585369.61465</v>
      </c>
      <c r="K97" s="44">
        <f t="shared" ref="K97" si="25">SUM(C97,G97)</f>
        <v>826786.31495000003</v>
      </c>
      <c r="L97" s="253">
        <f t="shared" ref="L97" si="26">IF(J97=0, "    ---- ", IF(ABS(ROUND(100/J97*K97-100,1))&lt;999,ROUND(100/J97*K97-100,1),IF(ROUND(100/J97*K97-100,1)&gt;999,999,-999)))</f>
        <v>41.2</v>
      </c>
      <c r="M97" s="27">
        <f>IFERROR(100/'Skjema total MA'!I97*K97,0)</f>
        <v>13.005175295664012</v>
      </c>
    </row>
    <row r="98" spans="1:13" ht="15.75" x14ac:dyDescent="0.2">
      <c r="A98" s="21" t="s">
        <v>384</v>
      </c>
      <c r="B98" s="233">
        <v>12784572.52606</v>
      </c>
      <c r="C98" s="233">
        <v>13838190.52689</v>
      </c>
      <c r="D98" s="166">
        <f t="shared" si="14"/>
        <v>8.1999999999999993</v>
      </c>
      <c r="E98" s="27">
        <f>IFERROR(100/'Skjema total MA'!C98*C98,0)</f>
        <v>3.6368872976465609</v>
      </c>
      <c r="F98" s="291">
        <v>26467075.828219999</v>
      </c>
      <c r="G98" s="291">
        <v>30035402.554189999</v>
      </c>
      <c r="H98" s="166">
        <f t="shared" si="15"/>
        <v>13.5</v>
      </c>
      <c r="I98" s="27">
        <f>IFERROR(100/'Skjema total MA'!F98*G98,0)</f>
        <v>9.5498753252393414</v>
      </c>
      <c r="J98" s="286">
        <f t="shared" si="22"/>
        <v>39251648.354279995</v>
      </c>
      <c r="K98" s="44">
        <f t="shared" si="22"/>
        <v>43873593.081079997</v>
      </c>
      <c r="L98" s="253">
        <f t="shared" si="17"/>
        <v>11.8</v>
      </c>
      <c r="M98" s="27">
        <f>IFERROR(100/'Skjema total MA'!I98*K98,0)</f>
        <v>6.3126892155474268</v>
      </c>
    </row>
    <row r="99" spans="1:13" x14ac:dyDescent="0.2">
      <c r="A99" s="21" t="s">
        <v>9</v>
      </c>
      <c r="B99" s="291">
        <v>11345889.218909999</v>
      </c>
      <c r="C99" s="292">
        <v>12218234.72404</v>
      </c>
      <c r="D99" s="166">
        <f t="shared" si="14"/>
        <v>7.7</v>
      </c>
      <c r="E99" s="27">
        <f>IFERROR(100/'Skjema total MA'!C99*C99,0)</f>
        <v>3.2381503114088215</v>
      </c>
      <c r="F99" s="233"/>
      <c r="G99" s="145"/>
      <c r="H99" s="166"/>
      <c r="I99" s="27"/>
      <c r="J99" s="286">
        <f t="shared" si="22"/>
        <v>11345889.218909999</v>
      </c>
      <c r="K99" s="44">
        <f t="shared" si="22"/>
        <v>12218234.72404</v>
      </c>
      <c r="L99" s="253">
        <f t="shared" si="17"/>
        <v>7.7</v>
      </c>
      <c r="M99" s="27">
        <f>IFERROR(100/'Skjema total MA'!I99*K99,0)</f>
        <v>3.2381503114088215</v>
      </c>
    </row>
    <row r="100" spans="1:13" x14ac:dyDescent="0.2">
      <c r="A100" s="21" t="s">
        <v>10</v>
      </c>
      <c r="B100" s="291">
        <v>1438683.30715</v>
      </c>
      <c r="C100" s="292">
        <v>1619955.8028500001</v>
      </c>
      <c r="D100" s="166">
        <f t="shared" si="14"/>
        <v>12.6</v>
      </c>
      <c r="E100" s="27">
        <f>IFERROR(100/'Skjema total MA'!C100*C100,0)</f>
        <v>51.037888111612347</v>
      </c>
      <c r="F100" s="233">
        <v>26467075.828219999</v>
      </c>
      <c r="G100" s="233">
        <v>30035402.554189999</v>
      </c>
      <c r="H100" s="166">
        <f t="shared" si="15"/>
        <v>13.5</v>
      </c>
      <c r="I100" s="27">
        <f>IFERROR(100/'Skjema total MA'!F100*G100,0)</f>
        <v>9.5498753252393414</v>
      </c>
      <c r="J100" s="286">
        <f t="shared" si="22"/>
        <v>27905759.135369997</v>
      </c>
      <c r="K100" s="44">
        <f t="shared" si="22"/>
        <v>31655358.357039999</v>
      </c>
      <c r="L100" s="253">
        <f t="shared" si="17"/>
        <v>13.4</v>
      </c>
      <c r="M100" s="27">
        <f>IFERROR(100/'Skjema total MA'!I100*K100,0)</f>
        <v>9.9643866900499347</v>
      </c>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v>71761.377280000001</v>
      </c>
      <c r="G107" s="145">
        <v>70816.265269999902</v>
      </c>
      <c r="H107" s="166">
        <f t="shared" si="15"/>
        <v>-1.3</v>
      </c>
      <c r="I107" s="27">
        <f>IFERROR(100/'Skjema total MA'!F107*G107,0)</f>
        <v>8.0482137419911517</v>
      </c>
      <c r="J107" s="286">
        <f t="shared" si="22"/>
        <v>71761.377280000001</v>
      </c>
      <c r="K107" s="44">
        <f t="shared" si="22"/>
        <v>70816.265269999902</v>
      </c>
      <c r="L107" s="253">
        <f t="shared" si="17"/>
        <v>-1.3</v>
      </c>
      <c r="M107" s="27">
        <f>IFERROR(100/'Skjema total MA'!I107*K107,0)</f>
        <v>1.3344057340014637</v>
      </c>
    </row>
    <row r="108" spans="1:13" ht="15.75" x14ac:dyDescent="0.2">
      <c r="A108" s="21" t="s">
        <v>386</v>
      </c>
      <c r="B108" s="233">
        <v>8192354.3899499997</v>
      </c>
      <c r="C108" s="233">
        <v>8917905.6903300006</v>
      </c>
      <c r="D108" s="166">
        <f t="shared" si="14"/>
        <v>8.9</v>
      </c>
      <c r="E108" s="27">
        <f>IFERROR(100/'Skjema total MA'!C108*C108,0)</f>
        <v>2.752024299634845</v>
      </c>
      <c r="F108" s="233"/>
      <c r="G108" s="233"/>
      <c r="H108" s="166"/>
      <c r="I108" s="27"/>
      <c r="J108" s="286">
        <f t="shared" si="22"/>
        <v>8192354.3899499997</v>
      </c>
      <c r="K108" s="44">
        <f t="shared" si="22"/>
        <v>8917905.6903300006</v>
      </c>
      <c r="L108" s="253">
        <f t="shared" si="17"/>
        <v>8.9</v>
      </c>
      <c r="M108" s="27">
        <f>IFERROR(100/'Skjema total MA'!I108*K108,0)</f>
        <v>2.6182075328968737</v>
      </c>
    </row>
    <row r="109" spans="1:13" ht="15.75" x14ac:dyDescent="0.2">
      <c r="A109" s="21" t="s">
        <v>387</v>
      </c>
      <c r="B109" s="233">
        <v>339174.16642000002</v>
      </c>
      <c r="C109" s="233">
        <v>350225.43634000001</v>
      </c>
      <c r="D109" s="166">
        <f t="shared" si="14"/>
        <v>3.3</v>
      </c>
      <c r="E109" s="27">
        <f>IFERROR(100/'Skjema total MA'!C109*C109,0)</f>
        <v>32.953089077212724</v>
      </c>
      <c r="F109" s="233">
        <v>8568005.4981399998</v>
      </c>
      <c r="G109" s="233">
        <v>10186499.282029999</v>
      </c>
      <c r="H109" s="166">
        <f t="shared" si="15"/>
        <v>18.899999999999999</v>
      </c>
      <c r="I109" s="27">
        <f>IFERROR(100/'Skjema total MA'!F109*G109,0)</f>
        <v>9.2761453904332107</v>
      </c>
      <c r="J109" s="286">
        <f t="shared" si="22"/>
        <v>8907179.6645599995</v>
      </c>
      <c r="K109" s="44">
        <f t="shared" si="22"/>
        <v>10536724.71837</v>
      </c>
      <c r="L109" s="253">
        <f t="shared" si="17"/>
        <v>18.3</v>
      </c>
      <c r="M109" s="27">
        <f>IFERROR(100/'Skjema total MA'!I109*K109,0)</f>
        <v>9.5030988497579223</v>
      </c>
    </row>
    <row r="110" spans="1:13" ht="15.75" x14ac:dyDescent="0.2">
      <c r="A110" s="21" t="s">
        <v>388</v>
      </c>
      <c r="B110" s="233">
        <v>138939.31789999999</v>
      </c>
      <c r="C110" s="233">
        <v>259813.37878999999</v>
      </c>
      <c r="D110" s="166">
        <f t="shared" si="14"/>
        <v>87</v>
      </c>
      <c r="E110" s="27">
        <f>IFERROR(100/'Skjema total MA'!C110*C110,0)</f>
        <v>69.940446525185948</v>
      </c>
      <c r="F110" s="233"/>
      <c r="G110" s="233"/>
      <c r="H110" s="166"/>
      <c r="I110" s="27"/>
      <c r="J110" s="286">
        <f t="shared" si="22"/>
        <v>138939.31789999999</v>
      </c>
      <c r="K110" s="44">
        <f t="shared" si="22"/>
        <v>259813.37878999999</v>
      </c>
      <c r="L110" s="253">
        <f t="shared" si="17"/>
        <v>87</v>
      </c>
      <c r="M110" s="27">
        <f>IFERROR(100/'Skjema total MA'!I110*K110,0)</f>
        <v>69.940446525185948</v>
      </c>
    </row>
    <row r="111" spans="1:13" ht="15.75" x14ac:dyDescent="0.2">
      <c r="A111" s="13" t="s">
        <v>368</v>
      </c>
      <c r="B111" s="307">
        <v>13919.913090000002</v>
      </c>
      <c r="C111" s="159">
        <v>10141.162609999999</v>
      </c>
      <c r="D111" s="171">
        <f t="shared" si="14"/>
        <v>-27.1</v>
      </c>
      <c r="E111" s="11">
        <f>IFERROR(100/'Skjema total MA'!C111*C111,0)</f>
        <v>1.9027957771199091</v>
      </c>
      <c r="F111" s="307">
        <v>802952.63517999998</v>
      </c>
      <c r="G111" s="159">
        <v>639219.13448999997</v>
      </c>
      <c r="H111" s="171">
        <f t="shared" si="15"/>
        <v>-20.399999999999999</v>
      </c>
      <c r="I111" s="11">
        <f>IFERROR(100/'Skjema total MA'!F111*G111,0)</f>
        <v>5.4093661199242842</v>
      </c>
      <c r="J111" s="308">
        <f t="shared" si="22"/>
        <v>816872.54827000003</v>
      </c>
      <c r="K111" s="235">
        <f t="shared" si="22"/>
        <v>649360.29709999997</v>
      </c>
      <c r="L111" s="427">
        <f t="shared" si="17"/>
        <v>-20.5</v>
      </c>
      <c r="M111" s="11">
        <f>IFERROR(100/'Skjema total MA'!I111*K111,0)</f>
        <v>5.258039193809803</v>
      </c>
    </row>
    <row r="112" spans="1:13" x14ac:dyDescent="0.2">
      <c r="A112" s="21" t="s">
        <v>9</v>
      </c>
      <c r="B112" s="233">
        <v>2110.5707400000001</v>
      </c>
      <c r="C112" s="145">
        <v>1174.03098</v>
      </c>
      <c r="D112" s="166">
        <f t="shared" ref="D112:D125" si="27">IF(B112=0, "    ---- ", IF(ABS(ROUND(100/B112*C112-100,1))&lt;999,ROUND(100/B112*C112-100,1),IF(ROUND(100/B112*C112-100,1)&gt;999,999,-999)))</f>
        <v>-44.4</v>
      </c>
      <c r="E112" s="27">
        <f>IFERROR(100/'Skjema total MA'!C112*C112,0)</f>
        <v>0.64621223344420842</v>
      </c>
      <c r="F112" s="233"/>
      <c r="G112" s="145"/>
      <c r="H112" s="166"/>
      <c r="I112" s="27"/>
      <c r="J112" s="286">
        <f t="shared" ref="J112:K125" si="28">SUM(B112,F112)</f>
        <v>2110.5707400000001</v>
      </c>
      <c r="K112" s="44">
        <f t="shared" si="28"/>
        <v>1174.03098</v>
      </c>
      <c r="L112" s="253">
        <f t="shared" ref="L112:L125" si="29">IF(J112=0, "    ---- ", IF(ABS(ROUND(100/J112*K112-100,1))&lt;999,ROUND(100/J112*K112-100,1),IF(ROUND(100/J112*K112-100,1)&gt;999,999,-999)))</f>
        <v>-44.4</v>
      </c>
      <c r="M112" s="27">
        <f>IFERROR(100/'Skjema total MA'!I112*K112,0)</f>
        <v>0.63678766399289499</v>
      </c>
    </row>
    <row r="113" spans="1:14" x14ac:dyDescent="0.2">
      <c r="A113" s="21" t="s">
        <v>10</v>
      </c>
      <c r="B113" s="233">
        <v>345.58834999999999</v>
      </c>
      <c r="C113" s="145">
        <v>3724.60727</v>
      </c>
      <c r="D113" s="166">
        <f t="shared" si="27"/>
        <v>977.8</v>
      </c>
      <c r="E113" s="27">
        <f>IFERROR(100/'Skjema total MA'!C113*C113,0)</f>
        <v>87.52234484269033</v>
      </c>
      <c r="F113" s="233">
        <v>775928.17691000004</v>
      </c>
      <c r="G113" s="145">
        <v>639041.03249000001</v>
      </c>
      <c r="H113" s="166">
        <f t="shared" ref="H113:H125" si="30">IF(F113=0, "    ---- ", IF(ABS(ROUND(100/F113*G113-100,1))&lt;999,ROUND(100/F113*G113-100,1),IF(ROUND(100/F113*G113-100,1)&gt;999,999,-999)))</f>
        <v>-17.600000000000001</v>
      </c>
      <c r="I113" s="27">
        <f>IFERROR(100/'Skjema total MA'!F113*G113,0)</f>
        <v>5.4407212118150783</v>
      </c>
      <c r="J113" s="286">
        <f t="shared" si="28"/>
        <v>776273.76526000001</v>
      </c>
      <c r="K113" s="44">
        <f t="shared" si="28"/>
        <v>642765.63976000005</v>
      </c>
      <c r="L113" s="253">
        <f t="shared" si="29"/>
        <v>-17.2</v>
      </c>
      <c r="M113" s="27">
        <f>IFERROR(100/'Skjema total MA'!I113*K113,0)</f>
        <v>5.4704500464013011</v>
      </c>
    </row>
    <row r="114" spans="1:14" x14ac:dyDescent="0.2">
      <c r="A114" s="21" t="s">
        <v>26</v>
      </c>
      <c r="B114" s="233">
        <v>11463.754000000001</v>
      </c>
      <c r="C114" s="145">
        <v>5242.5243600000003</v>
      </c>
      <c r="D114" s="166">
        <f t="shared" si="27"/>
        <v>-54.3</v>
      </c>
      <c r="E114" s="27">
        <f>IFERROR(100/'Skjema total MA'!C114*C114,0)</f>
        <v>1.5106976635551823</v>
      </c>
      <c r="F114" s="233">
        <v>27024.458269999999</v>
      </c>
      <c r="G114" s="145">
        <v>178.102</v>
      </c>
      <c r="H114" s="166">
        <f t="shared" si="30"/>
        <v>-99.3</v>
      </c>
      <c r="I114" s="27">
        <f>IFERROR(100/'Skjema total MA'!F114*G114,0)</f>
        <v>0.25929937803644204</v>
      </c>
      <c r="J114" s="286">
        <f t="shared" si="28"/>
        <v>38488.212270000004</v>
      </c>
      <c r="K114" s="44">
        <f t="shared" si="28"/>
        <v>5420.6263600000002</v>
      </c>
      <c r="L114" s="253">
        <f t="shared" si="29"/>
        <v>-85.9</v>
      </c>
      <c r="M114" s="27">
        <f>IFERROR(100/'Skjema total MA'!I114*K114,0)</f>
        <v>1.3039361387465378</v>
      </c>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v>2110.6311300000002</v>
      </c>
      <c r="C116" s="233">
        <v>0</v>
      </c>
      <c r="D116" s="166">
        <f t="shared" si="27"/>
        <v>-100</v>
      </c>
      <c r="E116" s="27">
        <f>IFERROR(100/'Skjema total MA'!C116*C116,0)</f>
        <v>0</v>
      </c>
      <c r="F116" s="233"/>
      <c r="G116" s="233"/>
      <c r="H116" s="166"/>
      <c r="I116" s="27"/>
      <c r="J116" s="286">
        <f t="shared" si="28"/>
        <v>2110.6311300000002</v>
      </c>
      <c r="K116" s="44">
        <f t="shared" si="28"/>
        <v>0</v>
      </c>
      <c r="L116" s="253">
        <f t="shared" si="29"/>
        <v>-100</v>
      </c>
      <c r="M116" s="27">
        <f>IFERROR(100/'Skjema total MA'!I116*K116,0)</f>
        <v>0</v>
      </c>
    </row>
    <row r="117" spans="1:14" ht="15.75" x14ac:dyDescent="0.2">
      <c r="A117" s="21" t="s">
        <v>390</v>
      </c>
      <c r="B117" s="233"/>
      <c r="C117" s="233"/>
      <c r="D117" s="166"/>
      <c r="E117" s="27"/>
      <c r="F117" s="233">
        <v>176619.70348</v>
      </c>
      <c r="G117" s="233">
        <v>224529.50607999999</v>
      </c>
      <c r="H117" s="166">
        <f t="shared" si="30"/>
        <v>27.1</v>
      </c>
      <c r="I117" s="27">
        <f>IFERROR(100/'Skjema total MA'!F117*G117,0)</f>
        <v>12.402543878875113</v>
      </c>
      <c r="J117" s="286">
        <f t="shared" si="28"/>
        <v>176619.70348</v>
      </c>
      <c r="K117" s="44">
        <f t="shared" si="28"/>
        <v>224529.50607999999</v>
      </c>
      <c r="L117" s="253">
        <f t="shared" si="29"/>
        <v>27.1</v>
      </c>
      <c r="M117" s="27">
        <f>IFERROR(100/'Skjema total MA'!I117*K117,0)</f>
        <v>12.402543878875113</v>
      </c>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v>27105.177339999998</v>
      </c>
      <c r="C119" s="159">
        <v>9670.93325</v>
      </c>
      <c r="D119" s="171">
        <f t="shared" si="27"/>
        <v>-64.3</v>
      </c>
      <c r="E119" s="11">
        <f>IFERROR(100/'Skjema total MA'!C119*C119,0)</f>
        <v>1.625461151631632</v>
      </c>
      <c r="F119" s="307">
        <v>536275.12487000006</v>
      </c>
      <c r="G119" s="159">
        <v>419925.58947000001</v>
      </c>
      <c r="H119" s="171">
        <f t="shared" si="30"/>
        <v>-21.7</v>
      </c>
      <c r="I119" s="11">
        <f>IFERROR(100/'Skjema total MA'!F119*G119,0)</f>
        <v>3.6309817304503555</v>
      </c>
      <c r="J119" s="308">
        <f t="shared" si="28"/>
        <v>563380.30221000011</v>
      </c>
      <c r="K119" s="235">
        <f t="shared" si="28"/>
        <v>429596.52272000001</v>
      </c>
      <c r="L119" s="427">
        <f t="shared" si="29"/>
        <v>-23.7</v>
      </c>
      <c r="M119" s="11">
        <f>IFERROR(100/'Skjema total MA'!I119*K119,0)</f>
        <v>3.5328557384264916</v>
      </c>
    </row>
    <row r="120" spans="1:14" x14ac:dyDescent="0.2">
      <c r="A120" s="21" t="s">
        <v>9</v>
      </c>
      <c r="B120" s="233">
        <v>192.07879</v>
      </c>
      <c r="C120" s="145">
        <v>396.30399999999997</v>
      </c>
      <c r="D120" s="166">
        <f t="shared" si="27"/>
        <v>106.3</v>
      </c>
      <c r="E120" s="27">
        <f>IFERROR(100/'Skjema total MA'!C120*C120,0)</f>
        <v>8.4465575171593144E-2</v>
      </c>
      <c r="F120" s="233"/>
      <c r="G120" s="145"/>
      <c r="H120" s="166"/>
      <c r="I120" s="27"/>
      <c r="J120" s="286">
        <f t="shared" si="28"/>
        <v>192.07879</v>
      </c>
      <c r="K120" s="44">
        <f t="shared" si="28"/>
        <v>396.30399999999997</v>
      </c>
      <c r="L120" s="253">
        <f t="shared" si="29"/>
        <v>106.3</v>
      </c>
      <c r="M120" s="27">
        <f>IFERROR(100/'Skjema total MA'!I120*K120,0)</f>
        <v>8.4465575171593144E-2</v>
      </c>
    </row>
    <row r="121" spans="1:14" x14ac:dyDescent="0.2">
      <c r="A121" s="21" t="s">
        <v>10</v>
      </c>
      <c r="B121" s="233">
        <v>20817.859639999999</v>
      </c>
      <c r="C121" s="145">
        <v>3050.8951099999999</v>
      </c>
      <c r="D121" s="166">
        <f t="shared" si="27"/>
        <v>-85.3</v>
      </c>
      <c r="E121" s="27">
        <f>IFERROR(100/'Skjema total MA'!C121*C121,0)</f>
        <v>65.233344734985948</v>
      </c>
      <c r="F121" s="233">
        <v>536275.12487000006</v>
      </c>
      <c r="G121" s="145">
        <v>419925.58947000001</v>
      </c>
      <c r="H121" s="166">
        <f t="shared" si="30"/>
        <v>-21.7</v>
      </c>
      <c r="I121" s="27">
        <f>IFERROR(100/'Skjema total MA'!F121*G121,0)</f>
        <v>3.6309817304503555</v>
      </c>
      <c r="J121" s="286">
        <f t="shared" si="28"/>
        <v>557092.9845100001</v>
      </c>
      <c r="K121" s="44">
        <f t="shared" si="28"/>
        <v>422976.48457999999</v>
      </c>
      <c r="L121" s="253">
        <f t="shared" si="29"/>
        <v>-24.1</v>
      </c>
      <c r="M121" s="27">
        <f>IFERROR(100/'Skjema total MA'!I121*K121,0)</f>
        <v>3.6558835529019715</v>
      </c>
    </row>
    <row r="122" spans="1:14" x14ac:dyDescent="0.2">
      <c r="A122" s="21" t="s">
        <v>26</v>
      </c>
      <c r="B122" s="233">
        <v>6095.23891</v>
      </c>
      <c r="C122" s="145">
        <v>6223.7341399999996</v>
      </c>
      <c r="D122" s="166">
        <f t="shared" si="27"/>
        <v>2.1</v>
      </c>
      <c r="E122" s="27">
        <f>IFERROR(100/'Skjema total MA'!C122*C122,0)</f>
        <v>5.1393916672309601</v>
      </c>
      <c r="F122" s="233"/>
      <c r="G122" s="145"/>
      <c r="H122" s="166"/>
      <c r="I122" s="27"/>
      <c r="J122" s="286">
        <f t="shared" si="28"/>
        <v>6095.23891</v>
      </c>
      <c r="K122" s="44">
        <f t="shared" si="28"/>
        <v>6223.7341399999996</v>
      </c>
      <c r="L122" s="253">
        <f t="shared" si="29"/>
        <v>2.1</v>
      </c>
      <c r="M122" s="27">
        <f>IFERROR(100/'Skjema total MA'!I122*K122,0)</f>
        <v>5.1393916672309601</v>
      </c>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v>115.97561</v>
      </c>
      <c r="C124" s="233">
        <v>0</v>
      </c>
      <c r="D124" s="166">
        <f t="shared" si="27"/>
        <v>-100</v>
      </c>
      <c r="E124" s="27">
        <f>IFERROR(100/'Skjema total MA'!C124*C124,0)</f>
        <v>0</v>
      </c>
      <c r="F124" s="233"/>
      <c r="G124" s="233"/>
      <c r="H124" s="166"/>
      <c r="I124" s="27"/>
      <c r="J124" s="286">
        <f t="shared" si="28"/>
        <v>115.97561</v>
      </c>
      <c r="K124" s="44">
        <f t="shared" si="28"/>
        <v>0</v>
      </c>
      <c r="L124" s="253">
        <f t="shared" si="29"/>
        <v>-100</v>
      </c>
      <c r="M124" s="27">
        <f>IFERROR(100/'Skjema total MA'!I124*K124,0)</f>
        <v>0</v>
      </c>
    </row>
    <row r="125" spans="1:14" ht="15.75" x14ac:dyDescent="0.2">
      <c r="A125" s="21" t="s">
        <v>387</v>
      </c>
      <c r="B125" s="233">
        <v>2269.76784</v>
      </c>
      <c r="C125" s="233">
        <v>1047.3412900000001</v>
      </c>
      <c r="D125" s="166">
        <f t="shared" si="27"/>
        <v>-53.9</v>
      </c>
      <c r="E125" s="27">
        <f>IFERROR(100/'Skjema total MA'!C125*C125,0)</f>
        <v>98.495309064881695</v>
      </c>
      <c r="F125" s="233">
        <v>138959.94007000001</v>
      </c>
      <c r="G125" s="233">
        <v>193462.94584</v>
      </c>
      <c r="H125" s="166">
        <f t="shared" si="30"/>
        <v>39.200000000000003</v>
      </c>
      <c r="I125" s="27">
        <f>IFERROR(100/'Skjema total MA'!F125*G125,0)</f>
        <v>9.8319730143064241</v>
      </c>
      <c r="J125" s="286">
        <f t="shared" si="28"/>
        <v>141229.70791</v>
      </c>
      <c r="K125" s="44">
        <f t="shared" si="28"/>
        <v>194510.28713000001</v>
      </c>
      <c r="L125" s="253">
        <f t="shared" si="29"/>
        <v>37.700000000000003</v>
      </c>
      <c r="M125" s="27">
        <f>IFERROR(100/'Skjema total MA'!I125*K125,0)</f>
        <v>9.8798608266967936</v>
      </c>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523" priority="132">
      <formula>kvartal &lt; 4</formula>
    </cfRule>
  </conditionalFormatting>
  <conditionalFormatting sqref="B69">
    <cfRule type="expression" dxfId="522" priority="100">
      <formula>kvartal &lt; 4</formula>
    </cfRule>
  </conditionalFormatting>
  <conditionalFormatting sqref="C69">
    <cfRule type="expression" dxfId="521" priority="99">
      <formula>kvartal &lt; 4</formula>
    </cfRule>
  </conditionalFormatting>
  <conditionalFormatting sqref="B72">
    <cfRule type="expression" dxfId="520" priority="98">
      <formula>kvartal &lt; 4</formula>
    </cfRule>
  </conditionalFormatting>
  <conditionalFormatting sqref="C72">
    <cfRule type="expression" dxfId="519" priority="97">
      <formula>kvartal &lt; 4</formula>
    </cfRule>
  </conditionalFormatting>
  <conditionalFormatting sqref="B80">
    <cfRule type="expression" dxfId="518" priority="96">
      <formula>kvartal &lt; 4</formula>
    </cfRule>
  </conditionalFormatting>
  <conditionalFormatting sqref="C80">
    <cfRule type="expression" dxfId="517" priority="95">
      <formula>kvartal &lt; 4</formula>
    </cfRule>
  </conditionalFormatting>
  <conditionalFormatting sqref="B83">
    <cfRule type="expression" dxfId="516" priority="94">
      <formula>kvartal &lt; 4</formula>
    </cfRule>
  </conditionalFormatting>
  <conditionalFormatting sqref="C83">
    <cfRule type="expression" dxfId="515" priority="93">
      <formula>kvartal &lt; 4</formula>
    </cfRule>
  </conditionalFormatting>
  <conditionalFormatting sqref="B90">
    <cfRule type="expression" dxfId="514" priority="84">
      <formula>kvartal &lt; 4</formula>
    </cfRule>
  </conditionalFormatting>
  <conditionalFormatting sqref="C90">
    <cfRule type="expression" dxfId="513" priority="83">
      <formula>kvartal &lt; 4</formula>
    </cfRule>
  </conditionalFormatting>
  <conditionalFormatting sqref="B93">
    <cfRule type="expression" dxfId="512" priority="82">
      <formula>kvartal &lt; 4</formula>
    </cfRule>
  </conditionalFormatting>
  <conditionalFormatting sqref="C93">
    <cfRule type="expression" dxfId="511" priority="81">
      <formula>kvartal &lt; 4</formula>
    </cfRule>
  </conditionalFormatting>
  <conditionalFormatting sqref="B101">
    <cfRule type="expression" dxfId="510" priority="80">
      <formula>kvartal &lt; 4</formula>
    </cfRule>
  </conditionalFormatting>
  <conditionalFormatting sqref="C101">
    <cfRule type="expression" dxfId="509" priority="79">
      <formula>kvartal &lt; 4</formula>
    </cfRule>
  </conditionalFormatting>
  <conditionalFormatting sqref="B104">
    <cfRule type="expression" dxfId="508" priority="78">
      <formula>kvartal &lt; 4</formula>
    </cfRule>
  </conditionalFormatting>
  <conditionalFormatting sqref="C104">
    <cfRule type="expression" dxfId="507" priority="77">
      <formula>kvartal &lt; 4</formula>
    </cfRule>
  </conditionalFormatting>
  <conditionalFormatting sqref="B115">
    <cfRule type="expression" dxfId="506" priority="76">
      <formula>kvartal &lt; 4</formula>
    </cfRule>
  </conditionalFormatting>
  <conditionalFormatting sqref="C115">
    <cfRule type="expression" dxfId="505" priority="75">
      <formula>kvartal &lt; 4</formula>
    </cfRule>
  </conditionalFormatting>
  <conditionalFormatting sqref="B123">
    <cfRule type="expression" dxfId="504" priority="74">
      <formula>kvartal &lt; 4</formula>
    </cfRule>
  </conditionalFormatting>
  <conditionalFormatting sqref="C123">
    <cfRule type="expression" dxfId="503" priority="73">
      <formula>kvartal &lt; 4</formula>
    </cfRule>
  </conditionalFormatting>
  <conditionalFormatting sqref="F70">
    <cfRule type="expression" dxfId="502" priority="72">
      <formula>kvartal &lt; 4</formula>
    </cfRule>
  </conditionalFormatting>
  <conditionalFormatting sqref="G70">
    <cfRule type="expression" dxfId="501" priority="71">
      <formula>kvartal &lt; 4</formula>
    </cfRule>
  </conditionalFormatting>
  <conditionalFormatting sqref="F71:G71">
    <cfRule type="expression" dxfId="500" priority="70">
      <formula>kvartal &lt; 4</formula>
    </cfRule>
  </conditionalFormatting>
  <conditionalFormatting sqref="F73:G74">
    <cfRule type="expression" dxfId="499" priority="69">
      <formula>kvartal &lt; 4</formula>
    </cfRule>
  </conditionalFormatting>
  <conditionalFormatting sqref="F81:G82">
    <cfRule type="expression" dxfId="498" priority="68">
      <formula>kvartal &lt; 4</formula>
    </cfRule>
  </conditionalFormatting>
  <conditionalFormatting sqref="F84:G85">
    <cfRule type="expression" dxfId="497" priority="67">
      <formula>kvartal &lt; 4</formula>
    </cfRule>
  </conditionalFormatting>
  <conditionalFormatting sqref="F91:G92">
    <cfRule type="expression" dxfId="496" priority="62">
      <formula>kvartal &lt; 4</formula>
    </cfRule>
  </conditionalFormatting>
  <conditionalFormatting sqref="F94:G95">
    <cfRule type="expression" dxfId="495" priority="61">
      <formula>kvartal &lt; 4</formula>
    </cfRule>
  </conditionalFormatting>
  <conditionalFormatting sqref="F102:G103">
    <cfRule type="expression" dxfId="494" priority="60">
      <formula>kvartal &lt; 4</formula>
    </cfRule>
  </conditionalFormatting>
  <conditionalFormatting sqref="F105:G106">
    <cfRule type="expression" dxfId="493" priority="59">
      <formula>kvartal &lt; 4</formula>
    </cfRule>
  </conditionalFormatting>
  <conditionalFormatting sqref="F115">
    <cfRule type="expression" dxfId="492" priority="58">
      <formula>kvartal &lt; 4</formula>
    </cfRule>
  </conditionalFormatting>
  <conditionalFormatting sqref="G115">
    <cfRule type="expression" dxfId="491" priority="57">
      <formula>kvartal &lt; 4</formula>
    </cfRule>
  </conditionalFormatting>
  <conditionalFormatting sqref="F123:G123">
    <cfRule type="expression" dxfId="490" priority="56">
      <formula>kvartal &lt; 4</formula>
    </cfRule>
  </conditionalFormatting>
  <conditionalFormatting sqref="F69:G69">
    <cfRule type="expression" dxfId="489" priority="55">
      <formula>kvartal &lt; 4</formula>
    </cfRule>
  </conditionalFormatting>
  <conditionalFormatting sqref="F72:G72">
    <cfRule type="expression" dxfId="488" priority="54">
      <formula>kvartal &lt; 4</formula>
    </cfRule>
  </conditionalFormatting>
  <conditionalFormatting sqref="F80:G80">
    <cfRule type="expression" dxfId="487" priority="53">
      <formula>kvartal &lt; 4</formula>
    </cfRule>
  </conditionalFormatting>
  <conditionalFormatting sqref="F83:G83">
    <cfRule type="expression" dxfId="486" priority="52">
      <formula>kvartal &lt; 4</formula>
    </cfRule>
  </conditionalFormatting>
  <conditionalFormatting sqref="F90:G90">
    <cfRule type="expression" dxfId="485" priority="46">
      <formula>kvartal &lt; 4</formula>
    </cfRule>
  </conditionalFormatting>
  <conditionalFormatting sqref="F93">
    <cfRule type="expression" dxfId="484" priority="45">
      <formula>kvartal &lt; 4</formula>
    </cfRule>
  </conditionalFormatting>
  <conditionalFormatting sqref="G93">
    <cfRule type="expression" dxfId="483" priority="44">
      <formula>kvartal &lt; 4</formula>
    </cfRule>
  </conditionalFormatting>
  <conditionalFormatting sqref="F101">
    <cfRule type="expression" dxfId="482" priority="43">
      <formula>kvartal &lt; 4</formula>
    </cfRule>
  </conditionalFormatting>
  <conditionalFormatting sqref="G101">
    <cfRule type="expression" dxfId="481" priority="42">
      <formula>kvartal &lt; 4</formula>
    </cfRule>
  </conditionalFormatting>
  <conditionalFormatting sqref="G104">
    <cfRule type="expression" dxfId="480" priority="41">
      <formula>kvartal &lt; 4</formula>
    </cfRule>
  </conditionalFormatting>
  <conditionalFormatting sqref="F104">
    <cfRule type="expression" dxfId="479" priority="40">
      <formula>kvartal &lt; 4</formula>
    </cfRule>
  </conditionalFormatting>
  <conditionalFormatting sqref="J69:K73">
    <cfRule type="expression" dxfId="478" priority="39">
      <formula>kvartal &lt; 4</formula>
    </cfRule>
  </conditionalFormatting>
  <conditionalFormatting sqref="J74:K74">
    <cfRule type="expression" dxfId="477" priority="38">
      <formula>kvartal &lt; 4</formula>
    </cfRule>
  </conditionalFormatting>
  <conditionalFormatting sqref="J80:K85">
    <cfRule type="expression" dxfId="476" priority="37">
      <formula>kvartal &lt; 4</formula>
    </cfRule>
  </conditionalFormatting>
  <conditionalFormatting sqref="J90:K95">
    <cfRule type="expression" dxfId="475" priority="34">
      <formula>kvartal &lt; 4</formula>
    </cfRule>
  </conditionalFormatting>
  <conditionalFormatting sqref="J101:K106">
    <cfRule type="expression" dxfId="474" priority="33">
      <formula>kvartal &lt; 4</formula>
    </cfRule>
  </conditionalFormatting>
  <conditionalFormatting sqref="J115:K115">
    <cfRule type="expression" dxfId="473" priority="32">
      <formula>kvartal &lt; 4</formula>
    </cfRule>
  </conditionalFormatting>
  <conditionalFormatting sqref="J123:K123">
    <cfRule type="expression" dxfId="472" priority="31">
      <formula>kvartal &lt; 4</formula>
    </cfRule>
  </conditionalFormatting>
  <conditionalFormatting sqref="A50:A52">
    <cfRule type="expression" dxfId="471" priority="12">
      <formula>kvartal &lt; 4</formula>
    </cfRule>
  </conditionalFormatting>
  <conditionalFormatting sqref="A69:A74">
    <cfRule type="expression" dxfId="470" priority="10">
      <formula>kvartal &lt; 4</formula>
    </cfRule>
  </conditionalFormatting>
  <conditionalFormatting sqref="A80:A85">
    <cfRule type="expression" dxfId="469" priority="9">
      <formula>kvartal &lt; 4</formula>
    </cfRule>
  </conditionalFormatting>
  <conditionalFormatting sqref="A90:A95">
    <cfRule type="expression" dxfId="468" priority="6">
      <formula>kvartal &lt; 4</formula>
    </cfRule>
  </conditionalFormatting>
  <conditionalFormatting sqref="A101:A106">
    <cfRule type="expression" dxfId="467" priority="5">
      <formula>kvartal &lt; 4</formula>
    </cfRule>
  </conditionalFormatting>
  <conditionalFormatting sqref="A115">
    <cfRule type="expression" dxfId="466" priority="4">
      <formula>kvartal &lt; 4</formula>
    </cfRule>
  </conditionalFormatting>
  <conditionalFormatting sqref="A123">
    <cfRule type="expression" dxfId="465" priority="3">
      <formula>kvartal &lt; 4</formula>
    </cfRule>
  </conditionalFormatting>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134</v>
      </c>
      <c r="D1" s="26"/>
      <c r="E1" s="26"/>
      <c r="F1" s="26"/>
      <c r="G1" s="26"/>
      <c r="H1" s="26"/>
      <c r="I1" s="26"/>
      <c r="J1" s="26"/>
      <c r="K1" s="26"/>
      <c r="L1" s="26"/>
      <c r="M1" s="26"/>
    </row>
    <row r="2" spans="1:14" ht="15.75" x14ac:dyDescent="0.25">
      <c r="A2" s="165" t="s">
        <v>28</v>
      </c>
      <c r="B2" s="736"/>
      <c r="C2" s="736"/>
      <c r="D2" s="736"/>
      <c r="E2" s="298"/>
      <c r="F2" s="736"/>
      <c r="G2" s="736"/>
      <c r="H2" s="736"/>
      <c r="I2" s="298"/>
      <c r="J2" s="736"/>
      <c r="K2" s="736"/>
      <c r="L2" s="736"/>
      <c r="M2" s="298"/>
    </row>
    <row r="3" spans="1:14" ht="15.75" x14ac:dyDescent="0.25">
      <c r="A3" s="163"/>
      <c r="B3" s="298"/>
      <c r="C3" s="298"/>
      <c r="D3" s="298"/>
      <c r="E3" s="298"/>
      <c r="F3" s="298"/>
      <c r="G3" s="298"/>
      <c r="H3" s="298"/>
      <c r="I3" s="298"/>
      <c r="J3" s="298"/>
      <c r="K3" s="298"/>
      <c r="L3" s="298"/>
      <c r="M3" s="298"/>
    </row>
    <row r="4" spans="1:14" x14ac:dyDescent="0.2">
      <c r="A4" s="144"/>
      <c r="B4" s="737" t="s">
        <v>0</v>
      </c>
      <c r="C4" s="738"/>
      <c r="D4" s="738"/>
      <c r="E4" s="300"/>
      <c r="F4" s="737" t="s">
        <v>1</v>
      </c>
      <c r="G4" s="738"/>
      <c r="H4" s="738"/>
      <c r="I4" s="303"/>
      <c r="J4" s="737" t="s">
        <v>2</v>
      </c>
      <c r="K4" s="738"/>
      <c r="L4" s="738"/>
      <c r="M4" s="303"/>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v>340064.09499999997</v>
      </c>
      <c r="C7" s="306">
        <v>355923.935</v>
      </c>
      <c r="D7" s="349">
        <f>IF(B7=0, "    ---- ", IF(ABS(ROUND(100/B7*C7-100,1))&lt;999,ROUND(100/B7*C7-100,1),IF(ROUND(100/B7*C7-100,1)&gt;999,999,-999)))</f>
        <v>4.7</v>
      </c>
      <c r="E7" s="11">
        <f>IFERROR(100/'Skjema total MA'!C7*C7,0)</f>
        <v>13.244697407605772</v>
      </c>
      <c r="F7" s="305">
        <v>618658.05900000001</v>
      </c>
      <c r="G7" s="306">
        <v>670708.429</v>
      </c>
      <c r="H7" s="349">
        <f>IF(F7=0, "    ---- ", IF(ABS(ROUND(100/F7*G7-100,1))&lt;999,ROUND(100/F7*G7-100,1),IF(ROUND(100/F7*G7-100,1)&gt;999,999,-999)))</f>
        <v>8.4</v>
      </c>
      <c r="I7" s="160">
        <f>IFERROR(100/'Skjema total MA'!F7*G7,0)</f>
        <v>14.201574866099714</v>
      </c>
      <c r="J7" s="307">
        <f t="shared" ref="J7:K12" si="0">SUM(B7,F7)</f>
        <v>958722.15399999998</v>
      </c>
      <c r="K7" s="308">
        <f t="shared" si="0"/>
        <v>1026632.3640000001</v>
      </c>
      <c r="L7" s="426">
        <f>IF(J7=0, "    ---- ", IF(ABS(ROUND(100/J7*K7-100,1))&lt;999,ROUND(100/J7*K7-100,1),IF(ROUND(100/J7*K7-100,1)&gt;999,999,-999)))</f>
        <v>7.1</v>
      </c>
      <c r="M7" s="11">
        <f>IFERROR(100/'Skjema total MA'!I7*K7,0)</f>
        <v>13.854559077228885</v>
      </c>
    </row>
    <row r="8" spans="1:14" ht="15.75" x14ac:dyDescent="0.2">
      <c r="A8" s="21" t="s">
        <v>25</v>
      </c>
      <c r="B8" s="280">
        <v>129362.181</v>
      </c>
      <c r="C8" s="281">
        <v>140523.30499999999</v>
      </c>
      <c r="D8" s="166">
        <f t="shared" ref="D8:D10" si="1">IF(B8=0, "    ---- ", IF(ABS(ROUND(100/B8*C8-100,1))&lt;999,ROUND(100/B8*C8-100,1),IF(ROUND(100/B8*C8-100,1)&gt;999,999,-999)))</f>
        <v>8.6</v>
      </c>
      <c r="E8" s="27">
        <f>IFERROR(100/'Skjema total MA'!C8*C8,0)</f>
        <v>7.7894727487016837</v>
      </c>
      <c r="F8" s="284"/>
      <c r="G8" s="285"/>
      <c r="H8" s="166"/>
      <c r="I8" s="175"/>
      <c r="J8" s="233">
        <f t="shared" si="0"/>
        <v>129362.181</v>
      </c>
      <c r="K8" s="286">
        <f t="shared" si="0"/>
        <v>140523.30499999999</v>
      </c>
      <c r="L8" s="166">
        <f t="shared" ref="L8:L9" si="2">IF(J8=0, "    ---- ", IF(ABS(ROUND(100/J8*K8-100,1))&lt;999,ROUND(100/J8*K8-100,1),IF(ROUND(100/J8*K8-100,1)&gt;999,999,-999)))</f>
        <v>8.6</v>
      </c>
      <c r="M8" s="27">
        <f>IFERROR(100/'Skjema total MA'!I8*K8,0)</f>
        <v>7.7894727487016837</v>
      </c>
    </row>
    <row r="9" spans="1:14" ht="15.75" x14ac:dyDescent="0.2">
      <c r="A9" s="21" t="s">
        <v>24</v>
      </c>
      <c r="B9" s="280">
        <v>31292.077000000001</v>
      </c>
      <c r="C9" s="281">
        <v>30047.788</v>
      </c>
      <c r="D9" s="166">
        <f t="shared" si="1"/>
        <v>-4</v>
      </c>
      <c r="E9" s="27">
        <f>IFERROR(100/'Skjema total MA'!C9*C9,0)</f>
        <v>5.778747114301849</v>
      </c>
      <c r="F9" s="284"/>
      <c r="G9" s="285"/>
      <c r="H9" s="166"/>
      <c r="I9" s="175"/>
      <c r="J9" s="233">
        <f t="shared" si="0"/>
        <v>31292.077000000001</v>
      </c>
      <c r="K9" s="286">
        <f t="shared" si="0"/>
        <v>30047.788</v>
      </c>
      <c r="L9" s="166">
        <f t="shared" si="2"/>
        <v>-4</v>
      </c>
      <c r="M9" s="27">
        <f>IFERROR(100/'Skjema total MA'!I9*K9,0)</f>
        <v>5.778747114301849</v>
      </c>
    </row>
    <row r="10" spans="1:14" ht="15.75" x14ac:dyDescent="0.2">
      <c r="A10" s="13" t="s">
        <v>367</v>
      </c>
      <c r="B10" s="309">
        <v>3968437.5610000002</v>
      </c>
      <c r="C10" s="310">
        <v>4014265.8360000001</v>
      </c>
      <c r="D10" s="171">
        <f t="shared" si="1"/>
        <v>1.2</v>
      </c>
      <c r="E10" s="11">
        <f>IFERROR(100/'Skjema total MA'!C10*C10,0)</f>
        <v>21.823971275568049</v>
      </c>
      <c r="F10" s="309">
        <v>6903009.4740000004</v>
      </c>
      <c r="G10" s="310">
        <v>7538453.9979999997</v>
      </c>
      <c r="H10" s="171">
        <f t="shared" ref="H10:H12" si="3">IF(F10=0, "    ---- ", IF(ABS(ROUND(100/F10*G10-100,1))&lt;999,ROUND(100/F10*G10-100,1),IF(ROUND(100/F10*G10-100,1)&gt;999,999,-999)))</f>
        <v>9.1999999999999993</v>
      </c>
      <c r="I10" s="160">
        <f>IFERROR(100/'Skjema total MA'!F10*G10,0)</f>
        <v>14.530417024835765</v>
      </c>
      <c r="J10" s="307">
        <f t="shared" si="0"/>
        <v>10871447.035</v>
      </c>
      <c r="K10" s="308">
        <f t="shared" si="0"/>
        <v>11552719.833999999</v>
      </c>
      <c r="L10" s="427">
        <f t="shared" ref="L10:L12" si="4">IF(J10=0, "    ---- ", IF(ABS(ROUND(100/J10*K10-100,1))&lt;999,ROUND(100/J10*K10-100,1),IF(ROUND(100/J10*K10-100,1)&gt;999,999,-999)))</f>
        <v>6.3</v>
      </c>
      <c r="M10" s="11">
        <f>IFERROR(100/'Skjema total MA'!I10*K10,0)</f>
        <v>16.439455857310346</v>
      </c>
    </row>
    <row r="11" spans="1:14" s="43" customFormat="1" ht="15.75" x14ac:dyDescent="0.2">
      <c r="A11" s="13" t="s">
        <v>368</v>
      </c>
      <c r="B11" s="309"/>
      <c r="C11" s="310"/>
      <c r="D11" s="171"/>
      <c r="E11" s="11"/>
      <c r="F11" s="309">
        <v>2476.8359999999998</v>
      </c>
      <c r="G11" s="310">
        <v>5701.0870000000004</v>
      </c>
      <c r="H11" s="171">
        <f t="shared" si="3"/>
        <v>130.19999999999999</v>
      </c>
      <c r="I11" s="160">
        <f>IFERROR(100/'Skjema total MA'!F11*G11,0)</f>
        <v>2.6216363689671036</v>
      </c>
      <c r="J11" s="307">
        <f t="shared" si="0"/>
        <v>2476.8359999999998</v>
      </c>
      <c r="K11" s="308">
        <f t="shared" si="0"/>
        <v>5701.0870000000004</v>
      </c>
      <c r="L11" s="427">
        <f t="shared" si="4"/>
        <v>130.19999999999999</v>
      </c>
      <c r="M11" s="11">
        <f>IFERROR(100/'Skjema total MA'!I11*K11,0)</f>
        <v>2.4158896753029468</v>
      </c>
      <c r="N11" s="143"/>
    </row>
    <row r="12" spans="1:14" s="43" customFormat="1" ht="15.75" x14ac:dyDescent="0.2">
      <c r="A12" s="41" t="s">
        <v>369</v>
      </c>
      <c r="B12" s="311"/>
      <c r="C12" s="312"/>
      <c r="D12" s="169"/>
      <c r="E12" s="36"/>
      <c r="F12" s="311">
        <v>12145.547</v>
      </c>
      <c r="G12" s="312">
        <v>16267.779</v>
      </c>
      <c r="H12" s="169">
        <f t="shared" si="3"/>
        <v>33.9</v>
      </c>
      <c r="I12" s="169">
        <f>IFERROR(100/'Skjema total MA'!F12*G12,0)</f>
        <v>10.563124580663525</v>
      </c>
      <c r="J12" s="313">
        <f t="shared" si="0"/>
        <v>12145.547</v>
      </c>
      <c r="K12" s="314">
        <f t="shared" si="0"/>
        <v>16267.779</v>
      </c>
      <c r="L12" s="428">
        <f t="shared" si="4"/>
        <v>33.9</v>
      </c>
      <c r="M12" s="36">
        <f>IFERROR(100/'Skjema total MA'!I12*K12,0)</f>
        <v>10.401102662649269</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v>4520.83</v>
      </c>
      <c r="C22" s="309">
        <v>3654.2779999999998</v>
      </c>
      <c r="D22" s="349">
        <f t="shared" ref="D22:D37" si="5">IF(B22=0, "    ---- ", IF(ABS(ROUND(100/B22*C22-100,1))&lt;999,ROUND(100/B22*C22-100,1),IF(ROUND(100/B22*C22-100,1)&gt;999,999,-999)))</f>
        <v>-19.2</v>
      </c>
      <c r="E22" s="11">
        <f>IFERROR(100/'Skjema total MA'!C22*C22,0)</f>
        <v>0.37000349509355213</v>
      </c>
      <c r="F22" s="317">
        <v>176713.44699999999</v>
      </c>
      <c r="G22" s="317">
        <v>190092.859</v>
      </c>
      <c r="H22" s="349">
        <f t="shared" ref="H22:H35" si="6">IF(F22=0, "    ---- ", IF(ABS(ROUND(100/F22*G22-100,1))&lt;999,ROUND(100/F22*G22-100,1),IF(ROUND(100/F22*G22-100,1)&gt;999,999,-999)))</f>
        <v>7.6</v>
      </c>
      <c r="I22" s="11">
        <f>IFERROR(100/'Skjema total MA'!F22*G22,0)</f>
        <v>29.601573013941387</v>
      </c>
      <c r="J22" s="315">
        <f t="shared" ref="J22:K35" si="7">SUM(B22,F22)</f>
        <v>181234.27699999997</v>
      </c>
      <c r="K22" s="315">
        <f t="shared" si="7"/>
        <v>193747.13699999999</v>
      </c>
      <c r="L22" s="426">
        <f t="shared" ref="L22:L35" si="8">IF(J22=0, "    ---- ", IF(ABS(ROUND(100/J22*K22-100,1))&lt;999,ROUND(100/J22*K22-100,1),IF(ROUND(100/J22*K22-100,1)&gt;999,999,-999)))</f>
        <v>6.9</v>
      </c>
      <c r="M22" s="24">
        <f>IFERROR(100/'Skjema total MA'!I22*K22,0)</f>
        <v>11.88775066025525</v>
      </c>
    </row>
    <row r="23" spans="1:14" ht="15.75" x14ac:dyDescent="0.2">
      <c r="A23" s="587" t="s">
        <v>370</v>
      </c>
      <c r="B23" s="280">
        <v>591.245</v>
      </c>
      <c r="C23" s="280">
        <v>497.48099999999999</v>
      </c>
      <c r="D23" s="166">
        <f t="shared" si="5"/>
        <v>-15.9</v>
      </c>
      <c r="E23" s="11">
        <f>IFERROR(100/'Skjema total MA'!C23*C23,0)</f>
        <v>0.12160901151421949</v>
      </c>
      <c r="F23" s="289">
        <v>16239</v>
      </c>
      <c r="G23" s="289">
        <v>12443.163</v>
      </c>
      <c r="H23" s="166">
        <f t="shared" si="6"/>
        <v>-23.4</v>
      </c>
      <c r="I23" s="416">
        <f>IFERROR(100/'Skjema total MA'!F23*G23,0)</f>
        <v>14.243464599971905</v>
      </c>
      <c r="J23" s="289">
        <f t="shared" ref="J23:J26" si="9">SUM(B23,F23)</f>
        <v>16830.244999999999</v>
      </c>
      <c r="K23" s="289">
        <f t="shared" ref="K23:K26" si="10">SUM(C23,G23)</f>
        <v>12940.644</v>
      </c>
      <c r="L23" s="166">
        <f t="shared" si="8"/>
        <v>-23.1</v>
      </c>
      <c r="M23" s="23">
        <f>IFERROR(100/'Skjema total MA'!I23*K23,0)</f>
        <v>2.6066734252526991</v>
      </c>
    </row>
    <row r="24" spans="1:14" ht="15.75" x14ac:dyDescent="0.2">
      <c r="A24" s="587" t="s">
        <v>371</v>
      </c>
      <c r="B24" s="280">
        <v>3929.585</v>
      </c>
      <c r="C24" s="280">
        <v>3156.797</v>
      </c>
      <c r="D24" s="166">
        <f t="shared" si="5"/>
        <v>-19.7</v>
      </c>
      <c r="E24" s="11">
        <f>IFERROR(100/'Skjema total MA'!C24*C24,0)</f>
        <v>18.547085421460917</v>
      </c>
      <c r="F24" s="289">
        <v>-3</v>
      </c>
      <c r="G24" s="289">
        <v>0</v>
      </c>
      <c r="H24" s="166">
        <f t="shared" si="6"/>
        <v>-100</v>
      </c>
      <c r="I24" s="416">
        <f>IFERROR(100/'Skjema total MA'!F24*G24,0)</f>
        <v>0</v>
      </c>
      <c r="J24" s="289">
        <f t="shared" si="9"/>
        <v>3926.585</v>
      </c>
      <c r="K24" s="289">
        <f t="shared" si="10"/>
        <v>3156.797</v>
      </c>
      <c r="L24" s="166">
        <f t="shared" si="8"/>
        <v>-19.600000000000001</v>
      </c>
      <c r="M24" s="23">
        <f>IFERROR(100/'Skjema total MA'!I24*K24,0)</f>
        <v>17.576873805423382</v>
      </c>
    </row>
    <row r="25" spans="1:14" ht="15.75" x14ac:dyDescent="0.2">
      <c r="A25" s="587" t="s">
        <v>372</v>
      </c>
      <c r="B25" s="280"/>
      <c r="C25" s="280"/>
      <c r="D25" s="166"/>
      <c r="E25" s="11"/>
      <c r="F25" s="289">
        <v>222.87100000000001</v>
      </c>
      <c r="G25" s="289">
        <v>126.6</v>
      </c>
      <c r="H25" s="166">
        <f t="shared" si="6"/>
        <v>-43.2</v>
      </c>
      <c r="I25" s="416">
        <f>IFERROR(100/'Skjema total MA'!F25*G25,0)</f>
        <v>0.63688245198625182</v>
      </c>
      <c r="J25" s="289">
        <f t="shared" si="9"/>
        <v>222.87100000000001</v>
      </c>
      <c r="K25" s="289">
        <f t="shared" si="10"/>
        <v>126.6</v>
      </c>
      <c r="L25" s="166">
        <f t="shared" si="8"/>
        <v>-43.2</v>
      </c>
      <c r="M25" s="23">
        <f>IFERROR(100/'Skjema total MA'!I25*K25,0)</f>
        <v>0.35133247648245053</v>
      </c>
    </row>
    <row r="26" spans="1:14" ht="15.75" x14ac:dyDescent="0.2">
      <c r="A26" s="587" t="s">
        <v>373</v>
      </c>
      <c r="B26" s="280"/>
      <c r="C26" s="280"/>
      <c r="D26" s="166"/>
      <c r="E26" s="11"/>
      <c r="F26" s="289">
        <v>160700</v>
      </c>
      <c r="G26" s="289">
        <v>177523.09599999999</v>
      </c>
      <c r="H26" s="166">
        <f t="shared" si="6"/>
        <v>10.5</v>
      </c>
      <c r="I26" s="416">
        <f>IFERROR(100/'Skjema total MA'!F26*G26,0)</f>
        <v>33.244436787137886</v>
      </c>
      <c r="J26" s="289">
        <f t="shared" si="9"/>
        <v>160700</v>
      </c>
      <c r="K26" s="289">
        <f t="shared" si="10"/>
        <v>177523.09599999999</v>
      </c>
      <c r="L26" s="166">
        <f t="shared" si="8"/>
        <v>10.5</v>
      </c>
      <c r="M26" s="23">
        <f>IFERROR(100/'Skjema total MA'!I26*K26,0)</f>
        <v>33.244436787137886</v>
      </c>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v>95849.547999999995</v>
      </c>
      <c r="C28" s="286">
        <v>102239.69</v>
      </c>
      <c r="D28" s="166">
        <f t="shared" si="5"/>
        <v>6.7</v>
      </c>
      <c r="E28" s="11">
        <f>IFERROR(100/'Skjema total MA'!C28*C28,0)</f>
        <v>9.4804139258007467</v>
      </c>
      <c r="F28" s="233"/>
      <c r="G28" s="286"/>
      <c r="H28" s="166"/>
      <c r="I28" s="27"/>
      <c r="J28" s="44">
        <f t="shared" si="7"/>
        <v>95849.547999999995</v>
      </c>
      <c r="K28" s="44">
        <f t="shared" si="7"/>
        <v>102239.69</v>
      </c>
      <c r="L28" s="253">
        <f t="shared" si="8"/>
        <v>6.7</v>
      </c>
      <c r="M28" s="23">
        <f>IFERROR(100/'Skjema total MA'!I28*K28,0)</f>
        <v>9.4804139258007467</v>
      </c>
    </row>
    <row r="29" spans="1:14" s="3" customFormat="1" ht="15.75" x14ac:dyDescent="0.2">
      <c r="A29" s="13" t="s">
        <v>367</v>
      </c>
      <c r="B29" s="235">
        <v>10022799</v>
      </c>
      <c r="C29" s="235">
        <v>9340979.2359999996</v>
      </c>
      <c r="D29" s="171">
        <f t="shared" si="5"/>
        <v>-6.8</v>
      </c>
      <c r="E29" s="11">
        <f>IFERROR(100/'Skjema total MA'!C29*C29,0)</f>
        <v>20.134990177562006</v>
      </c>
      <c r="F29" s="307">
        <v>4518565.1449999996</v>
      </c>
      <c r="G29" s="307">
        <v>4927577.03</v>
      </c>
      <c r="H29" s="171">
        <f t="shared" si="6"/>
        <v>9.1</v>
      </c>
      <c r="I29" s="11">
        <f>IFERROR(100/'Skjema total MA'!F29*G29,0)</f>
        <v>22.497901107066681</v>
      </c>
      <c r="J29" s="235">
        <f t="shared" si="7"/>
        <v>14541364.145</v>
      </c>
      <c r="K29" s="235">
        <f t="shared" si="7"/>
        <v>14268556.265999999</v>
      </c>
      <c r="L29" s="427">
        <f t="shared" si="8"/>
        <v>-1.9</v>
      </c>
      <c r="M29" s="24">
        <f>IFERROR(100/'Skjema total MA'!I29*K29,0)</f>
        <v>20.892791226604455</v>
      </c>
      <c r="N29" s="148"/>
    </row>
    <row r="30" spans="1:14" s="3" customFormat="1" ht="15.75" x14ac:dyDescent="0.2">
      <c r="A30" s="587" t="s">
        <v>370</v>
      </c>
      <c r="B30" s="280">
        <v>1310806</v>
      </c>
      <c r="C30" s="280">
        <v>1271649.074</v>
      </c>
      <c r="D30" s="166">
        <f t="shared" si="5"/>
        <v>-3</v>
      </c>
      <c r="E30" s="11">
        <f>IFERROR(100/'Skjema total MA'!C30*C30,0)</f>
        <v>9.0870563536114144</v>
      </c>
      <c r="F30" s="289">
        <v>509780.576</v>
      </c>
      <c r="G30" s="289">
        <v>490155.73200000002</v>
      </c>
      <c r="H30" s="166">
        <f t="shared" si="6"/>
        <v>-3.8</v>
      </c>
      <c r="I30" s="416">
        <f>IFERROR(100/'Skjema total MA'!F30*G30,0)</f>
        <v>11.437479286175641</v>
      </c>
      <c r="J30" s="289">
        <f t="shared" ref="J30:J33" si="11">SUM(B30,F30)</f>
        <v>1820586.5759999999</v>
      </c>
      <c r="K30" s="289">
        <f t="shared" ref="K30:K33" si="12">SUM(C30,G30)</f>
        <v>1761804.8060000001</v>
      </c>
      <c r="L30" s="166">
        <f t="shared" si="8"/>
        <v>-3.2</v>
      </c>
      <c r="M30" s="23">
        <f>IFERROR(100/'Skjema total MA'!I30*K30,0)</f>
        <v>9.6380965270658017</v>
      </c>
      <c r="N30" s="148"/>
    </row>
    <row r="31" spans="1:14" s="3" customFormat="1" ht="15.75" x14ac:dyDescent="0.2">
      <c r="A31" s="587" t="s">
        <v>371</v>
      </c>
      <c r="B31" s="280">
        <v>8711993</v>
      </c>
      <c r="C31" s="280">
        <v>8069330.1619999995</v>
      </c>
      <c r="D31" s="166">
        <f t="shared" si="5"/>
        <v>-7.4</v>
      </c>
      <c r="E31" s="11">
        <f>IFERROR(100/'Skjema total MA'!C31*C31,0)</f>
        <v>33.406805640230623</v>
      </c>
      <c r="F31" s="289">
        <v>1842306.669</v>
      </c>
      <c r="G31" s="289">
        <v>1671351.6740000001</v>
      </c>
      <c r="H31" s="166">
        <f t="shared" si="6"/>
        <v>-9.3000000000000007</v>
      </c>
      <c r="I31" s="416">
        <f>IFERROR(100/'Skjema total MA'!F31*G31,0)</f>
        <v>18.346342368623368</v>
      </c>
      <c r="J31" s="289">
        <f t="shared" si="11"/>
        <v>10554299.669</v>
      </c>
      <c r="K31" s="289">
        <f t="shared" si="12"/>
        <v>9740681.8359999992</v>
      </c>
      <c r="L31" s="166">
        <f t="shared" si="8"/>
        <v>-7.7</v>
      </c>
      <c r="M31" s="23">
        <f>IFERROR(100/'Skjema total MA'!I31*K31,0)</f>
        <v>29.282294971707408</v>
      </c>
      <c r="N31" s="148"/>
    </row>
    <row r="32" spans="1:14" ht="15.75" x14ac:dyDescent="0.2">
      <c r="A32" s="587" t="s">
        <v>372</v>
      </c>
      <c r="B32" s="280"/>
      <c r="C32" s="280"/>
      <c r="D32" s="166"/>
      <c r="E32" s="11"/>
      <c r="F32" s="289">
        <v>1301898.8030000001</v>
      </c>
      <c r="G32" s="289">
        <v>1499214.469</v>
      </c>
      <c r="H32" s="166">
        <f t="shared" si="6"/>
        <v>15.2</v>
      </c>
      <c r="I32" s="416">
        <f>IFERROR(100/'Skjema total MA'!F32*G32,0)</f>
        <v>32.045560069100958</v>
      </c>
      <c r="J32" s="289">
        <f t="shared" si="11"/>
        <v>1301898.8030000001</v>
      </c>
      <c r="K32" s="289">
        <f t="shared" si="12"/>
        <v>1499214.469</v>
      </c>
      <c r="L32" s="166">
        <f t="shared" si="8"/>
        <v>15.2</v>
      </c>
      <c r="M32" s="23">
        <f>IFERROR(100/'Skjema total MA'!I32*K32,0)</f>
        <v>19.659908575112212</v>
      </c>
    </row>
    <row r="33" spans="1:14" ht="15.75" x14ac:dyDescent="0.2">
      <c r="A33" s="587" t="s">
        <v>373</v>
      </c>
      <c r="B33" s="280"/>
      <c r="C33" s="280"/>
      <c r="D33" s="166"/>
      <c r="E33" s="11"/>
      <c r="F33" s="289">
        <v>864579.09699999995</v>
      </c>
      <c r="G33" s="289">
        <v>1266855.155</v>
      </c>
      <c r="H33" s="166">
        <f t="shared" si="6"/>
        <v>46.5</v>
      </c>
      <c r="I33" s="416">
        <f>IFERROR(100/'Skjema total MA'!F33*G33,0)</f>
        <v>33.090295564795525</v>
      </c>
      <c r="J33" s="289">
        <f t="shared" si="11"/>
        <v>864579.09699999995</v>
      </c>
      <c r="K33" s="289">
        <f t="shared" si="12"/>
        <v>1266855.155</v>
      </c>
      <c r="L33" s="166">
        <f t="shared" si="8"/>
        <v>46.5</v>
      </c>
      <c r="M33" s="23">
        <f>IFERROR(100/'Skjema total MA'!I33*K33,0)</f>
        <v>33.090295564795525</v>
      </c>
    </row>
    <row r="34" spans="1:14" ht="15.75" x14ac:dyDescent="0.2">
      <c r="A34" s="13" t="s">
        <v>368</v>
      </c>
      <c r="B34" s="235">
        <v>3368.5320000000002</v>
      </c>
      <c r="C34" s="308">
        <v>5362.13</v>
      </c>
      <c r="D34" s="171">
        <f t="shared" si="5"/>
        <v>59.2</v>
      </c>
      <c r="E34" s="11">
        <f>IFERROR(100/'Skjema total MA'!C34*C34,0)</f>
        <v>46.465074483563008</v>
      </c>
      <c r="F34" s="307">
        <v>7863.2190000000001</v>
      </c>
      <c r="G34" s="308">
        <v>11462.123</v>
      </c>
      <c r="H34" s="171">
        <f t="shared" si="6"/>
        <v>45.8</v>
      </c>
      <c r="I34" s="11">
        <f>IFERROR(100/'Skjema total MA'!F34*G34,0)</f>
        <v>-594.47433991651167</v>
      </c>
      <c r="J34" s="235">
        <f t="shared" si="7"/>
        <v>11231.751</v>
      </c>
      <c r="K34" s="235">
        <f t="shared" si="7"/>
        <v>16824.253000000001</v>
      </c>
      <c r="L34" s="427">
        <f t="shared" si="8"/>
        <v>49.8</v>
      </c>
      <c r="M34" s="24">
        <f>IFERROR(100/'Skjema total MA'!I34*K34,0)</f>
        <v>175.03349056924904</v>
      </c>
    </row>
    <row r="35" spans="1:14" ht="15.75" x14ac:dyDescent="0.2">
      <c r="A35" s="13" t="s">
        <v>369</v>
      </c>
      <c r="B35" s="235">
        <v>791.60400000000004</v>
      </c>
      <c r="C35" s="308">
        <v>2342.645</v>
      </c>
      <c r="D35" s="171">
        <f t="shared" si="5"/>
        <v>195.9</v>
      </c>
      <c r="E35" s="11">
        <f>IFERROR(100/'Skjema total MA'!C35*C35,0)</f>
        <v>-3.8283714583861093</v>
      </c>
      <c r="F35" s="307">
        <v>11616.182000000001</v>
      </c>
      <c r="G35" s="308">
        <v>16875.653999999999</v>
      </c>
      <c r="H35" s="171">
        <f t="shared" si="6"/>
        <v>45.3</v>
      </c>
      <c r="I35" s="11">
        <f>IFERROR(100/'Skjema total MA'!F35*G35,0)</f>
        <v>22.075298170743572</v>
      </c>
      <c r="J35" s="235">
        <f t="shared" si="7"/>
        <v>12407.786</v>
      </c>
      <c r="K35" s="235">
        <f t="shared" si="7"/>
        <v>19218.298999999999</v>
      </c>
      <c r="L35" s="427">
        <f t="shared" si="8"/>
        <v>54.9</v>
      </c>
      <c r="M35" s="24">
        <f>IFERROR(100/'Skjema total MA'!I35*K35,0)</f>
        <v>125.98704822685184</v>
      </c>
    </row>
    <row r="36" spans="1:14" ht="15.75" x14ac:dyDescent="0.2">
      <c r="A36" s="12" t="s">
        <v>286</v>
      </c>
      <c r="B36" s="235">
        <v>34.747999999999998</v>
      </c>
      <c r="C36" s="308">
        <v>37.607999999999997</v>
      </c>
      <c r="D36" s="171">
        <f t="shared" si="5"/>
        <v>8.1999999999999993</v>
      </c>
      <c r="E36" s="11">
        <f>100/'Skjema total MA'!C36*C36</f>
        <v>1.9250535419592876</v>
      </c>
      <c r="F36" s="318"/>
      <c r="G36" s="319"/>
      <c r="H36" s="171"/>
      <c r="I36" s="433"/>
      <c r="J36" s="235">
        <f t="shared" ref="J36:J37" si="13">SUM(B36,F36)</f>
        <v>34.747999999999998</v>
      </c>
      <c r="K36" s="235">
        <f t="shared" ref="K36:K37" si="14">SUM(C36,G36)</f>
        <v>37.607999999999997</v>
      </c>
      <c r="L36" s="427"/>
      <c r="M36" s="24">
        <f>IFERROR(100/'Skjema total MA'!I36*K36,0)</f>
        <v>1.9250535419592876</v>
      </c>
    </row>
    <row r="37" spans="1:14" ht="15.75" x14ac:dyDescent="0.2">
      <c r="A37" s="12" t="s">
        <v>375</v>
      </c>
      <c r="B37" s="235">
        <v>465322.22100000002</v>
      </c>
      <c r="C37" s="308">
        <v>456923.37400000001</v>
      </c>
      <c r="D37" s="171">
        <f t="shared" si="5"/>
        <v>-1.8</v>
      </c>
      <c r="E37" s="11">
        <f>100/'Skjema total MA'!C37*C37</f>
        <v>12.768435775896476</v>
      </c>
      <c r="F37" s="318"/>
      <c r="G37" s="320"/>
      <c r="H37" s="171"/>
      <c r="I37" s="433"/>
      <c r="J37" s="235">
        <f t="shared" si="13"/>
        <v>465322.22100000002</v>
      </c>
      <c r="K37" s="235">
        <f t="shared" si="14"/>
        <v>456923.37400000001</v>
      </c>
      <c r="L37" s="427"/>
      <c r="M37" s="24">
        <f>IFERROR(100/'Skjema total MA'!I37*K37,0)</f>
        <v>12.768435775896476</v>
      </c>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v>496921.42599999998</v>
      </c>
      <c r="C47" s="310">
        <v>680763.10199999996</v>
      </c>
      <c r="D47" s="426">
        <f t="shared" ref="D47:D57" si="15">IF(B47=0, "    ---- ", IF(ABS(ROUND(100/B47*C47-100,1))&lt;999,ROUND(100/B47*C47-100,1),IF(ROUND(100/B47*C47-100,1)&gt;999,999,-999)))</f>
        <v>37</v>
      </c>
      <c r="E47" s="11">
        <f>IFERROR(100/'Skjema total MA'!C47*C47,0)</f>
        <v>18.639519334892398</v>
      </c>
      <c r="F47" s="145"/>
      <c r="G47" s="33"/>
      <c r="H47" s="159"/>
      <c r="I47" s="159"/>
      <c r="J47" s="37"/>
      <c r="K47" s="37"/>
      <c r="L47" s="159"/>
      <c r="M47" s="159"/>
      <c r="N47" s="148"/>
    </row>
    <row r="48" spans="1:14" s="3" customFormat="1" ht="15.75" x14ac:dyDescent="0.2">
      <c r="A48" s="38" t="s">
        <v>378</v>
      </c>
      <c r="B48" s="280">
        <v>202219.49400000001</v>
      </c>
      <c r="C48" s="281">
        <v>322804.29399999999</v>
      </c>
      <c r="D48" s="253">
        <f t="shared" si="15"/>
        <v>59.6</v>
      </c>
      <c r="E48" s="27">
        <f>IFERROR(100/'Skjema total MA'!C48*C48,0)</f>
        <v>15.606539715978313</v>
      </c>
      <c r="F48" s="145"/>
      <c r="G48" s="33"/>
      <c r="H48" s="145"/>
      <c r="I48" s="145"/>
      <c r="J48" s="33"/>
      <c r="K48" s="33"/>
      <c r="L48" s="159"/>
      <c r="M48" s="159"/>
      <c r="N48" s="148"/>
    </row>
    <row r="49" spans="1:14" s="3" customFormat="1" ht="15.75" x14ac:dyDescent="0.2">
      <c r="A49" s="38" t="s">
        <v>379</v>
      </c>
      <c r="B49" s="44">
        <v>294701.93199999997</v>
      </c>
      <c r="C49" s="286">
        <v>357958.80800000002</v>
      </c>
      <c r="D49" s="253">
        <f>IF(B49=0, "    ---- ", IF(ABS(ROUND(100/B49*C49-100,1))&lt;999,ROUND(100/B49*C49-100,1),IF(ROUND(100/B49*C49-100,1)&gt;999,999,-999)))</f>
        <v>21.5</v>
      </c>
      <c r="E49" s="27">
        <f>IFERROR(100/'Skjema total MA'!C49*C49,0)</f>
        <v>22.600327985278586</v>
      </c>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v>7019.7160000000003</v>
      </c>
      <c r="C53" s="310">
        <v>5376.87</v>
      </c>
      <c r="D53" s="427">
        <f t="shared" si="15"/>
        <v>-23.4</v>
      </c>
      <c r="E53" s="11">
        <f>IFERROR(100/'Skjema total MA'!C53*C53,0)</f>
        <v>4.1038585392549667</v>
      </c>
      <c r="F53" s="145"/>
      <c r="G53" s="33"/>
      <c r="H53" s="145"/>
      <c r="I53" s="145"/>
      <c r="J53" s="33"/>
      <c r="K53" s="33"/>
      <c r="L53" s="159"/>
      <c r="M53" s="159"/>
      <c r="N53" s="148"/>
    </row>
    <row r="54" spans="1:14" s="3" customFormat="1" ht="15.75" x14ac:dyDescent="0.2">
      <c r="A54" s="38" t="s">
        <v>378</v>
      </c>
      <c r="B54" s="280">
        <v>7019.7160000000003</v>
      </c>
      <c r="C54" s="281">
        <v>5376.87</v>
      </c>
      <c r="D54" s="253">
        <f t="shared" si="15"/>
        <v>-23.4</v>
      </c>
      <c r="E54" s="27">
        <f>IFERROR(100/'Skjema total MA'!C54*C54,0)</f>
        <v>4.1038585392549667</v>
      </c>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v>5196.3689999999997</v>
      </c>
      <c r="C56" s="310">
        <v>1460.376</v>
      </c>
      <c r="D56" s="427">
        <f t="shared" si="15"/>
        <v>-71.900000000000006</v>
      </c>
      <c r="E56" s="11">
        <f>IFERROR(100/'Skjema total MA'!C56*C56,0)</f>
        <v>1.3114549054109279</v>
      </c>
      <c r="F56" s="145"/>
      <c r="G56" s="33"/>
      <c r="H56" s="145"/>
      <c r="I56" s="145"/>
      <c r="J56" s="33"/>
      <c r="K56" s="33"/>
      <c r="L56" s="159"/>
      <c r="M56" s="159"/>
      <c r="N56" s="148"/>
    </row>
    <row r="57" spans="1:14" s="3" customFormat="1" ht="15.75" x14ac:dyDescent="0.2">
      <c r="A57" s="38" t="s">
        <v>378</v>
      </c>
      <c r="B57" s="280">
        <v>5196.3689999999997</v>
      </c>
      <c r="C57" s="281">
        <v>1460.376</v>
      </c>
      <c r="D57" s="253">
        <f t="shared" si="15"/>
        <v>-71.900000000000006</v>
      </c>
      <c r="E57" s="27">
        <f>IFERROR(100/'Skjema total MA'!C57*C57,0)</f>
        <v>1.3114949491123244</v>
      </c>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v>2437840.318</v>
      </c>
      <c r="C66" s="352">
        <v>2176824.9299999997</v>
      </c>
      <c r="D66" s="349">
        <f t="shared" ref="D66:D111" si="16">IF(B66=0, "    ---- ", IF(ABS(ROUND(100/B66*C66-100,1))&lt;999,ROUND(100/B66*C66-100,1),IF(ROUND(100/B66*C66-100,1)&gt;999,999,-999)))</f>
        <v>-10.7</v>
      </c>
      <c r="E66" s="11">
        <f>IFERROR(100/'Skjema total MA'!C66*C66,0)</f>
        <v>46.296855051108324</v>
      </c>
      <c r="F66" s="351">
        <v>4655129.8069999991</v>
      </c>
      <c r="G66" s="351">
        <v>5535890.4579999996</v>
      </c>
      <c r="H66" s="349">
        <f t="shared" ref="H66:H111" si="17">IF(F66=0, "    ---- ", IF(ABS(ROUND(100/F66*G66-100,1))&lt;999,ROUND(100/F66*G66-100,1),IF(ROUND(100/F66*G66-100,1)&gt;999,999,-999)))</f>
        <v>18.899999999999999</v>
      </c>
      <c r="I66" s="11">
        <f>IFERROR(100/'Skjema total MA'!F66*G66,0)</f>
        <v>31.933052199567769</v>
      </c>
      <c r="J66" s="308">
        <f t="shared" ref="J66:K86" si="18">SUM(B66,F66)</f>
        <v>7092970.1249999991</v>
      </c>
      <c r="K66" s="315">
        <f t="shared" si="18"/>
        <v>7712715.3879999993</v>
      </c>
      <c r="L66" s="427">
        <f t="shared" ref="L66:L111" si="19">IF(J66=0, "    ---- ", IF(ABS(ROUND(100/J66*K66-100,1))&lt;999,ROUND(100/J66*K66-100,1),IF(ROUND(100/J66*K66-100,1)&gt;999,999,-999)))</f>
        <v>8.6999999999999993</v>
      </c>
      <c r="M66" s="11">
        <f>IFERROR(100/'Skjema total MA'!I66*K66,0)</f>
        <v>34.997646445679706</v>
      </c>
    </row>
    <row r="67" spans="1:14" x14ac:dyDescent="0.2">
      <c r="A67" s="418" t="s">
        <v>9</v>
      </c>
      <c r="B67" s="44">
        <v>1856218.3559999999</v>
      </c>
      <c r="C67" s="145">
        <v>1537110.1669999999</v>
      </c>
      <c r="D67" s="166">
        <f t="shared" si="16"/>
        <v>-17.2</v>
      </c>
      <c r="E67" s="27">
        <f>IFERROR(100/'Skjema total MA'!C67*C67,0)</f>
        <v>44.357528419335075</v>
      </c>
      <c r="F67" s="233"/>
      <c r="G67" s="145"/>
      <c r="H67" s="166"/>
      <c r="I67" s="27"/>
      <c r="J67" s="286">
        <f t="shared" si="18"/>
        <v>1856218.3559999999</v>
      </c>
      <c r="K67" s="44">
        <f t="shared" si="18"/>
        <v>1537110.1669999999</v>
      </c>
      <c r="L67" s="253">
        <f t="shared" si="19"/>
        <v>-17.2</v>
      </c>
      <c r="M67" s="27">
        <f>IFERROR(100/'Skjema total MA'!I67*K67,0)</f>
        <v>44.357528419335075</v>
      </c>
    </row>
    <row r="68" spans="1:14" x14ac:dyDescent="0.2">
      <c r="A68" s="21" t="s">
        <v>10</v>
      </c>
      <c r="B68" s="291"/>
      <c r="C68" s="292"/>
      <c r="D68" s="166"/>
      <c r="E68" s="27"/>
      <c r="F68" s="291">
        <v>4564696.0369999995</v>
      </c>
      <c r="G68" s="292">
        <v>4993798.4119999995</v>
      </c>
      <c r="H68" s="166">
        <f t="shared" si="17"/>
        <v>9.4</v>
      </c>
      <c r="I68" s="27">
        <f>IFERROR(100/'Skjema total MA'!F68*G68,0)</f>
        <v>29.986585785112251</v>
      </c>
      <c r="J68" s="286">
        <f t="shared" si="18"/>
        <v>4564696.0369999995</v>
      </c>
      <c r="K68" s="44">
        <f t="shared" si="18"/>
        <v>4993798.4119999995</v>
      </c>
      <c r="L68" s="253">
        <f t="shared" si="19"/>
        <v>9.4</v>
      </c>
      <c r="M68" s="27">
        <f>IFERROR(100/'Skjema total MA'!I68*K68,0)</f>
        <v>29.797656859211038</v>
      </c>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v>49068.51</v>
      </c>
      <c r="C75" s="145">
        <v>65338.135000000002</v>
      </c>
      <c r="D75" s="166">
        <f t="shared" si="16"/>
        <v>33.200000000000003</v>
      </c>
      <c r="E75" s="27">
        <f>IFERROR(100/'Skjema total MA'!C75*C75,0)</f>
        <v>28.615150656447145</v>
      </c>
      <c r="F75" s="233">
        <v>90433.77</v>
      </c>
      <c r="G75" s="145">
        <v>542092.04599999997</v>
      </c>
      <c r="H75" s="166">
        <f t="shared" si="17"/>
        <v>499.4</v>
      </c>
      <c r="I75" s="27">
        <f>IFERROR(100/'Skjema total MA'!F75*G75,0)</f>
        <v>79.429109367776846</v>
      </c>
      <c r="J75" s="286">
        <f t="shared" si="18"/>
        <v>139502.28</v>
      </c>
      <c r="K75" s="44">
        <f t="shared" si="18"/>
        <v>607430.18099999998</v>
      </c>
      <c r="L75" s="253">
        <f t="shared" si="19"/>
        <v>335.4</v>
      </c>
      <c r="M75" s="27">
        <f>IFERROR(100/'Skjema total MA'!I75*K75,0)</f>
        <v>66.690516888553759</v>
      </c>
      <c r="N75" s="148"/>
    </row>
    <row r="76" spans="1:14" s="3" customFormat="1" x14ac:dyDescent="0.2">
      <c r="A76" s="21" t="s">
        <v>351</v>
      </c>
      <c r="B76" s="233">
        <v>532553.45200000005</v>
      </c>
      <c r="C76" s="145">
        <v>574376.62800000003</v>
      </c>
      <c r="D76" s="166">
        <f t="shared" ref="D76" si="20">IF(B76=0, "    ---- ", IF(ABS(ROUND(100/B76*C76-100,1))&lt;999,ROUND(100/B76*C76-100,1),IF(ROUND(100/B76*C76-100,1)&gt;999,999,-999)))</f>
        <v>7.9</v>
      </c>
      <c r="E76" s="27">
        <f>IFERROR(100/'Skjema total MA'!C76*C76,0)</f>
        <v>63.629652812624954</v>
      </c>
      <c r="F76" s="233"/>
      <c r="G76" s="145"/>
      <c r="H76" s="166"/>
      <c r="I76" s="27"/>
      <c r="J76" s="286">
        <f t="shared" ref="J76" si="21">SUM(B76,F76)</f>
        <v>532553.45200000005</v>
      </c>
      <c r="K76" s="44">
        <f t="shared" ref="K76" si="22">SUM(C76,G76)</f>
        <v>574376.62800000003</v>
      </c>
      <c r="L76" s="253">
        <f t="shared" ref="L76" si="23">IF(J76=0, "    ---- ", IF(ABS(ROUND(100/J76*K76-100,1))&lt;999,ROUND(100/J76*K76-100,1),IF(ROUND(100/J76*K76-100,1)&gt;999,999,-999)))</f>
        <v>7.9</v>
      </c>
      <c r="M76" s="27">
        <f>IFERROR(100/'Skjema total MA'!I76*K76,0)</f>
        <v>63.629652812624954</v>
      </c>
      <c r="N76" s="148"/>
    </row>
    <row r="77" spans="1:14" ht="15.75" x14ac:dyDescent="0.2">
      <c r="A77" s="21" t="s">
        <v>384</v>
      </c>
      <c r="B77" s="233">
        <v>1800119.8049999999</v>
      </c>
      <c r="C77" s="233">
        <v>1438149.18</v>
      </c>
      <c r="D77" s="166">
        <f t="shared" si="16"/>
        <v>-20.100000000000001</v>
      </c>
      <c r="E77" s="27">
        <f>IFERROR(100/'Skjema total MA'!C77*C77,0)</f>
        <v>41.851404333750715</v>
      </c>
      <c r="F77" s="233">
        <v>4564696.0369999995</v>
      </c>
      <c r="G77" s="145">
        <v>4993798.4119999995</v>
      </c>
      <c r="H77" s="166">
        <f t="shared" si="17"/>
        <v>9.4</v>
      </c>
      <c r="I77" s="27">
        <f>IFERROR(100/'Skjema total MA'!F77*G77,0)</f>
        <v>30.002275146111675</v>
      </c>
      <c r="J77" s="286">
        <f t="shared" si="18"/>
        <v>6364815.8419999992</v>
      </c>
      <c r="K77" s="44">
        <f t="shared" si="18"/>
        <v>6431947.5919999992</v>
      </c>
      <c r="L77" s="253">
        <f t="shared" si="19"/>
        <v>1.1000000000000001</v>
      </c>
      <c r="M77" s="27">
        <f>IFERROR(100/'Skjema total MA'!I77*K77,0)</f>
        <v>32.029928992501631</v>
      </c>
    </row>
    <row r="78" spans="1:14" x14ac:dyDescent="0.2">
      <c r="A78" s="21" t="s">
        <v>9</v>
      </c>
      <c r="B78" s="233">
        <v>1800119.8049999999</v>
      </c>
      <c r="C78" s="145">
        <v>1438149.18</v>
      </c>
      <c r="D78" s="166">
        <f t="shared" si="16"/>
        <v>-20.100000000000001</v>
      </c>
      <c r="E78" s="27">
        <f>IFERROR(100/'Skjema total MA'!C78*C78,0)</f>
        <v>43.160133969438782</v>
      </c>
      <c r="F78" s="233"/>
      <c r="G78" s="145"/>
      <c r="H78" s="166"/>
      <c r="I78" s="27"/>
      <c r="J78" s="286">
        <f t="shared" si="18"/>
        <v>1800119.8049999999</v>
      </c>
      <c r="K78" s="44">
        <f t="shared" si="18"/>
        <v>1438149.18</v>
      </c>
      <c r="L78" s="253">
        <f t="shared" si="19"/>
        <v>-20.100000000000001</v>
      </c>
      <c r="M78" s="27">
        <f>IFERROR(100/'Skjema total MA'!I78*K78,0)</f>
        <v>43.160133969438782</v>
      </c>
    </row>
    <row r="79" spans="1:14" x14ac:dyDescent="0.2">
      <c r="A79" s="21" t="s">
        <v>10</v>
      </c>
      <c r="B79" s="291"/>
      <c r="C79" s="292"/>
      <c r="D79" s="166"/>
      <c r="E79" s="27"/>
      <c r="F79" s="291">
        <v>4564696.0369999995</v>
      </c>
      <c r="G79" s="292">
        <v>4993798.4119999995</v>
      </c>
      <c r="H79" s="166">
        <f t="shared" si="17"/>
        <v>9.4</v>
      </c>
      <c r="I79" s="27">
        <f>IFERROR(100/'Skjema total MA'!F79*G79,0)</f>
        <v>30.002275146111675</v>
      </c>
      <c r="J79" s="286">
        <f t="shared" si="18"/>
        <v>4564696.0369999995</v>
      </c>
      <c r="K79" s="44">
        <f t="shared" si="18"/>
        <v>4993798.4119999995</v>
      </c>
      <c r="L79" s="253">
        <f t="shared" si="19"/>
        <v>9.4</v>
      </c>
      <c r="M79" s="27">
        <f>IFERROR(100/'Skjema total MA'!I79*K79,0)</f>
        <v>29.815625076272905</v>
      </c>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v>56098.550999999999</v>
      </c>
      <c r="C86" s="145">
        <v>98960.986999999994</v>
      </c>
      <c r="D86" s="166">
        <f t="shared" si="16"/>
        <v>76.400000000000006</v>
      </c>
      <c r="E86" s="27">
        <f>IFERROR(100/'Skjema total MA'!C86*C86,0)</f>
        <v>73.554224962788453</v>
      </c>
      <c r="F86" s="233"/>
      <c r="G86" s="145"/>
      <c r="H86" s="166"/>
      <c r="I86" s="27"/>
      <c r="J86" s="286">
        <f t="shared" si="18"/>
        <v>56098.550999999999</v>
      </c>
      <c r="K86" s="44">
        <f t="shared" si="18"/>
        <v>98960.986999999994</v>
      </c>
      <c r="L86" s="253">
        <f t="shared" si="19"/>
        <v>76.400000000000006</v>
      </c>
      <c r="M86" s="27">
        <f>IFERROR(100/'Skjema total MA'!I86*K86,0)</f>
        <v>69.082581040615722</v>
      </c>
    </row>
    <row r="87" spans="1:13" ht="15.75" x14ac:dyDescent="0.2">
      <c r="A87" s="13" t="s">
        <v>367</v>
      </c>
      <c r="B87" s="352">
        <v>164054027.926</v>
      </c>
      <c r="C87" s="352">
        <v>165333367.81400001</v>
      </c>
      <c r="D87" s="171">
        <f t="shared" si="16"/>
        <v>0.8</v>
      </c>
      <c r="E87" s="11">
        <f>IFERROR(100/'Skjema total MA'!C87*C87,0)</f>
        <v>42.07352127753996</v>
      </c>
      <c r="F87" s="351">
        <v>92352622.905000001</v>
      </c>
      <c r="G87" s="351">
        <v>104831276.28899999</v>
      </c>
      <c r="H87" s="171">
        <f t="shared" si="17"/>
        <v>13.5</v>
      </c>
      <c r="I87" s="11">
        <f>IFERROR(100/'Skjema total MA'!F87*G87,0)</f>
        <v>33.008693513860379</v>
      </c>
      <c r="J87" s="308">
        <f t="shared" ref="J87:K111" si="24">SUM(B87,F87)</f>
        <v>256406650.831</v>
      </c>
      <c r="K87" s="235">
        <f t="shared" si="24"/>
        <v>270164644.10299999</v>
      </c>
      <c r="L87" s="427">
        <f t="shared" si="19"/>
        <v>5.4</v>
      </c>
      <c r="M87" s="11">
        <f>IFERROR(100/'Skjema total MA'!I87*K87,0)</f>
        <v>38.021912194610053</v>
      </c>
    </row>
    <row r="88" spans="1:13" x14ac:dyDescent="0.2">
      <c r="A88" s="21" t="s">
        <v>9</v>
      </c>
      <c r="B88" s="233">
        <v>159548445.76899999</v>
      </c>
      <c r="C88" s="145">
        <v>159692727.68099999</v>
      </c>
      <c r="D88" s="166">
        <f t="shared" si="16"/>
        <v>0.1</v>
      </c>
      <c r="E88" s="27">
        <f>IFERROR(100/'Skjema total MA'!C88*C88,0)</f>
        <v>41.831923306622905</v>
      </c>
      <c r="F88" s="233"/>
      <c r="G88" s="145"/>
      <c r="H88" s="166"/>
      <c r="I88" s="27"/>
      <c r="J88" s="286">
        <f t="shared" si="24"/>
        <v>159548445.76899999</v>
      </c>
      <c r="K88" s="44">
        <f t="shared" si="24"/>
        <v>159692727.68099999</v>
      </c>
      <c r="L88" s="253">
        <f t="shared" si="19"/>
        <v>0.1</v>
      </c>
      <c r="M88" s="27">
        <f>IFERROR(100/'Skjema total MA'!I88*K88,0)</f>
        <v>41.831923306622905</v>
      </c>
    </row>
    <row r="89" spans="1:13" x14ac:dyDescent="0.2">
      <c r="A89" s="21" t="s">
        <v>10</v>
      </c>
      <c r="B89" s="233">
        <v>48673.167000000001</v>
      </c>
      <c r="C89" s="145">
        <v>48779.712</v>
      </c>
      <c r="D89" s="166">
        <f t="shared" si="16"/>
        <v>0.2</v>
      </c>
      <c r="E89" s="27">
        <f>IFERROR(100/'Skjema total MA'!C89*C89,0)</f>
        <v>1.5368403747760766</v>
      </c>
      <c r="F89" s="233">
        <v>91849920.147</v>
      </c>
      <c r="G89" s="145">
        <v>103657684.95999999</v>
      </c>
      <c r="H89" s="166">
        <f t="shared" si="17"/>
        <v>12.9</v>
      </c>
      <c r="I89" s="27">
        <f>IFERROR(100/'Skjema total MA'!F89*G89,0)</f>
        <v>32.866422237050514</v>
      </c>
      <c r="J89" s="286">
        <f t="shared" si="24"/>
        <v>91898593.313999996</v>
      </c>
      <c r="K89" s="44">
        <f t="shared" si="24"/>
        <v>103706464.67199999</v>
      </c>
      <c r="L89" s="253">
        <f t="shared" si="19"/>
        <v>12.8</v>
      </c>
      <c r="M89" s="27">
        <f>IFERROR(100/'Skjema total MA'!I89*K89,0)</f>
        <v>32.554269466778095</v>
      </c>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v>175943.182</v>
      </c>
      <c r="C96" s="145">
        <v>325308.299</v>
      </c>
      <c r="D96" s="166">
        <f t="shared" si="16"/>
        <v>84.9</v>
      </c>
      <c r="E96" s="27">
        <f>IFERROR(100/'Skjema total MA'!C96*C96,0)</f>
        <v>19.327574642710502</v>
      </c>
      <c r="F96" s="233">
        <v>502702.75799999997</v>
      </c>
      <c r="G96" s="145">
        <v>1173591.3289999999</v>
      </c>
      <c r="H96" s="166">
        <f t="shared" si="17"/>
        <v>133.5</v>
      </c>
      <c r="I96" s="27">
        <f>IFERROR(100/'Skjema total MA'!F96*G96,0)</f>
        <v>53.441502243396592</v>
      </c>
      <c r="J96" s="286">
        <f t="shared" si="24"/>
        <v>678645.94</v>
      </c>
      <c r="K96" s="44">
        <f t="shared" si="24"/>
        <v>1498899.628</v>
      </c>
      <c r="L96" s="253">
        <f t="shared" si="19"/>
        <v>120.9</v>
      </c>
      <c r="M96" s="27">
        <f>IFERROR(100/'Skjema total MA'!I96*K96,0)</f>
        <v>38.63979601967705</v>
      </c>
    </row>
    <row r="97" spans="1:13" x14ac:dyDescent="0.2">
      <c r="A97" s="21" t="s">
        <v>349</v>
      </c>
      <c r="B97" s="233">
        <v>4280965.8080000002</v>
      </c>
      <c r="C97" s="145">
        <v>5266552.1220000004</v>
      </c>
      <c r="D97" s="166">
        <f t="shared" ref="D97" si="25">IF(B97=0, "    ---- ", IF(ABS(ROUND(100/B97*C97-100,1))&lt;999,ROUND(100/B97*C97-100,1),IF(ROUND(100/B97*C97-100,1)&gt;999,999,-999)))</f>
        <v>23</v>
      </c>
      <c r="E97" s="27">
        <f>IFERROR(100/'Skjema total MA'!C98*C97,0)</f>
        <v>1.3841301344764754</v>
      </c>
      <c r="F97" s="233"/>
      <c r="G97" s="145"/>
      <c r="H97" s="166"/>
      <c r="I97" s="27"/>
      <c r="J97" s="286">
        <f t="shared" ref="J97" si="26">SUM(B97,F97)</f>
        <v>4280965.8080000002</v>
      </c>
      <c r="K97" s="44">
        <f t="shared" ref="K97" si="27">SUM(C97,G97)</f>
        <v>5266552.1220000004</v>
      </c>
      <c r="L97" s="253">
        <f t="shared" ref="L97" si="28">IF(J97=0, "    ---- ", IF(ABS(ROUND(100/J97*K97-100,1))&lt;999,ROUND(100/J97*K97-100,1),IF(ROUND(100/J97*K97-100,1)&gt;999,999,-999)))</f>
        <v>23</v>
      </c>
      <c r="M97" s="27">
        <f>IFERROR(100/'Skjema total MA'!I97*K97,0)</f>
        <v>82.841760091908839</v>
      </c>
    </row>
    <row r="98" spans="1:13" ht="15.75" x14ac:dyDescent="0.2">
      <c r="A98" s="21" t="s">
        <v>384</v>
      </c>
      <c r="B98" s="233">
        <v>156275460.685</v>
      </c>
      <c r="C98" s="233">
        <v>156475629.96600002</v>
      </c>
      <c r="D98" s="166">
        <f t="shared" si="16"/>
        <v>0.1</v>
      </c>
      <c r="E98" s="27">
        <f>IFERROR(100/'Skjema total MA'!C98*C98,0)</f>
        <v>41.124179487828258</v>
      </c>
      <c r="F98" s="291">
        <v>91849920.147</v>
      </c>
      <c r="G98" s="291">
        <v>103657684.95999999</v>
      </c>
      <c r="H98" s="166">
        <f t="shared" si="17"/>
        <v>12.9</v>
      </c>
      <c r="I98" s="27">
        <f>IFERROR(100/'Skjema total MA'!F98*G98,0)</f>
        <v>32.958371910778389</v>
      </c>
      <c r="J98" s="286">
        <f t="shared" si="24"/>
        <v>248125380.83200002</v>
      </c>
      <c r="K98" s="44">
        <f t="shared" si="24"/>
        <v>260133314.926</v>
      </c>
      <c r="L98" s="253">
        <f t="shared" si="19"/>
        <v>4.8</v>
      </c>
      <c r="M98" s="27">
        <f>IFERROR(100/'Skjema total MA'!I98*K98,0)</f>
        <v>37.428910112359084</v>
      </c>
    </row>
    <row r="99" spans="1:13" x14ac:dyDescent="0.2">
      <c r="A99" s="21" t="s">
        <v>9</v>
      </c>
      <c r="B99" s="291">
        <v>156226787.51800001</v>
      </c>
      <c r="C99" s="292">
        <v>156426850.25400001</v>
      </c>
      <c r="D99" s="166">
        <f t="shared" si="16"/>
        <v>0.1</v>
      </c>
      <c r="E99" s="27">
        <f>IFERROR(100/'Skjema total MA'!C99*C99,0)</f>
        <v>41.45718799018163</v>
      </c>
      <c r="F99" s="233"/>
      <c r="G99" s="145"/>
      <c r="H99" s="166"/>
      <c r="I99" s="27"/>
      <c r="J99" s="286">
        <f t="shared" si="24"/>
        <v>156226787.51800001</v>
      </c>
      <c r="K99" s="44">
        <f t="shared" si="24"/>
        <v>156426850.25400001</v>
      </c>
      <c r="L99" s="253">
        <f t="shared" si="19"/>
        <v>0.1</v>
      </c>
      <c r="M99" s="27">
        <f>IFERROR(100/'Skjema total MA'!I99*K99,0)</f>
        <v>41.45718799018163</v>
      </c>
    </row>
    <row r="100" spans="1:13" x14ac:dyDescent="0.2">
      <c r="A100" s="21" t="s">
        <v>10</v>
      </c>
      <c r="B100" s="291">
        <v>48673.167000000001</v>
      </c>
      <c r="C100" s="292">
        <v>48779.712</v>
      </c>
      <c r="D100" s="166">
        <f t="shared" si="16"/>
        <v>0.2</v>
      </c>
      <c r="E100" s="27">
        <f>IFERROR(100/'Skjema total MA'!C100*C100,0)</f>
        <v>1.5368403747760766</v>
      </c>
      <c r="F100" s="233">
        <v>91849920.147</v>
      </c>
      <c r="G100" s="233">
        <v>103657684.95999999</v>
      </c>
      <c r="H100" s="166">
        <f t="shared" si="17"/>
        <v>12.9</v>
      </c>
      <c r="I100" s="27">
        <f>IFERROR(100/'Skjema total MA'!F100*G100,0)</f>
        <v>32.958371910778389</v>
      </c>
      <c r="J100" s="286">
        <f t="shared" si="24"/>
        <v>91898593.313999996</v>
      </c>
      <c r="K100" s="44">
        <f t="shared" si="24"/>
        <v>103706464.67199999</v>
      </c>
      <c r="L100" s="253">
        <f t="shared" si="19"/>
        <v>12.8</v>
      </c>
      <c r="M100" s="27">
        <f>IFERROR(100/'Skjema total MA'!I100*K100,0)</f>
        <v>32.644435883316852</v>
      </c>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v>3321658.2510000002</v>
      </c>
      <c r="C107" s="145">
        <v>3265877.4270000001</v>
      </c>
      <c r="D107" s="166">
        <f t="shared" si="16"/>
        <v>-1.7</v>
      </c>
      <c r="E107" s="27">
        <f>IFERROR(100/'Skjema total MA'!C107*C107,0)</f>
        <v>73.770944768088043</v>
      </c>
      <c r="F107" s="233"/>
      <c r="G107" s="145"/>
      <c r="H107" s="166"/>
      <c r="I107" s="27"/>
      <c r="J107" s="286">
        <f t="shared" si="24"/>
        <v>3321658.2510000002</v>
      </c>
      <c r="K107" s="44">
        <f t="shared" si="24"/>
        <v>3265877.4270000001</v>
      </c>
      <c r="L107" s="253">
        <f t="shared" si="19"/>
        <v>-1.7</v>
      </c>
      <c r="M107" s="27">
        <f>IFERROR(100/'Skjema total MA'!I107*K107,0)</f>
        <v>61.539613089154834</v>
      </c>
    </row>
    <row r="108" spans="1:13" ht="15.75" x14ac:dyDescent="0.2">
      <c r="A108" s="21" t="s">
        <v>386</v>
      </c>
      <c r="B108" s="233">
        <v>133038169.986</v>
      </c>
      <c r="C108" s="233">
        <v>137424039.85699999</v>
      </c>
      <c r="D108" s="166">
        <f t="shared" si="16"/>
        <v>3.3</v>
      </c>
      <c r="E108" s="27">
        <f>IFERROR(100/'Skjema total MA'!C108*C108,0)</f>
        <v>42.408420785447511</v>
      </c>
      <c r="F108" s="233">
        <v>15647552.013</v>
      </c>
      <c r="G108" s="233">
        <v>15833487.638</v>
      </c>
      <c r="H108" s="166">
        <f t="shared" si="17"/>
        <v>1.2</v>
      </c>
      <c r="I108" s="27">
        <f>IFERROR(100/'Skjema total MA'!F108*G108,0)</f>
        <v>95.600356570051787</v>
      </c>
      <c r="J108" s="286">
        <f t="shared" si="24"/>
        <v>148685721.99900001</v>
      </c>
      <c r="K108" s="44">
        <f t="shared" si="24"/>
        <v>153257527.495</v>
      </c>
      <c r="L108" s="253">
        <f t="shared" si="19"/>
        <v>3.1</v>
      </c>
      <c r="M108" s="27">
        <f>IFERROR(100/'Skjema total MA'!I108*K108,0)</f>
        <v>44.99487064498328</v>
      </c>
    </row>
    <row r="109" spans="1:13" ht="15.75" x14ac:dyDescent="0.2">
      <c r="A109" s="21" t="s">
        <v>387</v>
      </c>
      <c r="B109" s="233"/>
      <c r="C109" s="233"/>
      <c r="D109" s="166"/>
      <c r="E109" s="27"/>
      <c r="F109" s="233">
        <v>27969656.160999998</v>
      </c>
      <c r="G109" s="233">
        <v>32426919.805</v>
      </c>
      <c r="H109" s="166">
        <f t="shared" si="17"/>
        <v>15.9</v>
      </c>
      <c r="I109" s="27">
        <f>IFERROR(100/'Skjema total MA'!F109*G109,0)</f>
        <v>29.528969113631977</v>
      </c>
      <c r="J109" s="286">
        <f t="shared" si="24"/>
        <v>27969656.160999998</v>
      </c>
      <c r="K109" s="44">
        <f t="shared" si="24"/>
        <v>32426919.805</v>
      </c>
      <c r="L109" s="253">
        <f t="shared" si="19"/>
        <v>15.9</v>
      </c>
      <c r="M109" s="27">
        <f>IFERROR(100/'Skjema total MA'!I109*K109,0)</f>
        <v>29.245921530325294</v>
      </c>
    </row>
    <row r="110" spans="1:13" ht="15.75" x14ac:dyDescent="0.2">
      <c r="A110" s="21" t="s">
        <v>388</v>
      </c>
      <c r="B110" s="233">
        <v>66143.338000000003</v>
      </c>
      <c r="C110" s="233">
        <v>111664.63099999999</v>
      </c>
      <c r="D110" s="166">
        <f t="shared" si="16"/>
        <v>68.8</v>
      </c>
      <c r="E110" s="27">
        <f>IFERROR(100/'Skjema total MA'!C110*C110,0)</f>
        <v>30.059553474814042</v>
      </c>
      <c r="F110" s="233"/>
      <c r="G110" s="233"/>
      <c r="H110" s="166"/>
      <c r="I110" s="27">
        <f>IFERROR(100/'Skjema total MA'!F110*G110,0)</f>
        <v>0</v>
      </c>
      <c r="J110" s="286">
        <f t="shared" si="24"/>
        <v>66143.338000000003</v>
      </c>
      <c r="K110" s="44">
        <f t="shared" si="24"/>
        <v>111664.63099999999</v>
      </c>
      <c r="L110" s="253">
        <f t="shared" si="19"/>
        <v>68.8</v>
      </c>
      <c r="M110" s="27">
        <f>IFERROR(100/'Skjema total MA'!I110*K110,0)</f>
        <v>30.059553474814042</v>
      </c>
    </row>
    <row r="111" spans="1:13" ht="15.75" x14ac:dyDescent="0.2">
      <c r="A111" s="13" t="s">
        <v>368</v>
      </c>
      <c r="B111" s="307">
        <v>52563.563000000002</v>
      </c>
      <c r="C111" s="159">
        <v>341960.82800000004</v>
      </c>
      <c r="D111" s="171">
        <f t="shared" si="16"/>
        <v>550.6</v>
      </c>
      <c r="E111" s="11">
        <f>IFERROR(100/'Skjema total MA'!C111*C111,0)</f>
        <v>64.162428360748649</v>
      </c>
      <c r="F111" s="307">
        <v>1749178.2349999999</v>
      </c>
      <c r="G111" s="159">
        <v>4619283.4469999997</v>
      </c>
      <c r="H111" s="171">
        <f t="shared" si="17"/>
        <v>164.1</v>
      </c>
      <c r="I111" s="11">
        <f>IFERROR(100/'Skjema total MA'!F111*G111,0)</f>
        <v>39.09049968672327</v>
      </c>
      <c r="J111" s="308">
        <f t="shared" si="24"/>
        <v>1801741.798</v>
      </c>
      <c r="K111" s="235">
        <f t="shared" si="24"/>
        <v>4961244.2749999994</v>
      </c>
      <c r="L111" s="427">
        <f t="shared" si="19"/>
        <v>175.4</v>
      </c>
      <c r="M111" s="11">
        <f>IFERROR(100/'Skjema total MA'!I111*K111,0)</f>
        <v>40.172485081879358</v>
      </c>
    </row>
    <row r="112" spans="1:13" x14ac:dyDescent="0.2">
      <c r="A112" s="21" t="s">
        <v>9</v>
      </c>
      <c r="B112" s="233">
        <v>12206.536</v>
      </c>
      <c r="C112" s="145">
        <v>176.64500000000001</v>
      </c>
      <c r="D112" s="166">
        <f t="shared" ref="D112:D125" si="29">IF(B112=0, "    ---- ", IF(ABS(ROUND(100/B112*C112-100,1))&lt;999,ROUND(100/B112*C112-100,1),IF(ROUND(100/B112*C112-100,1)&gt;999,999,-999)))</f>
        <v>-98.6</v>
      </c>
      <c r="E112" s="27">
        <f>IFERROR(100/'Skjema total MA'!C112*C112,0)</f>
        <v>9.7229257082085005E-2</v>
      </c>
      <c r="F112" s="233">
        <v>5268.41</v>
      </c>
      <c r="G112" s="145">
        <v>2688.8789999999999</v>
      </c>
      <c r="H112" s="166">
        <f t="shared" ref="H112:H125" si="30">IF(F112=0, "    ---- ", IF(ABS(ROUND(100/F112*G112-100,1))&lt;999,ROUND(100/F112*G112-100,1),IF(ROUND(100/F112*G112-100,1)&gt;999,999,-999)))</f>
        <v>-49</v>
      </c>
      <c r="I112" s="27">
        <f>IFERROR(100/'Skjema total MA'!F112*G112,0)</f>
        <v>99.999999999999986</v>
      </c>
      <c r="J112" s="286">
        <f t="shared" ref="J112:K125" si="31">SUM(B112,F112)</f>
        <v>17474.946</v>
      </c>
      <c r="K112" s="44">
        <f t="shared" si="31"/>
        <v>2865.5239999999999</v>
      </c>
      <c r="L112" s="253">
        <f t="shared" ref="L112:L125" si="32">IF(J112=0, "    ---- ", IF(ABS(ROUND(100/J112*K112-100,1))&lt;999,ROUND(100/J112*K112-100,1),IF(ROUND(100/J112*K112-100,1)&gt;999,999,-999)))</f>
        <v>-83.6</v>
      </c>
      <c r="M112" s="27">
        <f>IFERROR(100/'Skjema total MA'!I112*K112,0)</f>
        <v>1.5542437679758472</v>
      </c>
    </row>
    <row r="113" spans="1:14" x14ac:dyDescent="0.2">
      <c r="A113" s="21" t="s">
        <v>10</v>
      </c>
      <c r="B113" s="233"/>
      <c r="C113" s="145"/>
      <c r="D113" s="166"/>
      <c r="E113" s="27"/>
      <c r="F113" s="233">
        <v>1743909.825</v>
      </c>
      <c r="G113" s="145">
        <v>4548086.8130000001</v>
      </c>
      <c r="H113" s="166">
        <f t="shared" si="30"/>
        <v>160.80000000000001</v>
      </c>
      <c r="I113" s="27">
        <f>IFERROR(100/'Skjema total MA'!F113*G113,0)</f>
        <v>38.721883476320833</v>
      </c>
      <c r="J113" s="286">
        <f t="shared" si="31"/>
        <v>1743909.825</v>
      </c>
      <c r="K113" s="44">
        <f t="shared" si="31"/>
        <v>4548086.8130000001</v>
      </c>
      <c r="L113" s="253">
        <f t="shared" si="32"/>
        <v>160.80000000000001</v>
      </c>
      <c r="M113" s="27">
        <f>IFERROR(100/'Skjema total MA'!I113*K113,0)</f>
        <v>38.707858942962289</v>
      </c>
    </row>
    <row r="114" spans="1:14" x14ac:dyDescent="0.2">
      <c r="A114" s="21" t="s">
        <v>26</v>
      </c>
      <c r="B114" s="233">
        <v>40357.027000000002</v>
      </c>
      <c r="C114" s="145">
        <v>341784.18300000002</v>
      </c>
      <c r="D114" s="166">
        <f t="shared" si="29"/>
        <v>746.9</v>
      </c>
      <c r="E114" s="27">
        <f>IFERROR(100/'Skjema total MA'!C114*C114,0)</f>
        <v>98.489302336444823</v>
      </c>
      <c r="F114" s="233">
        <v>0</v>
      </c>
      <c r="G114" s="145">
        <v>68507.755000000005</v>
      </c>
      <c r="H114" s="166" t="str">
        <f t="shared" si="30"/>
        <v xml:space="preserve">    ---- </v>
      </c>
      <c r="I114" s="27">
        <f>IFERROR(100/'Skjema total MA'!F114*G114,0)</f>
        <v>99.740700621963569</v>
      </c>
      <c r="J114" s="286">
        <f t="shared" si="31"/>
        <v>40357.027000000002</v>
      </c>
      <c r="K114" s="44">
        <f t="shared" si="31"/>
        <v>410291.93800000002</v>
      </c>
      <c r="L114" s="253">
        <f t="shared" si="32"/>
        <v>916.7</v>
      </c>
      <c r="M114" s="27">
        <f>IFERROR(100/'Skjema total MA'!I114*K114,0)</f>
        <v>98.696063861253464</v>
      </c>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v>13017.806</v>
      </c>
      <c r="C116" s="233">
        <v>1127.6210000000001</v>
      </c>
      <c r="D116" s="166">
        <f t="shared" si="29"/>
        <v>-91.3</v>
      </c>
      <c r="E116" s="27">
        <f>IFERROR(100/'Skjema total MA'!C116*C116,0)</f>
        <v>2.4181570619518546</v>
      </c>
      <c r="F116" s="233">
        <v>5268.41</v>
      </c>
      <c r="G116" s="233">
        <v>2688.8789999999999</v>
      </c>
      <c r="H116" s="166">
        <f t="shared" si="30"/>
        <v>-49</v>
      </c>
      <c r="I116" s="27">
        <f>IFERROR(100/'Skjema total MA'!F116*G116,0)</f>
        <v>99.999999999999986</v>
      </c>
      <c r="J116" s="286">
        <f t="shared" si="31"/>
        <v>18286.216</v>
      </c>
      <c r="K116" s="44">
        <f t="shared" si="31"/>
        <v>3816.5</v>
      </c>
      <c r="L116" s="253">
        <f t="shared" si="32"/>
        <v>-79.099999999999994</v>
      </c>
      <c r="M116" s="27">
        <f>IFERROR(100/'Skjema total MA'!I116*K116,0)</f>
        <v>7.7381929955819411</v>
      </c>
    </row>
    <row r="117" spans="1:14" ht="15.75" x14ac:dyDescent="0.2">
      <c r="A117" s="21" t="s">
        <v>390</v>
      </c>
      <c r="B117" s="233"/>
      <c r="C117" s="233"/>
      <c r="D117" s="166"/>
      <c r="E117" s="27"/>
      <c r="F117" s="233">
        <v>615481.51</v>
      </c>
      <c r="G117" s="233">
        <v>467482.97399999999</v>
      </c>
      <c r="H117" s="166">
        <f t="shared" si="30"/>
        <v>-24</v>
      </c>
      <c r="I117" s="27">
        <f>IFERROR(100/'Skjema total MA'!F117*G117,0)</f>
        <v>25.82278916872605</v>
      </c>
      <c r="J117" s="286">
        <f t="shared" si="31"/>
        <v>615481.51</v>
      </c>
      <c r="K117" s="44">
        <f t="shared" si="31"/>
        <v>467482.97399999999</v>
      </c>
      <c r="L117" s="253">
        <f t="shared" si="32"/>
        <v>-24</v>
      </c>
      <c r="M117" s="27">
        <f>IFERROR(100/'Skjema total MA'!I117*K117,0)</f>
        <v>25.82278916872605</v>
      </c>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v>138372.53899999999</v>
      </c>
      <c r="C119" s="159">
        <v>142481.446</v>
      </c>
      <c r="D119" s="171">
        <f t="shared" si="29"/>
        <v>3</v>
      </c>
      <c r="E119" s="11">
        <f>IFERROR(100/'Skjema total MA'!C119*C119,0)</f>
        <v>23.947849635018439</v>
      </c>
      <c r="F119" s="307">
        <v>2931717.503</v>
      </c>
      <c r="G119" s="159">
        <v>2792995.108</v>
      </c>
      <c r="H119" s="171">
        <f t="shared" si="30"/>
        <v>-4.7</v>
      </c>
      <c r="I119" s="11">
        <f>IFERROR(100/'Skjema total MA'!F119*G119,0)</f>
        <v>24.150264867603944</v>
      </c>
      <c r="J119" s="308">
        <f t="shared" si="31"/>
        <v>3070090.0419999999</v>
      </c>
      <c r="K119" s="235">
        <f t="shared" si="31"/>
        <v>2935476.554</v>
      </c>
      <c r="L119" s="427">
        <f t="shared" si="32"/>
        <v>-4.4000000000000004</v>
      </c>
      <c r="M119" s="11">
        <f>IFERROR(100/'Skjema total MA'!I119*K119,0)</f>
        <v>24.140361107100077</v>
      </c>
    </row>
    <row r="120" spans="1:14" x14ac:dyDescent="0.2">
      <c r="A120" s="21" t="s">
        <v>9</v>
      </c>
      <c r="B120" s="233">
        <v>34018.675000000003</v>
      </c>
      <c r="C120" s="145">
        <v>27606.526000000002</v>
      </c>
      <c r="D120" s="166">
        <f t="shared" si="29"/>
        <v>-18.8</v>
      </c>
      <c r="E120" s="27">
        <f>IFERROR(100/'Skjema total MA'!C120*C120,0)</f>
        <v>5.883869698714979</v>
      </c>
      <c r="F120" s="233"/>
      <c r="G120" s="145"/>
      <c r="H120" s="166"/>
      <c r="I120" s="27"/>
      <c r="J120" s="286">
        <f t="shared" si="31"/>
        <v>34018.675000000003</v>
      </c>
      <c r="K120" s="44">
        <f t="shared" si="31"/>
        <v>27606.526000000002</v>
      </c>
      <c r="L120" s="253">
        <f t="shared" si="32"/>
        <v>-18.8</v>
      </c>
      <c r="M120" s="27">
        <f>IFERROR(100/'Skjema total MA'!I120*K120,0)</f>
        <v>5.883869698714979</v>
      </c>
    </row>
    <row r="121" spans="1:14" x14ac:dyDescent="0.2">
      <c r="A121" s="21" t="s">
        <v>10</v>
      </c>
      <c r="B121" s="233"/>
      <c r="C121" s="145"/>
      <c r="D121" s="166"/>
      <c r="E121" s="27"/>
      <c r="F121" s="233">
        <v>2931717.503</v>
      </c>
      <c r="G121" s="145">
        <v>2792995.108</v>
      </c>
      <c r="H121" s="166">
        <f t="shared" si="30"/>
        <v>-4.7</v>
      </c>
      <c r="I121" s="27">
        <f>IFERROR(100/'Skjema total MA'!F121*G121,0)</f>
        <v>24.150264867603944</v>
      </c>
      <c r="J121" s="286">
        <f t="shared" si="31"/>
        <v>2931717.503</v>
      </c>
      <c r="K121" s="44">
        <f t="shared" si="31"/>
        <v>2792995.108</v>
      </c>
      <c r="L121" s="253">
        <f t="shared" si="32"/>
        <v>-4.7</v>
      </c>
      <c r="M121" s="27">
        <f>IFERROR(100/'Skjema total MA'!I121*K121,0)</f>
        <v>24.140502488718436</v>
      </c>
    </row>
    <row r="122" spans="1:14" x14ac:dyDescent="0.2">
      <c r="A122" s="21" t="s">
        <v>26</v>
      </c>
      <c r="B122" s="233">
        <v>104353.864</v>
      </c>
      <c r="C122" s="145">
        <v>114874.92</v>
      </c>
      <c r="D122" s="166">
        <f t="shared" si="29"/>
        <v>10.1</v>
      </c>
      <c r="E122" s="27">
        <f>IFERROR(100/'Skjema total MA'!C122*C122,0)</f>
        <v>94.860608332769033</v>
      </c>
      <c r="F122" s="233"/>
      <c r="G122" s="145"/>
      <c r="H122" s="166"/>
      <c r="I122" s="27"/>
      <c r="J122" s="286">
        <f t="shared" si="31"/>
        <v>104353.864</v>
      </c>
      <c r="K122" s="44">
        <f t="shared" si="31"/>
        <v>114874.92</v>
      </c>
      <c r="L122" s="253">
        <f t="shared" si="32"/>
        <v>10.1</v>
      </c>
      <c r="M122" s="27">
        <f>IFERROR(100/'Skjema total MA'!I122*K122,0)</f>
        <v>94.860608332769033</v>
      </c>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v>2512.2869999999998</v>
      </c>
      <c r="C124" s="233">
        <v>2389.7750000000001</v>
      </c>
      <c r="D124" s="166">
        <f t="shared" si="29"/>
        <v>-4.9000000000000004</v>
      </c>
      <c r="E124" s="27">
        <f>IFERROR(100/'Skjema total MA'!C124*C124,0)</f>
        <v>6.6381209848954636</v>
      </c>
      <c r="F124" s="233">
        <v>12316.657999999999</v>
      </c>
      <c r="G124" s="233">
        <v>9367.0149999999994</v>
      </c>
      <c r="H124" s="166">
        <f t="shared" si="30"/>
        <v>-23.9</v>
      </c>
      <c r="I124" s="27">
        <f>IFERROR(100/'Skjema total MA'!F124*G124,0)</f>
        <v>100</v>
      </c>
      <c r="J124" s="286">
        <f t="shared" si="31"/>
        <v>14828.945</v>
      </c>
      <c r="K124" s="44">
        <f t="shared" si="31"/>
        <v>11756.789999999999</v>
      </c>
      <c r="L124" s="253">
        <f t="shared" si="32"/>
        <v>-20.7</v>
      </c>
      <c r="M124" s="27">
        <f>IFERROR(100/'Skjema total MA'!I124*K124,0)</f>
        <v>25.914398739722607</v>
      </c>
    </row>
    <row r="125" spans="1:14" ht="15.75" x14ac:dyDescent="0.2">
      <c r="A125" s="21" t="s">
        <v>387</v>
      </c>
      <c r="B125" s="233">
        <v>5.1120000000000001</v>
      </c>
      <c r="C125" s="233">
        <v>16</v>
      </c>
      <c r="D125" s="166">
        <f t="shared" si="29"/>
        <v>213</v>
      </c>
      <c r="E125" s="27">
        <f>IFERROR(100/'Skjema total MA'!C125*C125,0)</f>
        <v>1.5046909351183004</v>
      </c>
      <c r="F125" s="233">
        <v>316320.70500000002</v>
      </c>
      <c r="G125" s="233">
        <v>460812.82299999997</v>
      </c>
      <c r="H125" s="166">
        <f t="shared" si="30"/>
        <v>45.7</v>
      </c>
      <c r="I125" s="27">
        <f>IFERROR(100/'Skjema total MA'!F125*G125,0)</f>
        <v>23.418950955752504</v>
      </c>
      <c r="J125" s="286">
        <f t="shared" si="31"/>
        <v>316325.81700000004</v>
      </c>
      <c r="K125" s="44">
        <f t="shared" si="31"/>
        <v>460828.82299999997</v>
      </c>
      <c r="L125" s="253">
        <f t="shared" si="32"/>
        <v>45.7</v>
      </c>
      <c r="M125" s="27">
        <f>IFERROR(100/'Skjema total MA'!I125*K125,0)</f>
        <v>23.407114879880698</v>
      </c>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v>142532.42300000001</v>
      </c>
      <c r="C134" s="308">
        <v>177070.87599999999</v>
      </c>
      <c r="D134" s="349">
        <f t="shared" ref="D134:D135" si="33">IF(B134=0, "    ---- ", IF(ABS(ROUND(100/B134*C134-100,1))&lt;999,ROUND(100/B134*C134-100,1),IF(ROUND(100/B134*C134-100,1)&gt;999,999,-999)))</f>
        <v>24.2</v>
      </c>
      <c r="E134" s="11">
        <f>IFERROR(100/'Skjema total MA'!C134*C134,0)</f>
        <v>1.1098076636547543</v>
      </c>
      <c r="F134" s="315"/>
      <c r="G134" s="316"/>
      <c r="H134" s="430"/>
      <c r="I134" s="24"/>
      <c r="J134" s="317">
        <f t="shared" ref="J134:K135" si="34">SUM(B134,F134)</f>
        <v>142532.42300000001</v>
      </c>
      <c r="K134" s="317">
        <f t="shared" si="34"/>
        <v>177070.87599999999</v>
      </c>
      <c r="L134" s="426">
        <f t="shared" ref="L134:L135" si="35">IF(J134=0, "    ---- ", IF(ABS(ROUND(100/J134*K134-100,1))&lt;999,ROUND(100/J134*K134-100,1),IF(ROUND(100/J134*K134-100,1)&gt;999,999,-999)))</f>
        <v>24.2</v>
      </c>
      <c r="M134" s="11">
        <f>IFERROR(100/'Skjema total MA'!I134*K134,0)</f>
        <v>1.107519009945144</v>
      </c>
      <c r="N134" s="148"/>
    </row>
    <row r="135" spans="1:14" s="3" customFormat="1" ht="15.75" x14ac:dyDescent="0.2">
      <c r="A135" s="13" t="s">
        <v>396</v>
      </c>
      <c r="B135" s="235">
        <v>2826737.9410000001</v>
      </c>
      <c r="C135" s="308">
        <v>2933843.2050000001</v>
      </c>
      <c r="D135" s="171">
        <f t="shared" si="33"/>
        <v>3.8</v>
      </c>
      <c r="E135" s="11">
        <f>IFERROR(100/'Skjema total MA'!C135*C135,0)</f>
        <v>0.49144943764216426</v>
      </c>
      <c r="F135" s="235"/>
      <c r="G135" s="308"/>
      <c r="H135" s="431"/>
      <c r="I135" s="24"/>
      <c r="J135" s="307">
        <f t="shared" si="34"/>
        <v>2826737.9410000001</v>
      </c>
      <c r="K135" s="307">
        <f t="shared" si="34"/>
        <v>2933843.2050000001</v>
      </c>
      <c r="L135" s="427">
        <f t="shared" si="35"/>
        <v>3.8</v>
      </c>
      <c r="M135" s="11">
        <f>IFERROR(100/'Skjema total MA'!I135*K135,0)</f>
        <v>0.48986314503232775</v>
      </c>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64" priority="132">
      <formula>kvartal &lt; 4</formula>
    </cfRule>
  </conditionalFormatting>
  <conditionalFormatting sqref="B69">
    <cfRule type="expression" dxfId="463" priority="100">
      <formula>kvartal &lt; 4</formula>
    </cfRule>
  </conditionalFormatting>
  <conditionalFormatting sqref="C69">
    <cfRule type="expression" dxfId="462" priority="99">
      <formula>kvartal &lt; 4</formula>
    </cfRule>
  </conditionalFormatting>
  <conditionalFormatting sqref="B72">
    <cfRule type="expression" dxfId="461" priority="98">
      <formula>kvartal &lt; 4</formula>
    </cfRule>
  </conditionalFormatting>
  <conditionalFormatting sqref="C72">
    <cfRule type="expression" dxfId="460" priority="97">
      <formula>kvartal &lt; 4</formula>
    </cfRule>
  </conditionalFormatting>
  <conditionalFormatting sqref="B80">
    <cfRule type="expression" dxfId="459" priority="96">
      <formula>kvartal &lt; 4</formula>
    </cfRule>
  </conditionalFormatting>
  <conditionalFormatting sqref="C80">
    <cfRule type="expression" dxfId="458" priority="95">
      <formula>kvartal &lt; 4</formula>
    </cfRule>
  </conditionalFormatting>
  <conditionalFormatting sqref="B83">
    <cfRule type="expression" dxfId="457" priority="94">
      <formula>kvartal &lt; 4</formula>
    </cfRule>
  </conditionalFormatting>
  <conditionalFormatting sqref="C83">
    <cfRule type="expression" dxfId="456" priority="93">
      <formula>kvartal &lt; 4</formula>
    </cfRule>
  </conditionalFormatting>
  <conditionalFormatting sqref="B90">
    <cfRule type="expression" dxfId="455" priority="84">
      <formula>kvartal &lt; 4</formula>
    </cfRule>
  </conditionalFormatting>
  <conditionalFormatting sqref="C90">
    <cfRule type="expression" dxfId="454" priority="83">
      <formula>kvartal &lt; 4</formula>
    </cfRule>
  </conditionalFormatting>
  <conditionalFormatting sqref="B93">
    <cfRule type="expression" dxfId="453" priority="82">
      <formula>kvartal &lt; 4</formula>
    </cfRule>
  </conditionalFormatting>
  <conditionalFormatting sqref="C93">
    <cfRule type="expression" dxfId="452" priority="81">
      <formula>kvartal &lt; 4</formula>
    </cfRule>
  </conditionalFormatting>
  <conditionalFormatting sqref="B101">
    <cfRule type="expression" dxfId="451" priority="80">
      <formula>kvartal &lt; 4</formula>
    </cfRule>
  </conditionalFormatting>
  <conditionalFormatting sqref="C101">
    <cfRule type="expression" dxfId="450" priority="79">
      <formula>kvartal &lt; 4</formula>
    </cfRule>
  </conditionalFormatting>
  <conditionalFormatting sqref="B104">
    <cfRule type="expression" dxfId="449" priority="78">
      <formula>kvartal &lt; 4</formula>
    </cfRule>
  </conditionalFormatting>
  <conditionalFormatting sqref="C104">
    <cfRule type="expression" dxfId="448" priority="77">
      <formula>kvartal &lt; 4</formula>
    </cfRule>
  </conditionalFormatting>
  <conditionalFormatting sqref="B115">
    <cfRule type="expression" dxfId="447" priority="76">
      <formula>kvartal &lt; 4</formula>
    </cfRule>
  </conditionalFormatting>
  <conditionalFormatting sqref="C115">
    <cfRule type="expression" dxfId="446" priority="75">
      <formula>kvartal &lt; 4</formula>
    </cfRule>
  </conditionalFormatting>
  <conditionalFormatting sqref="B123">
    <cfRule type="expression" dxfId="445" priority="74">
      <formula>kvartal &lt; 4</formula>
    </cfRule>
  </conditionalFormatting>
  <conditionalFormatting sqref="C123">
    <cfRule type="expression" dxfId="444" priority="73">
      <formula>kvartal &lt; 4</formula>
    </cfRule>
  </conditionalFormatting>
  <conditionalFormatting sqref="F70">
    <cfRule type="expression" dxfId="443" priority="72">
      <formula>kvartal &lt; 4</formula>
    </cfRule>
  </conditionalFormatting>
  <conditionalFormatting sqref="G70">
    <cfRule type="expression" dxfId="442" priority="71">
      <formula>kvartal &lt; 4</formula>
    </cfRule>
  </conditionalFormatting>
  <conditionalFormatting sqref="F71:G71">
    <cfRule type="expression" dxfId="441" priority="70">
      <formula>kvartal &lt; 4</formula>
    </cfRule>
  </conditionalFormatting>
  <conditionalFormatting sqref="F73:G74">
    <cfRule type="expression" dxfId="440" priority="69">
      <formula>kvartal &lt; 4</formula>
    </cfRule>
  </conditionalFormatting>
  <conditionalFormatting sqref="F81:G82">
    <cfRule type="expression" dxfId="439" priority="68">
      <formula>kvartal &lt; 4</formula>
    </cfRule>
  </conditionalFormatting>
  <conditionalFormatting sqref="F84:G85">
    <cfRule type="expression" dxfId="438" priority="67">
      <formula>kvartal &lt; 4</formula>
    </cfRule>
  </conditionalFormatting>
  <conditionalFormatting sqref="F91:G92">
    <cfRule type="expression" dxfId="437" priority="62">
      <formula>kvartal &lt; 4</formula>
    </cfRule>
  </conditionalFormatting>
  <conditionalFormatting sqref="F94:G95">
    <cfRule type="expression" dxfId="436" priority="61">
      <formula>kvartal &lt; 4</formula>
    </cfRule>
  </conditionalFormatting>
  <conditionalFormatting sqref="F102:G103">
    <cfRule type="expression" dxfId="435" priority="60">
      <formula>kvartal &lt; 4</formula>
    </cfRule>
  </conditionalFormatting>
  <conditionalFormatting sqref="F105:G106">
    <cfRule type="expression" dxfId="434" priority="59">
      <formula>kvartal &lt; 4</formula>
    </cfRule>
  </conditionalFormatting>
  <conditionalFormatting sqref="F115">
    <cfRule type="expression" dxfId="433" priority="58">
      <formula>kvartal &lt; 4</formula>
    </cfRule>
  </conditionalFormatting>
  <conditionalFormatting sqref="G115">
    <cfRule type="expression" dxfId="432" priority="57">
      <formula>kvartal &lt; 4</formula>
    </cfRule>
  </conditionalFormatting>
  <conditionalFormatting sqref="F123:G123">
    <cfRule type="expression" dxfId="431" priority="56">
      <formula>kvartal &lt; 4</formula>
    </cfRule>
  </conditionalFormatting>
  <conditionalFormatting sqref="F69:G69">
    <cfRule type="expression" dxfId="430" priority="55">
      <formula>kvartal &lt; 4</formula>
    </cfRule>
  </conditionalFormatting>
  <conditionalFormatting sqref="F72:G72">
    <cfRule type="expression" dxfId="429" priority="54">
      <formula>kvartal &lt; 4</formula>
    </cfRule>
  </conditionalFormatting>
  <conditionalFormatting sqref="F80:G80">
    <cfRule type="expression" dxfId="428" priority="53">
      <formula>kvartal &lt; 4</formula>
    </cfRule>
  </conditionalFormatting>
  <conditionalFormatting sqref="F83:G83">
    <cfRule type="expression" dxfId="427" priority="52">
      <formula>kvartal &lt; 4</formula>
    </cfRule>
  </conditionalFormatting>
  <conditionalFormatting sqref="F90:G90">
    <cfRule type="expression" dxfId="426" priority="46">
      <formula>kvartal &lt; 4</formula>
    </cfRule>
  </conditionalFormatting>
  <conditionalFormatting sqref="F93">
    <cfRule type="expression" dxfId="425" priority="45">
      <formula>kvartal &lt; 4</formula>
    </cfRule>
  </conditionalFormatting>
  <conditionalFormatting sqref="G93">
    <cfRule type="expression" dxfId="424" priority="44">
      <formula>kvartal &lt; 4</formula>
    </cfRule>
  </conditionalFormatting>
  <conditionalFormatting sqref="F101">
    <cfRule type="expression" dxfId="423" priority="43">
      <formula>kvartal &lt; 4</formula>
    </cfRule>
  </conditionalFormatting>
  <conditionalFormatting sqref="G101">
    <cfRule type="expression" dxfId="422" priority="42">
      <formula>kvartal &lt; 4</formula>
    </cfRule>
  </conditionalFormatting>
  <conditionalFormatting sqref="G104">
    <cfRule type="expression" dxfId="421" priority="41">
      <formula>kvartal &lt; 4</formula>
    </cfRule>
  </conditionalFormatting>
  <conditionalFormatting sqref="F104">
    <cfRule type="expression" dxfId="420" priority="40">
      <formula>kvartal &lt; 4</formula>
    </cfRule>
  </conditionalFormatting>
  <conditionalFormatting sqref="J69:K73">
    <cfRule type="expression" dxfId="419" priority="39">
      <formula>kvartal &lt; 4</formula>
    </cfRule>
  </conditionalFormatting>
  <conditionalFormatting sqref="J74:K74">
    <cfRule type="expression" dxfId="418" priority="38">
      <formula>kvartal &lt; 4</formula>
    </cfRule>
  </conditionalFormatting>
  <conditionalFormatting sqref="J80:K85">
    <cfRule type="expression" dxfId="417" priority="37">
      <formula>kvartal &lt; 4</formula>
    </cfRule>
  </conditionalFormatting>
  <conditionalFormatting sqref="J90:K95">
    <cfRule type="expression" dxfId="416" priority="34">
      <formula>kvartal &lt; 4</formula>
    </cfRule>
  </conditionalFormatting>
  <conditionalFormatting sqref="J101:K106">
    <cfRule type="expression" dxfId="415" priority="33">
      <formula>kvartal &lt; 4</formula>
    </cfRule>
  </conditionalFormatting>
  <conditionalFormatting sqref="J115:K115">
    <cfRule type="expression" dxfId="414" priority="32">
      <formula>kvartal &lt; 4</formula>
    </cfRule>
  </conditionalFormatting>
  <conditionalFormatting sqref="J123:K123">
    <cfRule type="expression" dxfId="413" priority="31">
      <formula>kvartal &lt; 4</formula>
    </cfRule>
  </conditionalFormatting>
  <conditionalFormatting sqref="A50:A52">
    <cfRule type="expression" dxfId="412" priority="12">
      <formula>kvartal &lt; 4</formula>
    </cfRule>
  </conditionalFormatting>
  <conditionalFormatting sqref="A69:A74">
    <cfRule type="expression" dxfId="411" priority="10">
      <formula>kvartal &lt; 4</formula>
    </cfRule>
  </conditionalFormatting>
  <conditionalFormatting sqref="A80:A85">
    <cfRule type="expression" dxfId="410" priority="9">
      <formula>kvartal &lt; 4</formula>
    </cfRule>
  </conditionalFormatting>
  <conditionalFormatting sqref="A90:A95">
    <cfRule type="expression" dxfId="409" priority="6">
      <formula>kvartal &lt; 4</formula>
    </cfRule>
  </conditionalFormatting>
  <conditionalFormatting sqref="A101:A106">
    <cfRule type="expression" dxfId="408" priority="5">
      <formula>kvartal &lt; 4</formula>
    </cfRule>
  </conditionalFormatting>
  <conditionalFormatting sqref="A115">
    <cfRule type="expression" dxfId="407" priority="4">
      <formula>kvartal &lt; 4</formula>
    </cfRule>
  </conditionalFormatting>
  <conditionalFormatting sqref="A123">
    <cfRule type="expression" dxfId="406" priority="3">
      <formula>kvartal &lt; 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132</v>
      </c>
      <c r="D1" s="26"/>
      <c r="E1" s="26"/>
      <c r="F1" s="26"/>
      <c r="G1" s="26"/>
      <c r="H1" s="26"/>
      <c r="I1" s="26"/>
      <c r="J1" s="26"/>
      <c r="K1" s="26"/>
      <c r="L1" s="26"/>
      <c r="M1" s="26"/>
    </row>
    <row r="2" spans="1:14" ht="15.75" x14ac:dyDescent="0.25">
      <c r="A2" s="165" t="s">
        <v>28</v>
      </c>
      <c r="B2" s="736"/>
      <c r="C2" s="736"/>
      <c r="D2" s="736"/>
      <c r="E2" s="298"/>
      <c r="F2" s="736"/>
      <c r="G2" s="736"/>
      <c r="H2" s="736"/>
      <c r="I2" s="298"/>
      <c r="J2" s="736"/>
      <c r="K2" s="736"/>
      <c r="L2" s="736"/>
      <c r="M2" s="298"/>
    </row>
    <row r="3" spans="1:14" ht="15.75" x14ac:dyDescent="0.25">
      <c r="A3" s="163"/>
      <c r="B3" s="298"/>
      <c r="C3" s="298"/>
      <c r="D3" s="298"/>
      <c r="E3" s="298"/>
      <c r="F3" s="298"/>
      <c r="G3" s="298"/>
      <c r="H3" s="298"/>
      <c r="I3" s="298"/>
      <c r="J3" s="298"/>
      <c r="K3" s="298"/>
      <c r="L3" s="298"/>
      <c r="M3" s="298"/>
    </row>
    <row r="4" spans="1:14" x14ac:dyDescent="0.2">
      <c r="A4" s="144"/>
      <c r="B4" s="737" t="s">
        <v>0</v>
      </c>
      <c r="C4" s="738"/>
      <c r="D4" s="738"/>
      <c r="E4" s="300"/>
      <c r="F4" s="737" t="s">
        <v>1</v>
      </c>
      <c r="G4" s="738"/>
      <c r="H4" s="738"/>
      <c r="I4" s="303"/>
      <c r="J4" s="737" t="s">
        <v>2</v>
      </c>
      <c r="K4" s="738"/>
      <c r="L4" s="738"/>
      <c r="M4" s="303"/>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c r="C7" s="306"/>
      <c r="D7" s="349"/>
      <c r="E7" s="11"/>
      <c r="F7" s="305"/>
      <c r="G7" s="306"/>
      <c r="H7" s="349"/>
      <c r="I7" s="160"/>
      <c r="J7" s="307"/>
      <c r="K7" s="308"/>
      <c r="L7" s="426"/>
      <c r="M7" s="11"/>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c r="D9" s="166"/>
      <c r="E9" s="27"/>
      <c r="F9" s="284"/>
      <c r="G9" s="285"/>
      <c r="H9" s="166"/>
      <c r="I9" s="175"/>
      <c r="J9" s="233"/>
      <c r="K9" s="286"/>
      <c r="L9" s="253"/>
      <c r="M9" s="27"/>
    </row>
    <row r="10" spans="1:14" ht="15.75" x14ac:dyDescent="0.2">
      <c r="A10" s="13" t="s">
        <v>367</v>
      </c>
      <c r="B10" s="309"/>
      <c r="C10" s="310"/>
      <c r="D10" s="171"/>
      <c r="E10" s="11"/>
      <c r="F10" s="309"/>
      <c r="G10" s="310"/>
      <c r="H10" s="171"/>
      <c r="I10" s="160"/>
      <c r="J10" s="307"/>
      <c r="K10" s="308"/>
      <c r="L10" s="427"/>
      <c r="M10" s="11"/>
    </row>
    <row r="11" spans="1:14" s="43" customFormat="1" ht="15.75" x14ac:dyDescent="0.2">
      <c r="A11" s="13" t="s">
        <v>368</v>
      </c>
      <c r="B11" s="309"/>
      <c r="C11" s="310"/>
      <c r="D11" s="171"/>
      <c r="E11" s="11"/>
      <c r="F11" s="309"/>
      <c r="G11" s="310"/>
      <c r="H11" s="171"/>
      <c r="I11" s="160"/>
      <c r="J11" s="307"/>
      <c r="K11" s="308"/>
      <c r="L11" s="427"/>
      <c r="M11" s="11"/>
      <c r="N11" s="143"/>
    </row>
    <row r="12" spans="1:14" s="43" customFormat="1" ht="15.75" x14ac:dyDescent="0.2">
      <c r="A12" s="41" t="s">
        <v>369</v>
      </c>
      <c r="B12" s="311"/>
      <c r="C12" s="312"/>
      <c r="D12" s="169"/>
      <c r="E12" s="36"/>
      <c r="F12" s="311"/>
      <c r="G12" s="312"/>
      <c r="H12" s="169"/>
      <c r="I12" s="169"/>
      <c r="J12" s="313"/>
      <c r="K12" s="314"/>
      <c r="L12" s="428"/>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426"/>
      <c r="M22" s="24"/>
    </row>
    <row r="23" spans="1:14" ht="15.75" x14ac:dyDescent="0.2">
      <c r="A23" s="587" t="s">
        <v>370</v>
      </c>
      <c r="B23" s="280"/>
      <c r="C23" s="280"/>
      <c r="D23" s="166"/>
      <c r="E23" s="11"/>
      <c r="F23" s="289"/>
      <c r="G23" s="289"/>
      <c r="H23" s="166"/>
      <c r="I23" s="416"/>
      <c r="J23" s="289"/>
      <c r="K23" s="289"/>
      <c r="L23" s="166"/>
      <c r="M23" s="23"/>
    </row>
    <row r="24" spans="1:14" ht="15.75" x14ac:dyDescent="0.2">
      <c r="A24" s="587" t="s">
        <v>371</v>
      </c>
      <c r="B24" s="280"/>
      <c r="C24" s="280"/>
      <c r="D24" s="166"/>
      <c r="E24" s="11"/>
      <c r="F24" s="289"/>
      <c r="G24" s="289"/>
      <c r="H24" s="166"/>
      <c r="I24" s="416"/>
      <c r="J24" s="289"/>
      <c r="K24" s="289"/>
      <c r="L24" s="166"/>
      <c r="M24" s="23"/>
    </row>
    <row r="25" spans="1:14" ht="15.75" x14ac:dyDescent="0.2">
      <c r="A25" s="587" t="s">
        <v>372</v>
      </c>
      <c r="B25" s="280"/>
      <c r="C25" s="280"/>
      <c r="D25" s="166"/>
      <c r="E25" s="11"/>
      <c r="F25" s="289"/>
      <c r="G25" s="289"/>
      <c r="H25" s="166"/>
      <c r="I25" s="416"/>
      <c r="J25" s="289"/>
      <c r="K25" s="289"/>
      <c r="L25" s="166"/>
      <c r="M25" s="23"/>
    </row>
    <row r="26" spans="1:14" ht="15.75" x14ac:dyDescent="0.2">
      <c r="A26" s="587" t="s">
        <v>373</v>
      </c>
      <c r="B26" s="280"/>
      <c r="C26" s="280"/>
      <c r="D26" s="166"/>
      <c r="E26" s="11"/>
      <c r="F26" s="289"/>
      <c r="G26" s="289"/>
      <c r="H26" s="166"/>
      <c r="I26" s="416"/>
      <c r="J26" s="289"/>
      <c r="K26" s="289"/>
      <c r="L26" s="166"/>
      <c r="M26" s="23"/>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c r="C28" s="286"/>
      <c r="D28" s="166"/>
      <c r="E28" s="11"/>
      <c r="F28" s="233"/>
      <c r="G28" s="286"/>
      <c r="H28" s="166"/>
      <c r="I28" s="27"/>
      <c r="J28" s="44"/>
      <c r="K28" s="44"/>
      <c r="L28" s="253"/>
      <c r="M28" s="23"/>
    </row>
    <row r="29" spans="1:14" s="3" customFormat="1" ht="15.75" x14ac:dyDescent="0.2">
      <c r="A29" s="13" t="s">
        <v>367</v>
      </c>
      <c r="B29" s="235"/>
      <c r="C29" s="235"/>
      <c r="D29" s="171"/>
      <c r="E29" s="11"/>
      <c r="F29" s="307"/>
      <c r="G29" s="307"/>
      <c r="H29" s="171"/>
      <c r="I29" s="11"/>
      <c r="J29" s="235"/>
      <c r="K29" s="235"/>
      <c r="L29" s="427"/>
      <c r="M29" s="24"/>
      <c r="N29" s="148"/>
    </row>
    <row r="30" spans="1:14" s="3" customFormat="1" ht="15.75" x14ac:dyDescent="0.2">
      <c r="A30" s="587" t="s">
        <v>370</v>
      </c>
      <c r="B30" s="280"/>
      <c r="C30" s="280"/>
      <c r="D30" s="166"/>
      <c r="E30" s="11"/>
      <c r="F30" s="289"/>
      <c r="G30" s="289"/>
      <c r="H30" s="166"/>
      <c r="I30" s="416"/>
      <c r="J30" s="289"/>
      <c r="K30" s="289"/>
      <c r="L30" s="166"/>
      <c r="M30" s="23"/>
      <c r="N30" s="148"/>
    </row>
    <row r="31" spans="1:14" s="3" customFormat="1" ht="15.75" x14ac:dyDescent="0.2">
      <c r="A31" s="587" t="s">
        <v>371</v>
      </c>
      <c r="B31" s="280"/>
      <c r="C31" s="280"/>
      <c r="D31" s="166"/>
      <c r="E31" s="11"/>
      <c r="F31" s="289"/>
      <c r="G31" s="289"/>
      <c r="H31" s="166"/>
      <c r="I31" s="416"/>
      <c r="J31" s="289"/>
      <c r="K31" s="289"/>
      <c r="L31" s="166"/>
      <c r="M31" s="23"/>
      <c r="N31" s="148"/>
    </row>
    <row r="32" spans="1:14" ht="15.75" x14ac:dyDescent="0.2">
      <c r="A32" s="587" t="s">
        <v>372</v>
      </c>
      <c r="B32" s="280"/>
      <c r="C32" s="280"/>
      <c r="D32" s="166"/>
      <c r="E32" s="11"/>
      <c r="F32" s="289"/>
      <c r="G32" s="289"/>
      <c r="H32" s="166"/>
      <c r="I32" s="416"/>
      <c r="J32" s="289"/>
      <c r="K32" s="289"/>
      <c r="L32" s="166"/>
      <c r="M32" s="23"/>
    </row>
    <row r="33" spans="1:14" ht="15.75" x14ac:dyDescent="0.2">
      <c r="A33" s="587" t="s">
        <v>373</v>
      </c>
      <c r="B33" s="280"/>
      <c r="C33" s="280"/>
      <c r="D33" s="166"/>
      <c r="E33" s="11"/>
      <c r="F33" s="289"/>
      <c r="G33" s="289"/>
      <c r="H33" s="166"/>
      <c r="I33" s="416"/>
      <c r="J33" s="289"/>
      <c r="K33" s="289"/>
      <c r="L33" s="166"/>
      <c r="M33" s="23"/>
    </row>
    <row r="34" spans="1:14" ht="15.75" x14ac:dyDescent="0.2">
      <c r="A34" s="13" t="s">
        <v>368</v>
      </c>
      <c r="B34" s="235"/>
      <c r="C34" s="308"/>
      <c r="D34" s="171"/>
      <c r="E34" s="11"/>
      <c r="F34" s="307"/>
      <c r="G34" s="308"/>
      <c r="H34" s="171"/>
      <c r="I34" s="11"/>
      <c r="J34" s="235"/>
      <c r="K34" s="235"/>
      <c r="L34" s="427"/>
      <c r="M34" s="24"/>
    </row>
    <row r="35" spans="1:14" ht="15.75" x14ac:dyDescent="0.2">
      <c r="A35" s="13" t="s">
        <v>369</v>
      </c>
      <c r="B35" s="235"/>
      <c r="C35" s="308"/>
      <c r="D35" s="171"/>
      <c r="E35" s="11"/>
      <c r="F35" s="307"/>
      <c r="G35" s="308"/>
      <c r="H35" s="171"/>
      <c r="I35" s="11"/>
      <c r="J35" s="235"/>
      <c r="K35" s="235"/>
      <c r="L35" s="427"/>
      <c r="M35" s="24"/>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c r="C39" s="314"/>
      <c r="D39" s="169"/>
      <c r="E39" s="36"/>
      <c r="F39" s="321"/>
      <c r="G39" s="322"/>
      <c r="H39" s="169"/>
      <c r="I39" s="36"/>
      <c r="J39" s="235"/>
      <c r="K39" s="235"/>
      <c r="L39" s="428"/>
      <c r="M39" s="36"/>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c r="C47" s="310"/>
      <c r="D47" s="426"/>
      <c r="E47" s="11"/>
      <c r="F47" s="145"/>
      <c r="G47" s="33"/>
      <c r="H47" s="159"/>
      <c r="I47" s="159"/>
      <c r="J47" s="37"/>
      <c r="K47" s="37"/>
      <c r="L47" s="159"/>
      <c r="M47" s="159"/>
      <c r="N47" s="148"/>
    </row>
    <row r="48" spans="1:14" s="3" customFormat="1" ht="15.75" x14ac:dyDescent="0.2">
      <c r="A48" s="38" t="s">
        <v>378</v>
      </c>
      <c r="B48" s="280"/>
      <c r="C48" s="281"/>
      <c r="D48" s="253"/>
      <c r="E48" s="27"/>
      <c r="F48" s="145"/>
      <c r="G48" s="33"/>
      <c r="H48" s="145"/>
      <c r="I48" s="145"/>
      <c r="J48" s="33"/>
      <c r="K48" s="33"/>
      <c r="L48" s="159"/>
      <c r="M48" s="159"/>
      <c r="N48" s="148"/>
    </row>
    <row r="49" spans="1:14" s="3" customFormat="1" ht="15.75" x14ac:dyDescent="0.2">
      <c r="A49" s="38" t="s">
        <v>379</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c r="C53" s="310"/>
      <c r="D53" s="427"/>
      <c r="E53" s="11"/>
      <c r="F53" s="145"/>
      <c r="G53" s="33"/>
      <c r="H53" s="145"/>
      <c r="I53" s="145"/>
      <c r="J53" s="33"/>
      <c r="K53" s="33"/>
      <c r="L53" s="159"/>
      <c r="M53" s="159"/>
      <c r="N53" s="148"/>
    </row>
    <row r="54" spans="1:14" s="3" customFormat="1" ht="15.75" x14ac:dyDescent="0.2">
      <c r="A54" s="38" t="s">
        <v>378</v>
      </c>
      <c r="B54" s="280"/>
      <c r="C54" s="281"/>
      <c r="D54" s="253"/>
      <c r="E54" s="27"/>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c r="C56" s="310"/>
      <c r="D56" s="427"/>
      <c r="E56" s="11"/>
      <c r="F56" s="145"/>
      <c r="G56" s="33"/>
      <c r="H56" s="145"/>
      <c r="I56" s="145"/>
      <c r="J56" s="33"/>
      <c r="K56" s="33"/>
      <c r="L56" s="159"/>
      <c r="M56" s="159"/>
      <c r="N56" s="148"/>
    </row>
    <row r="57" spans="1:14" s="3" customFormat="1" ht="15.75" x14ac:dyDescent="0.2">
      <c r="A57" s="38" t="s">
        <v>378</v>
      </c>
      <c r="B57" s="280"/>
      <c r="C57" s="281"/>
      <c r="D57" s="253"/>
      <c r="E57" s="27"/>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c r="C66" s="352"/>
      <c r="D66" s="349"/>
      <c r="E66" s="11"/>
      <c r="F66" s="351"/>
      <c r="G66" s="351"/>
      <c r="H66" s="349"/>
      <c r="I66" s="11"/>
      <c r="J66" s="308"/>
      <c r="K66" s="315"/>
      <c r="L66" s="427"/>
      <c r="M66" s="11"/>
    </row>
    <row r="67" spans="1:14" x14ac:dyDescent="0.2">
      <c r="A67" s="41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c r="G86" s="145"/>
      <c r="H86" s="166"/>
      <c r="I86" s="27"/>
      <c r="J86" s="286"/>
      <c r="K86" s="44"/>
      <c r="L86" s="253"/>
      <c r="M86" s="27"/>
    </row>
    <row r="87" spans="1:13" ht="15.75" x14ac:dyDescent="0.2">
      <c r="A87" s="13" t="s">
        <v>367</v>
      </c>
      <c r="B87" s="352"/>
      <c r="C87" s="352"/>
      <c r="D87" s="171"/>
      <c r="E87" s="11"/>
      <c r="F87" s="351"/>
      <c r="G87" s="351"/>
      <c r="H87" s="171"/>
      <c r="I87" s="11"/>
      <c r="J87" s="308"/>
      <c r="K87" s="235"/>
      <c r="L87" s="427"/>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row>
    <row r="98" spans="1:13" ht="15.75" x14ac:dyDescent="0.2">
      <c r="A98" s="21" t="s">
        <v>384</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c r="G107" s="145"/>
      <c r="H107" s="166"/>
      <c r="I107" s="27"/>
      <c r="J107" s="286"/>
      <c r="K107" s="44"/>
      <c r="L107" s="253"/>
      <c r="M107" s="27"/>
    </row>
    <row r="108" spans="1:13" ht="15.75" x14ac:dyDescent="0.2">
      <c r="A108" s="21" t="s">
        <v>386</v>
      </c>
      <c r="B108" s="233"/>
      <c r="C108" s="233"/>
      <c r="D108" s="166"/>
      <c r="E108" s="27"/>
      <c r="F108" s="233"/>
      <c r="G108" s="233"/>
      <c r="H108" s="166"/>
      <c r="I108" s="27"/>
      <c r="J108" s="286"/>
      <c r="K108" s="44"/>
      <c r="L108" s="253"/>
      <c r="M108" s="27"/>
    </row>
    <row r="109" spans="1:13" ht="15.75" x14ac:dyDescent="0.2">
      <c r="A109" s="21" t="s">
        <v>387</v>
      </c>
      <c r="B109" s="233"/>
      <c r="C109" s="233"/>
      <c r="D109" s="166"/>
      <c r="E109" s="27"/>
      <c r="F109" s="233"/>
      <c r="G109" s="233"/>
      <c r="H109" s="166"/>
      <c r="I109" s="27"/>
      <c r="J109" s="286"/>
      <c r="K109" s="44"/>
      <c r="L109" s="253"/>
      <c r="M109" s="27"/>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c r="C111" s="159"/>
      <c r="D111" s="171"/>
      <c r="E111" s="11"/>
      <c r="F111" s="307"/>
      <c r="G111" s="159"/>
      <c r="H111" s="171"/>
      <c r="I111" s="11"/>
      <c r="J111" s="308"/>
      <c r="K111" s="235"/>
      <c r="L111" s="427"/>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c r="C116" s="233"/>
      <c r="D116" s="166"/>
      <c r="E116" s="27"/>
      <c r="F116" s="233"/>
      <c r="G116" s="233"/>
      <c r="H116" s="166"/>
      <c r="I116" s="27"/>
      <c r="J116" s="286"/>
      <c r="K116" s="44"/>
      <c r="L116" s="253"/>
      <c r="M116" s="27"/>
    </row>
    <row r="117" spans="1:14" ht="15.75" x14ac:dyDescent="0.2">
      <c r="A117" s="21" t="s">
        <v>390</v>
      </c>
      <c r="B117" s="233"/>
      <c r="C117" s="233"/>
      <c r="D117" s="166"/>
      <c r="E117" s="27"/>
      <c r="F117" s="233"/>
      <c r="G117" s="233"/>
      <c r="H117" s="166"/>
      <c r="I117" s="27"/>
      <c r="J117" s="286"/>
      <c r="K117" s="44"/>
      <c r="L117" s="253"/>
      <c r="M117" s="27"/>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c r="C119" s="159"/>
      <c r="D119" s="171"/>
      <c r="E119" s="11"/>
      <c r="F119" s="307"/>
      <c r="G119" s="159"/>
      <c r="H119" s="171"/>
      <c r="I119" s="11"/>
      <c r="J119" s="308"/>
      <c r="K119" s="235"/>
      <c r="L119" s="427"/>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c r="G125" s="233"/>
      <c r="H125" s="166"/>
      <c r="I125" s="27"/>
      <c r="J125" s="286"/>
      <c r="K125" s="44"/>
      <c r="L125" s="253"/>
      <c r="M125" s="27"/>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05" priority="132">
      <formula>kvartal &lt; 4</formula>
    </cfRule>
  </conditionalFormatting>
  <conditionalFormatting sqref="B69">
    <cfRule type="expression" dxfId="404" priority="100">
      <formula>kvartal &lt; 4</formula>
    </cfRule>
  </conditionalFormatting>
  <conditionalFormatting sqref="C69">
    <cfRule type="expression" dxfId="403" priority="99">
      <formula>kvartal &lt; 4</formula>
    </cfRule>
  </conditionalFormatting>
  <conditionalFormatting sqref="B72">
    <cfRule type="expression" dxfId="402" priority="98">
      <formula>kvartal &lt; 4</formula>
    </cfRule>
  </conditionalFormatting>
  <conditionalFormatting sqref="C72">
    <cfRule type="expression" dxfId="401" priority="97">
      <formula>kvartal &lt; 4</formula>
    </cfRule>
  </conditionalFormatting>
  <conditionalFormatting sqref="B80">
    <cfRule type="expression" dxfId="400" priority="96">
      <formula>kvartal &lt; 4</formula>
    </cfRule>
  </conditionalFormatting>
  <conditionalFormatting sqref="C80">
    <cfRule type="expression" dxfId="399" priority="95">
      <formula>kvartal &lt; 4</formula>
    </cfRule>
  </conditionalFormatting>
  <conditionalFormatting sqref="B83">
    <cfRule type="expression" dxfId="398" priority="94">
      <formula>kvartal &lt; 4</formula>
    </cfRule>
  </conditionalFormatting>
  <conditionalFormatting sqref="C83">
    <cfRule type="expression" dxfId="397" priority="93">
      <formula>kvartal &lt; 4</formula>
    </cfRule>
  </conditionalFormatting>
  <conditionalFormatting sqref="B90">
    <cfRule type="expression" dxfId="396" priority="84">
      <formula>kvartal &lt; 4</formula>
    </cfRule>
  </conditionalFormatting>
  <conditionalFormatting sqref="C90">
    <cfRule type="expression" dxfId="395" priority="83">
      <formula>kvartal &lt; 4</formula>
    </cfRule>
  </conditionalFormatting>
  <conditionalFormatting sqref="B93">
    <cfRule type="expression" dxfId="394" priority="82">
      <formula>kvartal &lt; 4</formula>
    </cfRule>
  </conditionalFormatting>
  <conditionalFormatting sqref="C93">
    <cfRule type="expression" dxfId="393" priority="81">
      <formula>kvartal &lt; 4</formula>
    </cfRule>
  </conditionalFormatting>
  <conditionalFormatting sqref="B101">
    <cfRule type="expression" dxfId="392" priority="80">
      <formula>kvartal &lt; 4</formula>
    </cfRule>
  </conditionalFormatting>
  <conditionalFormatting sqref="C101">
    <cfRule type="expression" dxfId="391" priority="79">
      <formula>kvartal &lt; 4</formula>
    </cfRule>
  </conditionalFormatting>
  <conditionalFormatting sqref="B104">
    <cfRule type="expression" dxfId="390" priority="78">
      <formula>kvartal &lt; 4</formula>
    </cfRule>
  </conditionalFormatting>
  <conditionalFormatting sqref="C104">
    <cfRule type="expression" dxfId="389" priority="77">
      <formula>kvartal &lt; 4</formula>
    </cfRule>
  </conditionalFormatting>
  <conditionalFormatting sqref="B115">
    <cfRule type="expression" dxfId="388" priority="76">
      <formula>kvartal &lt; 4</formula>
    </cfRule>
  </conditionalFormatting>
  <conditionalFormatting sqref="C115">
    <cfRule type="expression" dxfId="387" priority="75">
      <formula>kvartal &lt; 4</formula>
    </cfRule>
  </conditionalFormatting>
  <conditionalFormatting sqref="B123">
    <cfRule type="expression" dxfId="386" priority="74">
      <formula>kvartal &lt; 4</formula>
    </cfRule>
  </conditionalFormatting>
  <conditionalFormatting sqref="C123">
    <cfRule type="expression" dxfId="385" priority="73">
      <formula>kvartal &lt; 4</formula>
    </cfRule>
  </conditionalFormatting>
  <conditionalFormatting sqref="F70">
    <cfRule type="expression" dxfId="384" priority="72">
      <formula>kvartal &lt; 4</formula>
    </cfRule>
  </conditionalFormatting>
  <conditionalFormatting sqref="G70">
    <cfRule type="expression" dxfId="383" priority="71">
      <formula>kvartal &lt; 4</formula>
    </cfRule>
  </conditionalFormatting>
  <conditionalFormatting sqref="F71:G71">
    <cfRule type="expression" dxfId="382" priority="70">
      <formula>kvartal &lt; 4</formula>
    </cfRule>
  </conditionalFormatting>
  <conditionalFormatting sqref="F73:G74">
    <cfRule type="expression" dxfId="381" priority="69">
      <formula>kvartal &lt; 4</formula>
    </cfRule>
  </conditionalFormatting>
  <conditionalFormatting sqref="F81:G82">
    <cfRule type="expression" dxfId="380" priority="68">
      <formula>kvartal &lt; 4</formula>
    </cfRule>
  </conditionalFormatting>
  <conditionalFormatting sqref="F84:G85">
    <cfRule type="expression" dxfId="379" priority="67">
      <formula>kvartal &lt; 4</formula>
    </cfRule>
  </conditionalFormatting>
  <conditionalFormatting sqref="F91:G92">
    <cfRule type="expression" dxfId="378" priority="62">
      <formula>kvartal &lt; 4</formula>
    </cfRule>
  </conditionalFormatting>
  <conditionalFormatting sqref="F94:G95">
    <cfRule type="expression" dxfId="377" priority="61">
      <formula>kvartal &lt; 4</formula>
    </cfRule>
  </conditionalFormatting>
  <conditionalFormatting sqref="F102:G103">
    <cfRule type="expression" dxfId="376" priority="60">
      <formula>kvartal &lt; 4</formula>
    </cfRule>
  </conditionalFormatting>
  <conditionalFormatting sqref="F105:G106">
    <cfRule type="expression" dxfId="375" priority="59">
      <formula>kvartal &lt; 4</formula>
    </cfRule>
  </conditionalFormatting>
  <conditionalFormatting sqref="F115">
    <cfRule type="expression" dxfId="374" priority="58">
      <formula>kvartal &lt; 4</formula>
    </cfRule>
  </conditionalFormatting>
  <conditionalFormatting sqref="G115">
    <cfRule type="expression" dxfId="373" priority="57">
      <formula>kvartal &lt; 4</formula>
    </cfRule>
  </conditionalFormatting>
  <conditionalFormatting sqref="F123:G123">
    <cfRule type="expression" dxfId="372" priority="56">
      <formula>kvartal &lt; 4</formula>
    </cfRule>
  </conditionalFormatting>
  <conditionalFormatting sqref="F69:G69">
    <cfRule type="expression" dxfId="371" priority="55">
      <formula>kvartal &lt; 4</formula>
    </cfRule>
  </conditionalFormatting>
  <conditionalFormatting sqref="F72:G72">
    <cfRule type="expression" dxfId="370" priority="54">
      <formula>kvartal &lt; 4</formula>
    </cfRule>
  </conditionalFormatting>
  <conditionalFormatting sqref="F80:G80">
    <cfRule type="expression" dxfId="369" priority="53">
      <formula>kvartal &lt; 4</formula>
    </cfRule>
  </conditionalFormatting>
  <conditionalFormatting sqref="F83:G83">
    <cfRule type="expression" dxfId="368" priority="52">
      <formula>kvartal &lt; 4</formula>
    </cfRule>
  </conditionalFormatting>
  <conditionalFormatting sqref="F90:G90">
    <cfRule type="expression" dxfId="367" priority="46">
      <formula>kvartal &lt; 4</formula>
    </cfRule>
  </conditionalFormatting>
  <conditionalFormatting sqref="F93">
    <cfRule type="expression" dxfId="366" priority="45">
      <formula>kvartal &lt; 4</formula>
    </cfRule>
  </conditionalFormatting>
  <conditionalFormatting sqref="G93">
    <cfRule type="expression" dxfId="365" priority="44">
      <formula>kvartal &lt; 4</formula>
    </cfRule>
  </conditionalFormatting>
  <conditionalFormatting sqref="F101">
    <cfRule type="expression" dxfId="364" priority="43">
      <formula>kvartal &lt; 4</formula>
    </cfRule>
  </conditionalFormatting>
  <conditionalFormatting sqref="G101">
    <cfRule type="expression" dxfId="363" priority="42">
      <formula>kvartal &lt; 4</formula>
    </cfRule>
  </conditionalFormatting>
  <conditionalFormatting sqref="G104">
    <cfRule type="expression" dxfId="362" priority="41">
      <formula>kvartal &lt; 4</formula>
    </cfRule>
  </conditionalFormatting>
  <conditionalFormatting sqref="F104">
    <cfRule type="expression" dxfId="361" priority="40">
      <formula>kvartal &lt; 4</formula>
    </cfRule>
  </conditionalFormatting>
  <conditionalFormatting sqref="J69:K73">
    <cfRule type="expression" dxfId="360" priority="39">
      <formula>kvartal &lt; 4</formula>
    </cfRule>
  </conditionalFormatting>
  <conditionalFormatting sqref="J74:K74">
    <cfRule type="expression" dxfId="359" priority="38">
      <formula>kvartal &lt; 4</formula>
    </cfRule>
  </conditionalFormatting>
  <conditionalFormatting sqref="J80:K85">
    <cfRule type="expression" dxfId="358" priority="37">
      <formula>kvartal &lt; 4</formula>
    </cfRule>
  </conditionalFormatting>
  <conditionalFormatting sqref="J90:K95">
    <cfRule type="expression" dxfId="357" priority="34">
      <formula>kvartal &lt; 4</formula>
    </cfRule>
  </conditionalFormatting>
  <conditionalFormatting sqref="J101:K106">
    <cfRule type="expression" dxfId="356" priority="33">
      <formula>kvartal &lt; 4</formula>
    </cfRule>
  </conditionalFormatting>
  <conditionalFormatting sqref="J115:K115">
    <cfRule type="expression" dxfId="355" priority="32">
      <formula>kvartal &lt; 4</formula>
    </cfRule>
  </conditionalFormatting>
  <conditionalFormatting sqref="J123:K123">
    <cfRule type="expression" dxfId="354" priority="31">
      <formula>kvartal &lt; 4</formula>
    </cfRule>
  </conditionalFormatting>
  <conditionalFormatting sqref="A50:A52">
    <cfRule type="expression" dxfId="353" priority="12">
      <formula>kvartal &lt; 4</formula>
    </cfRule>
  </conditionalFormatting>
  <conditionalFormatting sqref="A69:A74">
    <cfRule type="expression" dxfId="352" priority="10">
      <formula>kvartal &lt; 4</formula>
    </cfRule>
  </conditionalFormatting>
  <conditionalFormatting sqref="A80:A85">
    <cfRule type="expression" dxfId="351" priority="9">
      <formula>kvartal &lt; 4</formula>
    </cfRule>
  </conditionalFormatting>
  <conditionalFormatting sqref="A90:A95">
    <cfRule type="expression" dxfId="350" priority="6">
      <formula>kvartal &lt; 4</formula>
    </cfRule>
  </conditionalFormatting>
  <conditionalFormatting sqref="A101:A106">
    <cfRule type="expression" dxfId="349" priority="5">
      <formula>kvartal &lt; 4</formula>
    </cfRule>
  </conditionalFormatting>
  <conditionalFormatting sqref="A115">
    <cfRule type="expression" dxfId="348" priority="4">
      <formula>kvartal &lt; 4</formula>
    </cfRule>
  </conditionalFormatting>
  <conditionalFormatting sqref="A123">
    <cfRule type="expression" dxfId="347" priority="3">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topLeftCell="A70" zoomScale="90" zoomScaleNormal="90" workbookViewId="0">
      <selection activeCell="K74" sqref="K74"/>
    </sheetView>
  </sheetViews>
  <sheetFormatPr baseColWidth="10" defaultColWidth="11.42578125" defaultRowHeight="18.75" x14ac:dyDescent="0.3"/>
  <cols>
    <col min="10" max="11" width="16.7109375" customWidth="1"/>
    <col min="12" max="12" width="20.7109375" style="74" customWidth="1"/>
    <col min="13" max="14" width="15.85546875" style="74" bestFit="1" customWidth="1"/>
    <col min="15" max="15" width="22.85546875" customWidth="1"/>
    <col min="16" max="16" width="13.42578125" customWidth="1"/>
    <col min="17" max="17" width="13.85546875" customWidth="1"/>
  </cols>
  <sheetData>
    <row r="1" spans="1:15" x14ac:dyDescent="0.3">
      <c r="A1" s="73" t="s">
        <v>52</v>
      </c>
    </row>
    <row r="2" spans="1:15" x14ac:dyDescent="0.3">
      <c r="A2" s="75"/>
      <c r="B2" s="74"/>
      <c r="C2" s="74"/>
      <c r="D2" s="74"/>
      <c r="E2" s="74"/>
      <c r="F2" s="74"/>
      <c r="G2" s="74"/>
      <c r="H2" s="74"/>
      <c r="I2" s="74"/>
      <c r="J2" s="74"/>
      <c r="K2" s="74"/>
      <c r="O2" s="74"/>
    </row>
    <row r="3" spans="1:15" x14ac:dyDescent="0.3">
      <c r="A3" s="75" t="s">
        <v>32</v>
      </c>
      <c r="B3" s="74"/>
      <c r="C3" s="74"/>
      <c r="D3" s="74"/>
      <c r="E3" s="74"/>
      <c r="F3" s="74"/>
      <c r="G3" s="74"/>
      <c r="H3" s="74"/>
      <c r="I3" s="74"/>
      <c r="J3" s="74"/>
      <c r="K3" s="74"/>
      <c r="O3" s="74"/>
    </row>
    <row r="4" spans="1:15" x14ac:dyDescent="0.3">
      <c r="A4" s="74"/>
      <c r="B4" s="74"/>
      <c r="C4" s="74"/>
      <c r="D4" s="74"/>
      <c r="E4" s="74"/>
      <c r="F4" s="74"/>
      <c r="G4" s="74"/>
      <c r="H4" s="74"/>
      <c r="I4" s="74"/>
      <c r="J4" s="74"/>
      <c r="K4" s="74"/>
      <c r="L4" s="76"/>
      <c r="O4" s="74"/>
    </row>
    <row r="5" spans="1:15" x14ac:dyDescent="0.3">
      <c r="A5" s="75" t="s">
        <v>421</v>
      </c>
      <c r="B5" s="74"/>
      <c r="C5" s="74"/>
      <c r="D5" s="74"/>
      <c r="E5" s="74"/>
      <c r="F5" s="74"/>
      <c r="G5" s="74"/>
      <c r="H5" s="74"/>
      <c r="I5" s="79"/>
      <c r="J5" s="74"/>
      <c r="K5" s="74"/>
      <c r="O5" s="74"/>
    </row>
    <row r="6" spans="1:15" x14ac:dyDescent="0.3">
      <c r="A6" s="74"/>
      <c r="B6" s="74"/>
      <c r="C6" s="74"/>
      <c r="D6" s="74"/>
      <c r="E6" s="74"/>
      <c r="F6" s="74"/>
      <c r="G6" s="74"/>
      <c r="H6" s="74"/>
      <c r="I6" s="74"/>
      <c r="J6" s="74"/>
      <c r="K6" s="74"/>
      <c r="L6" s="74" t="s">
        <v>53</v>
      </c>
      <c r="O6" s="74"/>
    </row>
    <row r="7" spans="1:15" x14ac:dyDescent="0.3">
      <c r="A7" s="74"/>
      <c r="B7" s="74"/>
      <c r="C7" s="74"/>
      <c r="D7" s="74"/>
      <c r="E7" s="74"/>
      <c r="F7" s="74"/>
      <c r="G7" s="74"/>
      <c r="H7" s="74"/>
      <c r="I7" s="74"/>
      <c r="J7" s="74"/>
      <c r="K7" s="74"/>
      <c r="L7" s="74" t="s">
        <v>0</v>
      </c>
      <c r="O7" s="74"/>
    </row>
    <row r="8" spans="1:15" x14ac:dyDescent="0.3">
      <c r="A8" s="74"/>
      <c r="B8" s="74"/>
      <c r="C8" s="74"/>
      <c r="D8" s="74"/>
      <c r="E8" s="74"/>
      <c r="F8" s="74"/>
      <c r="G8" s="74"/>
      <c r="H8" s="74"/>
      <c r="I8" s="74"/>
      <c r="J8" s="74"/>
      <c r="K8" s="74"/>
      <c r="M8" s="74">
        <v>2019</v>
      </c>
      <c r="N8" s="74">
        <v>2020</v>
      </c>
      <c r="O8" s="74"/>
    </row>
    <row r="9" spans="1:15" x14ac:dyDescent="0.3">
      <c r="A9" s="74"/>
      <c r="B9" s="74"/>
      <c r="C9" s="74"/>
      <c r="D9" s="74"/>
      <c r="E9" s="74"/>
      <c r="F9" s="74"/>
      <c r="G9" s="74"/>
      <c r="H9" s="74"/>
      <c r="I9" s="74"/>
      <c r="J9" s="74"/>
      <c r="K9" s="74"/>
      <c r="L9" s="74" t="s">
        <v>54</v>
      </c>
      <c r="M9" s="77">
        <f>'Tabel 1.1'!B9</f>
        <v>211735.83299999998</v>
      </c>
      <c r="N9" s="77">
        <f>'Tabel 1.1'!C9</f>
        <v>216417.99</v>
      </c>
      <c r="O9" s="74"/>
    </row>
    <row r="10" spans="1:15" x14ac:dyDescent="0.3">
      <c r="A10" s="74"/>
      <c r="B10" s="74"/>
      <c r="C10" s="74"/>
      <c r="D10" s="74"/>
      <c r="E10" s="74"/>
      <c r="F10" s="74"/>
      <c r="G10" s="74"/>
      <c r="H10" s="74"/>
      <c r="I10" s="74"/>
      <c r="J10" s="74"/>
      <c r="K10" s="74"/>
      <c r="L10" s="74" t="s">
        <v>55</v>
      </c>
      <c r="M10" s="77">
        <f>'Tabel 1.1'!B10</f>
        <v>2712593.4569999999</v>
      </c>
      <c r="N10" s="77">
        <f>'Tabel 1.1'!C10</f>
        <v>2034045.9950000001</v>
      </c>
      <c r="O10" s="74"/>
    </row>
    <row r="11" spans="1:15" x14ac:dyDescent="0.3">
      <c r="A11" s="74"/>
      <c r="B11" s="74"/>
      <c r="C11" s="74"/>
      <c r="D11" s="74"/>
      <c r="E11" s="74"/>
      <c r="F11" s="74"/>
      <c r="G11" s="74"/>
      <c r="H11" s="74"/>
      <c r="I11" s="74"/>
      <c r="J11" s="74"/>
      <c r="K11" s="74"/>
      <c r="L11" s="74" t="s">
        <v>56</v>
      </c>
      <c r="M11" s="77">
        <f>'Tabel 1.1'!B11</f>
        <v>185587</v>
      </c>
      <c r="N11" s="77">
        <f>'Tabel 1.1'!C11</f>
        <v>196946</v>
      </c>
      <c r="O11" s="74"/>
    </row>
    <row r="12" spans="1:15" x14ac:dyDescent="0.3">
      <c r="A12" s="74"/>
      <c r="B12" s="74"/>
      <c r="C12" s="74"/>
      <c r="D12" s="74"/>
      <c r="E12" s="74"/>
      <c r="F12" s="74"/>
      <c r="G12" s="74"/>
      <c r="H12" s="74"/>
      <c r="I12" s="74"/>
      <c r="J12" s="74"/>
      <c r="K12" s="74"/>
      <c r="L12" s="79" t="s">
        <v>407</v>
      </c>
      <c r="M12" s="77">
        <f>'Tabel 1.1'!B12</f>
        <v>0</v>
      </c>
      <c r="N12" s="77">
        <f>'Tabel 1.1'!C12</f>
        <v>1494137.5873699998</v>
      </c>
      <c r="O12" s="74"/>
    </row>
    <row r="13" spans="1:15" x14ac:dyDescent="0.3">
      <c r="A13" s="74"/>
      <c r="B13" s="74"/>
      <c r="C13" s="74"/>
      <c r="D13" s="74"/>
      <c r="E13" s="74"/>
      <c r="F13" s="74"/>
      <c r="G13" s="74"/>
      <c r="H13" s="74"/>
      <c r="I13" s="74"/>
      <c r="J13" s="74"/>
      <c r="K13" s="74"/>
      <c r="L13" s="74" t="s">
        <v>57</v>
      </c>
      <c r="M13" s="77">
        <f>'Tabel 1.1'!B13</f>
        <v>491921</v>
      </c>
      <c r="N13" s="77">
        <f>'Tabel 1.1'!C13</f>
        <v>505403</v>
      </c>
      <c r="O13" s="74"/>
    </row>
    <row r="14" spans="1:15" x14ac:dyDescent="0.3">
      <c r="A14" s="74"/>
      <c r="B14" s="74"/>
      <c r="C14" s="74"/>
      <c r="D14" s="74"/>
      <c r="E14" s="74"/>
      <c r="F14" s="74"/>
      <c r="G14" s="74"/>
      <c r="H14" s="74"/>
      <c r="I14" s="74"/>
      <c r="J14" s="74"/>
      <c r="K14" s="74"/>
      <c r="L14" s="74" t="s">
        <v>58</v>
      </c>
      <c r="M14" s="77">
        <f>'Tabel 1.1'!B14</f>
        <v>1977</v>
      </c>
      <c r="N14" s="77">
        <f>'Tabel 1.1'!C14</f>
        <v>622.01300000000003</v>
      </c>
      <c r="O14" s="74"/>
    </row>
    <row r="15" spans="1:15" x14ac:dyDescent="0.3">
      <c r="A15" s="74"/>
      <c r="B15" s="74"/>
      <c r="C15" s="74"/>
      <c r="D15" s="74"/>
      <c r="E15" s="74"/>
      <c r="F15" s="74"/>
      <c r="G15" s="74"/>
      <c r="H15" s="74"/>
      <c r="I15" s="74"/>
      <c r="J15" s="74"/>
      <c r="K15" s="74"/>
      <c r="L15" s="74" t="s">
        <v>59</v>
      </c>
      <c r="M15" s="77">
        <f>'Tabel 1.1'!B15</f>
        <v>1200340</v>
      </c>
      <c r="N15" s="77">
        <f>'Tabel 1.1'!C15</f>
        <v>1264393</v>
      </c>
      <c r="O15" s="74"/>
    </row>
    <row r="16" spans="1:15" x14ac:dyDescent="0.3">
      <c r="A16" s="74"/>
      <c r="B16" s="74"/>
      <c r="C16" s="74"/>
      <c r="D16" s="74"/>
      <c r="E16" s="74"/>
      <c r="F16" s="74"/>
      <c r="G16" s="74"/>
      <c r="H16" s="74"/>
      <c r="I16" s="74"/>
      <c r="J16" s="74"/>
      <c r="K16" s="74"/>
      <c r="L16" s="74" t="s">
        <v>60</v>
      </c>
      <c r="M16" s="77">
        <f>'Tabel 1.1'!B16</f>
        <v>350587.6</v>
      </c>
      <c r="N16" s="77">
        <f>'Tabel 1.1'!C16</f>
        <v>362148.4</v>
      </c>
      <c r="O16" s="74"/>
    </row>
    <row r="17" spans="1:15" x14ac:dyDescent="0.3">
      <c r="A17" s="74"/>
      <c r="B17" s="74"/>
      <c r="C17" s="74"/>
      <c r="D17" s="74"/>
      <c r="E17" s="74"/>
      <c r="F17" s="74"/>
      <c r="G17" s="74"/>
      <c r="H17" s="74"/>
      <c r="I17" s="74"/>
      <c r="J17" s="74"/>
      <c r="K17" s="74"/>
      <c r="L17" s="74" t="s">
        <v>61</v>
      </c>
      <c r="M17" s="77">
        <f>'Tabel 1.1'!B17</f>
        <v>18102</v>
      </c>
      <c r="N17" s="77">
        <f>'Tabel 1.1'!C17</f>
        <v>17644.029899999998</v>
      </c>
      <c r="O17" s="74"/>
    </row>
    <row r="18" spans="1:15" x14ac:dyDescent="0.3">
      <c r="A18" s="74"/>
      <c r="B18" s="74"/>
      <c r="C18" s="74"/>
      <c r="D18" s="74"/>
      <c r="E18" s="74"/>
      <c r="F18" s="74"/>
      <c r="G18" s="74"/>
      <c r="H18" s="74"/>
      <c r="I18" s="74"/>
      <c r="J18" s="74"/>
      <c r="K18" s="74"/>
      <c r="L18" s="74" t="s">
        <v>62</v>
      </c>
      <c r="M18" s="77">
        <f>'Tabel 1.1'!B18</f>
        <v>278836.821</v>
      </c>
      <c r="N18" s="77">
        <f>'Tabel 1.1'!C18</f>
        <v>301902.74099999998</v>
      </c>
      <c r="O18" s="74"/>
    </row>
    <row r="19" spans="1:15" x14ac:dyDescent="0.3">
      <c r="A19" s="74"/>
      <c r="B19" s="74"/>
      <c r="C19" s="74"/>
      <c r="D19" s="74"/>
      <c r="E19" s="74"/>
      <c r="F19" s="74"/>
      <c r="G19" s="74"/>
      <c r="H19" s="74"/>
      <c r="I19" s="74"/>
      <c r="J19" s="74"/>
      <c r="K19" s="74"/>
      <c r="L19" s="74" t="s">
        <v>409</v>
      </c>
      <c r="M19" s="77">
        <f>'Tabel 1.1'!B19</f>
        <v>9667.0010000000002</v>
      </c>
      <c r="N19" s="77">
        <f>'Tabel 1.1'!C19</f>
        <v>8168</v>
      </c>
      <c r="O19" s="74"/>
    </row>
    <row r="20" spans="1:15" x14ac:dyDescent="0.3">
      <c r="A20" s="74"/>
      <c r="B20" s="74"/>
      <c r="C20" s="74"/>
      <c r="D20" s="74"/>
      <c r="E20" s="74"/>
      <c r="F20" s="74"/>
      <c r="G20" s="74"/>
      <c r="H20" s="74"/>
      <c r="I20" s="74"/>
      <c r="J20" s="74"/>
      <c r="K20" s="74"/>
      <c r="L20" s="74" t="s">
        <v>63</v>
      </c>
      <c r="M20" s="77">
        <f>'Tabel 1.1'!B20</f>
        <v>21744313.454720002</v>
      </c>
      <c r="N20" s="77">
        <f>'Tabel 1.1'!C20</f>
        <v>14225527.382959999</v>
      </c>
      <c r="O20" s="74"/>
    </row>
    <row r="21" spans="1:15" x14ac:dyDescent="0.3">
      <c r="A21" s="74"/>
      <c r="B21" s="74"/>
      <c r="C21" s="74"/>
      <c r="D21" s="74"/>
      <c r="E21" s="74"/>
      <c r="F21" s="74"/>
      <c r="G21" s="74"/>
      <c r="H21" s="74"/>
      <c r="I21" s="74"/>
      <c r="J21" s="74"/>
      <c r="K21" s="74"/>
      <c r="L21" s="74" t="s">
        <v>64</v>
      </c>
      <c r="M21" s="77">
        <f>'Tabel 1.1'!B21</f>
        <v>47990</v>
      </c>
      <c r="N21" s="77">
        <f>'Tabel 1.1'!C21</f>
        <v>50104</v>
      </c>
      <c r="O21" s="74"/>
    </row>
    <row r="22" spans="1:15" x14ac:dyDescent="0.3">
      <c r="A22" s="74"/>
      <c r="B22" s="74"/>
      <c r="C22" s="74"/>
      <c r="D22" s="74"/>
      <c r="E22" s="74"/>
      <c r="F22" s="74"/>
      <c r="G22" s="74"/>
      <c r="H22" s="74"/>
      <c r="I22" s="74"/>
      <c r="J22" s="74"/>
      <c r="K22" s="74"/>
      <c r="L22" s="74" t="s">
        <v>65</v>
      </c>
      <c r="M22" s="77">
        <f>'Tabel 1.1'!B22</f>
        <v>154391</v>
      </c>
      <c r="N22" s="77">
        <f>'Tabel 1.1'!C22</f>
        <v>173861.997</v>
      </c>
      <c r="O22" s="74"/>
    </row>
    <row r="23" spans="1:15" x14ac:dyDescent="0.3">
      <c r="A23" s="74"/>
      <c r="B23" s="74"/>
      <c r="C23" s="74"/>
      <c r="D23" s="74"/>
      <c r="E23" s="74"/>
      <c r="F23" s="74"/>
      <c r="G23" s="74"/>
      <c r="H23" s="74"/>
      <c r="I23" s="74"/>
      <c r="J23" s="74"/>
      <c r="K23" s="74"/>
      <c r="L23" s="74" t="s">
        <v>408</v>
      </c>
      <c r="M23" s="77">
        <f>'Tabel 1.1'!B23</f>
        <v>26907</v>
      </c>
      <c r="N23" s="77">
        <f>'Tabel 1.1'!C23</f>
        <v>36699</v>
      </c>
      <c r="O23" s="74"/>
    </row>
    <row r="24" spans="1:15" x14ac:dyDescent="0.3">
      <c r="A24" s="74"/>
      <c r="B24" s="74"/>
      <c r="C24" s="74"/>
      <c r="D24" s="74"/>
      <c r="E24" s="74"/>
      <c r="F24" s="74"/>
      <c r="G24" s="74"/>
      <c r="H24" s="74"/>
      <c r="I24" s="74"/>
      <c r="J24" s="74"/>
      <c r="K24" s="74"/>
      <c r="L24" s="74" t="s">
        <v>66</v>
      </c>
      <c r="M24" s="77">
        <f>'Tabel 1.1'!B24</f>
        <v>924775.23482409364</v>
      </c>
      <c r="N24" s="77">
        <f>'Tabel 1.1'!C24</f>
        <v>903440.00756638078</v>
      </c>
      <c r="O24" s="74"/>
    </row>
    <row r="25" spans="1:15" x14ac:dyDescent="0.3">
      <c r="A25" s="74"/>
      <c r="B25" s="74"/>
      <c r="C25" s="74"/>
      <c r="D25" s="74"/>
      <c r="E25" s="74"/>
      <c r="F25" s="74"/>
      <c r="G25" s="74"/>
      <c r="H25" s="74"/>
      <c r="I25" s="74"/>
      <c r="J25" s="74"/>
      <c r="K25" s="74"/>
      <c r="L25" s="74" t="s">
        <v>67</v>
      </c>
      <c r="M25" s="77">
        <f>'Tabel 1.1'!B25</f>
        <v>1806904</v>
      </c>
      <c r="N25" s="77">
        <f>'Tabel 1.1'!C25</f>
        <v>1571000</v>
      </c>
      <c r="O25" s="74"/>
    </row>
    <row r="26" spans="1:15" s="141" customFormat="1" x14ac:dyDescent="0.3">
      <c r="A26" s="74"/>
      <c r="B26" s="74"/>
      <c r="C26" s="74"/>
      <c r="D26" s="74"/>
      <c r="E26" s="74"/>
      <c r="F26" s="74"/>
      <c r="G26" s="74"/>
      <c r="H26" s="74"/>
      <c r="I26" s="74"/>
      <c r="J26" s="74"/>
      <c r="K26" s="74"/>
      <c r="L26" s="74" t="s">
        <v>398</v>
      </c>
      <c r="M26" s="77">
        <f>'Tabel 1.1'!B26</f>
        <v>254608.63609938539</v>
      </c>
      <c r="N26" s="77">
        <f>'Tabel 1.1'!C26</f>
        <v>263606.18193381856</v>
      </c>
      <c r="O26" s="74"/>
    </row>
    <row r="27" spans="1:15" x14ac:dyDescent="0.3">
      <c r="A27" s="74"/>
      <c r="B27" s="74"/>
      <c r="C27" s="74"/>
      <c r="D27" s="74"/>
      <c r="E27" s="74"/>
      <c r="F27" s="74"/>
      <c r="G27" s="74"/>
      <c r="H27" s="74"/>
      <c r="I27" s="74"/>
      <c r="J27" s="74"/>
      <c r="K27" s="74"/>
      <c r="L27" s="74" t="s">
        <v>68</v>
      </c>
      <c r="M27" s="77">
        <f>'Tabel 1.1'!B27</f>
        <v>1574350.09069</v>
      </c>
      <c r="N27" s="77">
        <f>'Tabel 1.1'!C27</f>
        <v>405824.04193999991</v>
      </c>
      <c r="O27" s="74"/>
    </row>
    <row r="28" spans="1:15" x14ac:dyDescent="0.3">
      <c r="A28" s="74"/>
      <c r="B28" s="74"/>
      <c r="C28" s="74"/>
      <c r="D28" s="74"/>
      <c r="E28" s="74"/>
      <c r="F28" s="74"/>
      <c r="G28" s="74"/>
      <c r="H28" s="74"/>
      <c r="I28" s="74"/>
      <c r="J28" s="74"/>
      <c r="K28" s="74"/>
      <c r="L28" s="74" t="s">
        <v>69</v>
      </c>
      <c r="M28" s="77">
        <f>'Tabel 1.1'!B28</f>
        <v>3421913.84</v>
      </c>
      <c r="N28" s="77">
        <f>'Tabel 1.1'!C28</f>
        <v>3394274.7289999998</v>
      </c>
    </row>
    <row r="29" spans="1:15" x14ac:dyDescent="0.3">
      <c r="A29" s="74"/>
      <c r="B29" s="74"/>
      <c r="C29" s="74"/>
      <c r="D29" s="74"/>
      <c r="E29" s="74"/>
      <c r="F29" s="74"/>
      <c r="G29" s="74"/>
      <c r="H29" s="74"/>
      <c r="I29" s="74"/>
      <c r="J29" s="74"/>
      <c r="K29" s="74"/>
      <c r="L29" s="74" t="s">
        <v>70</v>
      </c>
      <c r="M29" s="77">
        <f>'Tabel 1.1'!B29</f>
        <v>0</v>
      </c>
      <c r="N29" s="77">
        <f>'Tabel 1.1'!C29</f>
        <v>0</v>
      </c>
    </row>
    <row r="30" spans="1:15" x14ac:dyDescent="0.3">
      <c r="A30" s="74"/>
      <c r="B30" s="74"/>
      <c r="C30" s="74"/>
      <c r="D30" s="74"/>
      <c r="E30" s="74"/>
      <c r="F30" s="74"/>
      <c r="G30" s="74"/>
      <c r="H30" s="74"/>
      <c r="I30" s="74"/>
      <c r="J30" s="74"/>
      <c r="K30" s="74"/>
      <c r="L30" s="74" t="s">
        <v>71</v>
      </c>
      <c r="M30" s="77">
        <f>'Tabel 1.1'!B30</f>
        <v>543064</v>
      </c>
      <c r="N30" s="77">
        <f>'Tabel 1.1'!C30</f>
        <v>558832.35693999997</v>
      </c>
    </row>
    <row r="31" spans="1:15" x14ac:dyDescent="0.3">
      <c r="A31" s="75" t="s">
        <v>422</v>
      </c>
      <c r="B31" s="74"/>
      <c r="C31" s="74"/>
      <c r="D31" s="74"/>
      <c r="E31" s="74"/>
      <c r="F31" s="74"/>
      <c r="G31" s="74"/>
      <c r="H31" s="74"/>
      <c r="I31" s="79"/>
      <c r="J31" s="74"/>
      <c r="K31" s="74"/>
      <c r="L31" s="74" t="s">
        <v>417</v>
      </c>
      <c r="M31" s="77">
        <f>'Tabel 1.1'!B31</f>
        <v>0</v>
      </c>
      <c r="N31" s="77">
        <f>'Tabel 1.1'!C31</f>
        <v>1120</v>
      </c>
    </row>
    <row r="32" spans="1:15" x14ac:dyDescent="0.3">
      <c r="B32" s="74"/>
      <c r="C32" s="74"/>
      <c r="D32" s="74"/>
      <c r="E32" s="74"/>
      <c r="F32" s="74"/>
      <c r="G32" s="74"/>
      <c r="H32" s="74"/>
      <c r="I32" s="74"/>
      <c r="J32" s="74"/>
      <c r="K32" s="74"/>
    </row>
    <row r="33" spans="1:15" x14ac:dyDescent="0.3">
      <c r="B33" s="74"/>
      <c r="C33" s="74"/>
      <c r="D33" s="74"/>
      <c r="E33" s="74"/>
      <c r="F33" s="74"/>
      <c r="G33" s="74"/>
      <c r="H33" s="74"/>
      <c r="I33" s="74"/>
      <c r="J33" s="74"/>
      <c r="K33" s="74"/>
    </row>
    <row r="34" spans="1:15" x14ac:dyDescent="0.3">
      <c r="A34" s="74"/>
      <c r="B34" s="74"/>
      <c r="C34" s="74"/>
      <c r="D34" s="74"/>
      <c r="E34" s="74"/>
      <c r="F34" s="74"/>
      <c r="G34" s="74"/>
      <c r="H34" s="74"/>
      <c r="I34" s="74"/>
      <c r="J34" s="74"/>
      <c r="K34" s="74"/>
    </row>
    <row r="35" spans="1:15" x14ac:dyDescent="0.3">
      <c r="A35" s="74"/>
      <c r="B35" s="74"/>
      <c r="C35" s="74"/>
      <c r="D35" s="74"/>
      <c r="E35" s="74"/>
      <c r="F35" s="74"/>
      <c r="G35" s="74"/>
      <c r="H35" s="74"/>
      <c r="I35" s="74"/>
      <c r="J35" s="74"/>
      <c r="K35" s="74"/>
      <c r="L35" s="74" t="s">
        <v>53</v>
      </c>
    </row>
    <row r="36" spans="1:15" x14ac:dyDescent="0.3">
      <c r="A36" s="74"/>
      <c r="B36" s="74"/>
      <c r="C36" s="74"/>
      <c r="D36" s="74"/>
      <c r="E36" s="74"/>
      <c r="F36" s="74"/>
      <c r="G36" s="74"/>
      <c r="H36" s="74"/>
      <c r="I36" s="74"/>
      <c r="J36" s="74"/>
      <c r="K36" s="74"/>
      <c r="L36" s="74" t="s">
        <v>1</v>
      </c>
    </row>
    <row r="37" spans="1:15" x14ac:dyDescent="0.3">
      <c r="A37" s="74"/>
      <c r="B37" s="74"/>
      <c r="C37" s="74"/>
      <c r="D37" s="74"/>
      <c r="E37" s="74"/>
      <c r="F37" s="74"/>
      <c r="G37" s="74"/>
      <c r="H37" s="74"/>
      <c r="I37" s="74"/>
      <c r="J37" s="74"/>
      <c r="K37" s="74"/>
      <c r="M37" s="74">
        <f>M8</f>
        <v>2019</v>
      </c>
      <c r="N37" s="74">
        <f>N8</f>
        <v>2020</v>
      </c>
    </row>
    <row r="38" spans="1:15" x14ac:dyDescent="0.3">
      <c r="A38" s="74"/>
      <c r="B38" s="74"/>
      <c r="C38" s="74"/>
      <c r="D38" s="74"/>
      <c r="E38" s="74"/>
      <c r="F38" s="74"/>
      <c r="G38" s="74"/>
      <c r="H38" s="74"/>
      <c r="I38" s="74"/>
      <c r="J38" s="74"/>
      <c r="K38" s="74"/>
      <c r="L38" s="79" t="s">
        <v>54</v>
      </c>
      <c r="M38" s="78">
        <f>'Tabel 1.1'!B35</f>
        <v>974428.50600000005</v>
      </c>
      <c r="N38" s="78">
        <f>'Tabel 1.1'!C35</f>
        <v>1049553.1030000001</v>
      </c>
    </row>
    <row r="39" spans="1:15" x14ac:dyDescent="0.3">
      <c r="A39" s="74"/>
      <c r="B39" s="74"/>
      <c r="C39" s="74"/>
      <c r="D39" s="74"/>
      <c r="E39" s="74"/>
      <c r="F39" s="74"/>
      <c r="G39" s="74"/>
      <c r="H39" s="74"/>
      <c r="I39" s="74"/>
      <c r="J39" s="74"/>
      <c r="K39" s="74"/>
      <c r="L39" s="74" t="s">
        <v>55</v>
      </c>
      <c r="M39" s="78">
        <f>'Tabel 1.1'!B36</f>
        <v>4802393.8430000003</v>
      </c>
      <c r="N39" s="78">
        <f>'Tabel 1.1'!C36</f>
        <v>4882926.4189999998</v>
      </c>
    </row>
    <row r="40" spans="1:15" x14ac:dyDescent="0.3">
      <c r="A40" s="74"/>
      <c r="B40" s="74"/>
      <c r="C40" s="74"/>
      <c r="D40" s="74"/>
      <c r="E40" s="74"/>
      <c r="F40" s="74"/>
      <c r="G40" s="74"/>
      <c r="H40" s="74"/>
      <c r="I40" s="74"/>
      <c r="J40" s="74"/>
      <c r="K40" s="74"/>
      <c r="L40" s="74" t="s">
        <v>57</v>
      </c>
      <c r="M40" s="78">
        <f>'Tabel 1.1'!B37</f>
        <v>196043</v>
      </c>
      <c r="N40" s="78">
        <f>'Tabel 1.1'!C37</f>
        <v>211959</v>
      </c>
    </row>
    <row r="41" spans="1:15" x14ac:dyDescent="0.3">
      <c r="A41" s="74"/>
      <c r="B41" s="74"/>
      <c r="C41" s="74"/>
      <c r="D41" s="74"/>
      <c r="E41" s="74"/>
      <c r="F41" s="74"/>
      <c r="G41" s="74"/>
      <c r="H41" s="74"/>
      <c r="I41" s="74"/>
      <c r="J41" s="74"/>
      <c r="K41" s="74"/>
      <c r="L41" s="79" t="s">
        <v>60</v>
      </c>
      <c r="M41" s="78">
        <f>'Tabel 1.1'!B38</f>
        <v>1561713.2</v>
      </c>
      <c r="N41" s="78">
        <f>'Tabel 1.1'!C38</f>
        <v>1579911</v>
      </c>
      <c r="O41" s="74"/>
    </row>
    <row r="42" spans="1:15" x14ac:dyDescent="0.3">
      <c r="A42" s="74"/>
      <c r="B42" s="74"/>
      <c r="C42" s="74"/>
      <c r="D42" s="74"/>
      <c r="E42" s="74"/>
      <c r="F42" s="74"/>
      <c r="G42" s="74"/>
      <c r="H42" s="74"/>
      <c r="I42" s="74"/>
      <c r="J42" s="74"/>
      <c r="K42" s="74"/>
      <c r="L42" s="74" t="s">
        <v>63</v>
      </c>
      <c r="M42" s="78">
        <f>'Tabel 1.1'!B39</f>
        <v>89130.341</v>
      </c>
      <c r="N42" s="78">
        <f>'Tabel 1.1'!C39</f>
        <v>32970.711000000003</v>
      </c>
      <c r="O42" s="74"/>
    </row>
    <row r="43" spans="1:15" x14ac:dyDescent="0.3">
      <c r="A43" s="74"/>
      <c r="B43" s="74"/>
      <c r="C43" s="74"/>
      <c r="D43" s="74"/>
      <c r="E43" s="74"/>
      <c r="F43" s="74"/>
      <c r="G43" s="74"/>
      <c r="H43" s="74"/>
      <c r="I43" s="74"/>
      <c r="J43" s="74"/>
      <c r="K43" s="74"/>
      <c r="L43" s="79" t="s">
        <v>64</v>
      </c>
      <c r="M43" s="78">
        <f>'Tabel 1.1'!B40</f>
        <v>267105</v>
      </c>
      <c r="N43" s="78">
        <f>'Tabel 1.1'!C40</f>
        <v>310599</v>
      </c>
      <c r="O43" s="74"/>
    </row>
    <row r="44" spans="1:15" x14ac:dyDescent="0.3">
      <c r="A44" s="74"/>
      <c r="B44" s="74"/>
      <c r="C44" s="74"/>
      <c r="D44" s="74"/>
      <c r="E44" s="74"/>
      <c r="F44" s="74"/>
      <c r="G44" s="74"/>
      <c r="H44" s="74"/>
      <c r="I44" s="74"/>
      <c r="J44" s="74"/>
      <c r="K44" s="74"/>
      <c r="L44" s="79" t="s">
        <v>66</v>
      </c>
      <c r="M44" s="78">
        <f>'Tabel 1.1'!B41</f>
        <v>5841396.8032999998</v>
      </c>
      <c r="N44" s="78">
        <f>'Tabel 1.1'!C41</f>
        <v>5863550.9649199992</v>
      </c>
      <c r="O44" s="74"/>
    </row>
    <row r="45" spans="1:15" x14ac:dyDescent="0.3">
      <c r="A45" s="74"/>
      <c r="B45" s="74"/>
      <c r="C45" s="74"/>
      <c r="D45" s="74"/>
      <c r="E45" s="74"/>
      <c r="F45" s="74"/>
      <c r="G45" s="74"/>
      <c r="H45" s="74"/>
      <c r="I45" s="74"/>
      <c r="J45" s="74"/>
      <c r="K45" s="74"/>
      <c r="L45" s="79" t="s">
        <v>72</v>
      </c>
      <c r="M45" s="78">
        <f>'Tabel 1.1'!B42</f>
        <v>69806.938299999994</v>
      </c>
      <c r="N45" s="78">
        <f>'Tabel 1.1'!C42</f>
        <v>67197.383550000013</v>
      </c>
      <c r="O45" s="74"/>
    </row>
    <row r="46" spans="1:15" x14ac:dyDescent="0.3">
      <c r="A46" s="74"/>
      <c r="B46" s="74"/>
      <c r="C46" s="74"/>
      <c r="D46" s="74"/>
      <c r="E46" s="74"/>
      <c r="F46" s="74"/>
      <c r="G46" s="74"/>
      <c r="H46" s="74"/>
      <c r="I46" s="74"/>
      <c r="J46" s="74"/>
      <c r="K46" s="74"/>
      <c r="L46" s="79" t="s">
        <v>68</v>
      </c>
      <c r="M46" s="78">
        <f>'Tabel 1.1'!B43</f>
        <v>2141160.6392800002</v>
      </c>
      <c r="N46" s="78">
        <f>'Tabel 1.1'!C43</f>
        <v>2338484.3714999999</v>
      </c>
      <c r="O46" s="74"/>
    </row>
    <row r="47" spans="1:15" x14ac:dyDescent="0.3">
      <c r="A47" s="74"/>
      <c r="B47" s="74"/>
      <c r="C47" s="74"/>
      <c r="D47" s="74"/>
      <c r="E47" s="74"/>
      <c r="F47" s="74"/>
      <c r="G47" s="74"/>
      <c r="H47" s="74"/>
      <c r="I47" s="74"/>
      <c r="J47" s="74"/>
      <c r="K47" s="74"/>
      <c r="L47" s="79" t="s">
        <v>73</v>
      </c>
      <c r="M47" s="78">
        <f>'Tabel 1.1'!B44</f>
        <v>5450501.3129999992</v>
      </c>
      <c r="N47" s="78">
        <f>'Tabel 1.1'!C44</f>
        <v>6396691.7459999993</v>
      </c>
      <c r="O47" s="74"/>
    </row>
    <row r="48" spans="1:15" x14ac:dyDescent="0.3">
      <c r="A48" s="74"/>
      <c r="B48" s="74"/>
      <c r="C48" s="74"/>
      <c r="D48" s="74"/>
      <c r="E48" s="74"/>
      <c r="F48" s="74"/>
      <c r="G48" s="74"/>
      <c r="H48" s="74"/>
      <c r="I48" s="74"/>
      <c r="J48" s="74"/>
      <c r="K48" s="74"/>
      <c r="O48" s="74"/>
    </row>
    <row r="49" spans="1:15" x14ac:dyDescent="0.3">
      <c r="A49" s="74"/>
      <c r="B49" s="74"/>
      <c r="C49" s="74"/>
      <c r="D49" s="74"/>
      <c r="E49" s="74"/>
      <c r="F49" s="74"/>
      <c r="G49" s="74"/>
      <c r="H49" s="74"/>
      <c r="I49" s="74"/>
      <c r="J49" s="74"/>
      <c r="K49" s="74"/>
      <c r="L49" s="79"/>
      <c r="M49" s="78"/>
      <c r="N49" s="78"/>
      <c r="O49" s="74"/>
    </row>
    <row r="50" spans="1:15" x14ac:dyDescent="0.3">
      <c r="A50" s="74"/>
      <c r="B50" s="74"/>
      <c r="C50" s="74"/>
      <c r="D50" s="74"/>
      <c r="E50" s="74"/>
      <c r="F50" s="74"/>
      <c r="G50" s="74"/>
      <c r="H50" s="74"/>
      <c r="I50" s="74"/>
      <c r="J50" s="74"/>
      <c r="K50" s="74"/>
      <c r="M50" s="77"/>
      <c r="N50" s="77"/>
      <c r="O50" s="74"/>
    </row>
    <row r="51" spans="1:15" x14ac:dyDescent="0.3">
      <c r="A51" s="74"/>
      <c r="B51" s="74"/>
      <c r="C51" s="74"/>
      <c r="D51" s="74"/>
      <c r="E51" s="74"/>
      <c r="F51" s="74"/>
      <c r="G51" s="74"/>
      <c r="H51" s="74"/>
      <c r="I51" s="74"/>
      <c r="J51" s="74"/>
      <c r="K51" s="74"/>
      <c r="M51" s="77"/>
      <c r="N51" s="77"/>
      <c r="O51" s="74"/>
    </row>
    <row r="52" spans="1:15" x14ac:dyDescent="0.3">
      <c r="A52" s="74"/>
      <c r="B52" s="74"/>
      <c r="C52" s="74"/>
      <c r="D52" s="74"/>
      <c r="E52" s="74"/>
      <c r="F52" s="74"/>
      <c r="G52" s="74"/>
      <c r="H52" s="74"/>
      <c r="I52" s="74"/>
      <c r="J52" s="74"/>
      <c r="K52" s="74"/>
      <c r="M52" s="77"/>
      <c r="N52" s="77"/>
      <c r="O52" s="74"/>
    </row>
    <row r="53" spans="1:15" x14ac:dyDescent="0.3">
      <c r="A53" s="74"/>
      <c r="B53" s="74"/>
      <c r="C53" s="74"/>
      <c r="D53" s="74"/>
      <c r="E53" s="74"/>
      <c r="F53" s="74"/>
      <c r="G53" s="74"/>
      <c r="H53" s="74"/>
      <c r="I53" s="74"/>
      <c r="J53" s="74"/>
      <c r="K53" s="74"/>
      <c r="M53" s="77"/>
      <c r="N53" s="77"/>
      <c r="O53" s="74"/>
    </row>
    <row r="54" spans="1:15" x14ac:dyDescent="0.3">
      <c r="A54" s="74"/>
      <c r="B54" s="74"/>
      <c r="C54" s="74"/>
      <c r="D54" s="74"/>
      <c r="E54" s="74"/>
      <c r="F54" s="74"/>
      <c r="G54" s="74"/>
      <c r="H54" s="74"/>
      <c r="I54" s="74"/>
      <c r="J54" s="74"/>
      <c r="K54" s="74"/>
      <c r="O54" s="74"/>
    </row>
    <row r="55" spans="1:15" x14ac:dyDescent="0.3">
      <c r="A55" s="74"/>
      <c r="B55" s="74"/>
      <c r="C55" s="74"/>
      <c r="D55" s="74"/>
      <c r="E55" s="74"/>
      <c r="F55" s="74"/>
      <c r="G55" s="74"/>
      <c r="H55" s="74"/>
      <c r="I55" s="74"/>
      <c r="J55" s="74"/>
      <c r="K55" s="74"/>
      <c r="O55" s="74"/>
    </row>
    <row r="56" spans="1:15" x14ac:dyDescent="0.3">
      <c r="A56" s="75" t="s">
        <v>423</v>
      </c>
      <c r="B56" s="74"/>
      <c r="C56" s="74"/>
      <c r="D56" s="74"/>
      <c r="E56" s="74"/>
      <c r="F56" s="74"/>
      <c r="G56" s="74"/>
      <c r="H56" s="74"/>
      <c r="I56" s="79"/>
      <c r="J56" s="74"/>
      <c r="K56" s="74"/>
      <c r="L56" s="74" t="s">
        <v>74</v>
      </c>
      <c r="O56" s="74"/>
    </row>
    <row r="57" spans="1:15" x14ac:dyDescent="0.3">
      <c r="A57" s="74"/>
      <c r="B57" s="74"/>
      <c r="C57" s="74"/>
      <c r="D57" s="74"/>
      <c r="E57" s="74"/>
      <c r="F57" s="74"/>
      <c r="G57" s="74"/>
      <c r="H57" s="74"/>
      <c r="I57" s="74"/>
      <c r="J57" s="74"/>
      <c r="K57" s="74"/>
      <c r="L57" s="74" t="s">
        <v>0</v>
      </c>
      <c r="O57" s="74"/>
    </row>
    <row r="58" spans="1:15" x14ac:dyDescent="0.3">
      <c r="A58" s="74"/>
      <c r="B58" s="74"/>
      <c r="C58" s="74"/>
      <c r="D58" s="74"/>
      <c r="E58" s="74"/>
      <c r="F58" s="74"/>
      <c r="G58" s="74"/>
      <c r="H58" s="74"/>
      <c r="I58" s="74"/>
      <c r="J58" s="74"/>
      <c r="K58" s="74"/>
      <c r="M58" s="74">
        <f>M8</f>
        <v>2019</v>
      </c>
      <c r="N58" s="74">
        <f>N8</f>
        <v>2020</v>
      </c>
      <c r="O58" s="74"/>
    </row>
    <row r="59" spans="1:15" x14ac:dyDescent="0.3">
      <c r="A59" s="74"/>
      <c r="B59" s="74"/>
      <c r="C59" s="74"/>
      <c r="D59" s="74"/>
      <c r="E59" s="74"/>
      <c r="F59" s="74"/>
      <c r="G59" s="74"/>
      <c r="H59" s="74"/>
      <c r="I59" s="74"/>
      <c r="J59" s="74"/>
      <c r="K59" s="74"/>
      <c r="L59" s="74" t="s">
        <v>54</v>
      </c>
      <c r="M59" s="77">
        <f>'Tabel 1.1'!G9</f>
        <v>1199454.547</v>
      </c>
      <c r="N59" s="77">
        <f>'Tabel 1.1'!H9</f>
        <v>1259550.713</v>
      </c>
      <c r="O59" s="74"/>
    </row>
    <row r="60" spans="1:15" x14ac:dyDescent="0.3">
      <c r="A60" s="74"/>
      <c r="B60" s="74"/>
      <c r="C60" s="74"/>
      <c r="D60" s="74"/>
      <c r="E60" s="74"/>
      <c r="F60" s="74"/>
      <c r="G60" s="74"/>
      <c r="H60" s="74"/>
      <c r="I60" s="74"/>
      <c r="J60" s="74"/>
      <c r="K60" s="74"/>
      <c r="L60" s="74" t="s">
        <v>55</v>
      </c>
      <c r="M60" s="77">
        <f>'Tabel 1.1'!G10</f>
        <v>199601126.12900001</v>
      </c>
      <c r="N60" s="77">
        <f>'Tabel 1.1'!H10</f>
        <v>195862400</v>
      </c>
      <c r="O60" s="74"/>
    </row>
    <row r="61" spans="1:15" x14ac:dyDescent="0.3">
      <c r="A61" s="74"/>
      <c r="B61" s="74"/>
      <c r="C61" s="74"/>
      <c r="D61" s="74"/>
      <c r="E61" s="74"/>
      <c r="F61" s="74"/>
      <c r="G61" s="74"/>
      <c r="H61" s="74"/>
      <c r="I61" s="74"/>
      <c r="J61" s="74"/>
      <c r="K61" s="74"/>
      <c r="L61" s="74" t="s">
        <v>56</v>
      </c>
      <c r="M61" s="77">
        <f>'Tabel 1.1'!G11</f>
        <v>0</v>
      </c>
      <c r="N61" s="77">
        <f>'Tabel 1.1'!H11</f>
        <v>0</v>
      </c>
      <c r="O61" s="74"/>
    </row>
    <row r="62" spans="1:15" x14ac:dyDescent="0.3">
      <c r="A62" s="74"/>
      <c r="B62" s="74"/>
      <c r="C62" s="74"/>
      <c r="D62" s="74"/>
      <c r="E62" s="74"/>
      <c r="F62" s="74"/>
      <c r="G62" s="74"/>
      <c r="H62" s="74"/>
      <c r="I62" s="74"/>
      <c r="J62" s="74"/>
      <c r="K62" s="74"/>
      <c r="L62" s="79" t="s">
        <v>407</v>
      </c>
      <c r="M62" s="77">
        <f>'Tabel 1.1'!G12</f>
        <v>0</v>
      </c>
      <c r="N62" s="77">
        <f>'Tabel 1.1'!H12</f>
        <v>3587824.3847499997</v>
      </c>
      <c r="O62" s="74"/>
    </row>
    <row r="63" spans="1:15" x14ac:dyDescent="0.3">
      <c r="A63" s="74"/>
      <c r="B63" s="74"/>
      <c r="C63" s="74"/>
      <c r="D63" s="74"/>
      <c r="E63" s="74"/>
      <c r="F63" s="74"/>
      <c r="G63" s="74"/>
      <c r="H63" s="74"/>
      <c r="I63" s="74"/>
      <c r="J63" s="74"/>
      <c r="K63" s="74"/>
      <c r="L63" s="74" t="s">
        <v>57</v>
      </c>
      <c r="M63" s="77">
        <f>'Tabel 1.1'!G13</f>
        <v>1044889</v>
      </c>
      <c r="N63" s="77">
        <f>'Tabel 1.1'!H13</f>
        <v>1132352</v>
      </c>
      <c r="O63" s="74"/>
    </row>
    <row r="64" spans="1:15" x14ac:dyDescent="0.3">
      <c r="A64" s="74"/>
      <c r="B64" s="74"/>
      <c r="C64" s="74"/>
      <c r="D64" s="74"/>
      <c r="E64" s="74"/>
      <c r="F64" s="74"/>
      <c r="G64" s="74"/>
      <c r="H64" s="74"/>
      <c r="I64" s="74"/>
      <c r="J64" s="74"/>
      <c r="K64" s="74"/>
      <c r="L64" s="74" t="s">
        <v>431</v>
      </c>
      <c r="M64" s="77">
        <f>'Tabel 1.1'!G14</f>
        <v>0</v>
      </c>
      <c r="N64" s="77">
        <f>'Tabel 1.1'!H14</f>
        <v>0</v>
      </c>
      <c r="O64" s="74"/>
    </row>
    <row r="65" spans="1:15" x14ac:dyDescent="0.3">
      <c r="A65" s="74"/>
      <c r="B65" s="74"/>
      <c r="C65" s="74"/>
      <c r="D65" s="74"/>
      <c r="E65" s="74"/>
      <c r="F65" s="74"/>
      <c r="G65" s="74"/>
      <c r="H65" s="74"/>
      <c r="I65" s="74"/>
      <c r="J65" s="74"/>
      <c r="K65" s="74"/>
      <c r="L65" s="74" t="s">
        <v>59</v>
      </c>
      <c r="M65" s="77">
        <f>'Tabel 1.1'!G15</f>
        <v>0</v>
      </c>
      <c r="N65" s="77">
        <f>'Tabel 1.1'!H15</f>
        <v>0</v>
      </c>
      <c r="O65" s="74"/>
    </row>
    <row r="66" spans="1:15" x14ac:dyDescent="0.3">
      <c r="A66" s="74"/>
      <c r="B66" s="74"/>
      <c r="C66" s="74"/>
      <c r="D66" s="74"/>
      <c r="E66" s="74"/>
      <c r="F66" s="74"/>
      <c r="G66" s="74"/>
      <c r="H66" s="74"/>
      <c r="I66" s="74"/>
      <c r="J66" s="74"/>
      <c r="K66" s="74"/>
      <c r="L66" s="74" t="s">
        <v>60</v>
      </c>
      <c r="M66" s="77">
        <f>'Tabel 1.1'!G16</f>
        <v>6946187</v>
      </c>
      <c r="N66" s="77">
        <f>'Tabel 1.1'!H16</f>
        <v>7375058.7999999998</v>
      </c>
      <c r="O66" s="74"/>
    </row>
    <row r="67" spans="1:15" x14ac:dyDescent="0.3">
      <c r="A67" s="74"/>
      <c r="B67" s="74"/>
      <c r="C67" s="74"/>
      <c r="D67" s="74"/>
      <c r="E67" s="74"/>
      <c r="F67" s="74"/>
      <c r="G67" s="74"/>
      <c r="H67" s="74"/>
      <c r="I67" s="74"/>
      <c r="J67" s="74"/>
      <c r="K67" s="74"/>
      <c r="L67" s="74" t="s">
        <v>61</v>
      </c>
      <c r="M67" s="77">
        <f>'Tabel 1.1'!G17</f>
        <v>16959.64603199068</v>
      </c>
      <c r="N67" s="77">
        <f>'Tabel 1.1'!H17</f>
        <v>24707.77272555888</v>
      </c>
      <c r="O67" s="74"/>
    </row>
    <row r="68" spans="1:15" x14ac:dyDescent="0.3">
      <c r="A68" s="74"/>
      <c r="B68" s="74"/>
      <c r="C68" s="74"/>
      <c r="D68" s="74"/>
      <c r="E68" s="74"/>
      <c r="F68" s="74"/>
      <c r="G68" s="74"/>
      <c r="H68" s="74"/>
      <c r="I68" s="74"/>
      <c r="J68" s="74"/>
      <c r="K68" s="74"/>
      <c r="L68" s="74" t="s">
        <v>62</v>
      </c>
      <c r="M68" s="77">
        <f>'Tabel 1.1'!G18</f>
        <v>0</v>
      </c>
      <c r="N68" s="77">
        <f>'Tabel 1.1'!H18</f>
        <v>0</v>
      </c>
      <c r="O68" s="74"/>
    </row>
    <row r="69" spans="1:15" x14ac:dyDescent="0.3">
      <c r="A69" s="74"/>
      <c r="B69" s="74"/>
      <c r="C69" s="74"/>
      <c r="D69" s="74"/>
      <c r="E69" s="74"/>
      <c r="F69" s="74"/>
      <c r="G69" s="74"/>
      <c r="H69" s="74"/>
      <c r="I69" s="74"/>
      <c r="J69" s="74"/>
      <c r="K69" s="74"/>
      <c r="L69" s="74" t="s">
        <v>409</v>
      </c>
      <c r="M69" s="77">
        <f>'Tabel 1.1'!G19</f>
        <v>2349.1471643053901</v>
      </c>
      <c r="N69" s="77">
        <f>'Tabel 1.1'!H19</f>
        <v>0</v>
      </c>
      <c r="O69" s="74"/>
    </row>
    <row r="70" spans="1:15" x14ac:dyDescent="0.3">
      <c r="A70" s="74"/>
      <c r="B70" s="74"/>
      <c r="C70" s="74"/>
      <c r="D70" s="74"/>
      <c r="E70" s="74"/>
      <c r="F70" s="74"/>
      <c r="G70" s="74"/>
      <c r="H70" s="74"/>
      <c r="I70" s="74"/>
      <c r="J70" s="74"/>
      <c r="K70" s="74"/>
      <c r="L70" s="74" t="s">
        <v>63</v>
      </c>
      <c r="M70" s="77">
        <f>'Tabel 1.1'!G20</f>
        <v>491892859.81856</v>
      </c>
      <c r="N70" s="77">
        <f>'Tabel 1.1'!H20</f>
        <v>516931786.69641</v>
      </c>
      <c r="O70" s="74"/>
    </row>
    <row r="71" spans="1:15" x14ac:dyDescent="0.3">
      <c r="A71" s="74"/>
      <c r="B71" s="74"/>
      <c r="C71" s="74"/>
      <c r="D71" s="74"/>
      <c r="E71" s="74"/>
      <c r="F71" s="74"/>
      <c r="G71" s="74"/>
      <c r="H71" s="74"/>
      <c r="I71" s="74"/>
      <c r="J71" s="74"/>
      <c r="K71" s="74"/>
      <c r="L71" s="74" t="s">
        <v>64</v>
      </c>
      <c r="M71" s="77">
        <f>'Tabel 1.1'!G21</f>
        <v>1731438</v>
      </c>
      <c r="N71" s="77">
        <f>'Tabel 1.1'!H21</f>
        <v>1786281</v>
      </c>
      <c r="O71" s="74"/>
    </row>
    <row r="72" spans="1:15" x14ac:dyDescent="0.3">
      <c r="A72" s="74"/>
      <c r="B72" s="74"/>
      <c r="C72" s="74"/>
      <c r="D72" s="74"/>
      <c r="E72" s="74"/>
      <c r="F72" s="74"/>
      <c r="G72" s="74"/>
      <c r="H72" s="74"/>
      <c r="I72" s="74"/>
      <c r="J72" s="74"/>
      <c r="K72" s="74"/>
      <c r="L72" s="74" t="s">
        <v>65</v>
      </c>
      <c r="M72" s="77">
        <f>'Tabel 1.1'!G22</f>
        <v>30106</v>
      </c>
      <c r="N72" s="77">
        <f>'Tabel 1.1'!H22</f>
        <v>45976.864999999998</v>
      </c>
      <c r="O72" s="74"/>
    </row>
    <row r="73" spans="1:15" x14ac:dyDescent="0.3">
      <c r="A73" s="74"/>
      <c r="B73" s="74"/>
      <c r="C73" s="74"/>
      <c r="D73" s="74"/>
      <c r="E73" s="74"/>
      <c r="F73" s="74"/>
      <c r="G73" s="74"/>
      <c r="H73" s="74"/>
      <c r="I73" s="74"/>
      <c r="J73" s="74"/>
      <c r="K73" s="74"/>
      <c r="L73" s="74" t="s">
        <v>432</v>
      </c>
      <c r="M73" s="77">
        <f>'Tabel 1.1'!G23</f>
        <v>0</v>
      </c>
      <c r="N73" s="77">
        <f>'Tabel 1.1'!H23</f>
        <v>0</v>
      </c>
      <c r="O73" s="74"/>
    </row>
    <row r="74" spans="1:15" x14ac:dyDescent="0.3">
      <c r="A74" s="74"/>
      <c r="B74" s="74"/>
      <c r="C74" s="74"/>
      <c r="D74" s="74"/>
      <c r="E74" s="74"/>
      <c r="F74" s="74"/>
      <c r="G74" s="74"/>
      <c r="H74" s="74"/>
      <c r="I74" s="74"/>
      <c r="J74" s="74"/>
      <c r="K74" s="74"/>
      <c r="L74" s="74" t="s">
        <v>66</v>
      </c>
      <c r="M74" s="77">
        <f>'Tabel 1.1'!G24</f>
        <v>51019701.999889746</v>
      </c>
      <c r="N74" s="77">
        <f>'Tabel 1.1'!H24</f>
        <v>51856098.771231338</v>
      </c>
      <c r="O74" s="74"/>
    </row>
    <row r="75" spans="1:15" x14ac:dyDescent="0.3">
      <c r="A75" s="74"/>
      <c r="B75" s="74"/>
      <c r="C75" s="74"/>
      <c r="D75" s="74"/>
      <c r="E75" s="74"/>
      <c r="F75" s="74"/>
      <c r="G75" s="74"/>
      <c r="H75" s="74"/>
      <c r="I75" s="74"/>
      <c r="J75" s="74"/>
      <c r="K75" s="74"/>
      <c r="L75" s="74" t="s">
        <v>67</v>
      </c>
      <c r="M75" s="77">
        <f>'Tabel 1.1'!G25</f>
        <v>75627238.392739996</v>
      </c>
      <c r="N75" s="77">
        <f>'Tabel 1.1'!H25</f>
        <v>77112000</v>
      </c>
      <c r="O75" s="74"/>
    </row>
    <row r="76" spans="1:15" x14ac:dyDescent="0.3">
      <c r="A76" s="74"/>
      <c r="B76" s="74"/>
      <c r="C76" s="74"/>
      <c r="D76" s="74"/>
      <c r="E76" s="74"/>
      <c r="F76" s="74"/>
      <c r="G76" s="74"/>
      <c r="H76" s="74"/>
      <c r="I76" s="74"/>
      <c r="J76" s="74"/>
      <c r="K76" s="74"/>
      <c r="L76" s="74" t="s">
        <v>398</v>
      </c>
      <c r="M76" s="77">
        <f>'Tabel 1.1'!G26</f>
        <v>0</v>
      </c>
      <c r="N76" s="77">
        <f>'Tabel 1.1'!H26</f>
        <v>0</v>
      </c>
      <c r="O76" s="74"/>
    </row>
    <row r="77" spans="1:15" x14ac:dyDescent="0.3">
      <c r="A77" s="74"/>
      <c r="B77" s="74"/>
      <c r="C77" s="74"/>
      <c r="D77" s="74"/>
      <c r="E77" s="74"/>
      <c r="F77" s="74"/>
      <c r="G77" s="74"/>
      <c r="H77" s="74"/>
      <c r="I77" s="74"/>
      <c r="J77" s="74"/>
      <c r="K77" s="74"/>
      <c r="L77" s="74" t="s">
        <v>68</v>
      </c>
      <c r="M77" s="77">
        <f>'Tabel 1.1'!G27</f>
        <v>20684132.106460001</v>
      </c>
      <c r="N77" s="77">
        <f>'Tabel 1.1'!H27</f>
        <v>19251355.335700002</v>
      </c>
      <c r="O77" s="74"/>
    </row>
    <row r="78" spans="1:15" x14ac:dyDescent="0.3">
      <c r="A78" s="74"/>
      <c r="B78" s="74"/>
      <c r="C78" s="74"/>
      <c r="D78" s="74"/>
      <c r="E78" s="74"/>
      <c r="F78" s="74"/>
      <c r="G78" s="74"/>
      <c r="H78" s="74"/>
      <c r="I78" s="74"/>
      <c r="J78" s="74"/>
      <c r="K78" s="74"/>
      <c r="L78" s="74" t="s">
        <v>69</v>
      </c>
      <c r="M78" s="77">
        <f>'Tabel 1.1'!G28</f>
        <v>181337324.64900002</v>
      </c>
      <c r="N78" s="77">
        <f>'Tabel 1.1'!H28</f>
        <v>182079379.46500003</v>
      </c>
      <c r="O78" s="74"/>
    </row>
    <row r="79" spans="1:15" x14ac:dyDescent="0.3">
      <c r="A79" s="74"/>
      <c r="B79" s="74"/>
      <c r="C79" s="74"/>
      <c r="D79" s="74"/>
      <c r="E79" s="74"/>
      <c r="F79" s="74"/>
      <c r="G79" s="74"/>
      <c r="H79" s="74"/>
      <c r="I79" s="74"/>
      <c r="J79" s="74"/>
      <c r="K79" s="74"/>
      <c r="L79" s="79" t="s">
        <v>418</v>
      </c>
      <c r="M79" s="77">
        <f>'Tabel 1.1'!G29</f>
        <v>0</v>
      </c>
      <c r="N79" s="77">
        <f>'Tabel 1.1'!H29</f>
        <v>0</v>
      </c>
      <c r="O79" s="74"/>
    </row>
    <row r="80" spans="1:15" x14ac:dyDescent="0.3">
      <c r="A80" s="75" t="s">
        <v>424</v>
      </c>
      <c r="B80" s="74"/>
      <c r="C80" s="74"/>
      <c r="D80" s="74"/>
      <c r="E80" s="74"/>
      <c r="F80" s="74"/>
      <c r="G80" s="74"/>
      <c r="H80" s="74"/>
      <c r="I80" s="79"/>
      <c r="J80" s="74"/>
      <c r="K80" s="74"/>
      <c r="O80" s="74"/>
    </row>
    <row r="81" spans="1:15" x14ac:dyDescent="0.3">
      <c r="B81" s="74"/>
      <c r="C81" s="74"/>
      <c r="D81" s="74"/>
      <c r="E81" s="74"/>
      <c r="F81" s="74"/>
      <c r="G81" s="74"/>
      <c r="H81" s="74"/>
      <c r="I81" s="74"/>
      <c r="J81" s="74"/>
      <c r="K81" s="74"/>
      <c r="O81" s="74"/>
    </row>
    <row r="82" spans="1:15" x14ac:dyDescent="0.3">
      <c r="A82" s="74"/>
      <c r="B82" s="74"/>
      <c r="C82" s="74"/>
      <c r="D82" s="74"/>
      <c r="E82" s="74"/>
      <c r="F82" s="74"/>
      <c r="G82" s="74"/>
      <c r="H82" s="74"/>
      <c r="I82" s="74"/>
      <c r="J82" s="74"/>
      <c r="K82" s="74"/>
      <c r="O82" s="74"/>
    </row>
    <row r="83" spans="1:15" x14ac:dyDescent="0.3">
      <c r="A83" s="74"/>
      <c r="B83" s="74"/>
      <c r="C83" s="74"/>
      <c r="D83" s="74"/>
      <c r="E83" s="74"/>
      <c r="F83" s="74"/>
      <c r="G83" s="74"/>
      <c r="H83" s="74"/>
      <c r="I83" s="74"/>
      <c r="J83" s="74"/>
      <c r="K83" s="74"/>
      <c r="O83" s="74"/>
    </row>
    <row r="84" spans="1:15" x14ac:dyDescent="0.3">
      <c r="A84" s="74"/>
      <c r="B84" s="74"/>
      <c r="C84" s="74"/>
      <c r="D84" s="74"/>
      <c r="E84" s="74"/>
      <c r="F84" s="74"/>
      <c r="G84" s="74"/>
      <c r="H84" s="74"/>
      <c r="I84" s="74"/>
      <c r="J84" s="74"/>
      <c r="K84" s="74"/>
      <c r="O84" s="74"/>
    </row>
    <row r="85" spans="1:15" x14ac:dyDescent="0.3">
      <c r="B85" s="74"/>
      <c r="C85" s="74"/>
      <c r="D85" s="74"/>
      <c r="E85" s="74"/>
      <c r="F85" s="74"/>
      <c r="G85" s="74"/>
      <c r="H85" s="74"/>
      <c r="I85" s="74"/>
      <c r="J85" s="74"/>
      <c r="K85" s="74"/>
      <c r="L85" s="74" t="s">
        <v>74</v>
      </c>
      <c r="O85" s="74"/>
    </row>
    <row r="86" spans="1:15" x14ac:dyDescent="0.3">
      <c r="B86" s="74"/>
      <c r="C86" s="74"/>
      <c r="D86" s="74"/>
      <c r="E86" s="74"/>
      <c r="F86" s="74"/>
      <c r="G86" s="74"/>
      <c r="H86" s="74"/>
      <c r="I86" s="74"/>
      <c r="J86" s="74"/>
      <c r="K86" s="74"/>
      <c r="L86" s="74" t="s">
        <v>1</v>
      </c>
      <c r="O86" s="74"/>
    </row>
    <row r="87" spans="1:15" x14ac:dyDescent="0.3">
      <c r="B87" s="74"/>
      <c r="C87" s="74"/>
      <c r="D87" s="74"/>
      <c r="E87" s="74"/>
      <c r="F87" s="74"/>
      <c r="G87" s="74"/>
      <c r="H87" s="74"/>
      <c r="I87" s="74"/>
      <c r="J87" s="74"/>
      <c r="K87" s="74"/>
      <c r="M87" s="74">
        <f>M8</f>
        <v>2019</v>
      </c>
      <c r="N87" s="74">
        <f>N8</f>
        <v>2020</v>
      </c>
      <c r="O87" s="74"/>
    </row>
    <row r="88" spans="1:15" x14ac:dyDescent="0.3">
      <c r="B88" s="74"/>
      <c r="C88" s="74"/>
      <c r="D88" s="74"/>
      <c r="E88" s="74"/>
      <c r="F88" s="74"/>
      <c r="G88" s="74"/>
      <c r="H88" s="74"/>
      <c r="I88" s="74"/>
      <c r="J88" s="74"/>
      <c r="K88" s="74"/>
      <c r="L88" s="74" t="s">
        <v>54</v>
      </c>
      <c r="M88" s="77">
        <f>'Tabel 1.1'!G35</f>
        <v>19030607.528999999</v>
      </c>
      <c r="N88" s="77">
        <f>'Tabel 1.1'!H35</f>
        <v>20948913.260000002</v>
      </c>
      <c r="O88" s="74"/>
    </row>
    <row r="89" spans="1:15" x14ac:dyDescent="0.3">
      <c r="B89" s="74"/>
      <c r="C89" s="74"/>
      <c r="D89" s="74"/>
      <c r="E89" s="74"/>
      <c r="F89" s="74"/>
      <c r="G89" s="74"/>
      <c r="H89" s="74"/>
      <c r="I89" s="74"/>
      <c r="J89" s="74"/>
      <c r="K89" s="74"/>
      <c r="L89" s="74" t="s">
        <v>55</v>
      </c>
      <c r="M89" s="77">
        <f>'Tabel 1.1'!G36</f>
        <v>89715002.026999995</v>
      </c>
      <c r="N89" s="77">
        <f>'Tabel 1.1'!H36</f>
        <v>95193910.070999995</v>
      </c>
      <c r="O89" s="74"/>
    </row>
    <row r="90" spans="1:15" x14ac:dyDescent="0.3">
      <c r="B90" s="74"/>
      <c r="C90" s="74"/>
      <c r="D90" s="74"/>
      <c r="E90" s="74"/>
      <c r="F90" s="74"/>
      <c r="G90" s="74"/>
      <c r="H90" s="74"/>
      <c r="I90" s="74"/>
      <c r="J90" s="74"/>
      <c r="K90" s="74"/>
      <c r="L90" s="74" t="s">
        <v>57</v>
      </c>
      <c r="M90" s="77">
        <f>'Tabel 1.1'!G37</f>
        <v>3826787</v>
      </c>
      <c r="N90" s="77">
        <f>'Tabel 1.1'!H37</f>
        <v>4269268</v>
      </c>
      <c r="O90" s="74"/>
    </row>
    <row r="91" spans="1:15" x14ac:dyDescent="0.3">
      <c r="A91" s="74"/>
      <c r="B91" s="74"/>
      <c r="C91" s="74"/>
      <c r="D91" s="74"/>
      <c r="E91" s="74"/>
      <c r="F91" s="74"/>
      <c r="G91" s="74"/>
      <c r="H91" s="74"/>
      <c r="I91" s="74"/>
      <c r="J91" s="74"/>
      <c r="K91" s="74"/>
      <c r="L91" s="79" t="s">
        <v>60</v>
      </c>
      <c r="M91" s="77">
        <f>'Tabel 1.1'!G38</f>
        <v>27221258.799999997</v>
      </c>
      <c r="N91" s="77">
        <f>'Tabel 1.1'!H38</f>
        <v>29754862.800000001</v>
      </c>
      <c r="O91" s="74"/>
    </row>
    <row r="92" spans="1:15" ht="18.75" customHeight="1" x14ac:dyDescent="0.3">
      <c r="A92" s="74"/>
      <c r="B92" s="74"/>
      <c r="C92" s="74"/>
      <c r="D92" s="74"/>
      <c r="E92" s="74"/>
      <c r="F92" s="74"/>
      <c r="G92" s="74"/>
      <c r="H92" s="74"/>
      <c r="I92" s="74"/>
      <c r="J92" s="74"/>
      <c r="K92" s="74"/>
      <c r="L92" s="74" t="s">
        <v>63</v>
      </c>
      <c r="M92" s="77">
        <f>'Tabel 1.1'!G39</f>
        <v>2587219.1831499999</v>
      </c>
      <c r="N92" s="77">
        <f>'Tabel 1.1'!H39</f>
        <v>1933154.62115</v>
      </c>
      <c r="O92" s="74"/>
    </row>
    <row r="93" spans="1:15" ht="18.75" customHeight="1" x14ac:dyDescent="0.3">
      <c r="A93" s="74"/>
      <c r="B93" s="74"/>
      <c r="C93" s="74"/>
      <c r="D93" s="74"/>
      <c r="E93" s="74"/>
      <c r="F93" s="74"/>
      <c r="G93" s="74"/>
      <c r="H93" s="74"/>
      <c r="I93" s="74"/>
      <c r="J93" s="74"/>
      <c r="K93" s="74"/>
      <c r="L93" s="74" t="s">
        <v>64</v>
      </c>
      <c r="M93" s="77">
        <f>'Tabel 1.1'!G40</f>
        <v>4242225</v>
      </c>
      <c r="N93" s="77">
        <f>'Tabel 1.1'!H40</f>
        <v>5167910</v>
      </c>
      <c r="O93" s="74"/>
    </row>
    <row r="94" spans="1:15" ht="18.75" customHeight="1" x14ac:dyDescent="0.3">
      <c r="A94" s="74"/>
      <c r="B94" s="74"/>
      <c r="C94" s="74"/>
      <c r="D94" s="74"/>
      <c r="E94" s="74"/>
      <c r="F94" s="74"/>
      <c r="G94" s="74"/>
      <c r="H94" s="74"/>
      <c r="I94" s="74"/>
      <c r="J94" s="74"/>
      <c r="K94" s="74"/>
      <c r="L94" s="74" t="s">
        <v>66</v>
      </c>
      <c r="M94" s="77">
        <f>'Tabel 1.1'!G41</f>
        <v>68352090.000000089</v>
      </c>
      <c r="N94" s="77">
        <f>'Tabel 1.1'!H41</f>
        <v>79687040</v>
      </c>
      <c r="O94" s="74"/>
    </row>
    <row r="95" spans="1:15" ht="18.75" customHeight="1" x14ac:dyDescent="0.3">
      <c r="A95" s="74"/>
      <c r="B95" s="74"/>
      <c r="C95" s="74"/>
      <c r="D95" s="74"/>
      <c r="E95" s="74"/>
      <c r="F95" s="74"/>
      <c r="G95" s="74"/>
      <c r="H95" s="74"/>
      <c r="I95" s="74"/>
      <c r="J95" s="74"/>
      <c r="K95" s="74"/>
      <c r="L95" s="74" t="s">
        <v>72</v>
      </c>
      <c r="M95" s="77">
        <f>'Tabel 1.1'!G42</f>
        <v>2307693.03969</v>
      </c>
      <c r="N95" s="77">
        <f>'Tabel 1.1'!H42</f>
        <v>2514066.6801399998</v>
      </c>
      <c r="O95" s="74"/>
    </row>
    <row r="96" spans="1:15" ht="18.75" customHeight="1" x14ac:dyDescent="0.3">
      <c r="A96" s="74"/>
      <c r="B96" s="74"/>
      <c r="C96" s="74"/>
      <c r="D96" s="74"/>
      <c r="E96" s="74"/>
      <c r="F96" s="74"/>
      <c r="G96" s="74"/>
      <c r="H96" s="74"/>
      <c r="I96" s="74"/>
      <c r="J96" s="74"/>
      <c r="K96" s="74"/>
      <c r="L96" s="74" t="s">
        <v>68</v>
      </c>
      <c r="M96" s="77">
        <f>'Tabel 1.1'!G43</f>
        <v>32200221.129759997</v>
      </c>
      <c r="N96" s="77">
        <f>'Tabel 1.1'!H43</f>
        <v>36536483.392659999</v>
      </c>
      <c r="O96" s="74"/>
    </row>
    <row r="97" spans="1:17" ht="18.75" customHeight="1" x14ac:dyDescent="0.3">
      <c r="A97" s="74"/>
      <c r="B97" s="74"/>
      <c r="C97" s="74"/>
      <c r="D97" s="74"/>
      <c r="E97" s="74"/>
      <c r="F97" s="74"/>
      <c r="G97" s="74"/>
      <c r="H97" s="74"/>
      <c r="I97" s="74"/>
      <c r="J97" s="74"/>
      <c r="K97" s="74"/>
      <c r="L97" s="74" t="s">
        <v>73</v>
      </c>
      <c r="M97" s="77">
        <f>'Tabel 1.1'!G44</f>
        <v>103774197.524</v>
      </c>
      <c r="N97" s="77">
        <f>'Tabel 1.1'!H44</f>
        <v>117297307.31699999</v>
      </c>
      <c r="O97" s="74"/>
      <c r="Q97" s="74"/>
    </row>
    <row r="98" spans="1:17" ht="18.75" customHeight="1" x14ac:dyDescent="0.3">
      <c r="A98" s="74"/>
      <c r="B98" s="74"/>
      <c r="C98" s="74"/>
      <c r="D98" s="74"/>
      <c r="E98" s="74"/>
      <c r="F98" s="74"/>
      <c r="G98" s="74"/>
      <c r="H98" s="74"/>
      <c r="I98" s="74"/>
      <c r="J98" s="74"/>
      <c r="K98" s="74"/>
      <c r="O98" s="74"/>
      <c r="Q98" s="74"/>
    </row>
    <row r="99" spans="1:17" ht="18.75" customHeight="1" x14ac:dyDescent="0.3">
      <c r="A99" s="74"/>
      <c r="B99" s="74"/>
      <c r="C99" s="74"/>
      <c r="D99" s="74"/>
      <c r="E99" s="74"/>
      <c r="F99" s="74"/>
      <c r="G99" s="74"/>
      <c r="H99" s="74"/>
      <c r="I99" s="74"/>
      <c r="J99" s="74"/>
      <c r="K99" s="74"/>
      <c r="M99" s="77"/>
      <c r="O99" s="74"/>
      <c r="Q99" s="74"/>
    </row>
    <row r="100" spans="1:17" ht="18.75" customHeight="1" x14ac:dyDescent="0.3">
      <c r="A100" s="74"/>
      <c r="B100" s="74"/>
      <c r="C100" s="74"/>
      <c r="D100" s="74"/>
      <c r="E100" s="74"/>
      <c r="F100" s="74"/>
      <c r="G100" s="74"/>
      <c r="H100" s="74"/>
      <c r="I100" s="74"/>
      <c r="J100" s="74"/>
      <c r="K100" s="74"/>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5" t="s">
        <v>425</v>
      </c>
      <c r="B106" s="74"/>
      <c r="C106" s="74"/>
      <c r="D106" s="74"/>
      <c r="E106" s="74"/>
      <c r="F106" s="74"/>
      <c r="G106" s="74"/>
      <c r="H106" s="79"/>
      <c r="I106" s="74"/>
      <c r="J106" s="74"/>
      <c r="K106" s="74"/>
      <c r="O106" s="74"/>
      <c r="Q106" s="74"/>
    </row>
    <row r="107" spans="1:17" ht="18.75" customHeight="1" x14ac:dyDescent="0.3">
      <c r="A107" s="74"/>
      <c r="B107" s="74"/>
      <c r="C107" s="74"/>
      <c r="D107" s="74"/>
      <c r="E107" s="74"/>
      <c r="F107" s="74"/>
      <c r="G107" s="74"/>
      <c r="H107" s="74"/>
      <c r="I107" s="74"/>
      <c r="J107" s="74"/>
      <c r="K107" s="74"/>
      <c r="O107" s="74"/>
      <c r="Q107" s="74"/>
    </row>
    <row r="108" spans="1:17" ht="18.75" customHeight="1" x14ac:dyDescent="0.3">
      <c r="A108" s="74"/>
      <c r="B108" s="74"/>
      <c r="C108" s="74"/>
      <c r="D108" s="74"/>
      <c r="E108" s="74"/>
      <c r="F108" s="74"/>
      <c r="G108" s="74"/>
      <c r="H108" s="74"/>
      <c r="I108" s="74"/>
      <c r="J108" s="74"/>
      <c r="K108" s="74"/>
      <c r="O108" s="74"/>
      <c r="Q108" s="74"/>
    </row>
    <row r="109" spans="1:17" ht="18.75" customHeight="1" x14ac:dyDescent="0.3">
      <c r="A109" s="74"/>
      <c r="B109" s="74"/>
      <c r="C109" s="74"/>
      <c r="D109" s="74"/>
      <c r="E109" s="74"/>
      <c r="F109" s="74"/>
      <c r="G109" s="74"/>
      <c r="H109" s="74"/>
      <c r="I109" s="74"/>
      <c r="J109" s="74"/>
      <c r="K109" s="74"/>
      <c r="O109" s="74"/>
      <c r="Q109" s="74"/>
    </row>
    <row r="110" spans="1:17" ht="18.75" customHeight="1" x14ac:dyDescent="0.3">
      <c r="A110" s="74"/>
      <c r="B110" s="74"/>
      <c r="C110" s="74"/>
      <c r="D110" s="74"/>
      <c r="E110" s="74"/>
      <c r="F110" s="74"/>
      <c r="G110" s="74"/>
      <c r="H110" s="74"/>
      <c r="I110" s="74"/>
      <c r="J110" s="74"/>
      <c r="K110" s="74"/>
      <c r="O110" s="74"/>
      <c r="Q110" s="74"/>
    </row>
    <row r="111" spans="1:17" ht="18.75" customHeight="1" x14ac:dyDescent="0.3">
      <c r="A111" s="74"/>
      <c r="B111" s="74"/>
      <c r="C111" s="74"/>
      <c r="D111" s="74"/>
      <c r="E111" s="74"/>
      <c r="F111" s="74"/>
      <c r="G111" s="74"/>
      <c r="H111" s="74"/>
      <c r="I111" s="74"/>
      <c r="J111" s="74"/>
      <c r="K111" s="74"/>
      <c r="O111" s="74"/>
      <c r="Q111" s="74"/>
    </row>
    <row r="112" spans="1:17" ht="18.75" customHeight="1" x14ac:dyDescent="0.3">
      <c r="A112" s="74"/>
      <c r="B112" s="74"/>
      <c r="C112" s="74"/>
      <c r="D112" s="74"/>
      <c r="E112" s="74"/>
      <c r="F112" s="74"/>
      <c r="G112" s="74"/>
      <c r="H112" s="74"/>
      <c r="I112" s="74"/>
      <c r="J112" s="74"/>
      <c r="K112" s="74"/>
      <c r="L112" s="617" t="s">
        <v>75</v>
      </c>
      <c r="O112" s="74"/>
      <c r="Q112" s="74"/>
    </row>
    <row r="113" spans="1:17" ht="18.75" customHeight="1" x14ac:dyDescent="0.3">
      <c r="A113" s="74"/>
      <c r="B113" s="74"/>
      <c r="C113" s="74"/>
      <c r="D113" s="74"/>
      <c r="E113" s="74"/>
      <c r="F113" s="74"/>
      <c r="G113" s="74"/>
      <c r="H113" s="74"/>
      <c r="I113" s="74"/>
      <c r="J113" s="74"/>
      <c r="K113" s="74"/>
      <c r="L113" s="74" t="s">
        <v>0</v>
      </c>
      <c r="O113" s="74"/>
      <c r="Q113" s="74"/>
    </row>
    <row r="114" spans="1:17" ht="18.75" customHeight="1" x14ac:dyDescent="0.3">
      <c r="A114" s="74"/>
      <c r="B114" s="74"/>
      <c r="C114" s="74"/>
      <c r="D114" s="74"/>
      <c r="E114" s="74"/>
      <c r="F114" s="74"/>
      <c r="G114" s="74"/>
      <c r="H114" s="74"/>
      <c r="I114" s="74"/>
      <c r="J114" s="74"/>
      <c r="K114" s="74"/>
      <c r="M114" s="74">
        <f>M8</f>
        <v>2019</v>
      </c>
      <c r="N114" s="74">
        <f>N8</f>
        <v>2020</v>
      </c>
      <c r="O114" s="74"/>
      <c r="Q114" s="74"/>
    </row>
    <row r="115" spans="1:17" ht="18.75" customHeight="1" x14ac:dyDescent="0.3">
      <c r="A115" s="74"/>
      <c r="B115" s="74"/>
      <c r="C115" s="74"/>
      <c r="D115" s="74"/>
      <c r="E115" s="74"/>
      <c r="F115" s="74"/>
      <c r="G115" s="74"/>
      <c r="H115" s="74"/>
      <c r="I115" s="74"/>
      <c r="J115" s="74"/>
      <c r="K115" s="74"/>
      <c r="L115" s="74" t="s">
        <v>54</v>
      </c>
      <c r="M115" s="77">
        <f>'Danica Pensjonsforsikring'!B11-'Danica Pensjonsforsikring'!B12+'Danica Pensjonsforsikring'!B34-'Danica Pensjonsforsikring'!B35+'Danica Pensjonsforsikring'!B38-'Danica Pensjonsforsikring'!B39+'Danica Pensjonsforsikring'!B111-'Danica Pensjonsforsikring'!B119+'Danica Pensjonsforsikring'!B136-'Danica Pensjonsforsikring'!B137</f>
        <v>6109.9529999999995</v>
      </c>
      <c r="N115" s="77">
        <f>'Danica Pensjonsforsikring'!C11-'Danica Pensjonsforsikring'!C12+'Danica Pensjonsforsikring'!C34-'Danica Pensjonsforsikring'!C35+'Danica Pensjonsforsikring'!C38-'Danica Pensjonsforsikring'!C39+'Danica Pensjonsforsikring'!C111-'Danica Pensjonsforsikring'!C119+'Danica Pensjonsforsikring'!C136-'Danica Pensjonsforsikring'!C137</f>
        <v>30468.184000000001</v>
      </c>
      <c r="O115" s="74"/>
      <c r="Q115" s="74"/>
    </row>
    <row r="116" spans="1:17" ht="18.75" customHeight="1" x14ac:dyDescent="0.3">
      <c r="A116" s="74"/>
      <c r="B116" s="74"/>
      <c r="C116" s="74"/>
      <c r="D116" s="74"/>
      <c r="E116" s="74"/>
      <c r="F116" s="74"/>
      <c r="G116" s="74"/>
      <c r="H116" s="74"/>
      <c r="I116" s="74"/>
      <c r="J116" s="74"/>
      <c r="K116" s="74"/>
      <c r="L116" s="74" t="s">
        <v>55</v>
      </c>
      <c r="M116" s="77">
        <f>'DNB Livsforsikring'!B11-'DNB Livsforsikring'!B12+'DNB Livsforsikring'!B34-'DNB Livsforsikring'!B35+'DNB Livsforsikring'!B38-'DNB Livsforsikring'!B39+'DNB Livsforsikring'!B111-'DNB Livsforsikring'!B119+'DNB Livsforsikring'!B136-'DNB Livsforsikring'!B137</f>
        <v>104640</v>
      </c>
      <c r="N116" s="77">
        <f>'DNB Livsforsikring'!C11-'DNB Livsforsikring'!C12+'DNB Livsforsikring'!C34-'DNB Livsforsikring'!C35+'DNB Livsforsikring'!C38-'DNB Livsforsikring'!C39+'DNB Livsforsikring'!C111-'DNB Livsforsikring'!C119+'DNB Livsforsikring'!C136-'DNB Livsforsikring'!C137</f>
        <v>-148121</v>
      </c>
      <c r="O116" s="74"/>
      <c r="Q116" s="74"/>
    </row>
    <row r="117" spans="1:17" ht="18.75" customHeight="1" x14ac:dyDescent="0.3">
      <c r="A117" s="74"/>
      <c r="B117" s="74"/>
      <c r="C117" s="74"/>
      <c r="D117" s="74"/>
      <c r="E117" s="74"/>
      <c r="F117" s="74"/>
      <c r="G117" s="74"/>
      <c r="H117" s="74"/>
      <c r="I117" s="74"/>
      <c r="J117" s="74"/>
      <c r="K117" s="74"/>
      <c r="L117" s="79" t="s">
        <v>60</v>
      </c>
      <c r="M117" s="77">
        <f>'Gjensidige Pensjon'!B11-'Gjensidige Pensjon'!B12+'Gjensidige Pensjon'!B34-'Gjensidige Pensjon'!B35+'Gjensidige Pensjon'!B38-'Gjensidige Pensjon'!B39+'Gjensidige Pensjon'!B111-'Gjensidige Pensjon'!B119+'Gjensidige Pensjon'!B136-'Gjensidige Pensjon'!B137</f>
        <v>29298.6</v>
      </c>
      <c r="N117" s="77">
        <f>'Gjensidige Pensjon'!C11-'Gjensidige Pensjon'!C12+'Gjensidige Pensjon'!C34-'Gjensidige Pensjon'!C35+'Gjensidige Pensjon'!C38-'Gjensidige Pensjon'!C39+'Gjensidige Pensjon'!C111-'Gjensidige Pensjon'!C119+'Gjensidige Pensjon'!C136-'Gjensidige Pensjon'!C137</f>
        <v>-54118.6</v>
      </c>
      <c r="O117" s="74"/>
    </row>
    <row r="118" spans="1:17" ht="18.75" customHeight="1" x14ac:dyDescent="0.3">
      <c r="A118" s="74"/>
      <c r="B118" s="74"/>
      <c r="C118" s="74"/>
      <c r="D118" s="74"/>
      <c r="E118" s="74"/>
      <c r="F118" s="74"/>
      <c r="G118" s="74"/>
      <c r="H118" s="74"/>
      <c r="I118" s="74"/>
      <c r="J118" s="74"/>
      <c r="K118" s="74"/>
      <c r="L118" s="79" t="s">
        <v>63</v>
      </c>
      <c r="M118" s="77">
        <f>KLP!B11-KLP!B12+KLP!B34-KLP!B35+KLP!B38-KLP!B39+KLP!B111-KLP!B119+KLP!B136-KLP!B137</f>
        <v>-248064.62399999998</v>
      </c>
      <c r="N118" s="77">
        <f>KLP!C11-KLP!C12+KLP!C34-KLP!C35+KLP!C38-KLP!C39+KLP!C111-KLP!C119+KLP!C136-KLP!C137</f>
        <v>-4327427.5370000005</v>
      </c>
      <c r="O118" s="74"/>
    </row>
    <row r="119" spans="1:17" ht="18.75" customHeight="1" x14ac:dyDescent="0.3">
      <c r="A119" s="74"/>
      <c r="B119" s="74"/>
      <c r="C119" s="74"/>
      <c r="D119" s="74"/>
      <c r="E119" s="74"/>
      <c r="F119" s="74"/>
      <c r="G119" s="74"/>
      <c r="H119" s="74"/>
      <c r="I119" s="74"/>
      <c r="J119" s="74"/>
      <c r="K119" s="74"/>
      <c r="L119" s="79" t="s">
        <v>64</v>
      </c>
      <c r="M119" s="77">
        <f>'KLP Bedriftspensjon AS'!B11-'KLP Bedriftspensjon AS'!B12+'KLP Bedriftspensjon AS'!B34-'KLP Bedriftspensjon AS'!B35+'KLP Bedriftspensjon AS'!B38-'KLP Bedriftspensjon AS'!B39+'KLP Bedriftspensjon AS'!B111-'KLP Bedriftspensjon AS'!B119+'KLP Bedriftspensjon AS'!B136-'KLP Bedriftspensjon AS'!B137</f>
        <v>878</v>
      </c>
      <c r="N119" s="77">
        <f>'KLP Bedriftspensjon AS'!C11-'KLP Bedriftspensjon AS'!C12+'KLP Bedriftspensjon AS'!C34-'KLP Bedriftspensjon AS'!C35+'KLP Bedriftspensjon AS'!C38-'KLP Bedriftspensjon AS'!C39+'KLP Bedriftspensjon AS'!C111-'KLP Bedriftspensjon AS'!C119+'KLP Bedriftspensjon AS'!C136-'KLP Bedriftspensjon AS'!C137</f>
        <v>3361</v>
      </c>
      <c r="O119" s="74"/>
    </row>
    <row r="120" spans="1:17" ht="18.75" customHeight="1" x14ac:dyDescent="0.3">
      <c r="A120" s="74"/>
      <c r="B120" s="74"/>
      <c r="C120" s="74"/>
      <c r="D120" s="74"/>
      <c r="E120" s="74"/>
      <c r="F120" s="74"/>
      <c r="G120" s="74"/>
      <c r="H120" s="74"/>
      <c r="I120" s="74"/>
      <c r="J120" s="74"/>
      <c r="K120" s="74"/>
      <c r="L120" s="74" t="s">
        <v>66</v>
      </c>
      <c r="M120" s="77">
        <f>'Nordea Liv '!B11-'Nordea Liv '!B12+'Nordea Liv '!B34-'Nordea Liv '!B35+'Nordea Liv '!B38-'Nordea Liv '!B39+'Nordea Liv '!B111-'Nordea Liv '!B119+'Nordea Liv '!B136-'Nordea Liv '!B137</f>
        <v>-14915.333700000001</v>
      </c>
      <c r="N120" s="77">
        <f>'Nordea Liv '!C11-'Nordea Liv '!C12+'Nordea Liv '!C34-'Nordea Liv '!C35+'Nordea Liv '!C38-'Nordea Liv '!C39+'Nordea Liv '!C111-'Nordea Liv '!C119+'Nordea Liv '!C136-'Nordea Liv '!C137</f>
        <v>-6168.5379399999701</v>
      </c>
      <c r="O120" s="74"/>
    </row>
    <row r="121" spans="1:17" ht="18.75" customHeight="1" x14ac:dyDescent="0.3">
      <c r="A121" s="74"/>
      <c r="B121" s="74"/>
      <c r="C121" s="74"/>
      <c r="D121" s="74"/>
      <c r="E121" s="74"/>
      <c r="F121" s="74"/>
      <c r="G121" s="74"/>
      <c r="H121" s="74"/>
      <c r="I121" s="74"/>
      <c r="J121" s="74"/>
      <c r="K121" s="74"/>
      <c r="L121" s="74" t="s">
        <v>68</v>
      </c>
      <c r="M121" s="77">
        <f>'Sparebank 1'!B11-'Sparebank 1'!B12+'Sparebank 1'!B34-'Sparebank 1'!B35+'Sparebank 1'!B38-'Sparebank 1'!B39+'Sparebank 1'!B111-'Sparebank 1'!B119+'Sparebank 1'!B136-'Sparebank 1'!B137</f>
        <v>-13521.344899999996</v>
      </c>
      <c r="N121" s="77">
        <f>'Sparebank 1'!C11-'Sparebank 1'!C12+'Sparebank 1'!C34-'Sparebank 1'!C35+'Sparebank 1'!C38-'Sparebank 1'!C39+'Sparebank 1'!C111-'Sparebank 1'!C119+'Sparebank 1'!C136-'Sparebank 1'!C137</f>
        <v>23.559269999999742</v>
      </c>
      <c r="O121" s="74"/>
    </row>
    <row r="122" spans="1:17" ht="18.75" customHeight="1" x14ac:dyDescent="0.3">
      <c r="A122" s="74"/>
      <c r="B122" s="74"/>
      <c r="C122" s="74"/>
      <c r="D122" s="74"/>
      <c r="E122" s="74"/>
      <c r="F122" s="74"/>
      <c r="G122" s="74"/>
      <c r="H122" s="74"/>
      <c r="I122" s="74"/>
      <c r="J122" s="74"/>
      <c r="K122" s="74"/>
      <c r="L122" s="74" t="s">
        <v>69</v>
      </c>
      <c r="M122" s="77">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-83232.047999999981</v>
      </c>
      <c r="N122" s="77">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202498.86700000003</v>
      </c>
      <c r="O122" s="74"/>
    </row>
    <row r="123" spans="1:17" x14ac:dyDescent="0.3">
      <c r="A123" s="74"/>
      <c r="B123" s="74"/>
      <c r="C123" s="74"/>
      <c r="D123" s="74"/>
      <c r="E123" s="74"/>
      <c r="F123" s="74"/>
      <c r="G123" s="74"/>
      <c r="H123" s="74"/>
      <c r="I123" s="74"/>
      <c r="J123" s="74"/>
      <c r="K123" s="74"/>
      <c r="M123" s="77"/>
      <c r="N123" s="77"/>
      <c r="O123" s="74"/>
    </row>
    <row r="124" spans="1:17" x14ac:dyDescent="0.3">
      <c r="A124" s="74"/>
      <c r="B124" s="74"/>
      <c r="C124" s="74"/>
      <c r="D124" s="74"/>
      <c r="E124" s="74"/>
      <c r="F124" s="74"/>
      <c r="G124" s="74"/>
      <c r="H124" s="74"/>
      <c r="I124" s="74"/>
      <c r="J124" s="74"/>
      <c r="K124" s="74"/>
      <c r="M124" s="77"/>
      <c r="N124" s="77"/>
      <c r="O124" s="74"/>
    </row>
    <row r="125" spans="1:17" x14ac:dyDescent="0.3">
      <c r="A125" s="74"/>
      <c r="B125" s="74"/>
      <c r="C125" s="74"/>
      <c r="D125" s="74"/>
      <c r="E125" s="74"/>
      <c r="F125" s="74"/>
      <c r="G125" s="74"/>
      <c r="H125" s="74"/>
      <c r="I125" s="74"/>
      <c r="J125" s="74"/>
      <c r="K125" s="74"/>
      <c r="M125" s="77"/>
      <c r="N125" s="77"/>
      <c r="O125" s="74"/>
    </row>
    <row r="126" spans="1:17" x14ac:dyDescent="0.3">
      <c r="A126" s="74"/>
      <c r="B126" s="74"/>
      <c r="C126" s="74"/>
      <c r="D126" s="74"/>
      <c r="E126" s="74"/>
      <c r="F126" s="74"/>
      <c r="G126" s="74"/>
      <c r="H126" s="74"/>
      <c r="I126" s="74"/>
      <c r="J126" s="74"/>
      <c r="K126" s="74"/>
      <c r="M126" s="77"/>
      <c r="N126" s="77"/>
      <c r="O126" s="74"/>
    </row>
    <row r="127" spans="1:17" x14ac:dyDescent="0.3">
      <c r="A127" s="74"/>
      <c r="B127" s="74"/>
      <c r="C127" s="74"/>
      <c r="D127" s="74"/>
      <c r="E127" s="74"/>
      <c r="F127" s="74"/>
      <c r="G127" s="74"/>
      <c r="H127" s="74"/>
      <c r="I127" s="74"/>
      <c r="J127" s="74"/>
      <c r="K127" s="74"/>
      <c r="M127" s="77"/>
      <c r="N127" s="77"/>
      <c r="O127" s="74"/>
    </row>
    <row r="128" spans="1:17" x14ac:dyDescent="0.3">
      <c r="A128" s="74"/>
      <c r="B128" s="74"/>
      <c r="C128" s="74"/>
      <c r="D128" s="74"/>
      <c r="E128" s="74"/>
      <c r="F128" s="74"/>
      <c r="G128" s="74"/>
      <c r="H128" s="74"/>
      <c r="I128" s="74"/>
      <c r="J128" s="74"/>
      <c r="K128" s="74"/>
      <c r="M128" s="77"/>
      <c r="N128" s="77"/>
      <c r="O128" s="74"/>
    </row>
    <row r="129" spans="1:15" x14ac:dyDescent="0.3">
      <c r="A129" s="74"/>
      <c r="B129" s="74"/>
      <c r="C129" s="74"/>
      <c r="D129" s="74"/>
      <c r="E129" s="74"/>
      <c r="F129" s="74"/>
      <c r="G129" s="74"/>
      <c r="H129" s="74"/>
      <c r="I129" s="74"/>
      <c r="J129" s="74"/>
      <c r="K129" s="74"/>
      <c r="M129" s="77"/>
      <c r="N129" s="77"/>
      <c r="O129" s="74"/>
    </row>
    <row r="130" spans="1:15" x14ac:dyDescent="0.3">
      <c r="A130" s="75" t="s">
        <v>426</v>
      </c>
      <c r="B130" s="74"/>
      <c r="C130" s="74"/>
      <c r="D130" s="74"/>
      <c r="E130" s="74"/>
      <c r="F130" s="74"/>
      <c r="G130" s="74"/>
      <c r="H130" s="79"/>
      <c r="I130" s="74"/>
      <c r="J130" s="74"/>
      <c r="K130" s="74"/>
      <c r="M130" s="77"/>
      <c r="N130" s="77"/>
      <c r="O130" s="74"/>
    </row>
    <row r="131" spans="1:15" x14ac:dyDescent="0.3">
      <c r="B131" s="74"/>
      <c r="C131" s="74"/>
      <c r="D131" s="74"/>
      <c r="E131" s="74"/>
      <c r="F131" s="74"/>
      <c r="G131" s="74"/>
      <c r="H131" s="74"/>
      <c r="I131" s="74"/>
      <c r="J131" s="74"/>
      <c r="K131" s="74"/>
      <c r="O131" s="74"/>
    </row>
    <row r="132" spans="1:15" x14ac:dyDescent="0.3">
      <c r="A132" s="74"/>
      <c r="B132" s="74"/>
      <c r="C132" s="74"/>
      <c r="D132" s="74"/>
      <c r="E132" s="74"/>
      <c r="F132" s="74"/>
      <c r="G132" s="74"/>
      <c r="H132" s="74"/>
      <c r="I132" s="74"/>
      <c r="J132" s="74"/>
      <c r="K132" s="74"/>
      <c r="O132" s="74"/>
    </row>
    <row r="133" spans="1:15" x14ac:dyDescent="0.3">
      <c r="A133" s="74"/>
      <c r="B133" s="74"/>
      <c r="C133" s="74"/>
      <c r="D133" s="74"/>
      <c r="E133" s="74"/>
      <c r="F133" s="74"/>
      <c r="G133" s="74"/>
      <c r="H133" s="74"/>
      <c r="I133" s="74"/>
      <c r="J133" s="74"/>
      <c r="K133" s="74"/>
      <c r="O133" s="74"/>
    </row>
    <row r="134" spans="1:15" x14ac:dyDescent="0.3">
      <c r="A134" s="74"/>
      <c r="B134" s="74"/>
      <c r="C134" s="74"/>
      <c r="D134" s="74"/>
      <c r="E134" s="74"/>
      <c r="F134" s="74"/>
      <c r="G134" s="74"/>
      <c r="H134" s="74"/>
      <c r="I134" s="74"/>
      <c r="J134" s="74"/>
      <c r="K134" s="74"/>
      <c r="O134" s="74"/>
    </row>
    <row r="135" spans="1:15" x14ac:dyDescent="0.3">
      <c r="A135" s="74"/>
      <c r="B135" s="74"/>
      <c r="C135" s="74"/>
      <c r="D135" s="74"/>
      <c r="E135" s="74"/>
      <c r="F135" s="74"/>
      <c r="G135" s="74"/>
      <c r="H135" s="74"/>
      <c r="I135" s="74"/>
      <c r="J135" s="74"/>
      <c r="K135" s="74"/>
      <c r="O135" s="74"/>
    </row>
    <row r="136" spans="1:15" x14ac:dyDescent="0.3">
      <c r="A136" s="74"/>
      <c r="B136" s="74"/>
      <c r="C136" s="74"/>
      <c r="D136" s="74"/>
      <c r="E136" s="74"/>
      <c r="F136" s="74"/>
      <c r="G136" s="74"/>
      <c r="H136" s="74"/>
      <c r="I136" s="74"/>
      <c r="J136" s="74"/>
      <c r="K136" s="74"/>
      <c r="O136" s="74"/>
    </row>
    <row r="137" spans="1:15" x14ac:dyDescent="0.3">
      <c r="A137" s="74"/>
      <c r="B137" s="74"/>
      <c r="C137" s="74"/>
      <c r="D137" s="74"/>
      <c r="E137" s="74"/>
      <c r="F137" s="74"/>
      <c r="G137" s="74"/>
      <c r="H137" s="74"/>
      <c r="I137" s="74"/>
      <c r="J137" s="74"/>
      <c r="K137" s="74"/>
      <c r="L137" s="617" t="s">
        <v>76</v>
      </c>
      <c r="O137" s="74"/>
    </row>
    <row r="138" spans="1:15" x14ac:dyDescent="0.3">
      <c r="A138" s="74"/>
      <c r="B138" s="74"/>
      <c r="C138" s="74"/>
      <c r="D138" s="74"/>
      <c r="E138" s="74"/>
      <c r="F138" s="74"/>
      <c r="G138" s="74"/>
      <c r="H138" s="74"/>
      <c r="I138" s="74"/>
      <c r="J138" s="74"/>
      <c r="K138" s="74"/>
      <c r="L138" s="74" t="s">
        <v>1</v>
      </c>
      <c r="O138" s="74"/>
    </row>
    <row r="139" spans="1:15" x14ac:dyDescent="0.3">
      <c r="A139" s="74"/>
      <c r="B139" s="74"/>
      <c r="C139" s="74"/>
      <c r="D139" s="74"/>
      <c r="E139" s="74"/>
      <c r="F139" s="74"/>
      <c r="G139" s="74"/>
      <c r="H139" s="74"/>
      <c r="I139" s="74"/>
      <c r="J139" s="74"/>
      <c r="K139" s="74"/>
      <c r="M139" s="74">
        <f>M8</f>
        <v>2019</v>
      </c>
      <c r="N139" s="74">
        <f>N8</f>
        <v>2020</v>
      </c>
      <c r="O139" s="74"/>
    </row>
    <row r="140" spans="1:15" x14ac:dyDescent="0.3">
      <c r="A140" s="74"/>
      <c r="B140" s="74"/>
      <c r="C140" s="74"/>
      <c r="D140" s="74"/>
      <c r="E140" s="74"/>
      <c r="F140" s="74"/>
      <c r="G140" s="74"/>
      <c r="H140" s="74"/>
      <c r="I140" s="74"/>
      <c r="J140" s="74"/>
      <c r="K140" s="74"/>
      <c r="L140" s="74" t="s">
        <v>54</v>
      </c>
      <c r="M140" s="77">
        <f>'Danica Pensjonsforsikring'!F11-'Danica Pensjonsforsikring'!F12+'Danica Pensjonsforsikring'!F34-'Danica Pensjonsforsikring'!F35+'Danica Pensjonsforsikring'!F38-'Danica Pensjonsforsikring'!F39+'Danica Pensjonsforsikring'!F111-'Danica Pensjonsforsikring'!F119+'Danica Pensjonsforsikring'!F136-'Danica Pensjonsforsikring'!F137</f>
        <v>247084.22200000001</v>
      </c>
      <c r="N140" s="77">
        <f>'Danica Pensjonsforsikring'!G11-'Danica Pensjonsforsikring'!G12+'Danica Pensjonsforsikring'!G34-'Danica Pensjonsforsikring'!G35+'Danica Pensjonsforsikring'!G38-'Danica Pensjonsforsikring'!G39+'Danica Pensjonsforsikring'!G111-'Danica Pensjonsforsikring'!G119+'Danica Pensjonsforsikring'!G136-'Danica Pensjonsforsikring'!G137</f>
        <v>184923.24699999997</v>
      </c>
      <c r="O140" s="74"/>
    </row>
    <row r="141" spans="1:15" x14ac:dyDescent="0.3">
      <c r="A141" s="74"/>
      <c r="B141" s="74"/>
      <c r="C141" s="74"/>
      <c r="D141" s="74"/>
      <c r="E141" s="74"/>
      <c r="F141" s="74"/>
      <c r="G141" s="74"/>
      <c r="H141" s="74"/>
      <c r="I141" s="74"/>
      <c r="J141" s="74"/>
      <c r="K141" s="74"/>
      <c r="L141" s="74" t="s">
        <v>55</v>
      </c>
      <c r="M141" s="77">
        <f>'DNB Livsforsikring'!F11-'DNB Livsforsikring'!F12+'DNB Livsforsikring'!F34-'DNB Livsforsikring'!F35+'DNB Livsforsikring'!F38-'DNB Livsforsikring'!F39+'DNB Livsforsikring'!F111-'DNB Livsforsikring'!F119+'DNB Livsforsikring'!F136-'DNB Livsforsikring'!F137</f>
        <v>410023</v>
      </c>
      <c r="N141" s="77">
        <f>'DNB Livsforsikring'!G11-'DNB Livsforsikring'!G12+'DNB Livsforsikring'!G34-'DNB Livsforsikring'!G35+'DNB Livsforsikring'!G38-'DNB Livsforsikring'!G39+'DNB Livsforsikring'!G111-'DNB Livsforsikring'!G119+'DNB Livsforsikring'!G136-'DNB Livsforsikring'!G137</f>
        <v>-3785522</v>
      </c>
      <c r="O141" s="74"/>
    </row>
    <row r="142" spans="1:15" x14ac:dyDescent="0.3">
      <c r="A142" s="74"/>
      <c r="B142" s="74"/>
      <c r="C142" s="74"/>
      <c r="D142" s="74"/>
      <c r="E142" s="74"/>
      <c r="F142" s="74"/>
      <c r="G142" s="74"/>
      <c r="H142" s="74"/>
      <c r="I142" s="74"/>
      <c r="J142" s="74"/>
      <c r="K142" s="74"/>
      <c r="L142" s="74" t="s">
        <v>57</v>
      </c>
      <c r="M142" s="77">
        <f>'Frende Livsforsikring'!F11-'Frende Livsforsikring'!F12+'Frende Livsforsikring'!F34-'Frende Livsforsikring'!F35+'Frende Livsforsikring'!F38-'Frende Livsforsikring'!F39+'Frende Livsforsikring'!F111-'Frende Livsforsikring'!F119+'Frende Livsforsikring'!F136-'Frende Livsforsikring'!F137</f>
        <v>45724</v>
      </c>
      <c r="N142" s="77">
        <f>'Frende Livsforsikring'!G11-'Frende Livsforsikring'!G12+'Frende Livsforsikring'!G34-'Frende Livsforsikring'!G35+'Frende Livsforsikring'!G38-'Frende Livsforsikring'!G39+'Frende Livsforsikring'!G111-'Frende Livsforsikring'!G119+'Frende Livsforsikring'!G136-'Frende Livsforsikring'!G137</f>
        <v>-19904</v>
      </c>
      <c r="O142" s="74"/>
    </row>
    <row r="143" spans="1:15" x14ac:dyDescent="0.3">
      <c r="A143" s="74"/>
      <c r="B143" s="74"/>
      <c r="C143" s="74"/>
      <c r="D143" s="74"/>
      <c r="E143" s="74"/>
      <c r="F143" s="74"/>
      <c r="G143" s="74"/>
      <c r="H143" s="74"/>
      <c r="I143" s="74"/>
      <c r="J143" s="74"/>
      <c r="K143" s="74"/>
      <c r="L143" s="79" t="s">
        <v>60</v>
      </c>
      <c r="M143" s="77">
        <f>'Gjensidige Pensjon'!F11-'Gjensidige Pensjon'!F12+'Gjensidige Pensjon'!F34-'Gjensidige Pensjon'!F35+'Gjensidige Pensjon'!F38-'Gjensidige Pensjon'!F39+'Gjensidige Pensjon'!F111-'Gjensidige Pensjon'!F119+'Gjensidige Pensjon'!F136-'Gjensidige Pensjon'!F137</f>
        <v>-401668.09999999986</v>
      </c>
      <c r="N143" s="77">
        <f>'Gjensidige Pensjon'!G11-'Gjensidige Pensjon'!G12+'Gjensidige Pensjon'!G34-'Gjensidige Pensjon'!G35+'Gjensidige Pensjon'!G38-'Gjensidige Pensjon'!G39+'Gjensidige Pensjon'!G111-'Gjensidige Pensjon'!G119+'Gjensidige Pensjon'!G136-'Gjensidige Pensjon'!G137</f>
        <v>-781255.79999999993</v>
      </c>
      <c r="O143" s="74"/>
    </row>
    <row r="144" spans="1:15" x14ac:dyDescent="0.3">
      <c r="A144" s="74"/>
      <c r="B144" s="74"/>
      <c r="C144" s="74"/>
      <c r="D144" s="74"/>
      <c r="E144" s="74"/>
      <c r="F144" s="74"/>
      <c r="G144" s="74"/>
      <c r="H144" s="74"/>
      <c r="I144" s="74"/>
      <c r="J144" s="74"/>
      <c r="K144" s="74"/>
      <c r="L144" s="74" t="s">
        <v>64</v>
      </c>
      <c r="M144" s="77">
        <f>'KLP Bedriftspensjon AS'!F11-'KLP Bedriftspensjon AS'!F12+'KLP Bedriftspensjon AS'!F34-'KLP Bedriftspensjon AS'!F35+'KLP Bedriftspensjon AS'!F38-'KLP Bedriftspensjon AS'!F39+'KLP Bedriftspensjon AS'!F111-'KLP Bedriftspensjon AS'!F119+'KLP Bedriftspensjon AS'!F136-'KLP Bedriftspensjon AS'!F137</f>
        <v>263995</v>
      </c>
      <c r="N144" s="77">
        <f>'KLP Bedriftspensjon AS'!G11-'KLP Bedriftspensjon AS'!G12+'KLP Bedriftspensjon AS'!G34-'KLP Bedriftspensjon AS'!G35+'KLP Bedriftspensjon AS'!G38-'KLP Bedriftspensjon AS'!G39+'KLP Bedriftspensjon AS'!G111-'KLP Bedriftspensjon AS'!G119+'KLP Bedriftspensjon AS'!G136-'KLP Bedriftspensjon AS'!G137</f>
        <v>162061</v>
      </c>
      <c r="O144" s="74"/>
    </row>
    <row r="145" spans="1:15" x14ac:dyDescent="0.3">
      <c r="A145" s="74"/>
      <c r="B145" s="74"/>
      <c r="C145" s="74"/>
      <c r="D145" s="74"/>
      <c r="E145" s="74"/>
      <c r="F145" s="74"/>
      <c r="G145" s="74"/>
      <c r="H145" s="74"/>
      <c r="I145" s="74"/>
      <c r="J145" s="74"/>
      <c r="K145" s="74"/>
      <c r="L145" s="74" t="s">
        <v>66</v>
      </c>
      <c r="M145" s="77">
        <f>'Nordea Liv '!F11-'Nordea Liv '!F12+'Nordea Liv '!F34-'Nordea Liv '!F35+'Nordea Liv '!F38-'Nordea Liv '!F39+'Nordea Liv '!F111-'Nordea Liv '!F119+'Nordea Liv '!F136-'Nordea Liv '!F137</f>
        <v>400449.70821000007</v>
      </c>
      <c r="N145" s="77">
        <f>'Nordea Liv '!G11-'Nordea Liv '!G12+'Nordea Liv '!G34-'Nordea Liv '!G35+'Nordea Liv '!G38-'Nordea Liv '!G39+'Nordea Liv '!G111-'Nordea Liv '!G119+'Nordea Liv '!G136-'Nordea Liv '!G137</f>
        <v>2363395.0276000001</v>
      </c>
      <c r="O145" s="74"/>
    </row>
    <row r="146" spans="1:15" x14ac:dyDescent="0.3">
      <c r="A146" s="74"/>
      <c r="B146" s="74"/>
      <c r="C146" s="74"/>
      <c r="D146" s="74"/>
      <c r="E146" s="74"/>
      <c r="F146" s="74"/>
      <c r="G146" s="74"/>
      <c r="H146" s="74"/>
      <c r="I146" s="74"/>
      <c r="J146" s="74"/>
      <c r="K146" s="74"/>
      <c r="L146" s="74" t="s">
        <v>72</v>
      </c>
      <c r="M146" s="77">
        <f>'SHB Liv'!F11-'SHB Liv'!F12+'SHB Liv'!F34-'SHB Liv'!F35+'SHB Liv'!F38-'SHB Liv'!F39+'SHB Liv'!F111-'SHB Liv'!F119+'SHB Liv'!F136-'SHB Liv'!F137</f>
        <v>47887.002579999993</v>
      </c>
      <c r="N146" s="77">
        <f>'SHB Liv'!G11-'SHB Liv'!G12+'SHB Liv'!G34-'SHB Liv'!G35+'SHB Liv'!G38-'SHB Liv'!G39+'SHB Liv'!G111-'SHB Liv'!G119+'SHB Liv'!G136-'SHB Liv'!G137</f>
        <v>53104.750159999996</v>
      </c>
      <c r="O146" s="74"/>
    </row>
    <row r="147" spans="1:15" x14ac:dyDescent="0.3">
      <c r="A147" s="74"/>
      <c r="B147" s="74"/>
      <c r="C147" s="74"/>
      <c r="D147" s="74"/>
      <c r="E147" s="74"/>
      <c r="F147" s="74"/>
      <c r="G147" s="74"/>
      <c r="H147" s="74"/>
      <c r="I147" s="74"/>
      <c r="J147" s="74"/>
      <c r="K147" s="74"/>
      <c r="L147" s="74" t="s">
        <v>68</v>
      </c>
      <c r="M147" s="77">
        <f>'Sparebank 1'!F11-'Sparebank 1'!F12+'Sparebank 1'!F34-'Sparebank 1'!F35+'Sparebank 1'!F38-'Sparebank 1'!F39+'Sparebank 1'!F111-'Sparebank 1'!F119+'Sparebank 1'!F136-'Sparebank 1'!F137</f>
        <v>273876.59715999989</v>
      </c>
      <c r="N147" s="77">
        <f>'Sparebank 1'!G11-'Sparebank 1'!G12+'Sparebank 1'!G34-'Sparebank 1'!G35+'Sparebank 1'!G38-'Sparebank 1'!G39+'Sparebank 1'!G111-'Sparebank 1'!G119+'Sparebank 1'!G136-'Sparebank 1'!G137</f>
        <v>249798.30333999998</v>
      </c>
      <c r="O147" s="74"/>
    </row>
    <row r="148" spans="1:15" x14ac:dyDescent="0.3">
      <c r="A148" s="74"/>
      <c r="B148" s="74"/>
      <c r="C148" s="74"/>
      <c r="D148" s="74"/>
      <c r="E148" s="74"/>
      <c r="F148" s="74"/>
      <c r="G148" s="74"/>
      <c r="H148" s="74"/>
      <c r="I148" s="74"/>
      <c r="J148" s="74"/>
      <c r="K148" s="74"/>
      <c r="L148" s="74" t="s">
        <v>73</v>
      </c>
      <c r="M148" s="77">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-1195960.9420000003</v>
      </c>
      <c r="N148" s="77">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1810308.1159999995</v>
      </c>
      <c r="O148" s="74"/>
    </row>
    <row r="149" spans="1:15" x14ac:dyDescent="0.3">
      <c r="A149" s="74"/>
      <c r="B149" s="74"/>
      <c r="C149" s="74"/>
      <c r="D149" s="74"/>
      <c r="E149" s="74"/>
      <c r="F149" s="74"/>
      <c r="G149" s="74"/>
      <c r="H149" s="74"/>
      <c r="I149" s="74"/>
      <c r="J149" s="74"/>
      <c r="K149" s="74"/>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O154" s="74"/>
    </row>
    <row r="155" spans="1:15" x14ac:dyDescent="0.3">
      <c r="O155" s="74"/>
    </row>
    <row r="156" spans="1:15" x14ac:dyDescent="0.3">
      <c r="O156" s="74"/>
    </row>
    <row r="157" spans="1:15" x14ac:dyDescent="0.3">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A170" s="74"/>
      <c r="B170" s="74"/>
      <c r="C170" s="74"/>
      <c r="D170" s="74"/>
      <c r="E170" s="74"/>
      <c r="F170" s="74"/>
      <c r="G170" s="74"/>
      <c r="H170" s="74"/>
      <c r="I170" s="74"/>
      <c r="J170" s="74"/>
      <c r="K170" s="74"/>
      <c r="O170" s="74"/>
    </row>
    <row r="171" spans="1:15" x14ac:dyDescent="0.3">
      <c r="A171" s="74"/>
      <c r="B171" s="74"/>
      <c r="C171" s="74"/>
      <c r="D171" s="74"/>
      <c r="E171" s="74"/>
      <c r="F171" s="74"/>
      <c r="G171" s="74"/>
      <c r="H171" s="74"/>
      <c r="I171" s="74"/>
      <c r="J171" s="74"/>
      <c r="K171" s="74"/>
      <c r="O171" s="74"/>
    </row>
    <row r="172" spans="1:15" x14ac:dyDescent="0.3">
      <c r="A172" s="74"/>
      <c r="B172" s="74"/>
      <c r="C172" s="74"/>
      <c r="D172" s="74"/>
      <c r="E172" s="74"/>
      <c r="F172" s="74"/>
      <c r="G172" s="74"/>
      <c r="H172" s="74"/>
      <c r="I172" s="74"/>
      <c r="J172" s="74"/>
      <c r="K172" s="74"/>
      <c r="O172" s="74"/>
    </row>
    <row r="173" spans="1:15" x14ac:dyDescent="0.3">
      <c r="A173" s="74"/>
      <c r="B173" s="74"/>
      <c r="C173" s="74"/>
      <c r="D173" s="74"/>
      <c r="E173" s="74"/>
      <c r="F173" s="74"/>
      <c r="G173" s="74"/>
      <c r="H173" s="74"/>
      <c r="I173" s="74"/>
      <c r="J173" s="74"/>
      <c r="K173" s="74"/>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N144"/>
  <sheetViews>
    <sheetView showGridLines="0" zoomScale="120" zoomScaleNormal="120" workbookViewId="0">
      <selection activeCell="C1" sqref="C1"/>
    </sheetView>
  </sheetViews>
  <sheetFormatPr baseColWidth="10" defaultColWidth="11.42578125" defaultRowHeight="12.75" x14ac:dyDescent="0.2"/>
  <cols>
    <col min="1" max="1" width="43"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99</v>
      </c>
      <c r="D1" s="26"/>
      <c r="E1" s="26"/>
      <c r="F1" s="26"/>
      <c r="G1" s="26"/>
      <c r="H1" s="26"/>
      <c r="I1" s="26"/>
      <c r="J1" s="26"/>
      <c r="K1" s="26"/>
      <c r="L1" s="26"/>
      <c r="M1" s="26"/>
    </row>
    <row r="2" spans="1:14" ht="15.75" x14ac:dyDescent="0.25">
      <c r="A2" s="165" t="s">
        <v>28</v>
      </c>
      <c r="B2" s="736"/>
      <c r="C2" s="736"/>
      <c r="D2" s="736"/>
      <c r="E2" s="298"/>
      <c r="F2" s="736"/>
      <c r="G2" s="736"/>
      <c r="H2" s="736"/>
      <c r="I2" s="298"/>
      <c r="J2" s="736"/>
      <c r="K2" s="736"/>
      <c r="L2" s="736"/>
      <c r="M2" s="298"/>
    </row>
    <row r="3" spans="1:14" ht="15.75" x14ac:dyDescent="0.25">
      <c r="A3" s="163"/>
      <c r="B3" s="298"/>
      <c r="C3" s="298"/>
      <c r="D3" s="298"/>
      <c r="E3" s="298"/>
      <c r="F3" s="298"/>
      <c r="G3" s="298"/>
      <c r="H3" s="298"/>
      <c r="I3" s="298"/>
      <c r="J3" s="298"/>
      <c r="K3" s="298"/>
      <c r="L3" s="298"/>
      <c r="M3" s="298"/>
    </row>
    <row r="4" spans="1:14" x14ac:dyDescent="0.2">
      <c r="A4" s="144"/>
      <c r="B4" s="737" t="s">
        <v>0</v>
      </c>
      <c r="C4" s="738"/>
      <c r="D4" s="738"/>
      <c r="E4" s="300"/>
      <c r="F4" s="737" t="s">
        <v>1</v>
      </c>
      <c r="G4" s="738"/>
      <c r="H4" s="738"/>
      <c r="I4" s="303"/>
      <c r="J4" s="737" t="s">
        <v>2</v>
      </c>
      <c r="K4" s="738"/>
      <c r="L4" s="738"/>
      <c r="M4" s="303"/>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c r="C7" s="306"/>
      <c r="D7" s="349"/>
      <c r="E7" s="11"/>
      <c r="F7" s="305"/>
      <c r="G7" s="306"/>
      <c r="H7" s="349"/>
      <c r="I7" s="160"/>
      <c r="J7" s="307"/>
      <c r="K7" s="308"/>
      <c r="L7" s="426"/>
      <c r="M7" s="11"/>
    </row>
    <row r="8" spans="1:14" ht="15.75" x14ac:dyDescent="0.2">
      <c r="A8" s="21" t="s">
        <v>25</v>
      </c>
      <c r="B8" s="280"/>
      <c r="C8" s="281"/>
      <c r="D8" s="166"/>
      <c r="E8" s="27"/>
      <c r="F8" s="284"/>
      <c r="G8" s="285"/>
      <c r="H8" s="166"/>
      <c r="I8" s="175"/>
      <c r="J8" s="233"/>
      <c r="K8" s="286"/>
      <c r="L8" s="253"/>
      <c r="M8" s="27"/>
    </row>
    <row r="9" spans="1:14" ht="15.75" x14ac:dyDescent="0.2">
      <c r="A9" s="21" t="s">
        <v>24</v>
      </c>
      <c r="B9" s="280"/>
      <c r="C9" s="281"/>
      <c r="D9" s="166"/>
      <c r="E9" s="27"/>
      <c r="F9" s="284"/>
      <c r="G9" s="285"/>
      <c r="H9" s="166"/>
      <c r="I9" s="175"/>
      <c r="J9" s="233"/>
      <c r="K9" s="286"/>
      <c r="L9" s="253"/>
      <c r="M9" s="27"/>
    </row>
    <row r="10" spans="1:14" ht="15.75" x14ac:dyDescent="0.2">
      <c r="A10" s="13" t="s">
        <v>367</v>
      </c>
      <c r="B10" s="309"/>
      <c r="C10" s="310"/>
      <c r="D10" s="171"/>
      <c r="E10" s="11"/>
      <c r="F10" s="309"/>
      <c r="G10" s="310"/>
      <c r="H10" s="171"/>
      <c r="I10" s="160"/>
      <c r="J10" s="307"/>
      <c r="K10" s="308"/>
      <c r="L10" s="427"/>
      <c r="M10" s="11"/>
    </row>
    <row r="11" spans="1:14" s="43" customFormat="1" ht="15.75" x14ac:dyDescent="0.2">
      <c r="A11" s="13" t="s">
        <v>368</v>
      </c>
      <c r="B11" s="309"/>
      <c r="C11" s="310"/>
      <c r="D11" s="171"/>
      <c r="E11" s="11"/>
      <c r="F11" s="309"/>
      <c r="G11" s="310"/>
      <c r="H11" s="171"/>
      <c r="I11" s="160"/>
      <c r="J11" s="307"/>
      <c r="K11" s="308"/>
      <c r="L11" s="427"/>
      <c r="M11" s="11"/>
      <c r="N11" s="143"/>
    </row>
    <row r="12" spans="1:14" s="43" customFormat="1" ht="15.75" x14ac:dyDescent="0.2">
      <c r="A12" s="41" t="s">
        <v>369</v>
      </c>
      <c r="B12" s="311"/>
      <c r="C12" s="312"/>
      <c r="D12" s="169"/>
      <c r="E12" s="36"/>
      <c r="F12" s="311"/>
      <c r="G12" s="312"/>
      <c r="H12" s="169"/>
      <c r="I12" s="169"/>
      <c r="J12" s="313"/>
      <c r="K12" s="314"/>
      <c r="L12" s="428"/>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426"/>
      <c r="M22" s="24"/>
    </row>
    <row r="23" spans="1:14" ht="15.75" x14ac:dyDescent="0.2">
      <c r="A23" s="587" t="s">
        <v>370</v>
      </c>
      <c r="B23" s="280"/>
      <c r="C23" s="280"/>
      <c r="D23" s="166"/>
      <c r="E23" s="11"/>
      <c r="F23" s="289"/>
      <c r="G23" s="289"/>
      <c r="H23" s="166"/>
      <c r="I23" s="416"/>
      <c r="J23" s="289"/>
      <c r="K23" s="289"/>
      <c r="L23" s="166"/>
      <c r="M23" s="23"/>
    </row>
    <row r="24" spans="1:14" ht="15.75" x14ac:dyDescent="0.2">
      <c r="A24" s="587" t="s">
        <v>371</v>
      </c>
      <c r="B24" s="280"/>
      <c r="C24" s="280"/>
      <c r="D24" s="166"/>
      <c r="E24" s="11"/>
      <c r="F24" s="289"/>
      <c r="G24" s="289"/>
      <c r="H24" s="166"/>
      <c r="I24" s="416"/>
      <c r="J24" s="289"/>
      <c r="K24" s="289"/>
      <c r="L24" s="166"/>
      <c r="M24" s="23"/>
    </row>
    <row r="25" spans="1:14" ht="15.75" x14ac:dyDescent="0.2">
      <c r="A25" s="587" t="s">
        <v>372</v>
      </c>
      <c r="B25" s="280"/>
      <c r="C25" s="280"/>
      <c r="D25" s="166"/>
      <c r="E25" s="11"/>
      <c r="F25" s="289"/>
      <c r="G25" s="289"/>
      <c r="H25" s="166"/>
      <c r="I25" s="416"/>
      <c r="J25" s="289"/>
      <c r="K25" s="289"/>
      <c r="L25" s="166"/>
      <c r="M25" s="23"/>
    </row>
    <row r="26" spans="1:14" ht="15.75" x14ac:dyDescent="0.2">
      <c r="A26" s="587" t="s">
        <v>373</v>
      </c>
      <c r="B26" s="280"/>
      <c r="C26" s="280"/>
      <c r="D26" s="166"/>
      <c r="E26" s="11"/>
      <c r="F26" s="289"/>
      <c r="G26" s="289"/>
      <c r="H26" s="166"/>
      <c r="I26" s="416"/>
      <c r="J26" s="289"/>
      <c r="K26" s="289"/>
      <c r="L26" s="166"/>
      <c r="M26" s="23"/>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c r="C28" s="286"/>
      <c r="D28" s="166"/>
      <c r="E28" s="11"/>
      <c r="F28" s="233"/>
      <c r="G28" s="286"/>
      <c r="H28" s="166"/>
      <c r="I28" s="27"/>
      <c r="J28" s="44"/>
      <c r="K28" s="44"/>
      <c r="L28" s="253"/>
      <c r="M28" s="23"/>
    </row>
    <row r="29" spans="1:14" s="3" customFormat="1" ht="15.75" x14ac:dyDescent="0.2">
      <c r="A29" s="13" t="s">
        <v>367</v>
      </c>
      <c r="B29" s="235"/>
      <c r="C29" s="235"/>
      <c r="D29" s="171"/>
      <c r="E29" s="11"/>
      <c r="F29" s="307"/>
      <c r="G29" s="307"/>
      <c r="H29" s="171"/>
      <c r="I29" s="11"/>
      <c r="J29" s="235"/>
      <c r="K29" s="235"/>
      <c r="L29" s="427"/>
      <c r="M29" s="24"/>
      <c r="N29" s="148"/>
    </row>
    <row r="30" spans="1:14" s="3" customFormat="1" ht="15.75" x14ac:dyDescent="0.2">
      <c r="A30" s="587" t="s">
        <v>370</v>
      </c>
      <c r="B30" s="280"/>
      <c r="C30" s="280"/>
      <c r="D30" s="166"/>
      <c r="E30" s="11"/>
      <c r="F30" s="289"/>
      <c r="G30" s="289"/>
      <c r="H30" s="166"/>
      <c r="I30" s="416"/>
      <c r="J30" s="289"/>
      <c r="K30" s="289"/>
      <c r="L30" s="166"/>
      <c r="M30" s="23"/>
      <c r="N30" s="148"/>
    </row>
    <row r="31" spans="1:14" s="3" customFormat="1" ht="15.75" x14ac:dyDescent="0.2">
      <c r="A31" s="587" t="s">
        <v>371</v>
      </c>
      <c r="B31" s="280"/>
      <c r="C31" s="280"/>
      <c r="D31" s="166"/>
      <c r="E31" s="11"/>
      <c r="F31" s="289"/>
      <c r="G31" s="289"/>
      <c r="H31" s="166"/>
      <c r="I31" s="416"/>
      <c r="J31" s="289"/>
      <c r="K31" s="289"/>
      <c r="L31" s="166"/>
      <c r="M31" s="23"/>
      <c r="N31" s="148"/>
    </row>
    <row r="32" spans="1:14" ht="15.75" x14ac:dyDescent="0.2">
      <c r="A32" s="587" t="s">
        <v>372</v>
      </c>
      <c r="B32" s="280"/>
      <c r="C32" s="280"/>
      <c r="D32" s="166"/>
      <c r="E32" s="11"/>
      <c r="F32" s="289"/>
      <c r="G32" s="289"/>
      <c r="H32" s="166"/>
      <c r="I32" s="416"/>
      <c r="J32" s="289"/>
      <c r="K32" s="289"/>
      <c r="L32" s="166"/>
      <c r="M32" s="23"/>
    </row>
    <row r="33" spans="1:14" ht="15.75" x14ac:dyDescent="0.2">
      <c r="A33" s="587" t="s">
        <v>373</v>
      </c>
      <c r="B33" s="280"/>
      <c r="C33" s="280"/>
      <c r="D33" s="166"/>
      <c r="E33" s="11"/>
      <c r="F33" s="289"/>
      <c r="G33" s="289"/>
      <c r="H33" s="166"/>
      <c r="I33" s="416"/>
      <c r="J33" s="289"/>
      <c r="K33" s="289"/>
      <c r="L33" s="166"/>
      <c r="M33" s="23"/>
    </row>
    <row r="34" spans="1:14" ht="15.75" x14ac:dyDescent="0.2">
      <c r="A34" s="13" t="s">
        <v>368</v>
      </c>
      <c r="B34" s="235"/>
      <c r="C34" s="308"/>
      <c r="D34" s="171"/>
      <c r="E34" s="11"/>
      <c r="F34" s="307"/>
      <c r="G34" s="308"/>
      <c r="H34" s="171"/>
      <c r="I34" s="11"/>
      <c r="J34" s="235"/>
      <c r="K34" s="235"/>
      <c r="L34" s="427"/>
      <c r="M34" s="24"/>
    </row>
    <row r="35" spans="1:14" ht="15.75" x14ac:dyDescent="0.2">
      <c r="A35" s="13" t="s">
        <v>369</v>
      </c>
      <c r="B35" s="235"/>
      <c r="C35" s="308"/>
      <c r="D35" s="171"/>
      <c r="E35" s="11"/>
      <c r="F35" s="307"/>
      <c r="G35" s="308"/>
      <c r="H35" s="171"/>
      <c r="I35" s="11"/>
      <c r="J35" s="235"/>
      <c r="K35" s="235"/>
      <c r="L35" s="427"/>
      <c r="M35" s="24"/>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431"/>
      <c r="E38" s="24"/>
      <c r="F38" s="318"/>
      <c r="G38" s="319"/>
      <c r="H38" s="171"/>
      <c r="I38" s="433"/>
      <c r="J38" s="235"/>
      <c r="K38" s="235"/>
      <c r="L38" s="427"/>
      <c r="M38" s="24"/>
    </row>
    <row r="39" spans="1:14" ht="15.75" x14ac:dyDescent="0.2">
      <c r="A39" s="18" t="s">
        <v>377</v>
      </c>
      <c r="B39" s="275"/>
      <c r="C39" s="314"/>
      <c r="D39" s="432"/>
      <c r="E39" s="36"/>
      <c r="F39" s="321"/>
      <c r="G39" s="322"/>
      <c r="H39" s="169"/>
      <c r="I39" s="36"/>
      <c r="J39" s="235"/>
      <c r="K39" s="235"/>
      <c r="L39" s="428"/>
      <c r="M39" s="36"/>
    </row>
    <row r="40" spans="1:14" ht="15.75" x14ac:dyDescent="0.25">
      <c r="A40" s="47"/>
      <c r="B40" s="252"/>
      <c r="C40" s="252"/>
      <c r="D40" s="740"/>
      <c r="E40" s="741"/>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v>543064</v>
      </c>
      <c r="C47" s="310">
        <v>558832.35693999997</v>
      </c>
      <c r="D47" s="426">
        <f t="shared" ref="D47:D58" si="0">IF(B47=0, "    ---- ", IF(ABS(ROUND(100/B47*C47-100,1))&lt;999,ROUND(100/B47*C47-100,1),IF(ROUND(100/B47*C47-100,1)&gt;999,999,-999)))</f>
        <v>2.9</v>
      </c>
      <c r="E47" s="11">
        <f>IFERROR(100/'Skjema total MA'!C47*C47,0)</f>
        <v>15.301015127794956</v>
      </c>
      <c r="F47" s="145"/>
      <c r="G47" s="33"/>
      <c r="H47" s="159"/>
      <c r="I47" s="159"/>
      <c r="J47" s="37"/>
      <c r="K47" s="37"/>
      <c r="L47" s="159"/>
      <c r="M47" s="159"/>
      <c r="N47" s="148"/>
    </row>
    <row r="48" spans="1:14" s="3" customFormat="1" ht="15.75" x14ac:dyDescent="0.2">
      <c r="A48" s="38" t="s">
        <v>378</v>
      </c>
      <c r="B48" s="280">
        <v>174176</v>
      </c>
      <c r="C48" s="281">
        <v>134441.95121999999</v>
      </c>
      <c r="D48" s="253">
        <f t="shared" si="0"/>
        <v>-22.8</v>
      </c>
      <c r="E48" s="27">
        <f>IFERROR(100/'Skjema total MA'!C48*C48,0)</f>
        <v>6.4998319111843932</v>
      </c>
      <c r="F48" s="145"/>
      <c r="G48" s="33"/>
      <c r="H48" s="145"/>
      <c r="I48" s="145"/>
      <c r="J48" s="33"/>
      <c r="K48" s="33"/>
      <c r="L48" s="159"/>
      <c r="M48" s="159"/>
      <c r="N48" s="148"/>
    </row>
    <row r="49" spans="1:14" s="3" customFormat="1" ht="15.75" x14ac:dyDescent="0.2">
      <c r="A49" s="38" t="s">
        <v>379</v>
      </c>
      <c r="B49" s="44">
        <v>368888</v>
      </c>
      <c r="C49" s="286">
        <v>424390.40571999998</v>
      </c>
      <c r="D49" s="253">
        <f>IF(B49=0, "    ---- ", IF(ABS(ROUND(100/B49*C49-100,1))&lt;999,ROUND(100/B49*C49-100,1),IF(ROUND(100/B49*C49-100,1)&gt;999,999,-999)))</f>
        <v>15</v>
      </c>
      <c r="E49" s="27">
        <f>IFERROR(100/'Skjema total MA'!C49*C49,0)</f>
        <v>26.794598006029368</v>
      </c>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v>90577</v>
      </c>
      <c r="C53" s="310">
        <v>3826.5</v>
      </c>
      <c r="D53" s="427">
        <f t="shared" si="0"/>
        <v>-95.8</v>
      </c>
      <c r="E53" s="11">
        <f>IFERROR(100/'Skjema total MA'!C53*C53,0)</f>
        <v>2.920549446138577</v>
      </c>
      <c r="F53" s="145"/>
      <c r="G53" s="33"/>
      <c r="H53" s="145"/>
      <c r="I53" s="145"/>
      <c r="J53" s="33"/>
      <c r="K53" s="33"/>
      <c r="L53" s="159"/>
      <c r="M53" s="159"/>
      <c r="N53" s="148"/>
    </row>
    <row r="54" spans="1:14" s="3" customFormat="1" ht="15.75" x14ac:dyDescent="0.2">
      <c r="A54" s="38" t="s">
        <v>378</v>
      </c>
      <c r="B54" s="280">
        <v>3521</v>
      </c>
      <c r="C54" s="281">
        <v>3826.5</v>
      </c>
      <c r="D54" s="253">
        <f t="shared" si="0"/>
        <v>8.6999999999999993</v>
      </c>
      <c r="E54" s="27">
        <f>IFERROR(100/'Skjema total MA'!C54*C54,0)</f>
        <v>2.920549446138577</v>
      </c>
      <c r="F54" s="145"/>
      <c r="G54" s="33"/>
      <c r="H54" s="145"/>
      <c r="I54" s="145"/>
      <c r="J54" s="33"/>
      <c r="K54" s="33"/>
      <c r="L54" s="159"/>
      <c r="M54" s="159"/>
      <c r="N54" s="148"/>
    </row>
    <row r="55" spans="1:14" s="3" customFormat="1" ht="15.75" x14ac:dyDescent="0.2">
      <c r="A55" s="38" t="s">
        <v>379</v>
      </c>
      <c r="B55" s="280">
        <v>87056</v>
      </c>
      <c r="C55" s="281">
        <v>0</v>
      </c>
      <c r="D55" s="253">
        <f t="shared" si="0"/>
        <v>-100</v>
      </c>
      <c r="E55" s="27">
        <f>IFERROR(100/'Skjema total MA'!C55*C55,0)</f>
        <v>0</v>
      </c>
      <c r="F55" s="145"/>
      <c r="G55" s="33"/>
      <c r="H55" s="145"/>
      <c r="I55" s="145"/>
      <c r="J55" s="33"/>
      <c r="K55" s="33"/>
      <c r="L55" s="159"/>
      <c r="M55" s="159"/>
      <c r="N55" s="148"/>
    </row>
    <row r="56" spans="1:14" s="3" customFormat="1" ht="15.75" x14ac:dyDescent="0.2">
      <c r="A56" s="39" t="s">
        <v>381</v>
      </c>
      <c r="B56" s="309">
        <v>30870.3</v>
      </c>
      <c r="C56" s="310">
        <v>66411.399999999994</v>
      </c>
      <c r="D56" s="427">
        <f t="shared" si="0"/>
        <v>115.1</v>
      </c>
      <c r="E56" s="11">
        <f>IFERROR(100/'Skjema total MA'!C56*C56,0)</f>
        <v>59.639131501207423</v>
      </c>
      <c r="F56" s="145"/>
      <c r="G56" s="33"/>
      <c r="H56" s="145"/>
      <c r="I56" s="145"/>
      <c r="J56" s="33"/>
      <c r="K56" s="33"/>
      <c r="L56" s="159"/>
      <c r="M56" s="159"/>
      <c r="N56" s="148"/>
    </row>
    <row r="57" spans="1:14" s="3" customFormat="1" ht="15.75" x14ac:dyDescent="0.2">
      <c r="A57" s="38" t="s">
        <v>378</v>
      </c>
      <c r="B57" s="280">
        <v>30863.7</v>
      </c>
      <c r="C57" s="281">
        <v>66408</v>
      </c>
      <c r="D57" s="253">
        <f t="shared" si="0"/>
        <v>115.2</v>
      </c>
      <c r="E57" s="27">
        <f>IFERROR(100/'Skjema total MA'!C57*C57,0)</f>
        <v>59.637899130532993</v>
      </c>
      <c r="F57" s="145"/>
      <c r="G57" s="33"/>
      <c r="H57" s="145"/>
      <c r="I57" s="145"/>
      <c r="J57" s="33"/>
      <c r="K57" s="33"/>
      <c r="L57" s="159"/>
      <c r="M57" s="159"/>
      <c r="N57" s="148"/>
    </row>
    <row r="58" spans="1:14" s="3" customFormat="1" ht="15.75" x14ac:dyDescent="0.2">
      <c r="A58" s="46" t="s">
        <v>379</v>
      </c>
      <c r="B58" s="282">
        <v>6.6</v>
      </c>
      <c r="C58" s="283">
        <v>3.4</v>
      </c>
      <c r="D58" s="254">
        <f t="shared" si="0"/>
        <v>-48.5</v>
      </c>
      <c r="E58" s="22">
        <f>IFERROR(100/'Skjema total MA'!C58*C58,0)</f>
        <v>100</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c r="C66" s="352"/>
      <c r="D66" s="349"/>
      <c r="E66" s="11"/>
      <c r="F66" s="351"/>
      <c r="G66" s="351"/>
      <c r="H66" s="349"/>
      <c r="I66" s="11"/>
      <c r="J66" s="308"/>
      <c r="K66" s="315"/>
      <c r="L66" s="427"/>
      <c r="M66" s="11"/>
    </row>
    <row r="67" spans="1:14" x14ac:dyDescent="0.2">
      <c r="A67" s="41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c r="G86" s="145"/>
      <c r="H86" s="166"/>
      <c r="I86" s="27"/>
      <c r="J86" s="286"/>
      <c r="K86" s="44"/>
      <c r="L86" s="253"/>
      <c r="M86" s="27"/>
    </row>
    <row r="87" spans="1:13" ht="15.75" x14ac:dyDescent="0.2">
      <c r="A87" s="13" t="s">
        <v>367</v>
      </c>
      <c r="B87" s="352"/>
      <c r="C87" s="352"/>
      <c r="D87" s="171"/>
      <c r="E87" s="11"/>
      <c r="F87" s="351"/>
      <c r="G87" s="351"/>
      <c r="H87" s="171"/>
      <c r="I87" s="11"/>
      <c r="J87" s="308"/>
      <c r="K87" s="235"/>
      <c r="L87" s="427"/>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row>
    <row r="98" spans="1:13" ht="15.75" x14ac:dyDescent="0.2">
      <c r="A98" s="21" t="s">
        <v>384</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c r="G107" s="145"/>
      <c r="H107" s="166"/>
      <c r="I107" s="27"/>
      <c r="J107" s="286"/>
      <c r="K107" s="44"/>
      <c r="L107" s="253"/>
      <c r="M107" s="27"/>
    </row>
    <row r="108" spans="1:13" ht="15.75" x14ac:dyDescent="0.2">
      <c r="A108" s="21" t="s">
        <v>386</v>
      </c>
      <c r="B108" s="233"/>
      <c r="C108" s="233"/>
      <c r="D108" s="166"/>
      <c r="E108" s="27"/>
      <c r="F108" s="233"/>
      <c r="G108" s="233"/>
      <c r="H108" s="166"/>
      <c r="I108" s="27"/>
      <c r="J108" s="286"/>
      <c r="K108" s="44"/>
      <c r="L108" s="253"/>
      <c r="M108" s="27"/>
    </row>
    <row r="109" spans="1:13" ht="15.75" x14ac:dyDescent="0.2">
      <c r="A109" s="21" t="s">
        <v>387</v>
      </c>
      <c r="B109" s="233"/>
      <c r="C109" s="233"/>
      <c r="D109" s="166"/>
      <c r="E109" s="27"/>
      <c r="F109" s="233"/>
      <c r="G109" s="233"/>
      <c r="H109" s="166"/>
      <c r="I109" s="27"/>
      <c r="J109" s="286"/>
      <c r="K109" s="44"/>
      <c r="L109" s="253"/>
      <c r="M109" s="27"/>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c r="C111" s="159"/>
      <c r="D111" s="171"/>
      <c r="E111" s="11"/>
      <c r="F111" s="307"/>
      <c r="G111" s="159"/>
      <c r="H111" s="171"/>
      <c r="I111" s="11"/>
      <c r="J111" s="308"/>
      <c r="K111" s="235"/>
      <c r="L111" s="427"/>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c r="C116" s="233"/>
      <c r="D116" s="166"/>
      <c r="E116" s="27"/>
      <c r="F116" s="233"/>
      <c r="G116" s="233"/>
      <c r="H116" s="166"/>
      <c r="I116" s="27"/>
      <c r="J116" s="286"/>
      <c r="K116" s="44"/>
      <c r="L116" s="253"/>
      <c r="M116" s="27"/>
    </row>
    <row r="117" spans="1:14" ht="15.75" x14ac:dyDescent="0.2">
      <c r="A117" s="21" t="s">
        <v>390</v>
      </c>
      <c r="B117" s="233"/>
      <c r="C117" s="233"/>
      <c r="D117" s="166"/>
      <c r="E117" s="27"/>
      <c r="F117" s="233"/>
      <c r="G117" s="233"/>
      <c r="H117" s="166"/>
      <c r="I117" s="27"/>
      <c r="J117" s="286"/>
      <c r="K117" s="44"/>
      <c r="L117" s="253"/>
      <c r="M117" s="27"/>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c r="C119" s="159"/>
      <c r="D119" s="171"/>
      <c r="E119" s="11"/>
      <c r="F119" s="307"/>
      <c r="G119" s="159"/>
      <c r="H119" s="171"/>
      <c r="I119" s="11"/>
      <c r="J119" s="308"/>
      <c r="K119" s="235"/>
      <c r="L119" s="427"/>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c r="G125" s="233"/>
      <c r="H125" s="166"/>
      <c r="I125" s="27"/>
      <c r="J125" s="286"/>
      <c r="K125" s="44"/>
      <c r="L125" s="253"/>
      <c r="M125" s="27"/>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46" priority="117">
      <formula>kvartal &lt; 4</formula>
    </cfRule>
  </conditionalFormatting>
  <conditionalFormatting sqref="B69">
    <cfRule type="expression" dxfId="345" priority="85">
      <formula>kvartal &lt; 4</formula>
    </cfRule>
  </conditionalFormatting>
  <conditionalFormatting sqref="C69">
    <cfRule type="expression" dxfId="344" priority="84">
      <formula>kvartal &lt; 4</formula>
    </cfRule>
  </conditionalFormatting>
  <conditionalFormatting sqref="B72">
    <cfRule type="expression" dxfId="343" priority="83">
      <formula>kvartal &lt; 4</formula>
    </cfRule>
  </conditionalFormatting>
  <conditionalFormatting sqref="C72">
    <cfRule type="expression" dxfId="342" priority="82">
      <formula>kvartal &lt; 4</formula>
    </cfRule>
  </conditionalFormatting>
  <conditionalFormatting sqref="B80">
    <cfRule type="expression" dxfId="341" priority="81">
      <formula>kvartal &lt; 4</formula>
    </cfRule>
  </conditionalFormatting>
  <conditionalFormatting sqref="C80">
    <cfRule type="expression" dxfId="340" priority="80">
      <formula>kvartal &lt; 4</formula>
    </cfRule>
  </conditionalFormatting>
  <conditionalFormatting sqref="B83">
    <cfRule type="expression" dxfId="339" priority="79">
      <formula>kvartal &lt; 4</formula>
    </cfRule>
  </conditionalFormatting>
  <conditionalFormatting sqref="C83">
    <cfRule type="expression" dxfId="338" priority="78">
      <formula>kvartal &lt; 4</formula>
    </cfRule>
  </conditionalFormatting>
  <conditionalFormatting sqref="B90">
    <cfRule type="expression" dxfId="337" priority="69">
      <formula>kvartal &lt; 4</formula>
    </cfRule>
  </conditionalFormatting>
  <conditionalFormatting sqref="C90">
    <cfRule type="expression" dxfId="336" priority="68">
      <formula>kvartal &lt; 4</formula>
    </cfRule>
  </conditionalFormatting>
  <conditionalFormatting sqref="B93">
    <cfRule type="expression" dxfId="335" priority="67">
      <formula>kvartal &lt; 4</formula>
    </cfRule>
  </conditionalFormatting>
  <conditionalFormatting sqref="C93">
    <cfRule type="expression" dxfId="334" priority="66">
      <formula>kvartal &lt; 4</formula>
    </cfRule>
  </conditionalFormatting>
  <conditionalFormatting sqref="B101">
    <cfRule type="expression" dxfId="333" priority="65">
      <formula>kvartal &lt; 4</formula>
    </cfRule>
  </conditionalFormatting>
  <conditionalFormatting sqref="C101">
    <cfRule type="expression" dxfId="332" priority="64">
      <formula>kvartal &lt; 4</formula>
    </cfRule>
  </conditionalFormatting>
  <conditionalFormatting sqref="B104">
    <cfRule type="expression" dxfId="331" priority="63">
      <formula>kvartal &lt; 4</formula>
    </cfRule>
  </conditionalFormatting>
  <conditionalFormatting sqref="C104">
    <cfRule type="expression" dxfId="330" priority="62">
      <formula>kvartal &lt; 4</formula>
    </cfRule>
  </conditionalFormatting>
  <conditionalFormatting sqref="B115">
    <cfRule type="expression" dxfId="329" priority="61">
      <formula>kvartal &lt; 4</formula>
    </cfRule>
  </conditionalFormatting>
  <conditionalFormatting sqref="C115">
    <cfRule type="expression" dxfId="328" priority="60">
      <formula>kvartal &lt; 4</formula>
    </cfRule>
  </conditionalFormatting>
  <conditionalFormatting sqref="B123">
    <cfRule type="expression" dxfId="327" priority="59">
      <formula>kvartal &lt; 4</formula>
    </cfRule>
  </conditionalFormatting>
  <conditionalFormatting sqref="C123">
    <cfRule type="expression" dxfId="326" priority="58">
      <formula>kvartal &lt; 4</formula>
    </cfRule>
  </conditionalFormatting>
  <conditionalFormatting sqref="F70">
    <cfRule type="expression" dxfId="325" priority="57">
      <formula>kvartal &lt; 4</formula>
    </cfRule>
  </conditionalFormatting>
  <conditionalFormatting sqref="G70">
    <cfRule type="expression" dxfId="324" priority="56">
      <formula>kvartal &lt; 4</formula>
    </cfRule>
  </conditionalFormatting>
  <conditionalFormatting sqref="F71:G71">
    <cfRule type="expression" dxfId="323" priority="55">
      <formula>kvartal &lt; 4</formula>
    </cfRule>
  </conditionalFormatting>
  <conditionalFormatting sqref="F73:G74">
    <cfRule type="expression" dxfId="322" priority="54">
      <formula>kvartal &lt; 4</formula>
    </cfRule>
  </conditionalFormatting>
  <conditionalFormatting sqref="F81:G82">
    <cfRule type="expression" dxfId="321" priority="53">
      <formula>kvartal &lt; 4</formula>
    </cfRule>
  </conditionalFormatting>
  <conditionalFormatting sqref="F84:G85">
    <cfRule type="expression" dxfId="320" priority="52">
      <formula>kvartal &lt; 4</formula>
    </cfRule>
  </conditionalFormatting>
  <conditionalFormatting sqref="F91:G92">
    <cfRule type="expression" dxfId="319" priority="47">
      <formula>kvartal &lt; 4</formula>
    </cfRule>
  </conditionalFormatting>
  <conditionalFormatting sqref="F94:G95">
    <cfRule type="expression" dxfId="318" priority="46">
      <formula>kvartal &lt; 4</formula>
    </cfRule>
  </conditionalFormatting>
  <conditionalFormatting sqref="F102:G103">
    <cfRule type="expression" dxfId="317" priority="45">
      <formula>kvartal &lt; 4</formula>
    </cfRule>
  </conditionalFormatting>
  <conditionalFormatting sqref="F105:G106">
    <cfRule type="expression" dxfId="316" priority="44">
      <formula>kvartal &lt; 4</formula>
    </cfRule>
  </conditionalFormatting>
  <conditionalFormatting sqref="F115">
    <cfRule type="expression" dxfId="315" priority="43">
      <formula>kvartal &lt; 4</formula>
    </cfRule>
  </conditionalFormatting>
  <conditionalFormatting sqref="G115">
    <cfRule type="expression" dxfId="314" priority="42">
      <formula>kvartal &lt; 4</formula>
    </cfRule>
  </conditionalFormatting>
  <conditionalFormatting sqref="F123:G123">
    <cfRule type="expression" dxfId="313" priority="41">
      <formula>kvartal &lt; 4</formula>
    </cfRule>
  </conditionalFormatting>
  <conditionalFormatting sqref="F69:G69">
    <cfRule type="expression" dxfId="312" priority="40">
      <formula>kvartal &lt; 4</formula>
    </cfRule>
  </conditionalFormatting>
  <conditionalFormatting sqref="F72:G72">
    <cfRule type="expression" dxfId="311" priority="39">
      <formula>kvartal &lt; 4</formula>
    </cfRule>
  </conditionalFormatting>
  <conditionalFormatting sqref="F80:G80">
    <cfRule type="expression" dxfId="310" priority="38">
      <formula>kvartal &lt; 4</formula>
    </cfRule>
  </conditionalFormatting>
  <conditionalFormatting sqref="F83:G83">
    <cfRule type="expression" dxfId="309" priority="37">
      <formula>kvartal &lt; 4</formula>
    </cfRule>
  </conditionalFormatting>
  <conditionalFormatting sqref="F90:G90">
    <cfRule type="expression" dxfId="308" priority="31">
      <formula>kvartal &lt; 4</formula>
    </cfRule>
  </conditionalFormatting>
  <conditionalFormatting sqref="F93">
    <cfRule type="expression" dxfId="307" priority="30">
      <formula>kvartal &lt; 4</formula>
    </cfRule>
  </conditionalFormatting>
  <conditionalFormatting sqref="G93">
    <cfRule type="expression" dxfId="306" priority="29">
      <formula>kvartal &lt; 4</formula>
    </cfRule>
  </conditionalFormatting>
  <conditionalFormatting sqref="F101">
    <cfRule type="expression" dxfId="305" priority="28">
      <formula>kvartal &lt; 4</formula>
    </cfRule>
  </conditionalFormatting>
  <conditionalFormatting sqref="G101">
    <cfRule type="expression" dxfId="304" priority="27">
      <formula>kvartal &lt; 4</formula>
    </cfRule>
  </conditionalFormatting>
  <conditionalFormatting sqref="G104">
    <cfRule type="expression" dxfId="303" priority="26">
      <formula>kvartal &lt; 4</formula>
    </cfRule>
  </conditionalFormatting>
  <conditionalFormatting sqref="F104">
    <cfRule type="expression" dxfId="302" priority="25">
      <formula>kvartal &lt; 4</formula>
    </cfRule>
  </conditionalFormatting>
  <conditionalFormatting sqref="J69:K73">
    <cfRule type="expression" dxfId="301" priority="24">
      <formula>kvartal &lt; 4</formula>
    </cfRule>
  </conditionalFormatting>
  <conditionalFormatting sqref="J74:K74">
    <cfRule type="expression" dxfId="300" priority="23">
      <formula>kvartal &lt; 4</formula>
    </cfRule>
  </conditionalFormatting>
  <conditionalFormatting sqref="J80:K85">
    <cfRule type="expression" dxfId="299" priority="22">
      <formula>kvartal &lt; 4</formula>
    </cfRule>
  </conditionalFormatting>
  <conditionalFormatting sqref="J90:K95">
    <cfRule type="expression" dxfId="298" priority="19">
      <formula>kvartal &lt; 4</formula>
    </cfRule>
  </conditionalFormatting>
  <conditionalFormatting sqref="J101:K106">
    <cfRule type="expression" dxfId="297" priority="18">
      <formula>kvartal &lt; 4</formula>
    </cfRule>
  </conditionalFormatting>
  <conditionalFormatting sqref="J115:K115">
    <cfRule type="expression" dxfId="296" priority="17">
      <formula>kvartal &lt; 4</formula>
    </cfRule>
  </conditionalFormatting>
  <conditionalFormatting sqref="J123:K123">
    <cfRule type="expression" dxfId="295" priority="16">
      <formula>kvartal &lt; 4</formula>
    </cfRule>
  </conditionalFormatting>
  <conditionalFormatting sqref="A50:A52">
    <cfRule type="expression" dxfId="294" priority="12">
      <formula>kvartal &lt; 4</formula>
    </cfRule>
  </conditionalFormatting>
  <conditionalFormatting sqref="A69:A74">
    <cfRule type="expression" dxfId="293" priority="10">
      <formula>kvartal &lt; 4</formula>
    </cfRule>
  </conditionalFormatting>
  <conditionalFormatting sqref="A80:A85">
    <cfRule type="expression" dxfId="292" priority="9">
      <formula>kvartal &lt; 4</formula>
    </cfRule>
  </conditionalFormatting>
  <conditionalFormatting sqref="A90:A95">
    <cfRule type="expression" dxfId="291" priority="6">
      <formula>kvartal &lt; 4</formula>
    </cfRule>
  </conditionalFormatting>
  <conditionalFormatting sqref="A101:A106">
    <cfRule type="expression" dxfId="290" priority="5">
      <formula>kvartal &lt; 4</formula>
    </cfRule>
  </conditionalFormatting>
  <conditionalFormatting sqref="A115">
    <cfRule type="expression" dxfId="289" priority="4">
      <formula>kvartal &lt; 4</formula>
    </cfRule>
  </conditionalFormatting>
  <conditionalFormatting sqref="A123">
    <cfRule type="expression" dxfId="288" priority="3">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CFD3-E4B4-485B-89B7-DA0A477AA596}">
  <dimension ref="A1:N144"/>
  <sheetViews>
    <sheetView showGridLines="0" zoomScale="120" zoomScaleNormal="120" workbookViewId="0">
      <selection activeCell="C1" sqref="C1"/>
    </sheetView>
  </sheetViews>
  <sheetFormatPr baseColWidth="10" defaultColWidth="11.42578125" defaultRowHeight="12.75" x14ac:dyDescent="0.2"/>
  <cols>
    <col min="1" max="1" width="43"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405</v>
      </c>
      <c r="D1" s="26"/>
      <c r="E1" s="26"/>
      <c r="F1" s="26"/>
      <c r="G1" s="26"/>
      <c r="H1" s="26"/>
      <c r="I1" s="26"/>
      <c r="J1" s="26"/>
      <c r="K1" s="26"/>
      <c r="L1" s="26"/>
      <c r="M1" s="26"/>
    </row>
    <row r="2" spans="1:14" ht="15.75" x14ac:dyDescent="0.25">
      <c r="A2" s="165" t="s">
        <v>28</v>
      </c>
      <c r="B2" s="736"/>
      <c r="C2" s="736"/>
      <c r="D2" s="736"/>
      <c r="E2" s="613"/>
      <c r="F2" s="736"/>
      <c r="G2" s="736"/>
      <c r="H2" s="736"/>
      <c r="I2" s="613"/>
      <c r="J2" s="736"/>
      <c r="K2" s="736"/>
      <c r="L2" s="736"/>
      <c r="M2" s="613"/>
    </row>
    <row r="3" spans="1:14" ht="15.75" x14ac:dyDescent="0.25">
      <c r="A3" s="163"/>
      <c r="B3" s="613"/>
      <c r="C3" s="613"/>
      <c r="D3" s="613"/>
      <c r="E3" s="613"/>
      <c r="F3" s="613"/>
      <c r="G3" s="613"/>
      <c r="H3" s="613"/>
      <c r="I3" s="613"/>
      <c r="J3" s="613"/>
      <c r="K3" s="613"/>
      <c r="L3" s="613"/>
      <c r="M3" s="613"/>
    </row>
    <row r="4" spans="1:14" x14ac:dyDescent="0.2">
      <c r="A4" s="144"/>
      <c r="B4" s="737" t="s">
        <v>0</v>
      </c>
      <c r="C4" s="738"/>
      <c r="D4" s="738"/>
      <c r="E4" s="610"/>
      <c r="F4" s="737" t="s">
        <v>1</v>
      </c>
      <c r="G4" s="738"/>
      <c r="H4" s="738"/>
      <c r="I4" s="611"/>
      <c r="J4" s="737" t="s">
        <v>2</v>
      </c>
      <c r="K4" s="738"/>
      <c r="L4" s="738"/>
      <c r="M4" s="611"/>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c r="C7" s="306">
        <v>449</v>
      </c>
      <c r="D7" s="349" t="str">
        <f>IF(B7=0, "    ---- ", IF(ABS(ROUND(100/B7*C7-100,1))&lt;999,ROUND(100/B7*C7-100,1),IF(ROUND(100/B7*C7-100,1)&gt;999,999,-999)))</f>
        <v xml:space="preserve">    ---- </v>
      </c>
      <c r="E7" s="11">
        <f>IFERROR(100/'Skjema total MA'!C7*C7,0)</f>
        <v>1.6708258566581063E-2</v>
      </c>
      <c r="F7" s="305"/>
      <c r="G7" s="306"/>
      <c r="H7" s="349"/>
      <c r="I7" s="160"/>
      <c r="J7" s="307"/>
      <c r="K7" s="308">
        <f t="shared" ref="K7:K8" si="0">SUM(C7,G7)</f>
        <v>449</v>
      </c>
      <c r="L7" s="426" t="str">
        <f>IF(J7=0, "    ---- ", IF(ABS(ROUND(100/J7*K7-100,1))&lt;999,ROUND(100/J7*K7-100,1),IF(ROUND(100/J7*K7-100,1)&gt;999,999,-999)))</f>
        <v xml:space="preserve">    ---- </v>
      </c>
      <c r="M7" s="11">
        <f>IFERROR(100/'Skjema total MA'!I7*K7,0)</f>
        <v>6.059322931763496E-3</v>
      </c>
    </row>
    <row r="8" spans="1:14" ht="15.75" x14ac:dyDescent="0.2">
      <c r="A8" s="21" t="s">
        <v>25</v>
      </c>
      <c r="B8" s="280"/>
      <c r="C8" s="281">
        <v>449</v>
      </c>
      <c r="D8" s="166" t="str">
        <f t="shared" ref="D8" si="1">IF(B8=0, "    ---- ", IF(ABS(ROUND(100/B8*C8-100,1))&lt;999,ROUND(100/B8*C8-100,1),IF(ROUND(100/B8*C8-100,1)&gt;999,999,-999)))</f>
        <v xml:space="preserve">    ---- </v>
      </c>
      <c r="E8" s="27">
        <f>IFERROR(100/'Skjema total MA'!C8*C8,0)</f>
        <v>2.488891977147176E-2</v>
      </c>
      <c r="F8" s="284"/>
      <c r="G8" s="285"/>
      <c r="H8" s="166"/>
      <c r="I8" s="175"/>
      <c r="J8" s="233"/>
      <c r="K8" s="286">
        <f t="shared" si="0"/>
        <v>449</v>
      </c>
      <c r="L8" s="426" t="str">
        <f>IF(J8=0, "    ---- ", IF(ABS(ROUND(100/J8*K8-100,1))&lt;999,ROUND(100/J8*K8-100,1),IF(ROUND(100/J8*K8-100,1)&gt;999,999,-999)))</f>
        <v xml:space="preserve">    ---- </v>
      </c>
      <c r="M8" s="27">
        <f>IFERROR(100/'Skjema total MA'!I8*K8,0)</f>
        <v>2.488891977147176E-2</v>
      </c>
    </row>
    <row r="9" spans="1:14" ht="15.75" x14ac:dyDescent="0.2">
      <c r="A9" s="21" t="s">
        <v>24</v>
      </c>
      <c r="B9" s="280"/>
      <c r="C9" s="281"/>
      <c r="D9" s="166"/>
      <c r="E9" s="27"/>
      <c r="F9" s="284"/>
      <c r="G9" s="285"/>
      <c r="H9" s="166"/>
      <c r="I9" s="175"/>
      <c r="J9" s="233"/>
      <c r="K9" s="286"/>
      <c r="L9" s="253"/>
      <c r="M9" s="27"/>
    </row>
    <row r="10" spans="1:14" ht="15.75" x14ac:dyDescent="0.2">
      <c r="A10" s="13" t="s">
        <v>367</v>
      </c>
      <c r="B10" s="309"/>
      <c r="C10" s="310"/>
      <c r="D10" s="171"/>
      <c r="E10" s="11"/>
      <c r="F10" s="309"/>
      <c r="G10" s="310"/>
      <c r="H10" s="171"/>
      <c r="I10" s="160"/>
      <c r="J10" s="307"/>
      <c r="K10" s="308"/>
      <c r="L10" s="427"/>
      <c r="M10" s="11"/>
    </row>
    <row r="11" spans="1:14" s="43" customFormat="1" ht="15.75" x14ac:dyDescent="0.2">
      <c r="A11" s="13" t="s">
        <v>368</v>
      </c>
      <c r="B11" s="309"/>
      <c r="C11" s="310"/>
      <c r="D11" s="171"/>
      <c r="E11" s="11"/>
      <c r="F11" s="309"/>
      <c r="G11" s="310"/>
      <c r="H11" s="171"/>
      <c r="I11" s="160"/>
      <c r="J11" s="307"/>
      <c r="K11" s="308"/>
      <c r="L11" s="427"/>
      <c r="M11" s="11"/>
      <c r="N11" s="143"/>
    </row>
    <row r="12" spans="1:14" s="43" customFormat="1" ht="15.75" x14ac:dyDescent="0.2">
      <c r="A12" s="41" t="s">
        <v>369</v>
      </c>
      <c r="B12" s="311"/>
      <c r="C12" s="312"/>
      <c r="D12" s="169"/>
      <c r="E12" s="36"/>
      <c r="F12" s="311"/>
      <c r="G12" s="312"/>
      <c r="H12" s="169"/>
      <c r="I12" s="169"/>
      <c r="J12" s="313"/>
      <c r="K12" s="314"/>
      <c r="L12" s="428"/>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613"/>
      <c r="F18" s="739"/>
      <c r="G18" s="739"/>
      <c r="H18" s="739"/>
      <c r="I18" s="613"/>
      <c r="J18" s="739"/>
      <c r="K18" s="739"/>
      <c r="L18" s="739"/>
      <c r="M18" s="613"/>
    </row>
    <row r="19" spans="1:14" x14ac:dyDescent="0.2">
      <c r="A19" s="144"/>
      <c r="B19" s="737" t="s">
        <v>0</v>
      </c>
      <c r="C19" s="738"/>
      <c r="D19" s="738"/>
      <c r="E19" s="610"/>
      <c r="F19" s="737" t="s">
        <v>1</v>
      </c>
      <c r="G19" s="738"/>
      <c r="H19" s="738"/>
      <c r="I19" s="611"/>
      <c r="J19" s="737" t="s">
        <v>2</v>
      </c>
      <c r="K19" s="738"/>
      <c r="L19" s="738"/>
      <c r="M19" s="611"/>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426"/>
      <c r="M22" s="24"/>
    </row>
    <row r="23" spans="1:14" ht="15.75" x14ac:dyDescent="0.2">
      <c r="A23" s="587" t="s">
        <v>370</v>
      </c>
      <c r="B23" s="280"/>
      <c r="C23" s="280"/>
      <c r="D23" s="166"/>
      <c r="E23" s="11"/>
      <c r="F23" s="289"/>
      <c r="G23" s="289"/>
      <c r="H23" s="166"/>
      <c r="I23" s="416"/>
      <c r="J23" s="289"/>
      <c r="K23" s="289"/>
      <c r="L23" s="166"/>
      <c r="M23" s="23"/>
    </row>
    <row r="24" spans="1:14" ht="15.75" x14ac:dyDescent="0.2">
      <c r="A24" s="587" t="s">
        <v>371</v>
      </c>
      <c r="B24" s="280"/>
      <c r="C24" s="280"/>
      <c r="D24" s="166"/>
      <c r="E24" s="11"/>
      <c r="F24" s="289"/>
      <c r="G24" s="289"/>
      <c r="H24" s="166"/>
      <c r="I24" s="416"/>
      <c r="J24" s="289"/>
      <c r="K24" s="289"/>
      <c r="L24" s="166"/>
      <c r="M24" s="23"/>
    </row>
    <row r="25" spans="1:14" ht="15.75" x14ac:dyDescent="0.2">
      <c r="A25" s="587" t="s">
        <v>372</v>
      </c>
      <c r="B25" s="280"/>
      <c r="C25" s="280"/>
      <c r="D25" s="166"/>
      <c r="E25" s="11"/>
      <c r="F25" s="289"/>
      <c r="G25" s="289"/>
      <c r="H25" s="166"/>
      <c r="I25" s="416"/>
      <c r="J25" s="289"/>
      <c r="K25" s="289"/>
      <c r="L25" s="166"/>
      <c r="M25" s="23"/>
    </row>
    <row r="26" spans="1:14" ht="15.75" x14ac:dyDescent="0.2">
      <c r="A26" s="587" t="s">
        <v>373</v>
      </c>
      <c r="B26" s="280"/>
      <c r="C26" s="280"/>
      <c r="D26" s="166"/>
      <c r="E26" s="11"/>
      <c r="F26" s="289"/>
      <c r="G26" s="289"/>
      <c r="H26" s="166"/>
      <c r="I26" s="416"/>
      <c r="J26" s="289"/>
      <c r="K26" s="289"/>
      <c r="L26" s="166"/>
      <c r="M26" s="23"/>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c r="C28" s="286"/>
      <c r="D28" s="166"/>
      <c r="E28" s="11"/>
      <c r="F28" s="233"/>
      <c r="G28" s="286"/>
      <c r="H28" s="166"/>
      <c r="I28" s="27"/>
      <c r="J28" s="44"/>
      <c r="K28" s="44"/>
      <c r="L28" s="253"/>
      <c r="M28" s="23"/>
    </row>
    <row r="29" spans="1:14" s="3" customFormat="1" ht="15.75" x14ac:dyDescent="0.2">
      <c r="A29" s="13" t="s">
        <v>367</v>
      </c>
      <c r="B29" s="235"/>
      <c r="C29" s="235"/>
      <c r="D29" s="171"/>
      <c r="E29" s="11"/>
      <c r="F29" s="307"/>
      <c r="G29" s="307"/>
      <c r="H29" s="171"/>
      <c r="I29" s="11"/>
      <c r="J29" s="235"/>
      <c r="K29" s="235"/>
      <c r="L29" s="427"/>
      <c r="M29" s="24"/>
      <c r="N29" s="148"/>
    </row>
    <row r="30" spans="1:14" s="3" customFormat="1" ht="15.75" x14ac:dyDescent="0.2">
      <c r="A30" s="587" t="s">
        <v>370</v>
      </c>
      <c r="B30" s="280"/>
      <c r="C30" s="280"/>
      <c r="D30" s="166"/>
      <c r="E30" s="11"/>
      <c r="F30" s="289"/>
      <c r="G30" s="289"/>
      <c r="H30" s="166"/>
      <c r="I30" s="416"/>
      <c r="J30" s="289"/>
      <c r="K30" s="289"/>
      <c r="L30" s="166"/>
      <c r="M30" s="23"/>
      <c r="N30" s="148"/>
    </row>
    <row r="31" spans="1:14" s="3" customFormat="1" ht="15.75" x14ac:dyDescent="0.2">
      <c r="A31" s="587" t="s">
        <v>371</v>
      </c>
      <c r="B31" s="280"/>
      <c r="C31" s="280"/>
      <c r="D31" s="166"/>
      <c r="E31" s="11"/>
      <c r="F31" s="289"/>
      <c r="G31" s="289"/>
      <c r="H31" s="166"/>
      <c r="I31" s="416"/>
      <c r="J31" s="289"/>
      <c r="K31" s="289"/>
      <c r="L31" s="166"/>
      <c r="M31" s="23"/>
      <c r="N31" s="148"/>
    </row>
    <row r="32" spans="1:14" ht="15.75" x14ac:dyDescent="0.2">
      <c r="A32" s="587" t="s">
        <v>372</v>
      </c>
      <c r="B32" s="280"/>
      <c r="C32" s="280"/>
      <c r="D32" s="166"/>
      <c r="E32" s="11"/>
      <c r="F32" s="289"/>
      <c r="G32" s="289"/>
      <c r="H32" s="166"/>
      <c r="I32" s="416"/>
      <c r="J32" s="289"/>
      <c r="K32" s="289"/>
      <c r="L32" s="166"/>
      <c r="M32" s="23"/>
    </row>
    <row r="33" spans="1:14" ht="15.75" x14ac:dyDescent="0.2">
      <c r="A33" s="587" t="s">
        <v>373</v>
      </c>
      <c r="B33" s="280"/>
      <c r="C33" s="280"/>
      <c r="D33" s="166"/>
      <c r="E33" s="11"/>
      <c r="F33" s="289"/>
      <c r="G33" s="289"/>
      <c r="H33" s="166"/>
      <c r="I33" s="416"/>
      <c r="J33" s="289"/>
      <c r="K33" s="289"/>
      <c r="L33" s="166"/>
      <c r="M33" s="23"/>
    </row>
    <row r="34" spans="1:14" ht="15.75" x14ac:dyDescent="0.2">
      <c r="A34" s="13" t="s">
        <v>368</v>
      </c>
      <c r="B34" s="235"/>
      <c r="C34" s="308"/>
      <c r="D34" s="171"/>
      <c r="E34" s="11"/>
      <c r="F34" s="307"/>
      <c r="G34" s="308"/>
      <c r="H34" s="171"/>
      <c r="I34" s="11"/>
      <c r="J34" s="235"/>
      <c r="K34" s="235"/>
      <c r="L34" s="427"/>
      <c r="M34" s="24"/>
    </row>
    <row r="35" spans="1:14" ht="15.75" x14ac:dyDescent="0.2">
      <c r="A35" s="13" t="s">
        <v>369</v>
      </c>
      <c r="B35" s="235"/>
      <c r="C35" s="308"/>
      <c r="D35" s="171"/>
      <c r="E35" s="11"/>
      <c r="F35" s="307"/>
      <c r="G35" s="308"/>
      <c r="H35" s="171"/>
      <c r="I35" s="11"/>
      <c r="J35" s="235"/>
      <c r="K35" s="235"/>
      <c r="L35" s="427"/>
      <c r="M35" s="24"/>
    </row>
    <row r="36" spans="1:14" ht="15.75" x14ac:dyDescent="0.2">
      <c r="A36" s="12" t="s">
        <v>286</v>
      </c>
      <c r="B36" s="235"/>
      <c r="C36" s="308"/>
      <c r="D36" s="171"/>
      <c r="E36" s="11"/>
      <c r="F36" s="318"/>
      <c r="G36" s="319"/>
      <c r="H36" s="171"/>
      <c r="I36" s="433"/>
      <c r="J36" s="235"/>
      <c r="K36" s="235"/>
      <c r="L36" s="427"/>
      <c r="M36" s="24"/>
    </row>
    <row r="37" spans="1:14" ht="15.75" x14ac:dyDescent="0.2">
      <c r="A37" s="12" t="s">
        <v>375</v>
      </c>
      <c r="B37" s="235"/>
      <c r="C37" s="308"/>
      <c r="D37" s="171"/>
      <c r="E37" s="11"/>
      <c r="F37" s="318"/>
      <c r="G37" s="320"/>
      <c r="H37" s="171"/>
      <c r="I37" s="433"/>
      <c r="J37" s="235"/>
      <c r="K37" s="235"/>
      <c r="L37" s="427"/>
      <c r="M37" s="24"/>
    </row>
    <row r="38" spans="1:14" ht="15.75" x14ac:dyDescent="0.2">
      <c r="A38" s="12" t="s">
        <v>376</v>
      </c>
      <c r="B38" s="235"/>
      <c r="C38" s="308"/>
      <c r="D38" s="431"/>
      <c r="E38" s="24"/>
      <c r="F38" s="318"/>
      <c r="G38" s="319"/>
      <c r="H38" s="171"/>
      <c r="I38" s="433"/>
      <c r="J38" s="235"/>
      <c r="K38" s="235"/>
      <c r="L38" s="427"/>
      <c r="M38" s="24"/>
    </row>
    <row r="39" spans="1:14" ht="15.75" x14ac:dyDescent="0.2">
      <c r="A39" s="18" t="s">
        <v>377</v>
      </c>
      <c r="B39" s="275"/>
      <c r="C39" s="314"/>
      <c r="D39" s="432"/>
      <c r="E39" s="36"/>
      <c r="F39" s="321"/>
      <c r="G39" s="322"/>
      <c r="H39" s="169"/>
      <c r="I39" s="36"/>
      <c r="J39" s="235"/>
      <c r="K39" s="235"/>
      <c r="L39" s="428"/>
      <c r="M39" s="36"/>
    </row>
    <row r="40" spans="1:14" ht="15.75" x14ac:dyDescent="0.25">
      <c r="A40" s="47"/>
      <c r="B40" s="252"/>
      <c r="C40" s="252"/>
      <c r="D40" s="740"/>
      <c r="E40" s="741"/>
      <c r="F40" s="740"/>
      <c r="G40" s="740"/>
      <c r="H40" s="740"/>
      <c r="I40" s="740"/>
      <c r="J40" s="740"/>
      <c r="K40" s="740"/>
      <c r="L40" s="740"/>
      <c r="M40" s="614"/>
    </row>
    <row r="41" spans="1:14" x14ac:dyDescent="0.2">
      <c r="A41" s="155"/>
    </row>
    <row r="42" spans="1:14" ht="15.75" x14ac:dyDescent="0.25">
      <c r="A42" s="147" t="s">
        <v>275</v>
      </c>
      <c r="B42" s="736"/>
      <c r="C42" s="736"/>
      <c r="D42" s="736"/>
      <c r="E42" s="613"/>
      <c r="F42" s="741"/>
      <c r="G42" s="741"/>
      <c r="H42" s="741"/>
      <c r="I42" s="614"/>
      <c r="J42" s="741"/>
      <c r="K42" s="741"/>
      <c r="L42" s="741"/>
      <c r="M42" s="614"/>
    </row>
    <row r="43" spans="1:14" ht="15.75" x14ac:dyDescent="0.25">
      <c r="A43" s="163"/>
      <c r="B43" s="612"/>
      <c r="C43" s="612"/>
      <c r="D43" s="612"/>
      <c r="E43" s="612"/>
      <c r="F43" s="614"/>
      <c r="G43" s="614"/>
      <c r="H43" s="614"/>
      <c r="I43" s="614"/>
      <c r="J43" s="614"/>
      <c r="K43" s="614"/>
      <c r="L43" s="614"/>
      <c r="M43" s="614"/>
    </row>
    <row r="44" spans="1:14" ht="15.75" x14ac:dyDescent="0.25">
      <c r="A44" s="246"/>
      <c r="B44" s="737" t="s">
        <v>0</v>
      </c>
      <c r="C44" s="738"/>
      <c r="D44" s="738"/>
      <c r="E44" s="242"/>
      <c r="F44" s="614"/>
      <c r="G44" s="614"/>
      <c r="H44" s="614"/>
      <c r="I44" s="614"/>
      <c r="J44" s="614"/>
      <c r="K44" s="614"/>
      <c r="L44" s="614"/>
      <c r="M44" s="614"/>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c r="C47" s="310">
        <v>671</v>
      </c>
      <c r="D47" s="426" t="str">
        <f t="shared" ref="D47:D48" si="2">IF(B47=0, "    ---- ", IF(ABS(ROUND(100/B47*C47-100,1))&lt;999,ROUND(100/B47*C47-100,1),IF(ROUND(100/B47*C47-100,1)&gt;999,999,-999)))</f>
        <v xml:space="preserve">    ---- </v>
      </c>
      <c r="E47" s="11">
        <f>IFERROR(100/'Skjema total MA'!C47*C47,0)</f>
        <v>1.8372202366679975E-2</v>
      </c>
      <c r="F47" s="145"/>
      <c r="G47" s="33"/>
      <c r="H47" s="159"/>
      <c r="I47" s="159"/>
      <c r="J47" s="37"/>
      <c r="K47" s="37"/>
      <c r="L47" s="159"/>
      <c r="M47" s="159"/>
      <c r="N47" s="148"/>
    </row>
    <row r="48" spans="1:14" s="3" customFormat="1" ht="15.75" x14ac:dyDescent="0.2">
      <c r="A48" s="38" t="s">
        <v>378</v>
      </c>
      <c r="B48" s="280"/>
      <c r="C48" s="281">
        <v>671</v>
      </c>
      <c r="D48" s="253" t="str">
        <f t="shared" si="2"/>
        <v xml:space="preserve">    ---- </v>
      </c>
      <c r="E48" s="27">
        <f>IFERROR(100/'Skjema total MA'!C48*C48,0)</f>
        <v>3.2440671775640778E-2</v>
      </c>
      <c r="F48" s="145"/>
      <c r="G48" s="33"/>
      <c r="H48" s="145"/>
      <c r="I48" s="145"/>
      <c r="J48" s="33"/>
      <c r="K48" s="33"/>
      <c r="L48" s="159"/>
      <c r="M48" s="159"/>
      <c r="N48" s="148"/>
    </row>
    <row r="49" spans="1:14" s="3" customFormat="1" ht="15.75" x14ac:dyDescent="0.2">
      <c r="A49" s="38" t="s">
        <v>379</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c r="C53" s="310"/>
      <c r="D53" s="427"/>
      <c r="E53" s="11"/>
      <c r="F53" s="145"/>
      <c r="G53" s="33"/>
      <c r="H53" s="145"/>
      <c r="I53" s="145"/>
      <c r="J53" s="33"/>
      <c r="K53" s="33"/>
      <c r="L53" s="159"/>
      <c r="M53" s="159"/>
      <c r="N53" s="148"/>
    </row>
    <row r="54" spans="1:14" s="3" customFormat="1" ht="15.75" x14ac:dyDescent="0.2">
      <c r="A54" s="38" t="s">
        <v>378</v>
      </c>
      <c r="B54" s="280"/>
      <c r="C54" s="281"/>
      <c r="D54" s="253"/>
      <c r="E54" s="27"/>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c r="C56" s="310"/>
      <c r="D56" s="427"/>
      <c r="E56" s="11"/>
      <c r="F56" s="145"/>
      <c r="G56" s="33"/>
      <c r="H56" s="145"/>
      <c r="I56" s="145"/>
      <c r="J56" s="33"/>
      <c r="K56" s="33"/>
      <c r="L56" s="159"/>
      <c r="M56" s="159"/>
      <c r="N56" s="148"/>
    </row>
    <row r="57" spans="1:14" s="3" customFormat="1" ht="15.75" x14ac:dyDescent="0.2">
      <c r="A57" s="38" t="s">
        <v>378</v>
      </c>
      <c r="B57" s="280"/>
      <c r="C57" s="281"/>
      <c r="D57" s="253"/>
      <c r="E57" s="27"/>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613"/>
      <c r="F62" s="739"/>
      <c r="G62" s="739"/>
      <c r="H62" s="739"/>
      <c r="I62" s="613"/>
      <c r="J62" s="739"/>
      <c r="K62" s="739"/>
      <c r="L62" s="739"/>
      <c r="M62" s="613"/>
    </row>
    <row r="63" spans="1:14" x14ac:dyDescent="0.2">
      <c r="A63" s="144"/>
      <c r="B63" s="737" t="s">
        <v>0</v>
      </c>
      <c r="C63" s="738"/>
      <c r="D63" s="742"/>
      <c r="E63" s="609"/>
      <c r="F63" s="738" t="s">
        <v>1</v>
      </c>
      <c r="G63" s="738"/>
      <c r="H63" s="738"/>
      <c r="I63" s="611"/>
      <c r="J63" s="737" t="s">
        <v>2</v>
      </c>
      <c r="K63" s="738"/>
      <c r="L63" s="738"/>
      <c r="M63" s="611"/>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c r="C66" s="352"/>
      <c r="D66" s="349"/>
      <c r="E66" s="11"/>
      <c r="F66" s="351"/>
      <c r="G66" s="351"/>
      <c r="H66" s="349"/>
      <c r="I66" s="11"/>
      <c r="J66" s="308"/>
      <c r="K66" s="315"/>
      <c r="L66" s="427"/>
      <c r="M66" s="11"/>
    </row>
    <row r="67" spans="1:14" x14ac:dyDescent="0.2">
      <c r="A67" s="418" t="s">
        <v>9</v>
      </c>
      <c r="B67" s="44"/>
      <c r="C67" s="145"/>
      <c r="D67" s="166"/>
      <c r="E67" s="27"/>
      <c r="F67" s="233"/>
      <c r="G67" s="145"/>
      <c r="H67" s="166"/>
      <c r="I67" s="27"/>
      <c r="J67" s="286"/>
      <c r="K67" s="44"/>
      <c r="L67" s="253"/>
      <c r="M67" s="27"/>
    </row>
    <row r="68" spans="1:14" x14ac:dyDescent="0.2">
      <c r="A68" s="21" t="s">
        <v>10</v>
      </c>
      <c r="B68" s="291"/>
      <c r="C68" s="292"/>
      <c r="D68" s="166"/>
      <c r="E68" s="27"/>
      <c r="F68" s="291"/>
      <c r="G68" s="292"/>
      <c r="H68" s="166"/>
      <c r="I68" s="27"/>
      <c r="J68" s="286"/>
      <c r="K68" s="44"/>
      <c r="L68" s="253"/>
      <c r="M68" s="27"/>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c r="C77" s="233"/>
      <c r="D77" s="166"/>
      <c r="E77" s="27"/>
      <c r="F77" s="233"/>
      <c r="G77" s="145"/>
      <c r="H77" s="166"/>
      <c r="I77" s="27"/>
      <c r="J77" s="286"/>
      <c r="K77" s="44"/>
      <c r="L77" s="253"/>
      <c r="M77" s="27"/>
    </row>
    <row r="78" spans="1:14" x14ac:dyDescent="0.2">
      <c r="A78" s="21" t="s">
        <v>9</v>
      </c>
      <c r="B78" s="233"/>
      <c r="C78" s="145"/>
      <c r="D78" s="166"/>
      <c r="E78" s="27"/>
      <c r="F78" s="233"/>
      <c r="G78" s="145"/>
      <c r="H78" s="166"/>
      <c r="I78" s="27"/>
      <c r="J78" s="286"/>
      <c r="K78" s="44"/>
      <c r="L78" s="253"/>
      <c r="M78" s="27"/>
    </row>
    <row r="79" spans="1:14" x14ac:dyDescent="0.2">
      <c r="A79" s="21" t="s">
        <v>10</v>
      </c>
      <c r="B79" s="291"/>
      <c r="C79" s="292"/>
      <c r="D79" s="166"/>
      <c r="E79" s="27"/>
      <c r="F79" s="291"/>
      <c r="G79" s="292"/>
      <c r="H79" s="166"/>
      <c r="I79" s="27"/>
      <c r="J79" s="286"/>
      <c r="K79" s="44"/>
      <c r="L79" s="253"/>
      <c r="M79" s="27"/>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c r="G86" s="145"/>
      <c r="H86" s="166"/>
      <c r="I86" s="27"/>
      <c r="J86" s="286"/>
      <c r="K86" s="44"/>
      <c r="L86" s="253"/>
      <c r="M86" s="27"/>
    </row>
    <row r="87" spans="1:13" ht="15.75" x14ac:dyDescent="0.2">
      <c r="A87" s="13" t="s">
        <v>367</v>
      </c>
      <c r="B87" s="352"/>
      <c r="C87" s="352"/>
      <c r="D87" s="171"/>
      <c r="E87" s="11"/>
      <c r="F87" s="351"/>
      <c r="G87" s="351"/>
      <c r="H87" s="171"/>
      <c r="I87" s="11"/>
      <c r="J87" s="308"/>
      <c r="K87" s="235"/>
      <c r="L87" s="427"/>
      <c r="M87" s="11"/>
    </row>
    <row r="88" spans="1:13" x14ac:dyDescent="0.2">
      <c r="A88" s="21" t="s">
        <v>9</v>
      </c>
      <c r="B88" s="233"/>
      <c r="C88" s="145"/>
      <c r="D88" s="166"/>
      <c r="E88" s="27"/>
      <c r="F88" s="233"/>
      <c r="G88" s="145"/>
      <c r="H88" s="166"/>
      <c r="I88" s="27"/>
      <c r="J88" s="286"/>
      <c r="K88" s="44"/>
      <c r="L88" s="253"/>
      <c r="M88" s="27"/>
    </row>
    <row r="89" spans="1:13" x14ac:dyDescent="0.2">
      <c r="A89" s="21" t="s">
        <v>10</v>
      </c>
      <c r="B89" s="233"/>
      <c r="C89" s="145"/>
      <c r="D89" s="166"/>
      <c r="E89" s="27"/>
      <c r="F89" s="233"/>
      <c r="G89" s="145"/>
      <c r="H89" s="166"/>
      <c r="I89" s="27"/>
      <c r="J89" s="286"/>
      <c r="K89" s="44"/>
      <c r="L89" s="253"/>
      <c r="M89" s="27"/>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row>
    <row r="98" spans="1:13" ht="15.75" x14ac:dyDescent="0.2">
      <c r="A98" s="21" t="s">
        <v>384</v>
      </c>
      <c r="B98" s="233"/>
      <c r="C98" s="233"/>
      <c r="D98" s="166"/>
      <c r="E98" s="27"/>
      <c r="F98" s="291"/>
      <c r="G98" s="291"/>
      <c r="H98" s="166"/>
      <c r="I98" s="27"/>
      <c r="J98" s="286"/>
      <c r="K98" s="44"/>
      <c r="L98" s="253"/>
      <c r="M98" s="27"/>
    </row>
    <row r="99" spans="1:13" x14ac:dyDescent="0.2">
      <c r="A99" s="21" t="s">
        <v>9</v>
      </c>
      <c r="B99" s="291"/>
      <c r="C99" s="292"/>
      <c r="D99" s="166"/>
      <c r="E99" s="27"/>
      <c r="F99" s="233"/>
      <c r="G99" s="145"/>
      <c r="H99" s="166"/>
      <c r="I99" s="27"/>
      <c r="J99" s="286"/>
      <c r="K99" s="44"/>
      <c r="L99" s="253"/>
      <c r="M99" s="27"/>
    </row>
    <row r="100" spans="1:13" x14ac:dyDescent="0.2">
      <c r="A100" s="21" t="s">
        <v>10</v>
      </c>
      <c r="B100" s="291"/>
      <c r="C100" s="292"/>
      <c r="D100" s="166"/>
      <c r="E100" s="27"/>
      <c r="F100" s="233"/>
      <c r="G100" s="233"/>
      <c r="H100" s="166"/>
      <c r="I100" s="27"/>
      <c r="J100" s="286"/>
      <c r="K100" s="44"/>
      <c r="L100" s="253"/>
      <c r="M100" s="27"/>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c r="G107" s="145"/>
      <c r="H107" s="166"/>
      <c r="I107" s="27"/>
      <c r="J107" s="286"/>
      <c r="K107" s="44"/>
      <c r="L107" s="253"/>
      <c r="M107" s="27"/>
    </row>
    <row r="108" spans="1:13" ht="15.75" x14ac:dyDescent="0.2">
      <c r="A108" s="21" t="s">
        <v>386</v>
      </c>
      <c r="B108" s="233"/>
      <c r="C108" s="233"/>
      <c r="D108" s="166"/>
      <c r="E108" s="27"/>
      <c r="F108" s="233"/>
      <c r="G108" s="233"/>
      <c r="H108" s="166"/>
      <c r="I108" s="27"/>
      <c r="J108" s="286"/>
      <c r="K108" s="44"/>
      <c r="L108" s="253"/>
      <c r="M108" s="27"/>
    </row>
    <row r="109" spans="1:13" ht="15.75" x14ac:dyDescent="0.2">
      <c r="A109" s="21" t="s">
        <v>387</v>
      </c>
      <c r="B109" s="233"/>
      <c r="C109" s="233"/>
      <c r="D109" s="166"/>
      <c r="E109" s="27"/>
      <c r="F109" s="233"/>
      <c r="G109" s="233"/>
      <c r="H109" s="166"/>
      <c r="I109" s="27"/>
      <c r="J109" s="286"/>
      <c r="K109" s="44"/>
      <c r="L109" s="253"/>
      <c r="M109" s="27"/>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c r="C111" s="159"/>
      <c r="D111" s="171"/>
      <c r="E111" s="11"/>
      <c r="F111" s="307"/>
      <c r="G111" s="159"/>
      <c r="H111" s="171"/>
      <c r="I111" s="11"/>
      <c r="J111" s="308"/>
      <c r="K111" s="235"/>
      <c r="L111" s="427"/>
      <c r="M111" s="11"/>
    </row>
    <row r="112" spans="1:13" x14ac:dyDescent="0.2">
      <c r="A112" s="21" t="s">
        <v>9</v>
      </c>
      <c r="B112" s="233"/>
      <c r="C112" s="145"/>
      <c r="D112" s="166"/>
      <c r="E112" s="27"/>
      <c r="F112" s="233"/>
      <c r="G112" s="145"/>
      <c r="H112" s="166"/>
      <c r="I112" s="27"/>
      <c r="J112" s="286"/>
      <c r="K112" s="44"/>
      <c r="L112" s="253"/>
      <c r="M112" s="27"/>
    </row>
    <row r="113" spans="1:14" x14ac:dyDescent="0.2">
      <c r="A113" s="21" t="s">
        <v>10</v>
      </c>
      <c r="B113" s="233"/>
      <c r="C113" s="145"/>
      <c r="D113" s="166"/>
      <c r="E113" s="27"/>
      <c r="F113" s="233"/>
      <c r="G113" s="145"/>
      <c r="H113" s="166"/>
      <c r="I113" s="27"/>
      <c r="J113" s="286"/>
      <c r="K113" s="44"/>
      <c r="L113" s="253"/>
      <c r="M113" s="27"/>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c r="C116" s="233"/>
      <c r="D116" s="166"/>
      <c r="E116" s="27"/>
      <c r="F116" s="233"/>
      <c r="G116" s="233"/>
      <c r="H116" s="166"/>
      <c r="I116" s="27"/>
      <c r="J116" s="286"/>
      <c r="K116" s="44"/>
      <c r="L116" s="253"/>
      <c r="M116" s="27"/>
    </row>
    <row r="117" spans="1:14" ht="15.75" x14ac:dyDescent="0.2">
      <c r="A117" s="21" t="s">
        <v>390</v>
      </c>
      <c r="B117" s="233"/>
      <c r="C117" s="233"/>
      <c r="D117" s="166"/>
      <c r="E117" s="27"/>
      <c r="F117" s="233"/>
      <c r="G117" s="233"/>
      <c r="H117" s="166"/>
      <c r="I117" s="27"/>
      <c r="J117" s="286"/>
      <c r="K117" s="44"/>
      <c r="L117" s="253"/>
      <c r="M117" s="27"/>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c r="C119" s="159"/>
      <c r="D119" s="171"/>
      <c r="E119" s="11"/>
      <c r="F119" s="307"/>
      <c r="G119" s="159"/>
      <c r="H119" s="171"/>
      <c r="I119" s="11"/>
      <c r="J119" s="308"/>
      <c r="K119" s="235"/>
      <c r="L119" s="427"/>
      <c r="M119" s="11"/>
    </row>
    <row r="120" spans="1:14" x14ac:dyDescent="0.2">
      <c r="A120" s="21" t="s">
        <v>9</v>
      </c>
      <c r="B120" s="233"/>
      <c r="C120" s="145"/>
      <c r="D120" s="166"/>
      <c r="E120" s="27"/>
      <c r="F120" s="233"/>
      <c r="G120" s="145"/>
      <c r="H120" s="166"/>
      <c r="I120" s="27"/>
      <c r="J120" s="286"/>
      <c r="K120" s="44"/>
      <c r="L120" s="253"/>
      <c r="M120" s="27"/>
    </row>
    <row r="121" spans="1:14" x14ac:dyDescent="0.2">
      <c r="A121" s="21" t="s">
        <v>10</v>
      </c>
      <c r="B121" s="233"/>
      <c r="C121" s="145"/>
      <c r="D121" s="166"/>
      <c r="E121" s="27"/>
      <c r="F121" s="233"/>
      <c r="G121" s="145"/>
      <c r="H121" s="166"/>
      <c r="I121" s="27"/>
      <c r="J121" s="286"/>
      <c r="K121" s="44"/>
      <c r="L121" s="253"/>
      <c r="M121" s="27"/>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c r="C124" s="233"/>
      <c r="D124" s="166"/>
      <c r="E124" s="27"/>
      <c r="F124" s="233"/>
      <c r="G124" s="233"/>
      <c r="H124" s="166"/>
      <c r="I124" s="27"/>
      <c r="J124" s="286"/>
      <c r="K124" s="44"/>
      <c r="L124" s="253"/>
      <c r="M124" s="27"/>
    </row>
    <row r="125" spans="1:14" ht="15.75" x14ac:dyDescent="0.2">
      <c r="A125" s="21" t="s">
        <v>387</v>
      </c>
      <c r="B125" s="233"/>
      <c r="C125" s="233"/>
      <c r="D125" s="166"/>
      <c r="E125" s="27"/>
      <c r="F125" s="233"/>
      <c r="G125" s="233"/>
      <c r="H125" s="166"/>
      <c r="I125" s="27"/>
      <c r="J125" s="286"/>
      <c r="K125" s="44"/>
      <c r="L125" s="253"/>
      <c r="M125" s="27"/>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613"/>
      <c r="F130" s="739"/>
      <c r="G130" s="739"/>
      <c r="H130" s="739"/>
      <c r="I130" s="613"/>
      <c r="J130" s="739"/>
      <c r="K130" s="739"/>
      <c r="L130" s="739"/>
      <c r="M130" s="613"/>
    </row>
    <row r="131" spans="1:14" s="3" customFormat="1" x14ac:dyDescent="0.2">
      <c r="A131" s="144"/>
      <c r="B131" s="737" t="s">
        <v>0</v>
      </c>
      <c r="C131" s="738"/>
      <c r="D131" s="738"/>
      <c r="E131" s="610"/>
      <c r="F131" s="737" t="s">
        <v>1</v>
      </c>
      <c r="G131" s="738"/>
      <c r="H131" s="738"/>
      <c r="I131" s="611"/>
      <c r="J131" s="737" t="s">
        <v>2</v>
      </c>
      <c r="K131" s="738"/>
      <c r="L131" s="738"/>
      <c r="M131" s="611"/>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287" priority="59">
      <formula>kvartal &lt; 4</formula>
    </cfRule>
  </conditionalFormatting>
  <conditionalFormatting sqref="B69">
    <cfRule type="expression" dxfId="286" priority="58">
      <formula>kvartal &lt; 4</formula>
    </cfRule>
  </conditionalFormatting>
  <conditionalFormatting sqref="C69">
    <cfRule type="expression" dxfId="285" priority="57">
      <formula>kvartal &lt; 4</formula>
    </cfRule>
  </conditionalFormatting>
  <conditionalFormatting sqref="B72">
    <cfRule type="expression" dxfId="284" priority="56">
      <formula>kvartal &lt; 4</formula>
    </cfRule>
  </conditionalFormatting>
  <conditionalFormatting sqref="C72">
    <cfRule type="expression" dxfId="283" priority="55">
      <formula>kvartal &lt; 4</formula>
    </cfRule>
  </conditionalFormatting>
  <conditionalFormatting sqref="B80">
    <cfRule type="expression" dxfId="282" priority="54">
      <formula>kvartal &lt; 4</formula>
    </cfRule>
  </conditionalFormatting>
  <conditionalFormatting sqref="C80">
    <cfRule type="expression" dxfId="281" priority="53">
      <formula>kvartal &lt; 4</formula>
    </cfRule>
  </conditionalFormatting>
  <conditionalFormatting sqref="B83">
    <cfRule type="expression" dxfId="280" priority="52">
      <formula>kvartal &lt; 4</formula>
    </cfRule>
  </conditionalFormatting>
  <conditionalFormatting sqref="C83">
    <cfRule type="expression" dxfId="279" priority="51">
      <formula>kvartal &lt; 4</formula>
    </cfRule>
  </conditionalFormatting>
  <conditionalFormatting sqref="B90">
    <cfRule type="expression" dxfId="278" priority="50">
      <formula>kvartal &lt; 4</formula>
    </cfRule>
  </conditionalFormatting>
  <conditionalFormatting sqref="C90">
    <cfRule type="expression" dxfId="277" priority="49">
      <formula>kvartal &lt; 4</formula>
    </cfRule>
  </conditionalFormatting>
  <conditionalFormatting sqref="B93">
    <cfRule type="expression" dxfId="276" priority="48">
      <formula>kvartal &lt; 4</formula>
    </cfRule>
  </conditionalFormatting>
  <conditionalFormatting sqref="C93">
    <cfRule type="expression" dxfId="275" priority="47">
      <formula>kvartal &lt; 4</formula>
    </cfRule>
  </conditionalFormatting>
  <conditionalFormatting sqref="B101">
    <cfRule type="expression" dxfId="274" priority="46">
      <formula>kvartal &lt; 4</formula>
    </cfRule>
  </conditionalFormatting>
  <conditionalFormatting sqref="C101">
    <cfRule type="expression" dxfId="273" priority="45">
      <formula>kvartal &lt; 4</formula>
    </cfRule>
  </conditionalFormatting>
  <conditionalFormatting sqref="B104">
    <cfRule type="expression" dxfId="272" priority="44">
      <formula>kvartal &lt; 4</formula>
    </cfRule>
  </conditionalFormatting>
  <conditionalFormatting sqref="C104">
    <cfRule type="expression" dxfId="271" priority="43">
      <formula>kvartal &lt; 4</formula>
    </cfRule>
  </conditionalFormatting>
  <conditionalFormatting sqref="B115">
    <cfRule type="expression" dxfId="270" priority="42">
      <formula>kvartal &lt; 4</formula>
    </cfRule>
  </conditionalFormatting>
  <conditionalFormatting sqref="C115">
    <cfRule type="expression" dxfId="269" priority="41">
      <formula>kvartal &lt; 4</formula>
    </cfRule>
  </conditionalFormatting>
  <conditionalFormatting sqref="B123">
    <cfRule type="expression" dxfId="268" priority="40">
      <formula>kvartal &lt; 4</formula>
    </cfRule>
  </conditionalFormatting>
  <conditionalFormatting sqref="C123">
    <cfRule type="expression" dxfId="267" priority="39">
      <formula>kvartal &lt; 4</formula>
    </cfRule>
  </conditionalFormatting>
  <conditionalFormatting sqref="F70">
    <cfRule type="expression" dxfId="266" priority="38">
      <formula>kvartal &lt; 4</formula>
    </cfRule>
  </conditionalFormatting>
  <conditionalFormatting sqref="G70">
    <cfRule type="expression" dxfId="265" priority="37">
      <formula>kvartal &lt; 4</formula>
    </cfRule>
  </conditionalFormatting>
  <conditionalFormatting sqref="F71:G71">
    <cfRule type="expression" dxfId="264" priority="36">
      <formula>kvartal &lt; 4</formula>
    </cfRule>
  </conditionalFormatting>
  <conditionalFormatting sqref="F73:G74">
    <cfRule type="expression" dxfId="263" priority="35">
      <formula>kvartal &lt; 4</formula>
    </cfRule>
  </conditionalFormatting>
  <conditionalFormatting sqref="F81:G82">
    <cfRule type="expression" dxfId="262" priority="34">
      <formula>kvartal &lt; 4</formula>
    </cfRule>
  </conditionalFormatting>
  <conditionalFormatting sqref="F84:G85">
    <cfRule type="expression" dxfId="261" priority="33">
      <formula>kvartal &lt; 4</formula>
    </cfRule>
  </conditionalFormatting>
  <conditionalFormatting sqref="F91:G92">
    <cfRule type="expression" dxfId="260" priority="32">
      <formula>kvartal &lt; 4</formula>
    </cfRule>
  </conditionalFormatting>
  <conditionalFormatting sqref="F94:G95">
    <cfRule type="expression" dxfId="259" priority="31">
      <formula>kvartal &lt; 4</formula>
    </cfRule>
  </conditionalFormatting>
  <conditionalFormatting sqref="F102:G103">
    <cfRule type="expression" dxfId="258" priority="30">
      <formula>kvartal &lt; 4</formula>
    </cfRule>
  </conditionalFormatting>
  <conditionalFormatting sqref="F105:G106">
    <cfRule type="expression" dxfId="257" priority="29">
      <formula>kvartal &lt; 4</formula>
    </cfRule>
  </conditionalFormatting>
  <conditionalFormatting sqref="F115">
    <cfRule type="expression" dxfId="256" priority="28">
      <formula>kvartal &lt; 4</formula>
    </cfRule>
  </conditionalFormatting>
  <conditionalFormatting sqref="G115">
    <cfRule type="expression" dxfId="255" priority="27">
      <formula>kvartal &lt; 4</formula>
    </cfRule>
  </conditionalFormatting>
  <conditionalFormatting sqref="F123:G123">
    <cfRule type="expression" dxfId="254" priority="26">
      <formula>kvartal &lt; 4</formula>
    </cfRule>
  </conditionalFormatting>
  <conditionalFormatting sqref="F69:G69">
    <cfRule type="expression" dxfId="253" priority="25">
      <formula>kvartal &lt; 4</formula>
    </cfRule>
  </conditionalFormatting>
  <conditionalFormatting sqref="F72:G72">
    <cfRule type="expression" dxfId="252" priority="24">
      <formula>kvartal &lt; 4</formula>
    </cfRule>
  </conditionalFormatting>
  <conditionalFormatting sqref="F80:G80">
    <cfRule type="expression" dxfId="251" priority="23">
      <formula>kvartal &lt; 4</formula>
    </cfRule>
  </conditionalFormatting>
  <conditionalFormatting sqref="F83:G83">
    <cfRule type="expression" dxfId="250" priority="22">
      <formula>kvartal &lt; 4</formula>
    </cfRule>
  </conditionalFormatting>
  <conditionalFormatting sqref="F90:G90">
    <cfRule type="expression" dxfId="249" priority="21">
      <formula>kvartal &lt; 4</formula>
    </cfRule>
  </conditionalFormatting>
  <conditionalFormatting sqref="F93">
    <cfRule type="expression" dxfId="248" priority="20">
      <formula>kvartal &lt; 4</formula>
    </cfRule>
  </conditionalFormatting>
  <conditionalFormatting sqref="G93">
    <cfRule type="expression" dxfId="247" priority="19">
      <formula>kvartal &lt; 4</formula>
    </cfRule>
  </conditionalFormatting>
  <conditionalFormatting sqref="F101">
    <cfRule type="expression" dxfId="246" priority="18">
      <formula>kvartal &lt; 4</formula>
    </cfRule>
  </conditionalFormatting>
  <conditionalFormatting sqref="G101">
    <cfRule type="expression" dxfId="245" priority="17">
      <formula>kvartal &lt; 4</formula>
    </cfRule>
  </conditionalFormatting>
  <conditionalFormatting sqref="G104">
    <cfRule type="expression" dxfId="244" priority="16">
      <formula>kvartal &lt; 4</formula>
    </cfRule>
  </conditionalFormatting>
  <conditionalFormatting sqref="F104">
    <cfRule type="expression" dxfId="243" priority="15">
      <formula>kvartal &lt; 4</formula>
    </cfRule>
  </conditionalFormatting>
  <conditionalFormatting sqref="J69:K73">
    <cfRule type="expression" dxfId="242" priority="14">
      <formula>kvartal &lt; 4</formula>
    </cfRule>
  </conditionalFormatting>
  <conditionalFormatting sqref="J74:K74">
    <cfRule type="expression" dxfId="241" priority="13">
      <formula>kvartal &lt; 4</formula>
    </cfRule>
  </conditionalFormatting>
  <conditionalFormatting sqref="J80:K85">
    <cfRule type="expression" dxfId="240" priority="12">
      <formula>kvartal &lt; 4</formula>
    </cfRule>
  </conditionalFormatting>
  <conditionalFormatting sqref="J90:K95">
    <cfRule type="expression" dxfId="239" priority="11">
      <formula>kvartal &lt; 4</formula>
    </cfRule>
  </conditionalFormatting>
  <conditionalFormatting sqref="J101:K106">
    <cfRule type="expression" dxfId="238" priority="10">
      <formula>kvartal &lt; 4</formula>
    </cfRule>
  </conditionalFormatting>
  <conditionalFormatting sqref="J115:K115">
    <cfRule type="expression" dxfId="237" priority="9">
      <formula>kvartal &lt; 4</formula>
    </cfRule>
  </conditionalFormatting>
  <conditionalFormatting sqref="J123:K123">
    <cfRule type="expression" dxfId="236" priority="8">
      <formula>kvartal &lt; 4</formula>
    </cfRule>
  </conditionalFormatting>
  <conditionalFormatting sqref="A50:A52">
    <cfRule type="expression" dxfId="235" priority="7">
      <formula>kvartal &lt; 4</formula>
    </cfRule>
  </conditionalFormatting>
  <conditionalFormatting sqref="A69:A74">
    <cfRule type="expression" dxfId="234" priority="6">
      <formula>kvartal &lt; 4</formula>
    </cfRule>
  </conditionalFormatting>
  <conditionalFormatting sqref="A80:A85">
    <cfRule type="expression" dxfId="233" priority="5">
      <formula>kvartal &lt; 4</formula>
    </cfRule>
  </conditionalFormatting>
  <conditionalFormatting sqref="A90:A95">
    <cfRule type="expression" dxfId="232" priority="4">
      <formula>kvartal &lt; 4</formula>
    </cfRule>
  </conditionalFormatting>
  <conditionalFormatting sqref="A101:A106">
    <cfRule type="expression" dxfId="231" priority="3">
      <formula>kvartal &lt; 4</formula>
    </cfRule>
  </conditionalFormatting>
  <conditionalFormatting sqref="A115">
    <cfRule type="expression" dxfId="230" priority="2">
      <formula>kvartal &lt; 4</formula>
    </cfRule>
  </conditionalFormatting>
  <conditionalFormatting sqref="A123">
    <cfRule type="expression" dxfId="229" priority="1">
      <formula>kvartal &lt; 4</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T62"/>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sheetView>
  </sheetViews>
  <sheetFormatPr baseColWidth="10" defaultColWidth="11.42578125" defaultRowHeight="12.75" x14ac:dyDescent="0.2"/>
  <cols>
    <col min="1" max="1" width="90" style="507" customWidth="1"/>
    <col min="2" max="46" width="11.7109375" style="507" customWidth="1"/>
    <col min="47" max="16384" width="11.42578125" style="507"/>
  </cols>
  <sheetData>
    <row r="1" spans="1:46" ht="20.25" x14ac:dyDescent="0.3">
      <c r="A1" s="505" t="s">
        <v>287</v>
      </c>
      <c r="B1" s="471" t="s">
        <v>52</v>
      </c>
      <c r="C1" s="506"/>
      <c r="D1" s="506"/>
      <c r="E1" s="506"/>
      <c r="F1" s="506"/>
      <c r="G1" s="506"/>
      <c r="H1" s="506"/>
      <c r="I1" s="506"/>
      <c r="J1" s="506"/>
      <c r="K1" s="506"/>
      <c r="L1" s="506"/>
      <c r="M1" s="506"/>
    </row>
    <row r="2" spans="1:46" ht="20.25" x14ac:dyDescent="0.3">
      <c r="A2" s="505" t="s">
        <v>258</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08"/>
      <c r="AS2" s="508"/>
      <c r="AT2" s="508"/>
    </row>
    <row r="3" spans="1:46" ht="18.75" x14ac:dyDescent="0.3">
      <c r="A3" s="509" t="s">
        <v>288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row>
    <row r="4" spans="1:46" ht="18.75" customHeight="1" x14ac:dyDescent="0.25">
      <c r="A4" s="477" t="s">
        <v>430</v>
      </c>
      <c r="B4" s="511"/>
      <c r="C4" s="511"/>
      <c r="D4" s="512"/>
      <c r="E4" s="513"/>
      <c r="F4" s="511"/>
      <c r="G4" s="512"/>
      <c r="H4" s="513"/>
      <c r="I4" s="511"/>
      <c r="J4" s="512"/>
      <c r="K4" s="513"/>
      <c r="L4" s="511"/>
      <c r="M4" s="512"/>
      <c r="N4" s="514"/>
      <c r="O4" s="514"/>
      <c r="P4" s="514"/>
      <c r="Q4" s="515"/>
      <c r="R4" s="514"/>
      <c r="S4" s="516"/>
      <c r="T4" s="515"/>
      <c r="U4" s="514"/>
      <c r="V4" s="516"/>
      <c r="W4" s="515"/>
      <c r="X4" s="514"/>
      <c r="Y4" s="516"/>
      <c r="Z4" s="515"/>
      <c r="AA4" s="514"/>
      <c r="AB4" s="516"/>
      <c r="AC4" s="515"/>
      <c r="AD4" s="514"/>
      <c r="AE4" s="516"/>
      <c r="AF4" s="515"/>
      <c r="AG4" s="514"/>
      <c r="AH4" s="516"/>
      <c r="AI4" s="515"/>
      <c r="AJ4" s="514"/>
      <c r="AK4" s="516"/>
      <c r="AL4" s="515"/>
      <c r="AM4" s="514"/>
      <c r="AN4" s="516"/>
      <c r="AO4" s="517"/>
      <c r="AP4" s="518"/>
      <c r="AQ4" s="519"/>
      <c r="AR4" s="515"/>
      <c r="AS4" s="514"/>
      <c r="AT4" s="520"/>
    </row>
    <row r="5" spans="1:46" ht="18.75" customHeight="1" x14ac:dyDescent="0.3">
      <c r="A5" s="521" t="s">
        <v>102</v>
      </c>
      <c r="B5" s="743" t="s">
        <v>176</v>
      </c>
      <c r="C5" s="744"/>
      <c r="D5" s="745"/>
      <c r="E5" s="743" t="s">
        <v>177</v>
      </c>
      <c r="F5" s="744"/>
      <c r="G5" s="745"/>
      <c r="H5" s="743" t="s">
        <v>406</v>
      </c>
      <c r="I5" s="744"/>
      <c r="J5" s="745"/>
      <c r="K5" s="743" t="s">
        <v>178</v>
      </c>
      <c r="L5" s="744"/>
      <c r="M5" s="745"/>
      <c r="N5" s="743" t="s">
        <v>179</v>
      </c>
      <c r="O5" s="744"/>
      <c r="P5" s="745"/>
      <c r="Q5" s="743" t="s">
        <v>180</v>
      </c>
      <c r="R5" s="744"/>
      <c r="S5" s="745"/>
      <c r="T5" s="743"/>
      <c r="U5" s="744"/>
      <c r="V5" s="745"/>
      <c r="W5" s="743" t="s">
        <v>63</v>
      </c>
      <c r="X5" s="744"/>
      <c r="Y5" s="745"/>
      <c r="Z5" s="670"/>
      <c r="AA5" s="671"/>
      <c r="AB5" s="672"/>
      <c r="AC5" s="743" t="s">
        <v>181</v>
      </c>
      <c r="AD5" s="744"/>
      <c r="AE5" s="745"/>
      <c r="AF5" s="683"/>
      <c r="AG5" s="684"/>
      <c r="AH5" s="685"/>
      <c r="AI5" s="743"/>
      <c r="AJ5" s="744"/>
      <c r="AK5" s="745"/>
      <c r="AL5" s="743" t="s">
        <v>73</v>
      </c>
      <c r="AM5" s="744"/>
      <c r="AN5" s="745"/>
      <c r="AO5" s="749" t="s">
        <v>2</v>
      </c>
      <c r="AP5" s="750"/>
      <c r="AQ5" s="751"/>
      <c r="AR5" s="743" t="s">
        <v>289</v>
      </c>
      <c r="AS5" s="744"/>
      <c r="AT5" s="745"/>
    </row>
    <row r="6" spans="1:46" ht="21" customHeight="1" x14ac:dyDescent="0.3">
      <c r="A6" s="522"/>
      <c r="B6" s="746" t="s">
        <v>182</v>
      </c>
      <c r="C6" s="747"/>
      <c r="D6" s="748"/>
      <c r="E6" s="746" t="s">
        <v>183</v>
      </c>
      <c r="F6" s="747"/>
      <c r="G6" s="748"/>
      <c r="H6" s="746" t="s">
        <v>183</v>
      </c>
      <c r="I6" s="747"/>
      <c r="J6" s="748"/>
      <c r="K6" s="746" t="s">
        <v>183</v>
      </c>
      <c r="L6" s="747"/>
      <c r="M6" s="748"/>
      <c r="N6" s="746" t="s">
        <v>184</v>
      </c>
      <c r="O6" s="747"/>
      <c r="P6" s="748"/>
      <c r="Q6" s="746" t="s">
        <v>91</v>
      </c>
      <c r="R6" s="747"/>
      <c r="S6" s="748"/>
      <c r="T6" s="746" t="s">
        <v>63</v>
      </c>
      <c r="U6" s="747"/>
      <c r="V6" s="748"/>
      <c r="W6" s="746" t="s">
        <v>185</v>
      </c>
      <c r="X6" s="747"/>
      <c r="Y6" s="748"/>
      <c r="Z6" s="746" t="s">
        <v>66</v>
      </c>
      <c r="AA6" s="747"/>
      <c r="AB6" s="748"/>
      <c r="AC6" s="746" t="s">
        <v>182</v>
      </c>
      <c r="AD6" s="747"/>
      <c r="AE6" s="748"/>
      <c r="AF6" s="746" t="s">
        <v>72</v>
      </c>
      <c r="AG6" s="747"/>
      <c r="AH6" s="748"/>
      <c r="AI6" s="746" t="s">
        <v>68</v>
      </c>
      <c r="AJ6" s="747"/>
      <c r="AK6" s="748"/>
      <c r="AL6" s="746" t="s">
        <v>183</v>
      </c>
      <c r="AM6" s="747"/>
      <c r="AN6" s="748"/>
      <c r="AO6" s="752" t="s">
        <v>290</v>
      </c>
      <c r="AP6" s="753"/>
      <c r="AQ6" s="754"/>
      <c r="AR6" s="746" t="s">
        <v>291</v>
      </c>
      <c r="AS6" s="747"/>
      <c r="AT6" s="748"/>
    </row>
    <row r="7" spans="1:46" ht="18.75" customHeight="1" x14ac:dyDescent="0.3">
      <c r="A7" s="522"/>
      <c r="B7" s="521"/>
      <c r="C7" s="521"/>
      <c r="D7" s="523" t="s">
        <v>81</v>
      </c>
      <c r="E7" s="521"/>
      <c r="F7" s="521"/>
      <c r="G7" s="523" t="s">
        <v>81</v>
      </c>
      <c r="H7" s="521"/>
      <c r="I7" s="521"/>
      <c r="J7" s="523" t="s">
        <v>81</v>
      </c>
      <c r="K7" s="521"/>
      <c r="L7" s="521"/>
      <c r="M7" s="523" t="s">
        <v>81</v>
      </c>
      <c r="N7" s="521"/>
      <c r="O7" s="521"/>
      <c r="P7" s="523" t="s">
        <v>81</v>
      </c>
      <c r="Q7" s="521"/>
      <c r="R7" s="521"/>
      <c r="S7" s="523" t="s">
        <v>81</v>
      </c>
      <c r="T7" s="521"/>
      <c r="U7" s="521"/>
      <c r="V7" s="523" t="s">
        <v>81</v>
      </c>
      <c r="W7" s="521"/>
      <c r="X7" s="521"/>
      <c r="Y7" s="523" t="s">
        <v>81</v>
      </c>
      <c r="Z7" s="521"/>
      <c r="AA7" s="521"/>
      <c r="AB7" s="523" t="s">
        <v>81</v>
      </c>
      <c r="AC7" s="521"/>
      <c r="AD7" s="521"/>
      <c r="AE7" s="523" t="s">
        <v>81</v>
      </c>
      <c r="AF7" s="521"/>
      <c r="AG7" s="521"/>
      <c r="AH7" s="523" t="s">
        <v>81</v>
      </c>
      <c r="AI7" s="521"/>
      <c r="AJ7" s="521"/>
      <c r="AK7" s="523" t="s">
        <v>81</v>
      </c>
      <c r="AL7" s="521"/>
      <c r="AM7" s="521"/>
      <c r="AN7" s="523" t="s">
        <v>81</v>
      </c>
      <c r="AO7" s="521"/>
      <c r="AP7" s="521"/>
      <c r="AQ7" s="523" t="s">
        <v>81</v>
      </c>
      <c r="AR7" s="521"/>
      <c r="AS7" s="521"/>
      <c r="AT7" s="523" t="s">
        <v>81</v>
      </c>
    </row>
    <row r="8" spans="1:46" ht="18.75" customHeight="1" x14ac:dyDescent="0.25">
      <c r="A8" s="524" t="s">
        <v>292</v>
      </c>
      <c r="B8" s="658">
        <v>2019</v>
      </c>
      <c r="C8" s="658">
        <v>2020</v>
      </c>
      <c r="D8" s="525" t="s">
        <v>83</v>
      </c>
      <c r="E8" s="658">
        <v>2019</v>
      </c>
      <c r="F8" s="658">
        <v>2020</v>
      </c>
      <c r="G8" s="525" t="s">
        <v>83</v>
      </c>
      <c r="H8" s="658">
        <v>2019</v>
      </c>
      <c r="I8" s="658">
        <v>2020</v>
      </c>
      <c r="J8" s="525" t="s">
        <v>83</v>
      </c>
      <c r="K8" s="658">
        <v>2019</v>
      </c>
      <c r="L8" s="658">
        <v>2020</v>
      </c>
      <c r="M8" s="525" t="s">
        <v>83</v>
      </c>
      <c r="N8" s="607">
        <v>2019</v>
      </c>
      <c r="O8" s="607">
        <v>2020</v>
      </c>
      <c r="P8" s="525" t="s">
        <v>83</v>
      </c>
      <c r="Q8" s="658">
        <v>2019</v>
      </c>
      <c r="R8" s="658">
        <v>2020</v>
      </c>
      <c r="S8" s="525" t="s">
        <v>83</v>
      </c>
      <c r="T8" s="658">
        <v>2019</v>
      </c>
      <c r="U8" s="658">
        <v>2020</v>
      </c>
      <c r="V8" s="525" t="s">
        <v>83</v>
      </c>
      <c r="W8" s="658">
        <v>2019</v>
      </c>
      <c r="X8" s="658">
        <v>2020</v>
      </c>
      <c r="Y8" s="525" t="s">
        <v>83</v>
      </c>
      <c r="Z8" s="658">
        <v>2019</v>
      </c>
      <c r="AA8" s="658">
        <v>2020</v>
      </c>
      <c r="AB8" s="525" t="s">
        <v>83</v>
      </c>
      <c r="AC8" s="658">
        <v>2019</v>
      </c>
      <c r="AD8" s="658">
        <v>2020</v>
      </c>
      <c r="AE8" s="525" t="s">
        <v>83</v>
      </c>
      <c r="AF8" s="658">
        <v>2019</v>
      </c>
      <c r="AG8" s="658">
        <v>2020</v>
      </c>
      <c r="AH8" s="525" t="s">
        <v>83</v>
      </c>
      <c r="AI8" s="607">
        <v>2019</v>
      </c>
      <c r="AJ8" s="607">
        <v>2020</v>
      </c>
      <c r="AK8" s="525" t="s">
        <v>83</v>
      </c>
      <c r="AL8" s="607">
        <v>2019</v>
      </c>
      <c r="AM8" s="607">
        <v>2020</v>
      </c>
      <c r="AN8" s="525" t="s">
        <v>83</v>
      </c>
      <c r="AO8" s="607">
        <v>2019</v>
      </c>
      <c r="AP8" s="607">
        <v>2020</v>
      </c>
      <c r="AQ8" s="525" t="s">
        <v>83</v>
      </c>
      <c r="AR8" s="607">
        <v>2019</v>
      </c>
      <c r="AS8" s="607">
        <v>2020</v>
      </c>
      <c r="AT8" s="525" t="s">
        <v>83</v>
      </c>
    </row>
    <row r="9" spans="1:46" ht="18.75" customHeight="1" x14ac:dyDescent="0.3">
      <c r="A9" s="522" t="s">
        <v>293</v>
      </c>
      <c r="B9" s="618"/>
      <c r="C9" s="594"/>
      <c r="D9" s="527"/>
      <c r="E9" s="594"/>
      <c r="F9" s="594"/>
      <c r="G9" s="527"/>
      <c r="H9" s="594"/>
      <c r="I9" s="594"/>
      <c r="J9" s="527"/>
      <c r="K9" s="618"/>
      <c r="L9" s="594"/>
      <c r="M9" s="527"/>
      <c r="N9" s="618"/>
      <c r="O9" s="594"/>
      <c r="P9" s="526"/>
      <c r="Q9" s="698"/>
      <c r="R9" s="528"/>
      <c r="S9" s="527"/>
      <c r="T9" s="664"/>
      <c r="U9" s="597"/>
      <c r="V9" s="527"/>
      <c r="W9" s="618"/>
      <c r="X9" s="594"/>
      <c r="Y9" s="527"/>
      <c r="Z9" s="618"/>
      <c r="AA9" s="594"/>
      <c r="AB9" s="527"/>
      <c r="AC9" s="664"/>
      <c r="AD9" s="597"/>
      <c r="AE9" s="527"/>
      <c r="AF9" s="618"/>
      <c r="AG9" s="594"/>
      <c r="AH9" s="527"/>
      <c r="AI9" s="618"/>
      <c r="AJ9" s="594"/>
      <c r="AK9" s="527"/>
      <c r="AL9" s="618"/>
      <c r="AM9" s="594"/>
      <c r="AN9" s="527"/>
      <c r="AO9" s="527"/>
      <c r="AP9" s="527"/>
      <c r="AQ9" s="527"/>
      <c r="AR9" s="529"/>
      <c r="AS9" s="529"/>
      <c r="AT9" s="529"/>
    </row>
    <row r="10" spans="1:46" s="508" customFormat="1" ht="18.75" customHeight="1" x14ac:dyDescent="0.3">
      <c r="A10" s="530" t="s">
        <v>294</v>
      </c>
      <c r="B10" s="619"/>
      <c r="C10" s="436"/>
      <c r="D10" s="532"/>
      <c r="E10" s="436"/>
      <c r="F10" s="436"/>
      <c r="G10" s="532"/>
      <c r="H10" s="436"/>
      <c r="I10" s="436"/>
      <c r="J10" s="532"/>
      <c r="K10" s="619"/>
      <c r="L10" s="436"/>
      <c r="M10" s="532"/>
      <c r="N10" s="619"/>
      <c r="O10" s="436"/>
      <c r="P10" s="531"/>
      <c r="Q10" s="667"/>
      <c r="R10" s="533"/>
      <c r="S10" s="532"/>
      <c r="T10" s="620"/>
      <c r="U10" s="337"/>
      <c r="V10" s="532"/>
      <c r="W10" s="619"/>
      <c r="X10" s="436"/>
      <c r="Y10" s="532"/>
      <c r="Z10" s="619"/>
      <c r="AA10" s="436"/>
      <c r="AB10" s="532"/>
      <c r="AC10" s="620"/>
      <c r="AD10" s="337"/>
      <c r="AE10" s="532"/>
      <c r="AF10" s="619"/>
      <c r="AG10" s="436"/>
      <c r="AH10" s="532"/>
      <c r="AI10" s="619"/>
      <c r="AJ10" s="436"/>
      <c r="AK10" s="532"/>
      <c r="AL10" s="619"/>
      <c r="AM10" s="436"/>
      <c r="AN10" s="532"/>
      <c r="AO10" s="532"/>
      <c r="AP10" s="532"/>
      <c r="AQ10" s="532"/>
      <c r="AR10" s="534"/>
      <c r="AS10" s="534"/>
      <c r="AT10" s="534"/>
    </row>
    <row r="11" spans="1:46" s="508" customFormat="1" ht="18.75" customHeight="1" x14ac:dyDescent="0.3">
      <c r="A11" s="530" t="s">
        <v>295</v>
      </c>
      <c r="B11" s="620">
        <f>1185.732+0.432</f>
        <v>1186.164</v>
      </c>
      <c r="C11" s="337">
        <f>1265.424+0.547</f>
        <v>1265.971</v>
      </c>
      <c r="D11" s="532">
        <f t="shared" ref="D11:D16" si="0">IF(B11=0, "    ---- ", IF(ABS(ROUND(100/B11*C11-100,1))&lt;999,ROUND(100/B11*C11-100,1),IF(ROUND(100/B11*C11-100,1)&gt;999,999,-999)))</f>
        <v>6.7</v>
      </c>
      <c r="E11" s="337">
        <v>4444.2820000000002</v>
      </c>
      <c r="F11" s="337">
        <v>7526.7470000000003</v>
      </c>
      <c r="G11" s="532">
        <f t="shared" ref="G11:G17" si="1">IF(E11=0, "    ---- ", IF(ABS(ROUND(100/E11*F11-100,1))&lt;999,ROUND(100/E11*F11-100,1),IF(ROUND(100/E11*F11-100,1)&gt;999,999,-999)))</f>
        <v>69.400000000000006</v>
      </c>
      <c r="H11" s="337"/>
      <c r="I11" s="337">
        <v>1717.5943964099997</v>
      </c>
      <c r="J11" s="532" t="str">
        <f t="shared" ref="J11:J17" si="2">IF(H11=0, "    ---- ", IF(ABS(ROUND(100/H11*I11-100,1))&lt;999,ROUND(100/H11*I11-100,1),IF(ROUND(100/H11*I11-100,1)&gt;999,999,-999)))</f>
        <v xml:space="preserve">    ---- </v>
      </c>
      <c r="K11" s="620">
        <v>780.34</v>
      </c>
      <c r="L11" s="337">
        <v>815.11199999999997</v>
      </c>
      <c r="M11" s="532">
        <f t="shared" ref="M11:M17" si="3">IF(K11=0, "    ---- ", IF(ABS(ROUND(100/K11*L11-100,1))&lt;999,ROUND(100/K11*L11-100,1),IF(ROUND(100/K11*L11-100,1)&gt;999,999,-999)))</f>
        <v>4.5</v>
      </c>
      <c r="N11" s="620">
        <v>1912.3</v>
      </c>
      <c r="O11" s="337">
        <v>1942.1</v>
      </c>
      <c r="P11" s="532">
        <f t="shared" ref="P11:P16" si="4">IF(N11=0, "    ---- ", IF(ABS(ROUND(100/N11*O11-100,1))&lt;999,ROUND(100/N11*O11-100,1),IF(ROUND(100/N11*O11-100,1)&gt;999,999,-999)))</f>
        <v>1.6</v>
      </c>
      <c r="Q11" s="620">
        <v>18.0184885</v>
      </c>
      <c r="R11" s="337">
        <v>17.6440299</v>
      </c>
      <c r="S11" s="532">
        <f>IF(Q11=0, "    ---- ", IF(ABS(ROUND(100/Q11*R11-100,1))&lt;999,ROUND(100/Q11*R11-100,1),IF(ROUND(100/Q11*R11-100,1)&gt;999,999,-999)))</f>
        <v>-2.1</v>
      </c>
      <c r="T11" s="620">
        <v>21833.443795720003</v>
      </c>
      <c r="U11" s="337">
        <v>14258.498093959999</v>
      </c>
      <c r="V11" s="532">
        <f t="shared" ref="V11:V17" si="5">IF(T11=0, "    ---- ", IF(ABS(ROUND(100/T11*U11-100,1))&lt;999,ROUND(100/T11*U11-100,1),IF(ROUND(100/T11*U11-100,1)&gt;999,999,-999)))</f>
        <v>-34.700000000000003</v>
      </c>
      <c r="W11" s="620">
        <v>315.09500000000003</v>
      </c>
      <c r="X11" s="337">
        <v>360.70299999999997</v>
      </c>
      <c r="Y11" s="532">
        <f t="shared" ref="Y11:Y30" si="6">IF(W11=0, "    ---- ", IF(ABS(ROUND(100/W11*X11-100,1))&lt;999,ROUND(100/W11*X11-100,1),IF(ROUND(100/W11*X11-100,1)&gt;999,999,-999)))</f>
        <v>14.5</v>
      </c>
      <c r="Z11" s="620">
        <v>6845</v>
      </c>
      <c r="AA11" s="337">
        <v>6862.6</v>
      </c>
      <c r="AB11" s="532">
        <f t="shared" ref="AB11:AB17" si="7">IF(Z11=0, "    ---- ", IF(ABS(ROUND(100/Z11*AA11-100,1))&lt;999,ROUND(100/Z11*AA11-100,1),IF(ROUND(100/Z11*AA11-100,1)&gt;999,999,-999)))</f>
        <v>0.3</v>
      </c>
      <c r="AC11" s="620">
        <v>1844</v>
      </c>
      <c r="AD11" s="337">
        <v>1571</v>
      </c>
      <c r="AE11" s="532">
        <f t="shared" ref="AE11:AE17" si="8">IF(AC11=0, "    ---- ", IF(ABS(ROUND(100/AC11*AD11-100,1))&lt;999,ROUND(100/AC11*AD11-100,1),IF(ROUND(100/AC11*AD11-100,1)&gt;999,999,-999)))</f>
        <v>-14.8</v>
      </c>
      <c r="AF11" s="620">
        <v>69.806938299999999</v>
      </c>
      <c r="AG11" s="337">
        <v>67.197383549999998</v>
      </c>
      <c r="AH11" s="532">
        <f t="shared" ref="AH11:AH16" si="9">IF(AF11=0, "    ---- ", IF(ABS(ROUND(100/AF11*AG11-100,1))&lt;999,ROUND(100/AF11*AG11-100,1),IF(ROUND(100/AF11*AG11-100,1)&gt;999,999,-999)))</f>
        <v>-3.7</v>
      </c>
      <c r="AI11" s="620">
        <v>3892.8486655400002</v>
      </c>
      <c r="AJ11" s="337">
        <v>2744.3084134399996</v>
      </c>
      <c r="AK11" s="532">
        <f t="shared" ref="AK11:AK17" si="10">IF(AI11=0, "    ---- ", IF(ABS(ROUND(100/AI11*AJ11-100,1))&lt;999,ROUND(100/AI11*AJ11-100,1),IF(ROUND(100/AI11*AJ11-100,1)&gt;999,999,-999)))</f>
        <v>-29.5</v>
      </c>
      <c r="AL11" s="620">
        <v>9049</v>
      </c>
      <c r="AM11" s="337">
        <v>10014</v>
      </c>
      <c r="AN11" s="532">
        <f t="shared" ref="AN11:AN17" si="11">IF(AL11=0, "    ---- ", IF(ABS(ROUND(100/AL11*AM11-100,1))&lt;999,ROUND(100/AL11*AM11-100,1),IF(ROUND(100/AL11*AM11-100,1)&gt;999,999,-999)))</f>
        <v>10.7</v>
      </c>
      <c r="AO11" s="532">
        <f>B11+E11+H11+K11+N11+T11+W11+Z11+AC11+AI11+AL11</f>
        <v>52102.47346126</v>
      </c>
      <c r="AP11" s="532">
        <f>C11+F11+I11+L11+O11+U11+X11+AA11+AD11+AJ11+AM11</f>
        <v>49078.633903809998</v>
      </c>
      <c r="AQ11" s="532">
        <f t="shared" ref="AQ11:AQ45" si="12">IF(AO11=0, "    ---- ", IF(ABS(ROUND(100/AO11*AP11-100,1))&lt;999,ROUND(100/AO11*AP11-100,1),IF(ROUND(100/AO11*AP11-100,1)&gt;999,999,-999)))</f>
        <v>-5.8</v>
      </c>
      <c r="AR11" s="535">
        <f>+B11+E11+H11+K11+N11+Q11+T11+W11+Z11+AC11+AF11+AI11+AL11</f>
        <v>52190.298888059995</v>
      </c>
      <c r="AS11" s="535">
        <f>+C11+F11+I11+L11+O11+R11+U11+X11+AA11+AD11+AG11+AJ11+AM11</f>
        <v>49163.475317260003</v>
      </c>
      <c r="AT11" s="532">
        <f t="shared" ref="AT11:AT17" si="13">IF(AR11=0, "    ---- ", IF(ABS(ROUND(100/AR11*AS11-100,1))&lt;999,ROUND(100/AR11*AS11-100,1),IF(ROUND(100/AR11*AS11-100,1)&gt;999,999,-999)))</f>
        <v>-5.8</v>
      </c>
    </row>
    <row r="12" spans="1:46" s="508" customFormat="1" ht="18.75" customHeight="1" x14ac:dyDescent="0.3">
      <c r="A12" s="530" t="s">
        <v>296</v>
      </c>
      <c r="B12" s="620">
        <v>-66.927000000000007</v>
      </c>
      <c r="C12" s="337">
        <v>-58.85</v>
      </c>
      <c r="D12" s="532">
        <f t="shared" si="0"/>
        <v>-12.1</v>
      </c>
      <c r="E12" s="337">
        <v>-103.92</v>
      </c>
      <c r="F12" s="337">
        <v>-196.34399999999999</v>
      </c>
      <c r="G12" s="532">
        <f t="shared" si="1"/>
        <v>88.9</v>
      </c>
      <c r="H12" s="337"/>
      <c r="I12" s="337">
        <v>-96.909164049999987</v>
      </c>
      <c r="J12" s="532" t="str">
        <f t="shared" si="2"/>
        <v xml:space="preserve">    ---- </v>
      </c>
      <c r="K12" s="620">
        <v>-0.64600000000000002</v>
      </c>
      <c r="L12" s="337">
        <v>-0.67900000000000005</v>
      </c>
      <c r="M12" s="532">
        <f t="shared" si="3"/>
        <v>5.0999999999999996</v>
      </c>
      <c r="N12" s="620">
        <v>-33.700000000000003</v>
      </c>
      <c r="O12" s="337">
        <v>-42.2</v>
      </c>
      <c r="P12" s="532">
        <f t="shared" si="4"/>
        <v>25.2</v>
      </c>
      <c r="Q12" s="620"/>
      <c r="R12" s="337"/>
      <c r="S12" s="532"/>
      <c r="T12" s="620"/>
      <c r="U12" s="337"/>
      <c r="V12" s="532"/>
      <c r="W12" s="620"/>
      <c r="X12" s="337"/>
      <c r="Y12" s="532"/>
      <c r="Z12" s="620">
        <v>-39</v>
      </c>
      <c r="AA12" s="337">
        <v>-46</v>
      </c>
      <c r="AB12" s="532">
        <f t="shared" si="7"/>
        <v>17.899999999999999</v>
      </c>
      <c r="AC12" s="620">
        <v>-1</v>
      </c>
      <c r="AD12" s="337">
        <v>-1</v>
      </c>
      <c r="AE12" s="532">
        <f t="shared" si="8"/>
        <v>0</v>
      </c>
      <c r="AF12" s="620"/>
      <c r="AG12" s="337"/>
      <c r="AH12" s="532"/>
      <c r="AI12" s="620">
        <v>-95.212000000000003</v>
      </c>
      <c r="AJ12" s="337">
        <v>-2.5550000000000002</v>
      </c>
      <c r="AK12" s="532">
        <f t="shared" si="10"/>
        <v>-97.3</v>
      </c>
      <c r="AL12" s="620">
        <v>-6.5</v>
      </c>
      <c r="AM12" s="337">
        <v>-8</v>
      </c>
      <c r="AN12" s="532">
        <f t="shared" si="11"/>
        <v>23.1</v>
      </c>
      <c r="AO12" s="532">
        <f t="shared" ref="AO12:AP33" si="14">B12+E12+H12+K12+N12+T12+W12+Z12+AC12+AI12+AL12</f>
        <v>-346.90499999999997</v>
      </c>
      <c r="AP12" s="532">
        <f t="shared" si="14"/>
        <v>-452.53716404999994</v>
      </c>
      <c r="AQ12" s="532">
        <f t="shared" si="12"/>
        <v>30.4</v>
      </c>
      <c r="AR12" s="535">
        <f t="shared" ref="AR12:AS17" si="15">+B12+E12+H12+K12+N12+Q12+T12+W12+Z12+AC12+AF12+AI12+AL12</f>
        <v>-346.90499999999997</v>
      </c>
      <c r="AS12" s="535">
        <f t="shared" si="15"/>
        <v>-452.53716404999994</v>
      </c>
      <c r="AT12" s="532">
        <f t="shared" si="13"/>
        <v>30.4</v>
      </c>
    </row>
    <row r="13" spans="1:46" s="508" customFormat="1" ht="18.75" customHeight="1" x14ac:dyDescent="0.3">
      <c r="A13" s="530" t="s">
        <v>297</v>
      </c>
      <c r="B13" s="620">
        <v>626.702</v>
      </c>
      <c r="C13" s="337">
        <v>604.74400000000003</v>
      </c>
      <c r="D13" s="532">
        <f t="shared" si="0"/>
        <v>-3.5</v>
      </c>
      <c r="E13" s="337">
        <v>1376.864</v>
      </c>
      <c r="F13" s="337">
        <v>1512.7629999999999</v>
      </c>
      <c r="G13" s="532">
        <f t="shared" si="1"/>
        <v>9.9</v>
      </c>
      <c r="H13" s="337"/>
      <c r="I13" s="337"/>
      <c r="J13" s="532"/>
      <c r="K13" s="620">
        <v>97.753</v>
      </c>
      <c r="L13" s="337">
        <v>68.045000000000002</v>
      </c>
      <c r="M13" s="532">
        <f t="shared" si="3"/>
        <v>-30.4</v>
      </c>
      <c r="N13" s="620">
        <v>916.9</v>
      </c>
      <c r="O13" s="337">
        <v>833.2</v>
      </c>
      <c r="P13" s="532">
        <f t="shared" si="4"/>
        <v>-9.1</v>
      </c>
      <c r="Q13" s="620"/>
      <c r="R13" s="337"/>
      <c r="S13" s="532"/>
      <c r="T13" s="620">
        <v>0.23514299999999999</v>
      </c>
      <c r="U13" s="337">
        <v>2865.2079699999999</v>
      </c>
      <c r="V13" s="532">
        <f t="shared" si="5"/>
        <v>999</v>
      </c>
      <c r="W13" s="620">
        <v>309.62099999999998</v>
      </c>
      <c r="X13" s="337">
        <v>210.011</v>
      </c>
      <c r="Y13" s="532">
        <f t="shared" si="6"/>
        <v>-32.200000000000003</v>
      </c>
      <c r="Z13" s="620">
        <v>1553</v>
      </c>
      <c r="AA13" s="337">
        <v>3627</v>
      </c>
      <c r="AB13" s="532">
        <f t="shared" si="7"/>
        <v>133.5</v>
      </c>
      <c r="AC13" s="620">
        <v>106</v>
      </c>
      <c r="AD13" s="337">
        <v>0</v>
      </c>
      <c r="AE13" s="532">
        <f t="shared" si="8"/>
        <v>-100</v>
      </c>
      <c r="AF13" s="620">
        <v>57.997464999999998</v>
      </c>
      <c r="AG13" s="337">
        <v>59.396436000000001</v>
      </c>
      <c r="AH13" s="532">
        <f t="shared" si="9"/>
        <v>2.4</v>
      </c>
      <c r="AI13" s="620">
        <v>843.94891141999994</v>
      </c>
      <c r="AJ13" s="337">
        <v>688.73329681000018</v>
      </c>
      <c r="AK13" s="532">
        <f t="shared" si="10"/>
        <v>-18.399999999999999</v>
      </c>
      <c r="AL13" s="620">
        <v>1799</v>
      </c>
      <c r="AM13" s="337">
        <v>4994</v>
      </c>
      <c r="AN13" s="532">
        <f t="shared" si="11"/>
        <v>177.6</v>
      </c>
      <c r="AO13" s="532">
        <f t="shared" si="14"/>
        <v>7630.0240544199996</v>
      </c>
      <c r="AP13" s="532">
        <f t="shared" si="14"/>
        <v>15403.70426681</v>
      </c>
      <c r="AQ13" s="532">
        <f t="shared" si="12"/>
        <v>101.9</v>
      </c>
      <c r="AR13" s="535">
        <f t="shared" si="15"/>
        <v>7688.02151942</v>
      </c>
      <c r="AS13" s="535">
        <f t="shared" si="15"/>
        <v>15463.100702810001</v>
      </c>
      <c r="AT13" s="532">
        <f t="shared" si="13"/>
        <v>101.1</v>
      </c>
    </row>
    <row r="14" spans="1:46" s="508" customFormat="1" ht="18.75" customHeight="1" x14ac:dyDescent="0.3">
      <c r="A14" s="530" t="s">
        <v>298</v>
      </c>
      <c r="B14" s="660">
        <f>SUM(B11:B13)</f>
        <v>1745.9390000000001</v>
      </c>
      <c r="C14" s="661">
        <f>SUM(C11:C13)</f>
        <v>1811.8650000000002</v>
      </c>
      <c r="D14" s="532">
        <f t="shared" si="0"/>
        <v>3.8</v>
      </c>
      <c r="E14" s="436">
        <f>SUM(E11:E13)</f>
        <v>5717.2260000000006</v>
      </c>
      <c r="F14" s="436">
        <f>SUM(F11:F13)</f>
        <v>8843.1660000000011</v>
      </c>
      <c r="G14" s="532">
        <f t="shared" si="1"/>
        <v>54.7</v>
      </c>
      <c r="H14" s="436"/>
      <c r="I14" s="436">
        <f>SUM(I11:I13)</f>
        <v>1620.6852323599996</v>
      </c>
      <c r="J14" s="532" t="str">
        <f t="shared" si="2"/>
        <v xml:space="preserve">    ---- </v>
      </c>
      <c r="K14" s="619">
        <f>SUM(K11:K13)</f>
        <v>877.44700000000012</v>
      </c>
      <c r="L14" s="436">
        <f>SUM(L11:L13)</f>
        <v>882.47799999999995</v>
      </c>
      <c r="M14" s="532">
        <f t="shared" si="3"/>
        <v>0.6</v>
      </c>
      <c r="N14" s="619">
        <f>SUM(N11:N13)</f>
        <v>2795.5</v>
      </c>
      <c r="O14" s="436">
        <f>SUM(O11:O13)</f>
        <v>2733.1</v>
      </c>
      <c r="P14" s="532">
        <f t="shared" si="4"/>
        <v>-2.2000000000000002</v>
      </c>
      <c r="Q14" s="619">
        <f>SUM(Q11:Q13)</f>
        <v>18.0184885</v>
      </c>
      <c r="R14" s="436">
        <f>SUM(R11:R13)</f>
        <v>17.6440299</v>
      </c>
      <c r="S14" s="532">
        <f>IF(Q14=0, "    ---- ", IF(ABS(ROUND(100/Q14*R14-100,1))&lt;999,ROUND(100/Q14*R14-100,1),IF(ROUND(100/Q14*R14-100,1)&gt;999,999,-999)))</f>
        <v>-2.1</v>
      </c>
      <c r="T14" s="619">
        <f>SUM(T11:T13)</f>
        <v>21833.678938720004</v>
      </c>
      <c r="U14" s="436">
        <v>17123.706063959999</v>
      </c>
      <c r="V14" s="532">
        <f t="shared" si="5"/>
        <v>-21.6</v>
      </c>
      <c r="W14" s="619">
        <f>SUM(W11:W13)</f>
        <v>624.71600000000001</v>
      </c>
      <c r="X14" s="436">
        <f>SUM(X11:X13)</f>
        <v>570.71399999999994</v>
      </c>
      <c r="Y14" s="532">
        <f t="shared" si="6"/>
        <v>-8.6</v>
      </c>
      <c r="Z14" s="619">
        <f>SUM(Z11:Z13)</f>
        <v>8359</v>
      </c>
      <c r="AA14" s="436">
        <f>SUM(AA11:AA13)</f>
        <v>10443.6</v>
      </c>
      <c r="AB14" s="532">
        <f t="shared" si="7"/>
        <v>24.9</v>
      </c>
      <c r="AC14" s="619">
        <f>SUM(AC11:AC13)</f>
        <v>1949</v>
      </c>
      <c r="AD14" s="436">
        <f>SUM(AD11:AD13)</f>
        <v>1570</v>
      </c>
      <c r="AE14" s="532">
        <f t="shared" si="8"/>
        <v>-19.399999999999999</v>
      </c>
      <c r="AF14" s="619">
        <f>SUM(AF11:AF13)</f>
        <v>127.80440329999999</v>
      </c>
      <c r="AG14" s="436">
        <f>SUM(AG11:AG13)</f>
        <v>126.59381955000001</v>
      </c>
      <c r="AH14" s="532">
        <f t="shared" si="9"/>
        <v>-0.9</v>
      </c>
      <c r="AI14" s="619">
        <f>SUM(AI11:AI13)</f>
        <v>4641.5855769600003</v>
      </c>
      <c r="AJ14" s="436">
        <f>SUM(AJ11:AJ13)</f>
        <v>3430.4867102500002</v>
      </c>
      <c r="AK14" s="532">
        <f t="shared" si="10"/>
        <v>-26.1</v>
      </c>
      <c r="AL14" s="619">
        <f>SUM(AL11:AL13)</f>
        <v>10841.5</v>
      </c>
      <c r="AM14" s="436">
        <f>SUM(AM11:AM13)</f>
        <v>15000</v>
      </c>
      <c r="AN14" s="532">
        <f t="shared" si="11"/>
        <v>38.4</v>
      </c>
      <c r="AO14" s="532">
        <f t="shared" si="14"/>
        <v>59385.592515680008</v>
      </c>
      <c r="AP14" s="532">
        <f t="shared" si="14"/>
        <v>64029.801006569993</v>
      </c>
      <c r="AQ14" s="532">
        <f t="shared" si="12"/>
        <v>7.8</v>
      </c>
      <c r="AR14" s="535">
        <f t="shared" si="15"/>
        <v>59531.415407480003</v>
      </c>
      <c r="AS14" s="535">
        <f t="shared" si="15"/>
        <v>64174.038856019994</v>
      </c>
      <c r="AT14" s="532">
        <f t="shared" si="13"/>
        <v>7.8</v>
      </c>
    </row>
    <row r="15" spans="1:46" s="508" customFormat="1" ht="18.75" customHeight="1" x14ac:dyDescent="0.3">
      <c r="A15" s="530" t="s">
        <v>299</v>
      </c>
      <c r="B15" s="195">
        <v>30.812000000000001</v>
      </c>
      <c r="C15" s="446">
        <v>28.352</v>
      </c>
      <c r="D15" s="532">
        <f t="shared" si="0"/>
        <v>-8</v>
      </c>
      <c r="E15" s="446">
        <v>4110.4870000000001</v>
      </c>
      <c r="F15" s="446">
        <v>-2046.6210000000001</v>
      </c>
      <c r="G15" s="532">
        <f t="shared" si="1"/>
        <v>-149.80000000000001</v>
      </c>
      <c r="H15" s="598"/>
      <c r="I15" s="598">
        <v>80.608414219999986</v>
      </c>
      <c r="J15" s="532" t="str">
        <f t="shared" si="2"/>
        <v xml:space="preserve">    ---- </v>
      </c>
      <c r="K15" s="665">
        <v>35.502000000000002</v>
      </c>
      <c r="L15" s="598">
        <v>6.1429999999999998</v>
      </c>
      <c r="M15" s="532">
        <f t="shared" si="3"/>
        <v>-82.7</v>
      </c>
      <c r="N15" s="195">
        <v>137.5</v>
      </c>
      <c r="O15" s="446">
        <v>37.9</v>
      </c>
      <c r="P15" s="532">
        <f t="shared" si="4"/>
        <v>-72.400000000000006</v>
      </c>
      <c r="Q15" s="656"/>
      <c r="R15" s="596"/>
      <c r="S15" s="532"/>
      <c r="T15" s="195">
        <v>24380.630226429999</v>
      </c>
      <c r="U15" s="446">
        <v>-2658.1925992500001</v>
      </c>
      <c r="V15" s="532">
        <f t="shared" si="5"/>
        <v>-110.9</v>
      </c>
      <c r="W15" s="195">
        <v>34.515000000000001</v>
      </c>
      <c r="X15" s="446">
        <v>6.2119999999999997</v>
      </c>
      <c r="Y15" s="532">
        <f t="shared" si="6"/>
        <v>-82</v>
      </c>
      <c r="Z15" s="195">
        <v>1457</v>
      </c>
      <c r="AA15" s="446">
        <v>343.62</v>
      </c>
      <c r="AB15" s="532">
        <f t="shared" si="7"/>
        <v>-76.400000000000006</v>
      </c>
      <c r="AC15" s="195">
        <v>4544</v>
      </c>
      <c r="AD15" s="446">
        <v>861</v>
      </c>
      <c r="AE15" s="532">
        <f t="shared" si="8"/>
        <v>-81.099999999999994</v>
      </c>
      <c r="AF15" s="656"/>
      <c r="AG15" s="596"/>
      <c r="AH15" s="532"/>
      <c r="AI15" s="679">
        <v>1773.2492596699985</v>
      </c>
      <c r="AJ15" s="537">
        <v>-104.66657224000001</v>
      </c>
      <c r="AK15" s="532">
        <f t="shared" si="10"/>
        <v>-105.9</v>
      </c>
      <c r="AL15" s="195">
        <v>6059</v>
      </c>
      <c r="AM15" s="446">
        <v>5104</v>
      </c>
      <c r="AN15" s="532">
        <f t="shared" si="11"/>
        <v>-15.8</v>
      </c>
      <c r="AO15" s="532">
        <f t="shared" si="14"/>
        <v>42562.69548609999</v>
      </c>
      <c r="AP15" s="532">
        <f t="shared" si="14"/>
        <v>1658.3552427300006</v>
      </c>
      <c r="AQ15" s="532">
        <f t="shared" si="12"/>
        <v>-96.1</v>
      </c>
      <c r="AR15" s="535">
        <f t="shared" si="15"/>
        <v>42562.69548609999</v>
      </c>
      <c r="AS15" s="535">
        <f t="shared" si="15"/>
        <v>1658.3552427300006</v>
      </c>
      <c r="AT15" s="532">
        <f t="shared" si="13"/>
        <v>-96.1</v>
      </c>
    </row>
    <row r="16" spans="1:46" s="508" customFormat="1" ht="18.75" customHeight="1" x14ac:dyDescent="0.3">
      <c r="A16" s="530" t="s">
        <v>300</v>
      </c>
      <c r="B16" s="195">
        <v>1373.1869999999999</v>
      </c>
      <c r="C16" s="446">
        <v>-556.26400000000001</v>
      </c>
      <c r="D16" s="532">
        <f t="shared" si="0"/>
        <v>-140.5</v>
      </c>
      <c r="E16" s="446">
        <v>5394.5969999999998</v>
      </c>
      <c r="F16" s="446">
        <v>-3924.877</v>
      </c>
      <c r="G16" s="532">
        <f t="shared" si="1"/>
        <v>-172.8</v>
      </c>
      <c r="H16" s="598"/>
      <c r="I16" s="598"/>
      <c r="J16" s="532"/>
      <c r="K16" s="665">
        <v>272.89600000000002</v>
      </c>
      <c r="L16" s="598">
        <v>-171.66499999999999</v>
      </c>
      <c r="M16" s="532">
        <f t="shared" si="3"/>
        <v>-162.9</v>
      </c>
      <c r="N16" s="195">
        <v>2239.46</v>
      </c>
      <c r="O16" s="446">
        <v>-875.8</v>
      </c>
      <c r="P16" s="531">
        <f t="shared" si="4"/>
        <v>-139.1</v>
      </c>
      <c r="Q16" s="656"/>
      <c r="R16" s="596"/>
      <c r="S16" s="538"/>
      <c r="T16" s="195">
        <v>130.44012617000001</v>
      </c>
      <c r="U16" s="446">
        <v>-44.313166539999997</v>
      </c>
      <c r="V16" s="538">
        <f t="shared" si="5"/>
        <v>-134</v>
      </c>
      <c r="W16" s="195">
        <v>336.13400000000001</v>
      </c>
      <c r="X16" s="446">
        <v>-182.934</v>
      </c>
      <c r="Y16" s="538">
        <f t="shared" si="6"/>
        <v>-154.4</v>
      </c>
      <c r="Z16" s="195">
        <v>5029</v>
      </c>
      <c r="AA16" s="446">
        <v>-2629.49</v>
      </c>
      <c r="AB16" s="532">
        <f t="shared" si="7"/>
        <v>-152.30000000000001</v>
      </c>
      <c r="AC16" s="195"/>
      <c r="AD16" s="446"/>
      <c r="AE16" s="532"/>
      <c r="AF16" s="195">
        <v>222.48430877999999</v>
      </c>
      <c r="AG16" s="446">
        <v>-21.71357897</v>
      </c>
      <c r="AH16" s="532">
        <f t="shared" si="9"/>
        <v>-109.8</v>
      </c>
      <c r="AI16" s="679">
        <v>2662.7825800399996</v>
      </c>
      <c r="AJ16" s="537">
        <v>-1429.48286852</v>
      </c>
      <c r="AK16" s="532">
        <f t="shared" si="10"/>
        <v>-153.69999999999999</v>
      </c>
      <c r="AL16" s="195">
        <v>7788</v>
      </c>
      <c r="AM16" s="446">
        <v>-4402</v>
      </c>
      <c r="AN16" s="532">
        <f t="shared" si="11"/>
        <v>-156.5</v>
      </c>
      <c r="AO16" s="532">
        <f t="shared" si="14"/>
        <v>25226.49670621</v>
      </c>
      <c r="AP16" s="532">
        <f t="shared" si="14"/>
        <v>-14216.826035059999</v>
      </c>
      <c r="AQ16" s="532">
        <f t="shared" si="12"/>
        <v>-156.4</v>
      </c>
      <c r="AR16" s="535">
        <f t="shared" si="15"/>
        <v>25448.98101499</v>
      </c>
      <c r="AS16" s="535">
        <f t="shared" si="15"/>
        <v>-14238.53961403</v>
      </c>
      <c r="AT16" s="532">
        <f t="shared" si="13"/>
        <v>-155.9</v>
      </c>
    </row>
    <row r="17" spans="1:46" s="508" customFormat="1" ht="18.75" customHeight="1" x14ac:dyDescent="0.3">
      <c r="A17" s="530" t="s">
        <v>301</v>
      </c>
      <c r="B17" s="195"/>
      <c r="C17" s="446"/>
      <c r="D17" s="532"/>
      <c r="E17" s="446">
        <v>21.917000000000002</v>
      </c>
      <c r="F17" s="446">
        <v>3.7650000000000001</v>
      </c>
      <c r="G17" s="532">
        <f t="shared" si="1"/>
        <v>-82.8</v>
      </c>
      <c r="H17" s="598"/>
      <c r="I17" s="598">
        <v>5.5680446999999988</v>
      </c>
      <c r="J17" s="532" t="str">
        <f t="shared" si="2"/>
        <v xml:space="preserve">    ---- </v>
      </c>
      <c r="K17" s="665">
        <v>6.7729999999999997</v>
      </c>
      <c r="L17" s="598">
        <v>72.150999999999996</v>
      </c>
      <c r="M17" s="532">
        <f t="shared" si="3"/>
        <v>965.3</v>
      </c>
      <c r="N17" s="195">
        <v>79.2</v>
      </c>
      <c r="O17" s="446">
        <v>86.4</v>
      </c>
      <c r="P17" s="532">
        <f>IF(N17=0, "    ---- ", IF(ABS(ROUND(100/N17*O17-100,1))&lt;999,ROUND(100/N17*O17-100,1),IF(ROUND(100/N17*O17-100,1)&gt;999,999,-999)))</f>
        <v>9.1</v>
      </c>
      <c r="Q17" s="656"/>
      <c r="R17" s="596"/>
      <c r="S17" s="532"/>
      <c r="T17" s="195">
        <v>547.30926499999998</v>
      </c>
      <c r="U17" s="446">
        <v>582.38912300000004</v>
      </c>
      <c r="V17" s="532">
        <f t="shared" si="5"/>
        <v>6.4</v>
      </c>
      <c r="W17" s="195">
        <v>4.0140000000000002</v>
      </c>
      <c r="X17" s="446">
        <v>7.2949999999999999</v>
      </c>
      <c r="Y17" s="532">
        <f t="shared" si="6"/>
        <v>81.7</v>
      </c>
      <c r="Z17" s="195">
        <v>88</v>
      </c>
      <c r="AA17" s="446">
        <v>106.6</v>
      </c>
      <c r="AB17" s="532">
        <f t="shared" si="7"/>
        <v>21.1</v>
      </c>
      <c r="AC17" s="195">
        <v>103</v>
      </c>
      <c r="AD17" s="446">
        <v>105</v>
      </c>
      <c r="AE17" s="532">
        <f t="shared" si="8"/>
        <v>1.9</v>
      </c>
      <c r="AF17" s="656"/>
      <c r="AG17" s="596"/>
      <c r="AH17" s="532"/>
      <c r="AI17" s="679">
        <v>104.24109184999999</v>
      </c>
      <c r="AJ17" s="537">
        <v>112.32798865000001</v>
      </c>
      <c r="AK17" s="532">
        <f t="shared" si="10"/>
        <v>7.8</v>
      </c>
      <c r="AL17" s="195">
        <v>350</v>
      </c>
      <c r="AM17" s="446">
        <v>407</v>
      </c>
      <c r="AN17" s="532">
        <f t="shared" si="11"/>
        <v>16.3</v>
      </c>
      <c r="AO17" s="532">
        <f t="shared" si="14"/>
        <v>1304.4543568499998</v>
      </c>
      <c r="AP17" s="532">
        <f t="shared" si="14"/>
        <v>1488.4961563500001</v>
      </c>
      <c r="AQ17" s="532">
        <f t="shared" si="12"/>
        <v>14.1</v>
      </c>
      <c r="AR17" s="535">
        <f t="shared" si="15"/>
        <v>1304.4543568499998</v>
      </c>
      <c r="AS17" s="535">
        <f t="shared" si="15"/>
        <v>1488.4961563500001</v>
      </c>
      <c r="AT17" s="532">
        <f t="shared" si="13"/>
        <v>14.1</v>
      </c>
    </row>
    <row r="18" spans="1:46" s="508" customFormat="1" ht="18.75" customHeight="1" x14ac:dyDescent="0.3">
      <c r="A18" s="530" t="s">
        <v>302</v>
      </c>
      <c r="B18" s="195"/>
      <c r="C18" s="446"/>
      <c r="D18" s="532"/>
      <c r="E18" s="446"/>
      <c r="F18" s="446"/>
      <c r="G18" s="532"/>
      <c r="H18" s="598"/>
      <c r="I18" s="598"/>
      <c r="J18" s="532"/>
      <c r="K18" s="665"/>
      <c r="L18" s="598"/>
      <c r="M18" s="532"/>
      <c r="N18" s="195"/>
      <c r="O18" s="446"/>
      <c r="P18" s="531"/>
      <c r="Q18" s="656"/>
      <c r="R18" s="596"/>
      <c r="S18" s="532"/>
      <c r="T18" s="195"/>
      <c r="U18" s="446"/>
      <c r="V18" s="532"/>
      <c r="W18" s="195"/>
      <c r="X18" s="446"/>
      <c r="Y18" s="532"/>
      <c r="Z18" s="682"/>
      <c r="AA18" s="539"/>
      <c r="AB18" s="532"/>
      <c r="AC18" s="195"/>
      <c r="AD18" s="446"/>
      <c r="AE18" s="532"/>
      <c r="AF18" s="656"/>
      <c r="AG18" s="596"/>
      <c r="AH18" s="532"/>
      <c r="AI18" s="679"/>
      <c r="AJ18" s="537"/>
      <c r="AK18" s="532"/>
      <c r="AL18" s="195"/>
      <c r="AM18" s="446"/>
      <c r="AN18" s="532"/>
      <c r="AO18" s="532"/>
      <c r="AP18" s="532"/>
      <c r="AQ18" s="532"/>
      <c r="AR18" s="540"/>
      <c r="AS18" s="540"/>
      <c r="AT18" s="534"/>
    </row>
    <row r="19" spans="1:46" s="508" customFormat="1" ht="18.75" customHeight="1" x14ac:dyDescent="0.3">
      <c r="A19" s="530" t="s">
        <v>303</v>
      </c>
      <c r="B19" s="619">
        <f>-393.679+21.182</f>
        <v>-372.49699999999996</v>
      </c>
      <c r="C19" s="436">
        <f>-452.92+24.263</f>
        <v>-428.65700000000004</v>
      </c>
      <c r="D19" s="532">
        <f>IF(B19=0, "    ---- ", IF(ABS(ROUND(100/B19*C19-100,1))&lt;999,ROUND(100/B19*C19-100,1),IF(ROUND(100/B19*C19-100,1)&gt;999,999,-999)))</f>
        <v>15.1</v>
      </c>
      <c r="E19" s="436">
        <v>-3424.6350000000002</v>
      </c>
      <c r="F19" s="436">
        <v>-7170.5770000000002</v>
      </c>
      <c r="G19" s="532">
        <f>IF(E19=0, "    ---- ", IF(ABS(ROUND(100/E19*F19-100,1))&lt;999,ROUND(100/E19*F19-100,1),IF(ROUND(100/E19*F19-100,1)&gt;999,999,-999)))</f>
        <v>109.4</v>
      </c>
      <c r="H19" s="436"/>
      <c r="I19" s="436">
        <v>-717.21192671999995</v>
      </c>
      <c r="J19" s="532" t="str">
        <f>IF(H19=0, "    ---- ", IF(ABS(ROUND(100/H19*I19-100,1))&lt;999,ROUND(100/H19*I19-100,1),IF(ROUND(100/H19*I19-100,1)&gt;999,999,-999)))</f>
        <v xml:space="preserve">    ---- </v>
      </c>
      <c r="K19" s="619">
        <v>-77.683000000000007</v>
      </c>
      <c r="L19" s="436">
        <v>-82.308999999999997</v>
      </c>
      <c r="M19" s="532">
        <f>IF(K19=0, "    ---- ", IF(ABS(ROUND(100/K19*L19-100,1))&lt;999,ROUND(100/K19*L19-100,1),IF(ROUND(100/K19*L19-100,1)&gt;999,999,-999)))</f>
        <v>6</v>
      </c>
      <c r="N19" s="619">
        <f>-303.1+19.2</f>
        <v>-283.90000000000003</v>
      </c>
      <c r="O19" s="436">
        <f>-311.8+5.9</f>
        <v>-305.90000000000003</v>
      </c>
      <c r="P19" s="532">
        <f>IF(N19=0, "    ---- ", IF(ABS(ROUND(100/N19*O19-100,1))&lt;999,ROUND(100/N19*O19-100,1),IF(ROUND(100/N19*O19-100,1)&gt;999,999,-999)))</f>
        <v>7.7</v>
      </c>
      <c r="Q19" s="619">
        <v>-5.4179909999999998</v>
      </c>
      <c r="R19" s="436">
        <v>-8.6502949999999998</v>
      </c>
      <c r="S19" s="532">
        <f>IF(Q19=0, "    ---- ", IF(ABS(ROUND(100/Q19*R19-100,1))&lt;999,ROUND(100/Q19*R19-100,1),IF(ROUND(100/Q19*R19-100,1)&gt;999,999,-999)))</f>
        <v>59.7</v>
      </c>
      <c r="T19" s="619">
        <v>-9739.5514060000005</v>
      </c>
      <c r="U19" s="436">
        <v>-10153.921458000001</v>
      </c>
      <c r="V19" s="532">
        <f>IF(T19=0, "    ---- ", IF(ABS(ROUND(100/T19*U19-100,1))&lt;999,ROUND(100/T19*U19-100,1),IF(ROUND(100/T19*U19-100,1)&gt;999,999,-999)))</f>
        <v>4.3</v>
      </c>
      <c r="W19" s="619">
        <v>-44.12</v>
      </c>
      <c r="X19" s="436">
        <v>-49.353000000000002</v>
      </c>
      <c r="Y19" s="532">
        <f t="shared" si="6"/>
        <v>11.9</v>
      </c>
      <c r="Z19" s="619">
        <v>-2868</v>
      </c>
      <c r="AA19" s="436">
        <v>-4751.99</v>
      </c>
      <c r="AB19" s="532">
        <f>IF(Z19=0, "    ---- ", IF(ABS(ROUND(100/Z19*AA19-100,1))&lt;999,ROUND(100/Z19*AA19-100,1),IF(ROUND(100/Z19*AA19-100,1)&gt;999,999,-999)))</f>
        <v>65.7</v>
      </c>
      <c r="AC19" s="619">
        <v>-1453</v>
      </c>
      <c r="AD19" s="436">
        <v>-1546</v>
      </c>
      <c r="AE19" s="532">
        <f>IF(AC19=0, "    ---- ", IF(ABS(ROUND(100/AC19*AD19-100,1))&lt;999,ROUND(100/AC19*AD19-100,1),IF(ROUND(100/AC19*AD19-100,1)&gt;999,999,-999)))</f>
        <v>6.4</v>
      </c>
      <c r="AF19" s="619">
        <v>-103.75107081</v>
      </c>
      <c r="AG19" s="436">
        <v>-121.0840513</v>
      </c>
      <c r="AH19" s="532">
        <f>IF(AF19=0, "    ---- ", IF(ABS(ROUND(100/AF19*AG19-100,1))&lt;999,ROUND(100/AF19*AG19-100,1),IF(ROUND(100/AF19*AG19-100,1)&gt;999,999,-999)))</f>
        <v>16.7</v>
      </c>
      <c r="AI19" s="680">
        <v>-1195.94296605</v>
      </c>
      <c r="AJ19" s="541">
        <v>-781.47132558999999</v>
      </c>
      <c r="AK19" s="532">
        <f>IF(AI19=0, "    ---- ", IF(ABS(ROUND(100/AI19*AJ19-100,1))&lt;999,ROUND(100/AI19*AJ19-100,1),IF(ROUND(100/AI19*AJ19-100,1)&gt;999,999,-999)))</f>
        <v>-34.700000000000003</v>
      </c>
      <c r="AL19" s="619">
        <f>-6424+7</f>
        <v>-6417</v>
      </c>
      <c r="AM19" s="436">
        <f>-6459+4</f>
        <v>-6455</v>
      </c>
      <c r="AN19" s="532">
        <f>IF(AL19=0, "    ---- ", IF(ABS(ROUND(100/AL19*AM19-100,1))&lt;999,ROUND(100/AL19*AM19-100,1),IF(ROUND(100/AL19*AM19-100,1)&gt;999,999,-999)))</f>
        <v>0.6</v>
      </c>
      <c r="AO19" s="532">
        <f t="shared" si="14"/>
        <v>-25876.329372050001</v>
      </c>
      <c r="AP19" s="532">
        <f t="shared" si="14"/>
        <v>-32442.390710309999</v>
      </c>
      <c r="AQ19" s="532">
        <f t="shared" si="12"/>
        <v>25.4</v>
      </c>
      <c r="AR19" s="535">
        <f t="shared" ref="AR19:AS21" si="16">+B19+E19+H19+K19+N19+Q19+T19+W19+Z19+AC19+AF19+AI19+AL19</f>
        <v>-25985.498433860001</v>
      </c>
      <c r="AS19" s="535">
        <f t="shared" si="16"/>
        <v>-32572.125056609999</v>
      </c>
      <c r="AT19" s="532">
        <f>IF(AR19=0, "    ---- ", IF(ABS(ROUND(100/AR19*AS19-100,1))&lt;999,ROUND(100/AR19*AS19-100,1),IF(ROUND(100/AR19*AS19-100,1)&gt;999,999,-999)))</f>
        <v>25.3</v>
      </c>
    </row>
    <row r="20" spans="1:46" s="508" customFormat="1" ht="18.75" customHeight="1" x14ac:dyDescent="0.3">
      <c r="A20" s="530" t="s">
        <v>365</v>
      </c>
      <c r="B20" s="620">
        <v>-373.50799999999998</v>
      </c>
      <c r="C20" s="337">
        <v>-389.35199999999998</v>
      </c>
      <c r="D20" s="532">
        <f>IF(B20=0, "    ---- ", IF(ABS(ROUND(100/B20*C20-100,1))&lt;999,ROUND(100/B20*C20-100,1),IF(ROUND(100/B20*C20-100,1)&gt;999,999,-999)))</f>
        <v>4.2</v>
      </c>
      <c r="E20" s="337">
        <v>-835.29</v>
      </c>
      <c r="F20" s="337">
        <v>-5453.9589999999998</v>
      </c>
      <c r="G20" s="532">
        <f>IF(E20=0, "    ---- ", IF(ABS(ROUND(100/E20*F20-100,1))&lt;999,ROUND(100/E20*F20-100,1),IF(ROUND(100/E20*F20-100,1)&gt;999,999,-999)))</f>
        <v>552.9</v>
      </c>
      <c r="H20" s="337"/>
      <c r="I20" s="337">
        <v>75.65547312999999</v>
      </c>
      <c r="J20" s="532" t="str">
        <f>IF(H20=0, "    ---- ", IF(ABS(ROUND(100/H20*I20-100,1))&lt;999,ROUND(100/H20*I20-100,1),IF(ROUND(100/H20*I20-100,1)&gt;999,999,-999)))</f>
        <v xml:space="preserve">    ---- </v>
      </c>
      <c r="K20" s="620">
        <v>-52.058</v>
      </c>
      <c r="L20" s="337">
        <v>-89.043999999999997</v>
      </c>
      <c r="M20" s="532">
        <f>IF(K20=0, "    ---- ", IF(ABS(ROUND(100/K20*L20-100,1))&lt;999,ROUND(100/K20*L20-100,1),IF(ROUND(100/K20*L20-100,1)&gt;999,999,-999)))</f>
        <v>71</v>
      </c>
      <c r="N20" s="620">
        <v>-1306.7</v>
      </c>
      <c r="O20" s="337">
        <v>-1703.9</v>
      </c>
      <c r="P20" s="532">
        <f>IF(N20=0, "    ---- ", IF(ABS(ROUND(100/N20*O20-100,1))&lt;999,ROUND(100/N20*O20-100,1),IF(ROUND(100/N20*O20-100,1)&gt;999,999,-999)))</f>
        <v>30.4</v>
      </c>
      <c r="Q20" s="620"/>
      <c r="R20" s="337"/>
      <c r="S20" s="532"/>
      <c r="T20" s="620">
        <v>-288.21158800000001</v>
      </c>
      <c r="U20" s="337">
        <v>-7655.4593569999997</v>
      </c>
      <c r="V20" s="532">
        <f>IF(T20=0, "    ---- ", IF(ABS(ROUND(100/T20*U20-100,1))&lt;999,ROUND(100/T20*U20-100,1),IF(ROUND(100/T20*U20-100,1)&gt;999,999,-999)))</f>
        <v>999</v>
      </c>
      <c r="W20" s="620">
        <v>-44.786999999999999</v>
      </c>
      <c r="X20" s="337">
        <v>-44.686</v>
      </c>
      <c r="Y20" s="532">
        <f t="shared" si="6"/>
        <v>-0.2</v>
      </c>
      <c r="Z20" s="681">
        <v>-1168</v>
      </c>
      <c r="AA20" s="542">
        <v>-1270</v>
      </c>
      <c r="AB20" s="532">
        <f>IF(Z20=0, "    ---- ", IF(ABS(ROUND(100/Z20*AA20-100,1))&lt;999,ROUND(100/Z20*AA20-100,1),IF(ROUND(100/Z20*AA20-100,1)&gt;999,999,-999)))</f>
        <v>8.6999999999999993</v>
      </c>
      <c r="AC20" s="681"/>
      <c r="AD20" s="542">
        <v>-40</v>
      </c>
      <c r="AE20" s="532" t="str">
        <f t="shared" ref="AE20" si="17">IF(AC20=0, "    ---- ", IF(ABS(ROUND(100/AC20*AD20-100,1))&lt;999,ROUND(100/AC20*AD20-100,1),IF(ROUND(100/AC20*AD20-100,1)&gt;999,999,-999)))</f>
        <v xml:space="preserve">    ---- </v>
      </c>
      <c r="AF20" s="620">
        <v>-10.110462419999999</v>
      </c>
      <c r="AG20" s="337">
        <v>-6.2916858400000004</v>
      </c>
      <c r="AH20" s="532">
        <f>IF(AF20=0, "    ---- ", IF(ABS(ROUND(100/AF20*AG20-100,1))&lt;999,ROUND(100/AF20*AG20-100,1),IF(ROUND(100/AF20*AG20-100,1)&gt;999,999,-999)))</f>
        <v>-37.799999999999997</v>
      </c>
      <c r="AI20" s="681">
        <v>-583.5936601599999</v>
      </c>
      <c r="AJ20" s="542">
        <v>-438.91143519999991</v>
      </c>
      <c r="AK20" s="532">
        <f>IF(AI20=0, "    ---- ", IF(ABS(ROUND(100/AI20*AJ20-100,1))&lt;999,ROUND(100/AI20*AJ20-100,1),IF(ROUND(100/AI20*AJ20-100,1)&gt;999,999,-999)))</f>
        <v>-24.8</v>
      </c>
      <c r="AL20" s="620">
        <v>-3095</v>
      </c>
      <c r="AM20" s="337">
        <v>-2977</v>
      </c>
      <c r="AN20" s="532">
        <f>IF(AL20=0, "    ---- ", IF(ABS(ROUND(100/AL20*AM20-100,1))&lt;999,ROUND(100/AL20*AM20-100,1),IF(ROUND(100/AL20*AM20-100,1)&gt;999,999,-999)))</f>
        <v>-3.8</v>
      </c>
      <c r="AO20" s="532">
        <f t="shared" si="14"/>
        <v>-7747.1482481599996</v>
      </c>
      <c r="AP20" s="532">
        <f t="shared" si="14"/>
        <v>-19986.65631907</v>
      </c>
      <c r="AQ20" s="532">
        <f t="shared" si="12"/>
        <v>158</v>
      </c>
      <c r="AR20" s="535">
        <f t="shared" si="16"/>
        <v>-7757.2587105800003</v>
      </c>
      <c r="AS20" s="535">
        <f t="shared" si="16"/>
        <v>-19992.948004909998</v>
      </c>
      <c r="AT20" s="532">
        <f>IF(AR20=0, "    ---- ", IF(ABS(ROUND(100/AR20*AS20-100,1))&lt;999,ROUND(100/AR20*AS20-100,1),IF(ROUND(100/AR20*AS20-100,1)&gt;999,999,-999)))</f>
        <v>157.69999999999999</v>
      </c>
    </row>
    <row r="21" spans="1:46" s="508" customFormat="1" ht="18.75" customHeight="1" x14ac:dyDescent="0.3">
      <c r="A21" s="530" t="s">
        <v>304</v>
      </c>
      <c r="B21" s="619">
        <f>SUM(B19:B20)</f>
        <v>-746.00499999999988</v>
      </c>
      <c r="C21" s="436">
        <f>SUM(C19:C20)</f>
        <v>-818.00900000000001</v>
      </c>
      <c r="D21" s="532">
        <f>IF(B21=0, "    ---- ", IF(ABS(ROUND(100/B21*C21-100,1))&lt;999,ROUND(100/B21*C21-100,1),IF(ROUND(100/B21*C21-100,1)&gt;999,999,-999)))</f>
        <v>9.6999999999999993</v>
      </c>
      <c r="E21" s="436">
        <f>SUM(E19:E20)</f>
        <v>-4259.9250000000002</v>
      </c>
      <c r="F21" s="436">
        <f>SUM(F19:F20)</f>
        <v>-12624.536</v>
      </c>
      <c r="G21" s="532">
        <f>IF(E21=0, "    ---- ", IF(ABS(ROUND(100/E21*F21-100,1))&lt;999,ROUND(100/E21*F21-100,1),IF(ROUND(100/E21*F21-100,1)&gt;999,999,-999)))</f>
        <v>196.4</v>
      </c>
      <c r="H21" s="436"/>
      <c r="I21" s="436">
        <f>SUM(I19:I20)</f>
        <v>-641.55645358999993</v>
      </c>
      <c r="J21" s="532" t="str">
        <f>IF(H21=0, "    ---- ", IF(ABS(ROUND(100/H21*I21-100,1))&lt;999,ROUND(100/H21*I21-100,1),IF(ROUND(100/H21*I21-100,1)&gt;999,999,-999)))</f>
        <v xml:space="preserve">    ---- </v>
      </c>
      <c r="K21" s="619">
        <f>SUM(K19:K20)</f>
        <v>-129.74100000000001</v>
      </c>
      <c r="L21" s="436">
        <f>SUM(L19:L20)</f>
        <v>-171.35300000000001</v>
      </c>
      <c r="M21" s="532">
        <f>IF(K21=0, "    ---- ", IF(ABS(ROUND(100/K21*L21-100,1))&lt;999,ROUND(100/K21*L21-100,1),IF(ROUND(100/K21*L21-100,1)&gt;999,999,-999)))</f>
        <v>32.1</v>
      </c>
      <c r="N21" s="619">
        <f>SUM(N19:N20)</f>
        <v>-1590.6000000000001</v>
      </c>
      <c r="O21" s="436">
        <f>SUM(O19:O20)</f>
        <v>-2009.8000000000002</v>
      </c>
      <c r="P21" s="532">
        <f>IF(N21=0, "    ---- ", IF(ABS(ROUND(100/N21*O21-100,1))&lt;999,ROUND(100/N21*O21-100,1),IF(ROUND(100/N21*O21-100,1)&gt;999,999,-999)))</f>
        <v>26.4</v>
      </c>
      <c r="Q21" s="619">
        <f>SUM(Q19:Q20)</f>
        <v>-5.4179909999999998</v>
      </c>
      <c r="R21" s="436">
        <f>SUM(R19:R20)</f>
        <v>-8.6502949999999998</v>
      </c>
      <c r="S21" s="532">
        <f>IF(Q21=0, "    ---- ", IF(ABS(ROUND(100/Q21*R21-100,1))&lt;999,ROUND(100/Q21*R21-100,1),IF(ROUND(100/Q21*R21-100,1)&gt;999,999,-999)))</f>
        <v>59.7</v>
      </c>
      <c r="T21" s="619">
        <f>SUM(T19:T20)</f>
        <v>-10027.762994000001</v>
      </c>
      <c r="U21" s="436">
        <v>-17809.380815</v>
      </c>
      <c r="V21" s="532">
        <f>IF(T21=0, "    ---- ", IF(ABS(ROUND(100/T21*U21-100,1))&lt;999,ROUND(100/T21*U21-100,1),IF(ROUND(100/T21*U21-100,1)&gt;999,999,-999)))</f>
        <v>77.599999999999994</v>
      </c>
      <c r="W21" s="619">
        <f>SUM(W19:W20)</f>
        <v>-88.906999999999996</v>
      </c>
      <c r="X21" s="436">
        <f>SUM(X19:X20)</f>
        <v>-94.039000000000001</v>
      </c>
      <c r="Y21" s="532">
        <f t="shared" si="6"/>
        <v>5.8</v>
      </c>
      <c r="Z21" s="619">
        <f>SUM(Z19:Z20)</f>
        <v>-4036</v>
      </c>
      <c r="AA21" s="436">
        <f>SUM(AA19:AA20)</f>
        <v>-6021.99</v>
      </c>
      <c r="AB21" s="532">
        <f>IF(Z21=0, "    ---- ", IF(ABS(ROUND(100/Z21*AA21-100,1))&lt;999,ROUND(100/Z21*AA21-100,1),IF(ROUND(100/Z21*AA21-100,1)&gt;999,999,-999)))</f>
        <v>49.2</v>
      </c>
      <c r="AC21" s="619">
        <f>SUM(AC19:AC20)</f>
        <v>-1453</v>
      </c>
      <c r="AD21" s="436">
        <f>SUM(AD19:AD20)</f>
        <v>-1586</v>
      </c>
      <c r="AE21" s="532">
        <f>IF(AC21=0, "    ---- ", IF(ABS(ROUND(100/AC21*AD21-100,1))&lt;999,ROUND(100/AC21*AD21-100,1),IF(ROUND(100/AC21*AD21-100,1)&gt;999,999,-999)))</f>
        <v>9.1999999999999993</v>
      </c>
      <c r="AF21" s="619">
        <f>SUM(AF19:AF20)</f>
        <v>-113.86153323000001</v>
      </c>
      <c r="AG21" s="436">
        <f>SUM(AG19:AG20)</f>
        <v>-127.37573714</v>
      </c>
      <c r="AH21" s="532">
        <f>IF(AF21=0, "    ---- ", IF(ABS(ROUND(100/AF21*AG21-100,1))&lt;999,ROUND(100/AF21*AG21-100,1),IF(ROUND(100/AF21*AG21-100,1)&gt;999,999,-999)))</f>
        <v>11.9</v>
      </c>
      <c r="AI21" s="619">
        <f>SUM(AI19:AI20)</f>
        <v>-1779.5366262099999</v>
      </c>
      <c r="AJ21" s="436">
        <f>SUM(AJ19:AJ20)</f>
        <v>-1220.3827607899998</v>
      </c>
      <c r="AK21" s="532">
        <f>IF(AI21=0, "    ---- ", IF(ABS(ROUND(100/AI21*AJ21-100,1))&lt;999,ROUND(100/AI21*AJ21-100,1),IF(ROUND(100/AI21*AJ21-100,1)&gt;999,999,-999)))</f>
        <v>-31.4</v>
      </c>
      <c r="AL21" s="619">
        <f>SUM(AL19:AL20)</f>
        <v>-9512</v>
      </c>
      <c r="AM21" s="436">
        <f>SUM(AM19:AM20)</f>
        <v>-9432</v>
      </c>
      <c r="AN21" s="532">
        <f>IF(AL21=0, "    ---- ", IF(ABS(ROUND(100/AL21*AM21-100,1))&lt;999,ROUND(100/AL21*AM21-100,1),IF(ROUND(100/AL21*AM21-100,1)&gt;999,999,-999)))</f>
        <v>-0.8</v>
      </c>
      <c r="AO21" s="532">
        <f t="shared" si="14"/>
        <v>-33623.477620210004</v>
      </c>
      <c r="AP21" s="532">
        <f t="shared" si="14"/>
        <v>-52429.047029379995</v>
      </c>
      <c r="AQ21" s="532">
        <f t="shared" si="12"/>
        <v>55.9</v>
      </c>
      <c r="AR21" s="535">
        <f t="shared" si="16"/>
        <v>-33742.757144439995</v>
      </c>
      <c r="AS21" s="535">
        <f t="shared" si="16"/>
        <v>-52565.073061519994</v>
      </c>
      <c r="AT21" s="532">
        <f>IF(AR21=0, "    ---- ", IF(ABS(ROUND(100/AR21*AS21-100,1))&lt;999,ROUND(100/AR21*AS21-100,1),IF(ROUND(100/AR21*AS21-100,1)&gt;999,999,-999)))</f>
        <v>55.8</v>
      </c>
    </row>
    <row r="22" spans="1:46" s="508" customFormat="1" ht="18.75" customHeight="1" x14ac:dyDescent="0.3">
      <c r="A22" s="530" t="s">
        <v>305</v>
      </c>
      <c r="B22" s="195"/>
      <c r="C22" s="446"/>
      <c r="D22" s="532"/>
      <c r="E22" s="446"/>
      <c r="F22" s="446"/>
      <c r="G22" s="532"/>
      <c r="H22" s="596"/>
      <c r="I22" s="596"/>
      <c r="J22" s="532"/>
      <c r="K22" s="656"/>
      <c r="L22" s="596"/>
      <c r="M22" s="532"/>
      <c r="N22" s="195"/>
      <c r="O22" s="446"/>
      <c r="P22" s="532"/>
      <c r="Q22" s="656"/>
      <c r="R22" s="596"/>
      <c r="S22" s="532"/>
      <c r="T22" s="195"/>
      <c r="U22" s="446"/>
      <c r="V22" s="532"/>
      <c r="W22" s="656"/>
      <c r="X22" s="596"/>
      <c r="Y22" s="532"/>
      <c r="Z22" s="656"/>
      <c r="AA22" s="596"/>
      <c r="AB22" s="532"/>
      <c r="AC22" s="656"/>
      <c r="AD22" s="596"/>
      <c r="AE22" s="532"/>
      <c r="AF22" s="656"/>
      <c r="AG22" s="596"/>
      <c r="AH22" s="532"/>
      <c r="AI22" s="656"/>
      <c r="AJ22" s="596"/>
      <c r="AK22" s="532"/>
      <c r="AL22" s="195"/>
      <c r="AM22" s="446"/>
      <c r="AN22" s="532"/>
      <c r="AO22" s="532"/>
      <c r="AP22" s="532"/>
      <c r="AQ22" s="532"/>
      <c r="AR22" s="532"/>
      <c r="AS22" s="532"/>
      <c r="AT22" s="532"/>
    </row>
    <row r="23" spans="1:46" s="508" customFormat="1" ht="18.75" customHeight="1" x14ac:dyDescent="0.3">
      <c r="A23" s="530" t="s">
        <v>306</v>
      </c>
      <c r="B23" s="620">
        <f>-33.422+6.217</f>
        <v>-27.204999999999998</v>
      </c>
      <c r="C23" s="337">
        <f>-66.885+13.519</f>
        <v>-53.366000000000007</v>
      </c>
      <c r="D23" s="532">
        <f t="shared" ref="D23:D29" si="18">IF(B23=0, "    ---- ", IF(ABS(ROUND(100/B23*C23-100,1))&lt;999,ROUND(100/B23*C23-100,1),IF(ROUND(100/B23*C23-100,1)&gt;999,999,-999)))</f>
        <v>96.2</v>
      </c>
      <c r="E23" s="337">
        <v>236.08600000000001</v>
      </c>
      <c r="F23" s="337">
        <v>2161.0050000000001</v>
      </c>
      <c r="G23" s="532">
        <f t="shared" ref="G23:G29" si="19">IF(E23=0, "    ---- ", IF(ABS(ROUND(100/E23*F23-100,1))&lt;999,ROUND(100/E23*F23-100,1),IF(ROUND(100/E23*F23-100,1)&gt;999,999,-999)))</f>
        <v>815.3</v>
      </c>
      <c r="H23" s="337"/>
      <c r="I23" s="337">
        <v>-689.87961434999988</v>
      </c>
      <c r="J23" s="532" t="str">
        <f>IF(H23=0, "    ---- ", IF(ABS(ROUND(100/H23*I23-100,1))&lt;999,ROUND(100/H23*I23-100,1),IF(ROUND(100/H23*I23-100,1)&gt;999,999,-999)))</f>
        <v xml:space="preserve">    ---- </v>
      </c>
      <c r="K23" s="620">
        <v>-353.07100000000003</v>
      </c>
      <c r="L23" s="337">
        <v>-355.26499999999999</v>
      </c>
      <c r="M23" s="532">
        <f>IF(K23=0, "    ---- ", IF(ABS(ROUND(100/K23*L23-100,1))&lt;999,ROUND(100/K23*L23-100,1),IF(ROUND(100/K23*L23-100,1)&gt;999,999,-999)))</f>
        <v>0.6</v>
      </c>
      <c r="N23" s="620">
        <f>-303.6+29.9</f>
        <v>-273.70000000000005</v>
      </c>
      <c r="O23" s="337">
        <f>-231.6+35.5</f>
        <v>-196.1</v>
      </c>
      <c r="P23" s="532">
        <f t="shared" ref="P23:P31" si="20">IF(N23=0, "    ---- ", IF(ABS(ROUND(100/N23*O23-100,1))&lt;999,ROUND(100/N23*O23-100,1),IF(ROUND(100/N23*O23-100,1)&gt;999,999,-999)))</f>
        <v>-28.4</v>
      </c>
      <c r="Q23" s="620">
        <v>-2.0381300000000002</v>
      </c>
      <c r="R23" s="337">
        <v>2.2488542100000002</v>
      </c>
      <c r="S23" s="532">
        <f>IF(Q23=0, "    ---- ", IF(ABS(ROUND(100/Q23*R23-100,1))&lt;999,ROUND(100/Q23*R23-100,1),IF(ROUND(100/Q23*R23-100,1)&gt;999,999,-999)))</f>
        <v>-210.3</v>
      </c>
      <c r="T23" s="620">
        <v>-15753.763006700001</v>
      </c>
      <c r="U23" s="337">
        <v>-5561.4162991800004</v>
      </c>
      <c r="V23" s="532">
        <f t="shared" ref="V23:V30" si="21">IF(T23=0, "    ---- ", IF(ABS(ROUND(100/T23*U23-100,1))&lt;999,ROUND(100/T23*U23-100,1),IF(ROUND(100/T23*U23-100,1)&gt;999,999,-999)))</f>
        <v>-64.7</v>
      </c>
      <c r="W23" s="620">
        <v>-28.248999999999999</v>
      </c>
      <c r="X23" s="337">
        <v>-41.134999999999998</v>
      </c>
      <c r="Y23" s="532">
        <f t="shared" si="6"/>
        <v>45.6</v>
      </c>
      <c r="Z23" s="620">
        <v>-241</v>
      </c>
      <c r="AA23" s="337">
        <v>-286.94</v>
      </c>
      <c r="AB23" s="532">
        <f t="shared" ref="AB23:AB29" si="22">IF(Z23=0, "    ---- ", IF(ABS(ROUND(100/Z23*AA23-100,1))&lt;999,ROUND(100/Z23*AA23-100,1),IF(ROUND(100/Z23*AA23-100,1)&gt;999,999,-999)))</f>
        <v>19.100000000000001</v>
      </c>
      <c r="AC23" s="620">
        <v>-1059</v>
      </c>
      <c r="AD23" s="337">
        <v>-586</v>
      </c>
      <c r="AE23" s="532">
        <f t="shared" ref="AE23:AE29" si="23">IF(AC23=0, "    ---- ", IF(ABS(ROUND(100/AC23*AD23-100,1))&lt;999,ROUND(100/AC23*AD23-100,1),IF(ROUND(100/AC23*AD23-100,1)&gt;999,999,-999)))</f>
        <v>-44.7</v>
      </c>
      <c r="AF23" s="620"/>
      <c r="AG23" s="337"/>
      <c r="AH23" s="532"/>
      <c r="AI23" s="620">
        <v>-591.68923749999988</v>
      </c>
      <c r="AJ23" s="337">
        <v>-201.33692213</v>
      </c>
      <c r="AK23" s="532">
        <f t="shared" ref="AK23:AK29" si="24">IF(AI23=0, "    ---- ", IF(ABS(ROUND(100/AI23*AJ23-100,1))&lt;999,ROUND(100/AI23*AJ23-100,1),IF(ROUND(100/AI23*AJ23-100,1)&gt;999,999,-999)))</f>
        <v>-66</v>
      </c>
      <c r="AL23" s="620">
        <v>-407</v>
      </c>
      <c r="AM23" s="337">
        <v>-362</v>
      </c>
      <c r="AN23" s="532">
        <f t="shared" ref="AN23:AN29" si="25">IF(AL23=0, "    ---- ", IF(ABS(ROUND(100/AL23*AM23-100,1))&lt;999,ROUND(100/AL23*AM23-100,1),IF(ROUND(100/AL23*AM23-100,1)&gt;999,999,-999)))</f>
        <v>-11.1</v>
      </c>
      <c r="AO23" s="532">
        <f t="shared" si="14"/>
        <v>-18498.591244200001</v>
      </c>
      <c r="AP23" s="532">
        <f t="shared" si="14"/>
        <v>-6172.4338356600001</v>
      </c>
      <c r="AQ23" s="532">
        <f t="shared" si="12"/>
        <v>-66.599999999999994</v>
      </c>
      <c r="AR23" s="532"/>
      <c r="AS23" s="532"/>
      <c r="AT23" s="532"/>
    </row>
    <row r="24" spans="1:46" s="508" customFormat="1" ht="18.75" customHeight="1" x14ac:dyDescent="0.3">
      <c r="A24" s="530" t="s">
        <v>307</v>
      </c>
      <c r="B24" s="620"/>
      <c r="C24" s="337"/>
      <c r="D24" s="532"/>
      <c r="E24" s="337">
        <v>0.66600000000000004</v>
      </c>
      <c r="F24" s="337">
        <v>5.4610000000000003</v>
      </c>
      <c r="G24" s="532">
        <f t="shared" si="19"/>
        <v>720</v>
      </c>
      <c r="H24" s="337"/>
      <c r="I24" s="337"/>
      <c r="J24" s="532"/>
      <c r="K24" s="620"/>
      <c r="L24" s="337"/>
      <c r="M24" s="532"/>
      <c r="N24" s="620">
        <v>-1.1000000000000001</v>
      </c>
      <c r="O24" s="337">
        <v>-0.2</v>
      </c>
      <c r="P24" s="532">
        <f t="shared" si="20"/>
        <v>-81.8</v>
      </c>
      <c r="Q24" s="620"/>
      <c r="R24" s="337"/>
      <c r="S24" s="532"/>
      <c r="T24" s="620">
        <v>15.442897</v>
      </c>
      <c r="U24" s="337">
        <v>489.97288800000001</v>
      </c>
      <c r="V24" s="532">
        <f t="shared" si="21"/>
        <v>999</v>
      </c>
      <c r="W24" s="620">
        <v>3.9E-2</v>
      </c>
      <c r="X24" s="337">
        <v>3.0000000000000001E-3</v>
      </c>
      <c r="Y24" s="532">
        <f t="shared" si="6"/>
        <v>-92.3</v>
      </c>
      <c r="Z24" s="620">
        <v>48</v>
      </c>
      <c r="AA24" s="337">
        <v>42</v>
      </c>
      <c r="AB24" s="532">
        <f t="shared" si="22"/>
        <v>-12.5</v>
      </c>
      <c r="AC24" s="620"/>
      <c r="AD24" s="337"/>
      <c r="AE24" s="532"/>
      <c r="AF24" s="620"/>
      <c r="AG24" s="337"/>
      <c r="AH24" s="532"/>
      <c r="AI24" s="620">
        <v>36.438395469999996</v>
      </c>
      <c r="AJ24" s="337">
        <v>259.26350878</v>
      </c>
      <c r="AK24" s="532">
        <f t="shared" si="24"/>
        <v>611.5</v>
      </c>
      <c r="AL24" s="620">
        <v>43</v>
      </c>
      <c r="AM24" s="337">
        <v>60</v>
      </c>
      <c r="AN24" s="532">
        <f t="shared" si="25"/>
        <v>39.5</v>
      </c>
      <c r="AO24" s="532">
        <f t="shared" si="14"/>
        <v>142.48629247</v>
      </c>
      <c r="AP24" s="532">
        <f t="shared" si="14"/>
        <v>856.50039678000007</v>
      </c>
      <c r="AQ24" s="532">
        <f t="shared" si="12"/>
        <v>501.1</v>
      </c>
      <c r="AR24" s="532"/>
      <c r="AS24" s="532"/>
      <c r="AT24" s="532"/>
    </row>
    <row r="25" spans="1:46" s="508" customFormat="1" ht="18.75" customHeight="1" x14ac:dyDescent="0.3">
      <c r="A25" s="530" t="s">
        <v>308</v>
      </c>
      <c r="B25" s="620">
        <v>-21.212</v>
      </c>
      <c r="C25" s="337">
        <v>-15.893000000000001</v>
      </c>
      <c r="D25" s="532">
        <f t="shared" si="18"/>
        <v>-25.1</v>
      </c>
      <c r="E25" s="337">
        <v>-2190.5349999999999</v>
      </c>
      <c r="F25" s="337">
        <v>1900.1379999999999</v>
      </c>
      <c r="G25" s="532">
        <f t="shared" si="19"/>
        <v>-186.7</v>
      </c>
      <c r="H25" s="337"/>
      <c r="I25" s="337">
        <v>-125.893012</v>
      </c>
      <c r="J25" s="532"/>
      <c r="K25" s="620">
        <v>-7.9649999999999999</v>
      </c>
      <c r="L25" s="337">
        <v>3.38</v>
      </c>
      <c r="M25" s="532">
        <f>IF(K25=0, "    ---- ", IF(ABS(ROUND(100/K25*L25-100,1))&lt;999,ROUND(100/K25*L25-100,1),IF(ROUND(100/K25*L25-100,1)&gt;999,999,-999)))</f>
        <v>-142.4</v>
      </c>
      <c r="N25" s="620">
        <v>-13.6</v>
      </c>
      <c r="O25" s="337">
        <v>20.100000000000001</v>
      </c>
      <c r="P25" s="532">
        <f t="shared" si="20"/>
        <v>-247.8</v>
      </c>
      <c r="Q25" s="620"/>
      <c r="R25" s="337"/>
      <c r="S25" s="532"/>
      <c r="T25" s="620">
        <v>-14650.37621925</v>
      </c>
      <c r="U25" s="337">
        <v>12650.975177</v>
      </c>
      <c r="V25" s="532">
        <f t="shared" si="21"/>
        <v>-186.4</v>
      </c>
      <c r="W25" s="620">
        <v>-6.524</v>
      </c>
      <c r="X25" s="337">
        <v>3.302</v>
      </c>
      <c r="Y25" s="532">
        <f t="shared" si="6"/>
        <v>-150.6</v>
      </c>
      <c r="Z25" s="620">
        <v>-676</v>
      </c>
      <c r="AA25" s="337">
        <v>111</v>
      </c>
      <c r="AB25" s="532">
        <f t="shared" si="22"/>
        <v>-116.4</v>
      </c>
      <c r="AC25" s="620">
        <v>-3884</v>
      </c>
      <c r="AD25" s="337">
        <v>510</v>
      </c>
      <c r="AE25" s="532">
        <f t="shared" si="23"/>
        <v>-113.1</v>
      </c>
      <c r="AF25" s="620"/>
      <c r="AG25" s="337"/>
      <c r="AH25" s="532"/>
      <c r="AI25" s="620">
        <v>-576.25159512000005</v>
      </c>
      <c r="AJ25" s="337">
        <v>-40.312083670000007</v>
      </c>
      <c r="AK25" s="532">
        <f t="shared" si="24"/>
        <v>-93</v>
      </c>
      <c r="AL25" s="620">
        <v>-2895</v>
      </c>
      <c r="AM25" s="337">
        <v>-1903</v>
      </c>
      <c r="AN25" s="532">
        <f t="shared" si="25"/>
        <v>-34.299999999999997</v>
      </c>
      <c r="AO25" s="532">
        <f t="shared" si="14"/>
        <v>-24921.463814369999</v>
      </c>
      <c r="AP25" s="532">
        <f t="shared" si="14"/>
        <v>13113.79708133</v>
      </c>
      <c r="AQ25" s="532">
        <f t="shared" si="12"/>
        <v>-152.6</v>
      </c>
      <c r="AR25" s="532"/>
      <c r="AS25" s="532"/>
      <c r="AT25" s="532"/>
    </row>
    <row r="26" spans="1:46" s="508" customFormat="1" ht="18.75" customHeight="1" x14ac:dyDescent="0.3">
      <c r="A26" s="530" t="s">
        <v>309</v>
      </c>
      <c r="B26" s="620"/>
      <c r="C26" s="337"/>
      <c r="D26" s="532"/>
      <c r="E26" s="337">
        <v>-4.0010000000000003</v>
      </c>
      <c r="F26" s="337">
        <v>-6.45</v>
      </c>
      <c r="G26" s="532">
        <f t="shared" si="19"/>
        <v>61.2</v>
      </c>
      <c r="H26" s="337"/>
      <c r="I26" s="337"/>
      <c r="J26" s="532"/>
      <c r="K26" s="620"/>
      <c r="L26" s="337"/>
      <c r="M26" s="532"/>
      <c r="N26" s="620">
        <v>1.6</v>
      </c>
      <c r="O26" s="337">
        <v>1.5</v>
      </c>
      <c r="P26" s="532">
        <f>IF(N26=0, "    ---- ", IF(ABS(ROUND(100/N26*O26-100,1))&lt;999,ROUND(100/N26*O26-100,1),IF(ROUND(100/N26*O26-100,1)&gt;999,999,-999)))</f>
        <v>-6.3</v>
      </c>
      <c r="Q26" s="620"/>
      <c r="R26" s="337"/>
      <c r="S26" s="532"/>
      <c r="T26" s="620">
        <v>-122.68617399999999</v>
      </c>
      <c r="U26" s="337">
        <v>-124.221788</v>
      </c>
      <c r="V26" s="532">
        <f t="shared" si="21"/>
        <v>1.3</v>
      </c>
      <c r="W26" s="620">
        <v>-0.27900000000000003</v>
      </c>
      <c r="X26" s="337">
        <v>-0.21299999999999999</v>
      </c>
      <c r="Y26" s="532">
        <f t="shared" si="6"/>
        <v>-23.7</v>
      </c>
      <c r="Z26" s="620">
        <v>-2</v>
      </c>
      <c r="AA26" s="337">
        <v>-2</v>
      </c>
      <c r="AB26" s="532">
        <f t="shared" si="22"/>
        <v>0</v>
      </c>
      <c r="AC26" s="620">
        <v>-32</v>
      </c>
      <c r="AD26" s="337">
        <v>-17</v>
      </c>
      <c r="AE26" s="532">
        <f t="shared" si="23"/>
        <v>-46.9</v>
      </c>
      <c r="AF26" s="620"/>
      <c r="AG26" s="337"/>
      <c r="AH26" s="532"/>
      <c r="AI26" s="620">
        <v>-1.4833259999999999</v>
      </c>
      <c r="AJ26" s="337">
        <v>-2.1550440000000002</v>
      </c>
      <c r="AK26" s="532">
        <f t="shared" si="24"/>
        <v>45.3</v>
      </c>
      <c r="AL26" s="620"/>
      <c r="AM26" s="337"/>
      <c r="AN26" s="532"/>
      <c r="AO26" s="532">
        <f t="shared" si="14"/>
        <v>-160.84950000000001</v>
      </c>
      <c r="AP26" s="532">
        <f t="shared" si="14"/>
        <v>-150.53983199999999</v>
      </c>
      <c r="AQ26" s="532">
        <f t="shared" si="12"/>
        <v>-6.4</v>
      </c>
      <c r="AR26" s="532"/>
      <c r="AS26" s="532"/>
      <c r="AT26" s="532"/>
    </row>
    <row r="27" spans="1:46" s="508" customFormat="1" ht="18.75" customHeight="1" x14ac:dyDescent="0.3">
      <c r="A27" s="530" t="s">
        <v>310</v>
      </c>
      <c r="B27" s="620">
        <v>-0.84399999999999997</v>
      </c>
      <c r="C27" s="337">
        <v>-0.54700000000000004</v>
      </c>
      <c r="D27" s="532">
        <f t="shared" si="18"/>
        <v>-35.200000000000003</v>
      </c>
      <c r="E27" s="337">
        <v>-237.78899999999999</v>
      </c>
      <c r="F27" s="337">
        <v>-309.44799999999998</v>
      </c>
      <c r="G27" s="532">
        <f t="shared" si="19"/>
        <v>30.1</v>
      </c>
      <c r="H27" s="337"/>
      <c r="I27" s="337"/>
      <c r="J27" s="532"/>
      <c r="K27" s="620">
        <v>-1.843</v>
      </c>
      <c r="L27" s="337">
        <v>-1.294</v>
      </c>
      <c r="M27" s="532">
        <f>IF(K27=0, "    ---- ", IF(ABS(ROUND(100/K27*L27-100,1))&lt;999,ROUND(100/K27*L27-100,1),IF(ROUND(100/K27*L27-100,1)&gt;999,999,-999)))</f>
        <v>-29.8</v>
      </c>
      <c r="N27" s="620"/>
      <c r="O27" s="337"/>
      <c r="P27" s="532"/>
      <c r="Q27" s="620"/>
      <c r="R27" s="337"/>
      <c r="S27" s="532"/>
      <c r="T27" s="620"/>
      <c r="U27" s="337"/>
      <c r="V27" s="532"/>
      <c r="W27" s="620"/>
      <c r="X27" s="337"/>
      <c r="Y27" s="532"/>
      <c r="Z27" s="620"/>
      <c r="AA27" s="337"/>
      <c r="AB27" s="532"/>
      <c r="AC27" s="620">
        <v>-5</v>
      </c>
      <c r="AD27" s="337">
        <v>-4</v>
      </c>
      <c r="AE27" s="532">
        <f t="shared" si="23"/>
        <v>-20</v>
      </c>
      <c r="AF27" s="620"/>
      <c r="AG27" s="337"/>
      <c r="AH27" s="532"/>
      <c r="AI27" s="620"/>
      <c r="AJ27" s="337"/>
      <c r="AK27" s="532"/>
      <c r="AL27" s="620">
        <v>-6</v>
      </c>
      <c r="AM27" s="337">
        <v>-119</v>
      </c>
      <c r="AN27" s="532">
        <f t="shared" si="25"/>
        <v>999</v>
      </c>
      <c r="AO27" s="532">
        <f t="shared" si="14"/>
        <v>-251.47599999999997</v>
      </c>
      <c r="AP27" s="532">
        <f t="shared" si="14"/>
        <v>-434.28899999999999</v>
      </c>
      <c r="AQ27" s="532">
        <f t="shared" si="12"/>
        <v>72.7</v>
      </c>
      <c r="AR27" s="532"/>
      <c r="AS27" s="532"/>
      <c r="AT27" s="532"/>
    </row>
    <row r="28" spans="1:46" s="508" customFormat="1" ht="18.75" customHeight="1" x14ac:dyDescent="0.3">
      <c r="A28" s="530" t="s">
        <v>311</v>
      </c>
      <c r="B28" s="620"/>
      <c r="C28" s="337"/>
      <c r="D28" s="532"/>
      <c r="E28" s="337">
        <v>2.8980000000000001</v>
      </c>
      <c r="F28" s="337">
        <v>7.5510000000000002</v>
      </c>
      <c r="G28" s="532">
        <f t="shared" si="19"/>
        <v>160.6</v>
      </c>
      <c r="H28" s="337"/>
      <c r="I28" s="337"/>
      <c r="J28" s="532"/>
      <c r="K28" s="620"/>
      <c r="L28" s="337"/>
      <c r="M28" s="532"/>
      <c r="N28" s="620"/>
      <c r="O28" s="337"/>
      <c r="P28" s="532"/>
      <c r="Q28" s="620"/>
      <c r="R28" s="337"/>
      <c r="S28" s="532"/>
      <c r="T28" s="620"/>
      <c r="U28" s="337"/>
      <c r="V28" s="532"/>
      <c r="W28" s="620"/>
      <c r="X28" s="337"/>
      <c r="Y28" s="532"/>
      <c r="Z28" s="620">
        <v>1</v>
      </c>
      <c r="AA28" s="337">
        <v>2</v>
      </c>
      <c r="AB28" s="532">
        <f t="shared" si="22"/>
        <v>100</v>
      </c>
      <c r="AC28" s="620"/>
      <c r="AD28" s="337"/>
      <c r="AE28" s="532"/>
      <c r="AF28" s="620"/>
      <c r="AG28" s="337"/>
      <c r="AH28" s="532"/>
      <c r="AI28" s="620"/>
      <c r="AJ28" s="337"/>
      <c r="AK28" s="532"/>
      <c r="AL28" s="620">
        <v>-3</v>
      </c>
      <c r="AM28" s="337">
        <v>-8</v>
      </c>
      <c r="AN28" s="532">
        <f t="shared" si="25"/>
        <v>166.7</v>
      </c>
      <c r="AO28" s="532">
        <f t="shared" si="14"/>
        <v>0.89800000000000013</v>
      </c>
      <c r="AP28" s="532">
        <f t="shared" si="14"/>
        <v>1.5510000000000002</v>
      </c>
      <c r="AQ28" s="532">
        <f t="shared" si="12"/>
        <v>72.7</v>
      </c>
      <c r="AR28" s="532"/>
      <c r="AS28" s="532"/>
      <c r="AT28" s="532"/>
    </row>
    <row r="29" spans="1:46" s="508" customFormat="1" ht="18.75" customHeight="1" x14ac:dyDescent="0.3">
      <c r="A29" s="530" t="s">
        <v>312</v>
      </c>
      <c r="B29" s="620">
        <f>SUM(B23:B28)</f>
        <v>-49.261000000000003</v>
      </c>
      <c r="C29" s="337">
        <f>SUM(C23:C28)</f>
        <v>-69.806000000000012</v>
      </c>
      <c r="D29" s="532">
        <f t="shared" si="18"/>
        <v>41.7</v>
      </c>
      <c r="E29" s="337">
        <f>SUM(E23:E28)</f>
        <v>-2192.6749999999997</v>
      </c>
      <c r="F29" s="337">
        <f>SUM(F23:F28)</f>
        <v>3758.2570000000001</v>
      </c>
      <c r="G29" s="532">
        <f t="shared" si="19"/>
        <v>-271.39999999999998</v>
      </c>
      <c r="H29" s="337"/>
      <c r="I29" s="337">
        <f>SUM(I23:I28)</f>
        <v>-815.77262634999988</v>
      </c>
      <c r="J29" s="532" t="str">
        <f>IF(H29=0, "    ---- ", IF(ABS(ROUND(100/H29*I29-100,1))&lt;999,ROUND(100/H29*I29-100,1),IF(ROUND(100/H29*I29-100,1)&gt;999,999,-999)))</f>
        <v xml:space="preserve">    ---- </v>
      </c>
      <c r="K29" s="620">
        <v>-362.87900000000002</v>
      </c>
      <c r="L29" s="337">
        <f>SUM(L23:L28)</f>
        <v>-353.17899999999997</v>
      </c>
      <c r="M29" s="532">
        <f>IF(K29=0, "    ---- ", IF(ABS(ROUND(100/K29*L29-100,1))&lt;999,ROUND(100/K29*L29-100,1),IF(ROUND(100/K29*L29-100,1)&gt;999,999,-999)))</f>
        <v>-2.7</v>
      </c>
      <c r="N29" s="620">
        <f>SUM(N23:N28)</f>
        <v>-286.80000000000007</v>
      </c>
      <c r="O29" s="337">
        <f>SUM(O23:O28)</f>
        <v>-174.7</v>
      </c>
      <c r="P29" s="532">
        <f t="shared" si="20"/>
        <v>-39.1</v>
      </c>
      <c r="Q29" s="620">
        <f>SUM(Q23:Q28)</f>
        <v>-2.0381300000000002</v>
      </c>
      <c r="R29" s="337">
        <f>SUM(R23:R28)</f>
        <v>2.2488542100000002</v>
      </c>
      <c r="S29" s="532">
        <f>IF(Q29=0, "    ---- ", IF(ABS(ROUND(100/Q29*R29-100,1))&lt;999,ROUND(100/Q29*R29-100,1),IF(ROUND(100/Q29*R29-100,1)&gt;999,999,-999)))</f>
        <v>-210.3</v>
      </c>
      <c r="T29" s="620">
        <f>SUM(T23:T28)</f>
        <v>-30511.382502949997</v>
      </c>
      <c r="U29" s="337">
        <v>7455.3099778200003</v>
      </c>
      <c r="V29" s="532">
        <f t="shared" si="21"/>
        <v>-124.4</v>
      </c>
      <c r="W29" s="620">
        <f>SUM(W23:W28)</f>
        <v>-35.012999999999998</v>
      </c>
      <c r="X29" s="337">
        <f>SUM(X23:X28)</f>
        <v>-38.042999999999999</v>
      </c>
      <c r="Y29" s="532">
        <f t="shared" si="6"/>
        <v>8.6999999999999993</v>
      </c>
      <c r="Z29" s="620">
        <f>SUM(Z23:Z28)</f>
        <v>-870</v>
      </c>
      <c r="AA29" s="337">
        <f>SUM(AA23:AA28)</f>
        <v>-133.94</v>
      </c>
      <c r="AB29" s="532">
        <f t="shared" si="22"/>
        <v>-84.6</v>
      </c>
      <c r="AC29" s="620">
        <f>SUM(AC23:AC28)</f>
        <v>-4980</v>
      </c>
      <c r="AD29" s="337">
        <f>SUM(AD23:AD28)</f>
        <v>-97</v>
      </c>
      <c r="AE29" s="532">
        <f t="shared" si="23"/>
        <v>-98.1</v>
      </c>
      <c r="AF29" s="620"/>
      <c r="AG29" s="337"/>
      <c r="AH29" s="532"/>
      <c r="AI29" s="620">
        <f>SUM(AI23:AI28)</f>
        <v>-1132.9857631499999</v>
      </c>
      <c r="AJ29" s="337">
        <f>SUM(AJ23:AJ28)</f>
        <v>15.459458979999983</v>
      </c>
      <c r="AK29" s="532">
        <f t="shared" si="24"/>
        <v>-101.4</v>
      </c>
      <c r="AL29" s="620">
        <f>SUM(AL23:AL28)</f>
        <v>-3268</v>
      </c>
      <c r="AM29" s="337">
        <f>SUM(AM23:AM28)</f>
        <v>-2332</v>
      </c>
      <c r="AN29" s="532">
        <f t="shared" si="25"/>
        <v>-28.6</v>
      </c>
      <c r="AO29" s="532">
        <f t="shared" si="14"/>
        <v>-43688.996266099995</v>
      </c>
      <c r="AP29" s="532">
        <f t="shared" si="14"/>
        <v>7214.5858104500003</v>
      </c>
      <c r="AQ29" s="532">
        <f t="shared" si="12"/>
        <v>-116.5</v>
      </c>
      <c r="AR29" s="532"/>
      <c r="AS29" s="532"/>
      <c r="AT29" s="532"/>
    </row>
    <row r="30" spans="1:46" s="508" customFormat="1" ht="18.75" customHeight="1" x14ac:dyDescent="0.3">
      <c r="A30" s="530" t="s">
        <v>313</v>
      </c>
      <c r="B30" s="620">
        <v>-2199.1959999999999</v>
      </c>
      <c r="C30" s="337">
        <v>-217.06100000000001</v>
      </c>
      <c r="D30" s="532">
        <f>IF(B30=0, "    ---- ", IF(ABS(ROUND(100/B30*C30-100,1))&lt;999,ROUND(100/B30*C30-100,1),IF(ROUND(100/B30*C30-100,1)&gt;999,999,-999)))</f>
        <v>-90.1</v>
      </c>
      <c r="E30" s="337">
        <v>-7787.4260000000004</v>
      </c>
      <c r="F30" s="337">
        <v>4004.6030000000001</v>
      </c>
      <c r="G30" s="532">
        <f>IF(E30=0, "    ---- ", IF(ABS(ROUND(100/E30*F30-100,1))&lt;999,ROUND(100/E30*F30-100,1),IF(ROUND(100/E30*F30-100,1)&gt;999,999,-999)))</f>
        <v>-151.4</v>
      </c>
      <c r="H30" s="337"/>
      <c r="I30" s="337"/>
      <c r="J30" s="532"/>
      <c r="K30" s="620">
        <v>-499.61200000000002</v>
      </c>
      <c r="L30" s="337">
        <v>-3.14</v>
      </c>
      <c r="M30" s="532">
        <f>IF(K30=0, "    ---- ", IF(ABS(ROUND(100/K30*L30-100,1))&lt;999,ROUND(100/K30*L30-100,1),IF(ROUND(100/K30*L30-100,1)&gt;999,999,-999)))</f>
        <v>-99.4</v>
      </c>
      <c r="N30" s="620">
        <v>-3121.3</v>
      </c>
      <c r="O30" s="337">
        <v>373.3</v>
      </c>
      <c r="P30" s="532">
        <f t="shared" si="20"/>
        <v>-112</v>
      </c>
      <c r="Q30" s="620"/>
      <c r="R30" s="337"/>
      <c r="S30" s="532"/>
      <c r="T30" s="620">
        <v>-56.519582999999997</v>
      </c>
      <c r="U30" s="337">
        <v>612.93469000000005</v>
      </c>
      <c r="V30" s="532">
        <f t="shared" si="21"/>
        <v>-999</v>
      </c>
      <c r="W30" s="620">
        <v>-850.82500000000005</v>
      </c>
      <c r="X30" s="337">
        <v>-268.86099999999999</v>
      </c>
      <c r="Y30" s="532">
        <f t="shared" si="6"/>
        <v>-68.400000000000006</v>
      </c>
      <c r="Z30" s="620">
        <v>-9314</v>
      </c>
      <c r="AA30" s="337">
        <v>-1709.9</v>
      </c>
      <c r="AB30" s="532">
        <f>IF(Z30=0, "    ---- ", IF(ABS(ROUND(100/Z30*AA30-100,1))&lt;999,ROUND(100/Z30*AA30-100,1),IF(ROUND(100/Z30*AA30-100,1)&gt;999,999,-999)))</f>
        <v>-81.599999999999994</v>
      </c>
      <c r="AC30" s="620"/>
      <c r="AD30" s="337"/>
      <c r="AE30" s="532"/>
      <c r="AF30" s="620">
        <v>-231.16815184999999</v>
      </c>
      <c r="AG30" s="337">
        <v>27.11952458</v>
      </c>
      <c r="AH30" s="532">
        <f>IF(AF30=0, "    ---- ", IF(ABS(ROUND(100/AF30*AG30-100,1))&lt;999,ROUND(100/AF30*AG30-100,1),IF(ROUND(100/AF30*AG30-100,1)&gt;999,999,-999)))</f>
        <v>-111.7</v>
      </c>
      <c r="AI30" s="620">
        <v>-4648.1738935400008</v>
      </c>
      <c r="AJ30" s="337">
        <v>-664.83755786000154</v>
      </c>
      <c r="AK30" s="532">
        <f>IF(AI30=0, "    ---- ", IF(ABS(ROUND(100/AI30*AJ30-100,1))&lt;999,ROUND(100/AI30*AJ30-100,1),IF(ROUND(100/AI30*AJ30-100,1)&gt;999,999,-999)))</f>
        <v>-85.7</v>
      </c>
      <c r="AL30" s="620">
        <v>-10393</v>
      </c>
      <c r="AM30" s="337">
        <v>-2803</v>
      </c>
      <c r="AN30" s="532">
        <f>IF(AL30=0, "    ---- ", IF(ABS(ROUND(100/AL30*AM30-100,1))&lt;999,ROUND(100/AL30*AM30-100,1),IF(ROUND(100/AL30*AM30-100,1)&gt;999,999,-999)))</f>
        <v>-73</v>
      </c>
      <c r="AO30" s="532">
        <f t="shared" si="14"/>
        <v>-38870.052476539997</v>
      </c>
      <c r="AP30" s="532">
        <f t="shared" si="14"/>
        <v>-675.96186786000135</v>
      </c>
      <c r="AQ30" s="532">
        <f t="shared" si="12"/>
        <v>-98.3</v>
      </c>
      <c r="AR30" s="532"/>
      <c r="AS30" s="532"/>
      <c r="AT30" s="532"/>
    </row>
    <row r="31" spans="1:46" s="508" customFormat="1" ht="18.75" customHeight="1" x14ac:dyDescent="0.3">
      <c r="A31" s="530" t="s">
        <v>314</v>
      </c>
      <c r="B31" s="620"/>
      <c r="C31" s="337"/>
      <c r="D31" s="532"/>
      <c r="E31" s="337">
        <v>-470.07100000000003</v>
      </c>
      <c r="F31" s="337">
        <v>-60.389000000000003</v>
      </c>
      <c r="G31" s="532">
        <f>IF(E31=0, "    ---- ", IF(ABS(ROUND(100/E31*F31-100,1))&lt;999,ROUND(100/E31*F31-100,1),IF(ROUND(100/E31*F31-100,1)&gt;999,999,-999)))</f>
        <v>-87.2</v>
      </c>
      <c r="H31" s="337"/>
      <c r="I31" s="337"/>
      <c r="J31" s="532"/>
      <c r="K31" s="620"/>
      <c r="L31" s="337"/>
      <c r="M31" s="532"/>
      <c r="N31" s="620">
        <v>-34.9</v>
      </c>
      <c r="O31" s="337">
        <v>47.1</v>
      </c>
      <c r="P31" s="532">
        <f t="shared" si="20"/>
        <v>-235</v>
      </c>
      <c r="Q31" s="620"/>
      <c r="R31" s="337"/>
      <c r="S31" s="532"/>
      <c r="T31" s="620">
        <v>-4515.8051569999998</v>
      </c>
      <c r="U31" s="337">
        <v>-3502.5211850000001</v>
      </c>
      <c r="V31" s="532">
        <f>IF(T31=0, "    ---- ", IF(ABS(ROUND(100/T31*U31-100,1))&lt;999,ROUND(100/T31*U31-100,1),IF(ROUND(100/T31*U31-100,1)&gt;999,999,-999)))</f>
        <v>-22.4</v>
      </c>
      <c r="W31" s="620">
        <v>-7.1109999999999998</v>
      </c>
      <c r="X31" s="337">
        <v>0</v>
      </c>
      <c r="Y31" s="532"/>
      <c r="Z31" s="620">
        <v>-106</v>
      </c>
      <c r="AA31" s="337">
        <v>-17.05</v>
      </c>
      <c r="AB31" s="532">
        <f>IF(Z31=0, "    ---- ", IF(ABS(ROUND(100/Z31*AA31-100,1))&lt;999,ROUND(100/Z31*AA31-100,1),IF(ROUND(100/Z31*AA31-100,1)&gt;999,999,-999)))</f>
        <v>-83.9</v>
      </c>
      <c r="AC31" s="620">
        <v>-91</v>
      </c>
      <c r="AD31" s="337">
        <v>-533</v>
      </c>
      <c r="AE31" s="532">
        <f>IF(AC31=0, "    ---- ", IF(ABS(ROUND(100/AC31*AD31-100,1))&lt;999,ROUND(100/AC31*AD31-100,1),IF(ROUND(100/AC31*AD31-100,1)&gt;999,999,-999)))</f>
        <v>485.7</v>
      </c>
      <c r="AF31" s="620"/>
      <c r="AG31" s="337"/>
      <c r="AH31" s="532"/>
      <c r="AI31" s="620">
        <v>-776.31053051999993</v>
      </c>
      <c r="AJ31" s="337">
        <v>-18.06567055</v>
      </c>
      <c r="AK31" s="532">
        <f>IF(AI31=0, "    ---- ", IF(ABS(ROUND(100/AI31*AJ31-100,1))&lt;999,ROUND(100/AI31*AJ31-100,1),IF(ROUND(100/AI31*AJ31-100,1)&gt;999,999,-999)))</f>
        <v>-97.7</v>
      </c>
      <c r="AL31" s="620">
        <v>-416</v>
      </c>
      <c r="AM31" s="337">
        <v>-762</v>
      </c>
      <c r="AN31" s="532">
        <f>IF(AL31=0, "    ---- ", IF(ABS(ROUND(100/AL31*AM31-100,1))&lt;999,ROUND(100/AL31*AM31-100,1),IF(ROUND(100/AL31*AM31-100,1)&gt;999,999,-999)))</f>
        <v>83.2</v>
      </c>
      <c r="AO31" s="532">
        <f t="shared" si="14"/>
        <v>-6417.1976875199998</v>
      </c>
      <c r="AP31" s="532">
        <f t="shared" si="14"/>
        <v>-4845.9258555500001</v>
      </c>
      <c r="AQ31" s="532">
        <f t="shared" si="12"/>
        <v>-24.5</v>
      </c>
      <c r="AR31" s="532"/>
      <c r="AS31" s="532"/>
      <c r="AT31" s="532"/>
    </row>
    <row r="32" spans="1:46" s="508" customFormat="1" ht="18.75" customHeight="1" x14ac:dyDescent="0.3">
      <c r="A32" s="530" t="s">
        <v>315</v>
      </c>
      <c r="B32" s="620">
        <v>-107.42400000000001</v>
      </c>
      <c r="C32" s="337">
        <v>-130.03899999999999</v>
      </c>
      <c r="D32" s="532">
        <f>IF(B32=0, "    ---- ", IF(ABS(ROUND(100/B32*C32-100,1))&lt;999,ROUND(100/B32*C32-100,1),IF(ROUND(100/B32*C32-100,1)&gt;999,999,-999)))</f>
        <v>21.1</v>
      </c>
      <c r="E32" s="337">
        <v>-302.44799999999998</v>
      </c>
      <c r="F32" s="337">
        <v>-527.74599999999998</v>
      </c>
      <c r="G32" s="532">
        <f>IF(E32=0, "    ---- ", IF(ABS(ROUND(100/E32*F32-100,1))&lt;999,ROUND(100/E32*F32-100,1),IF(ROUND(100/E32*F32-100,1)&gt;999,999,-999)))</f>
        <v>74.5</v>
      </c>
      <c r="H32" s="337"/>
      <c r="I32" s="337">
        <v>-465.11820746000001</v>
      </c>
      <c r="J32" s="532" t="str">
        <f>IF(H32=0, "    ---- ", IF(ABS(ROUND(100/H32*I32-100,1))&lt;999,ROUND(100/H32*I32-100,1),IF(ROUND(100/H32*I32-100,1)&gt;999,999,-999)))</f>
        <v xml:space="preserve">    ---- </v>
      </c>
      <c r="K32" s="620">
        <v>-133.94399999999999</v>
      </c>
      <c r="L32" s="337">
        <v>-124.70699999999999</v>
      </c>
      <c r="M32" s="532">
        <f>IF(K32=0, "    ---- ", IF(ABS(ROUND(100/K32*L32-100,1))&lt;999,ROUND(100/K32*L32-100,1),IF(ROUND(100/K32*L32-100,1)&gt;999,999,-999)))</f>
        <v>-6.9</v>
      </c>
      <c r="N32" s="620">
        <v>-127.3</v>
      </c>
      <c r="O32" s="337">
        <v>-150.9</v>
      </c>
      <c r="P32" s="532">
        <f>IF(N32=0, "    ---- ", IF(ABS(ROUND(100/N32*O32-100,1))&lt;999,ROUND(100/N32*O32-100,1),IF(ROUND(100/N32*O32-100,1)&gt;999,999,-999)))</f>
        <v>18.5</v>
      </c>
      <c r="Q32" s="620">
        <v>-5.3733100800000004</v>
      </c>
      <c r="R32" s="337">
        <v>-5.4801113900000002</v>
      </c>
      <c r="S32" s="532">
        <f>IF(Q32=0, "    ---- ", IF(ABS(ROUND(100/Q32*R32-100,1))&lt;999,ROUND(100/Q32*R32-100,1),IF(ROUND(100/Q32*R32-100,1)&gt;999,999,-999)))</f>
        <v>2</v>
      </c>
      <c r="T32" s="620">
        <v>-555.96052063000002</v>
      </c>
      <c r="U32" s="337">
        <v>-600.86569887999997</v>
      </c>
      <c r="V32" s="532">
        <f>IF(T32=0, "    ---- ", IF(ABS(ROUND(100/T32*U32-100,1))&lt;999,ROUND(100/T32*U32-100,1),IF(ROUND(100/T32*U32-100,1)&gt;999,999,-999)))</f>
        <v>8.1</v>
      </c>
      <c r="W32" s="620">
        <v>-34.747</v>
      </c>
      <c r="X32" s="337">
        <v>-37.847999999999999</v>
      </c>
      <c r="Y32" s="532">
        <f>IF(W32=0, "    ---- ", IF(ABS(ROUND(100/W32*X32-100,1))&lt;999,ROUND(100/W32*X32-100,1),IF(ROUND(100/W32*X32-100,1)&gt;999,999,-999)))</f>
        <v>8.9</v>
      </c>
      <c r="Z32" s="620">
        <v>-302</v>
      </c>
      <c r="AA32" s="337">
        <v>-305.52</v>
      </c>
      <c r="AB32" s="532">
        <f>IF(Z32=0, "    ---- ", IF(ABS(ROUND(100/Z32*AA32-100,1))&lt;999,ROUND(100/Z32*AA32-100,1),IF(ROUND(100/Z32*AA32-100,1)&gt;999,999,-999)))</f>
        <v>1.2</v>
      </c>
      <c r="AC32" s="620"/>
      <c r="AD32" s="337"/>
      <c r="AE32" s="532"/>
      <c r="AF32" s="620">
        <v>1.6206158399999999</v>
      </c>
      <c r="AG32" s="337">
        <v>2.40989926</v>
      </c>
      <c r="AH32" s="532">
        <f>IF(AF32=0, "    ---- ", IF(ABS(ROUND(100/AF32*AG32-100,1))&lt;999,ROUND(100/AF32*AG32-100,1),IF(ROUND(100/AF32*AG32-100,1)&gt;999,999,-999)))</f>
        <v>48.7</v>
      </c>
      <c r="AI32" s="620">
        <v>-540.88885229149992</v>
      </c>
      <c r="AJ32" s="337">
        <v>-303.65863100519999</v>
      </c>
      <c r="AK32" s="532">
        <f>IF(AI32=0, "    ---- ", IF(ABS(ROUND(100/AI32*AJ32-100,1))&lt;999,ROUND(100/AI32*AJ32-100,1),IF(ROUND(100/AI32*AJ32-100,1)&gt;999,999,-999)))</f>
        <v>-43.9</v>
      </c>
      <c r="AL32" s="620">
        <v>-711</v>
      </c>
      <c r="AM32" s="337">
        <v>-677</v>
      </c>
      <c r="AN32" s="532">
        <f>IF(AL32=0, "    ---- ", IF(ABS(ROUND(100/AL32*AM32-100,1))&lt;999,ROUND(100/AL32*AM32-100,1),IF(ROUND(100/AL32*AM32-100,1)&gt;999,999,-999)))</f>
        <v>-4.8</v>
      </c>
      <c r="AO32" s="532">
        <f t="shared" si="14"/>
        <v>-2815.7123729215</v>
      </c>
      <c r="AP32" s="532">
        <f t="shared" si="14"/>
        <v>-3323.4025373451996</v>
      </c>
      <c r="AQ32" s="532">
        <f t="shared" si="12"/>
        <v>18</v>
      </c>
      <c r="AR32" s="532"/>
      <c r="AS32" s="532"/>
      <c r="AT32" s="532"/>
    </row>
    <row r="33" spans="1:46" s="543" customFormat="1" ht="18.75" customHeight="1" x14ac:dyDescent="0.3">
      <c r="A33" s="530" t="s">
        <v>316</v>
      </c>
      <c r="B33" s="195"/>
      <c r="C33" s="446"/>
      <c r="D33" s="535"/>
      <c r="E33" s="446">
        <v>-14.997</v>
      </c>
      <c r="F33" s="446">
        <v>-7.4470000000000001</v>
      </c>
      <c r="G33" s="535">
        <f>IF(E33=0, "    ---- ", IF(ABS(ROUND(100/E33*F33-100,1))&lt;999,ROUND(100/E33*F33-100,1),IF(ROUND(100/E33*F33-100,1)&gt;999,999,-999)))</f>
        <v>-50.3</v>
      </c>
      <c r="H33" s="446"/>
      <c r="I33" s="446">
        <v>-6.8049812999999997</v>
      </c>
      <c r="J33" s="532" t="str">
        <f>IF(H33=0, "    ---- ", IF(ABS(ROUND(100/H33*I33-100,1))&lt;999,ROUND(100/H33*I33-100,1),IF(ROUND(100/H33*I33-100,1)&gt;999,999,-999)))</f>
        <v xml:space="preserve">    ---- </v>
      </c>
      <c r="K33" s="195"/>
      <c r="L33" s="446"/>
      <c r="M33" s="535"/>
      <c r="N33" s="195"/>
      <c r="O33" s="446"/>
      <c r="P33" s="535"/>
      <c r="Q33" s="195"/>
      <c r="R33" s="446"/>
      <c r="S33" s="535"/>
      <c r="T33" s="195">
        <v>-546.04850999999996</v>
      </c>
      <c r="U33" s="446">
        <v>-592.79414099999997</v>
      </c>
      <c r="V33" s="535">
        <f>IF(T33=0, "    ---- ", IF(ABS(ROUND(100/T33*U33-100,1))&lt;999,ROUND(100/T33*U33-100,1),IF(ROUND(100/T33*U33-100,1)&gt;999,999,-999)))</f>
        <v>8.6</v>
      </c>
      <c r="W33" s="195">
        <v>-3.5059999999999998</v>
      </c>
      <c r="X33" s="446">
        <v>-6.702</v>
      </c>
      <c r="Y33" s="535">
        <f>IF(W33=0, "    ---- ", IF(ABS(ROUND(100/W33*X33-100,1))&lt;999,ROUND(100/W33*X33-100,1),IF(ROUND(100/W33*X33-100,1)&gt;999,999,-999)))</f>
        <v>91.2</v>
      </c>
      <c r="Z33" s="195">
        <v>-12</v>
      </c>
      <c r="AA33" s="446">
        <v>-22.9090527</v>
      </c>
      <c r="AB33" s="535">
        <f>IF(Z33=0, "    ---- ", IF(ABS(ROUND(100/Z33*AA33-100,1))&lt;999,ROUND(100/Z33*AA33-100,1),IF(ROUND(100/Z33*AA33-100,1)&gt;999,999,-999)))</f>
        <v>90.9</v>
      </c>
      <c r="AC33" s="195">
        <v>-82</v>
      </c>
      <c r="AD33" s="446">
        <v>-92</v>
      </c>
      <c r="AE33" s="532">
        <f>IF(AC33=0, "    ---- ", IF(ABS(ROUND(100/AC33*AD33-100,1))&lt;999,ROUND(100/AC33*AD33-100,1),IF(ROUND(100/AC33*AD33-100,1)&gt;999,999,-999)))</f>
        <v>12.2</v>
      </c>
      <c r="AF33" s="195"/>
      <c r="AG33" s="446"/>
      <c r="AH33" s="535"/>
      <c r="AI33" s="195">
        <v>-3.9996506600000004</v>
      </c>
      <c r="AJ33" s="446">
        <v>-0.26482768000000001</v>
      </c>
      <c r="AK33" s="535">
        <f>IF(AI33=0, "    ---- ", IF(ABS(ROUND(100/AI33*AJ33-100,1))&lt;999,ROUND(100/AI33*AJ33-100,1),IF(ROUND(100/AI33*AJ33-100,1)&gt;999,999,-999)))</f>
        <v>-93.4</v>
      </c>
      <c r="AL33" s="195">
        <v>-284.39999999999998</v>
      </c>
      <c r="AM33" s="446">
        <v>-156</v>
      </c>
      <c r="AN33" s="535">
        <f>IF(AL33=0, "    ---- ", IF(ABS(ROUND(100/AL33*AM33-100,1))&lt;999,ROUND(100/AL33*AM33-100,1),IF(ROUND(100/AL33*AM33-100,1)&gt;999,999,-999)))</f>
        <v>-45.1</v>
      </c>
      <c r="AO33" s="532">
        <f t="shared" si="14"/>
        <v>-946.95116065999991</v>
      </c>
      <c r="AP33" s="532">
        <f t="shared" si="14"/>
        <v>-884.92200267999999</v>
      </c>
      <c r="AQ33" s="535">
        <f t="shared" si="12"/>
        <v>-6.6</v>
      </c>
      <c r="AR33" s="535"/>
      <c r="AS33" s="535"/>
      <c r="AT33" s="535"/>
    </row>
    <row r="34" spans="1:46" s="546" customFormat="1" ht="18.75" customHeight="1" x14ac:dyDescent="0.3">
      <c r="A34" s="544" t="s">
        <v>317</v>
      </c>
      <c r="B34" s="198">
        <f>SUM(B14+B15+B16+B17+B21+B29+B30+B31+B32+B33)</f>
        <v>48.052000000000106</v>
      </c>
      <c r="C34" s="452">
        <f>SUM(C14+C15+C16+C17+C21+C29+C30+C31+C32+C33)</f>
        <v>49.03800000000038</v>
      </c>
      <c r="D34" s="545">
        <f>IF(B34=0, "    ---- ", IF(ABS(ROUND(100/B34*C34-100,1))&lt;999,ROUND(100/B34*C34-100,1),IF(ROUND(100/B34*C34-100,1)&gt;999,999,-999)))</f>
        <v>2.1</v>
      </c>
      <c r="E34" s="452">
        <f>SUM(E14+E15+E16+E17+E21+E29+E30+E31+E32+E33)</f>
        <v>216.685</v>
      </c>
      <c r="F34" s="452">
        <f>SUM(F14+F15+F16+F17+F21+F29+F30+F31+F32+F33)</f>
        <v>-2581.8249999999994</v>
      </c>
      <c r="G34" s="545">
        <f>IF(E34=0, "    ---- ", IF(ABS(ROUND(100/E34*F34-100,1))&lt;999,ROUND(100/E34*F34-100,1),IF(ROUND(100/E34*F34-100,1)&gt;999,999,-999)))</f>
        <v>-999</v>
      </c>
      <c r="H34" s="452"/>
      <c r="I34" s="452">
        <f>SUM(I14+I15+I16+I17+I21+I29+I30+I31+I32+I33)</f>
        <v>-222.39057742000034</v>
      </c>
      <c r="J34" s="545" t="str">
        <f>IF(H34=0, "    ---- ", IF(ABS(ROUND(100/H34*I34-100,1))&lt;999,ROUND(100/H34*I34-100,1),IF(ROUND(100/H34*I34-100,1)&gt;999,999,-999)))</f>
        <v xml:space="preserve">    ---- </v>
      </c>
      <c r="K34" s="198">
        <f>SUM(K14+K15+K16+K17+K21+K29+K30+K31+K32+K33)</f>
        <v>66.441999999999922</v>
      </c>
      <c r="L34" s="452">
        <f>SUM(L14+L15+L16+L17+L21+L29+L30+L31+L32+L33)</f>
        <v>136.72799999999995</v>
      </c>
      <c r="M34" s="545">
        <f>IF(K34=0, "    ---- ", IF(ABS(ROUND(100/K34*L34-100,1))&lt;999,ROUND(100/K34*L34-100,1),IF(ROUND(100/K34*L34-100,1)&gt;999,999,-999)))</f>
        <v>105.8</v>
      </c>
      <c r="N34" s="198">
        <f>SUM(N14+N15+N16+N17+N21+N29+N30+N31+N32+N33)</f>
        <v>90.759999999999124</v>
      </c>
      <c r="O34" s="452">
        <f>SUM(O14+O15+O16+O17+O21+O29+O30+O31+O32+O33)</f>
        <v>66.599999999999966</v>
      </c>
      <c r="P34" s="545">
        <f>IF(N34=0, "    ---- ", IF(ABS(ROUND(100/N34*O34-100,1))&lt;999,ROUND(100/N34*O34-100,1),IF(ROUND(100/N34*O34-100,1)&gt;999,999,-999)))</f>
        <v>-26.6</v>
      </c>
      <c r="Q34" s="198">
        <f>SUM(Q14+Q15+Q16+Q17+Q21+Q29+Q30+Q31+Q32+Q33)</f>
        <v>5.1890574199999984</v>
      </c>
      <c r="R34" s="452">
        <f>SUM(R14+R15+R16+R17+R21+R29+R30+R31+R32+R33)</f>
        <v>5.7624777200000006</v>
      </c>
      <c r="S34" s="545">
        <f>IF(Q34=0, "    ---- ", IF(ABS(ROUND(100/Q34*R34-100,1))&lt;999,ROUND(100/Q34*R34-100,1),IF(ROUND(100/Q34*R34-100,1)&gt;999,999,-999)))</f>
        <v>11.1</v>
      </c>
      <c r="T34" s="198">
        <f>SUM(T14+T15+T16+T17+T21+T29+T30+T31+T32+T33)</f>
        <v>678.57928873999924</v>
      </c>
      <c r="U34" s="452">
        <v>566.27224910999973</v>
      </c>
      <c r="V34" s="545">
        <f>IF(T34=0, "    ---- ", IF(ABS(ROUND(100/T34*U34-100,1))&lt;999,ROUND(100/T34*U34-100,1),IF(ROUND(100/T34*U34-100,1)&gt;999,999,-999)))</f>
        <v>-16.600000000000001</v>
      </c>
      <c r="W34" s="198">
        <f>SUM(W14+W15+W16+W17+W21+W29+W30+W31+W32+W33)</f>
        <v>-20.7300000000001</v>
      </c>
      <c r="X34" s="452">
        <f>SUM(X14+X15+X16+X17+X21+X29+X30+X31+X32+X33)</f>
        <v>-44.206000000000003</v>
      </c>
      <c r="Y34" s="545">
        <f>IF(W34=0, "    ---- ", IF(ABS(ROUND(100/W34*X34-100,1))&lt;999,ROUND(100/W34*X34-100,1),IF(ROUND(100/W34*X34-100,1)&gt;999,999,-999)))</f>
        <v>113.2</v>
      </c>
      <c r="Z34" s="198">
        <f>SUM(Z14+Z15+Z16+Z17+Z21+Z29+Z30+Z31+Z32+Z33)</f>
        <v>293</v>
      </c>
      <c r="AA34" s="452">
        <f>SUM(AA14+AA15+AA16+AA17+AA21+AA29+AA30+AA31+AA32+AA33)</f>
        <v>53.020947300001822</v>
      </c>
      <c r="AB34" s="545">
        <f>IF(Z34=0, "    ---- ", IF(ABS(ROUND(100/Z34*AA34-100,1))&lt;999,ROUND(100/Z34*AA34-100,1),IF(ROUND(100/Z34*AA34-100,1)&gt;999,999,-999)))</f>
        <v>-81.900000000000006</v>
      </c>
      <c r="AC34" s="198">
        <f>SUM(AC14+AC15+AC16+AC17+AC21+AC29+AC30+AC31+AC32+AC33)</f>
        <v>-10</v>
      </c>
      <c r="AD34" s="452">
        <f>SUM(AD14+AD15+AD16+AD17+AD21+AD29+AD30+AD31+AD32+AD33)</f>
        <v>228</v>
      </c>
      <c r="AE34" s="545">
        <f>IF(AC34=0, "    ---- ", IF(ABS(ROUND(100/AC34*AD34-100,1))&lt;999,ROUND(100/AC34*AD34-100,1),IF(ROUND(100/AC34*AD34-100,1)&gt;999,999,-999)))</f>
        <v>-999</v>
      </c>
      <c r="AF34" s="198">
        <f>SUM(AF14+AF15+AF16+AF17+AF21+AF29+AF30+AF31+AF32+AF33)</f>
        <v>6.8796428399999749</v>
      </c>
      <c r="AG34" s="452">
        <f>SUM(AG14+AG15+AG16+AG17+AG21+AG29+AG30+AG31+AG32+AG33)</f>
        <v>7.0339272800000074</v>
      </c>
      <c r="AH34" s="545">
        <f>IF(AF34=0, "    ---- ", IF(ABS(ROUND(100/AF34*AG34-100,1))&lt;999,ROUND(100/AF34*AG34-100,1),IF(ROUND(100/AF34*AG34-100,1)&gt;999,999,-999)))</f>
        <v>2.2000000000000002</v>
      </c>
      <c r="AI34" s="198">
        <f>SUM(AI14+AI15+AI16+AI17+AI21+AI29+AI30+AI31+AI32+AI33)</f>
        <v>299.9631921484991</v>
      </c>
      <c r="AJ34" s="452">
        <f>SUM(AJ14+AJ15+AJ16+AJ17+AJ21+AJ29+AJ30+AJ31+AJ32+AJ33)</f>
        <v>-183.08473076520096</v>
      </c>
      <c r="AK34" s="545">
        <f>IF(AI34=0, "    ---- ", IF(ABS(ROUND(100/AI34*AJ34-100,1))&lt;999,ROUND(100/AI34*AJ34-100,1),IF(ROUND(100/AI34*AJ34-100,1)&gt;999,999,-999)))</f>
        <v>-161</v>
      </c>
      <c r="AL34" s="198">
        <f>SUM(AL14+AL15+AL16+AL17+AL21+AL29+AL30+AL31+AL32+AL33)</f>
        <v>454.1</v>
      </c>
      <c r="AM34" s="452">
        <f>SUM(AM14+AM15+AM16+AM17+AM21+AM29+AM30+AM31+AM32+AM33)</f>
        <v>-53</v>
      </c>
      <c r="AN34" s="545">
        <f>IF(AL34=0, "    ---- ", IF(ABS(ROUND(100/AL34*AM34-100,1))&lt;999,ROUND(100/AL34*AM34-100,1),IF(ROUND(100/AL34*AM34-100,1)&gt;999,999,-999)))</f>
        <v>-111.7</v>
      </c>
      <c r="AO34" s="545">
        <f>B34+E34+H34+K34+N34+T34+W34+Z34+AC34+AI34+AL34</f>
        <v>2116.8514808884975</v>
      </c>
      <c r="AP34" s="545">
        <f>C34+F34+I34+L34+O34+U34+X34+AA34+AD34+AJ34+AM34</f>
        <v>-1984.8471117751983</v>
      </c>
      <c r="AQ34" s="545">
        <f t="shared" si="12"/>
        <v>-193.8</v>
      </c>
      <c r="AR34" s="545"/>
      <c r="AS34" s="545"/>
      <c r="AT34" s="545"/>
    </row>
    <row r="35" spans="1:46" s="546" customFormat="1" ht="18.75" customHeight="1" x14ac:dyDescent="0.3">
      <c r="A35" s="547"/>
      <c r="B35" s="666"/>
      <c r="C35" s="548"/>
      <c r="D35" s="549"/>
      <c r="E35" s="548"/>
      <c r="F35" s="548"/>
      <c r="G35" s="549"/>
      <c r="H35" s="548"/>
      <c r="I35" s="548"/>
      <c r="J35" s="549"/>
      <c r="K35" s="666"/>
      <c r="L35" s="548"/>
      <c r="M35" s="549"/>
      <c r="N35" s="666"/>
      <c r="O35" s="548"/>
      <c r="P35" s="549"/>
      <c r="Q35" s="666"/>
      <c r="R35" s="548"/>
      <c r="S35" s="549"/>
      <c r="T35" s="666"/>
      <c r="U35" s="548"/>
      <c r="V35" s="549"/>
      <c r="W35" s="666"/>
      <c r="X35" s="548"/>
      <c r="Y35" s="549"/>
      <c r="Z35" s="666"/>
      <c r="AA35" s="548"/>
      <c r="AB35" s="549"/>
      <c r="AC35" s="666"/>
      <c r="AD35" s="548"/>
      <c r="AE35" s="549"/>
      <c r="AF35" s="666"/>
      <c r="AG35" s="548"/>
      <c r="AH35" s="549"/>
      <c r="AI35" s="666"/>
      <c r="AJ35" s="548"/>
      <c r="AK35" s="550"/>
      <c r="AL35" s="666"/>
      <c r="AM35" s="548"/>
      <c r="AN35" s="550"/>
      <c r="AO35" s="550"/>
      <c r="AP35" s="550"/>
      <c r="AQ35" s="550"/>
      <c r="AR35" s="551"/>
      <c r="AS35" s="552"/>
      <c r="AT35" s="553"/>
    </row>
    <row r="36" spans="1:46" s="546" customFormat="1" ht="18.75" customHeight="1" x14ac:dyDescent="0.3">
      <c r="A36" s="522" t="s">
        <v>318</v>
      </c>
      <c r="B36" s="666"/>
      <c r="C36" s="548"/>
      <c r="D36" s="549"/>
      <c r="E36" s="548"/>
      <c r="F36" s="548"/>
      <c r="G36" s="549"/>
      <c r="H36" s="548"/>
      <c r="I36" s="548"/>
      <c r="J36" s="549"/>
      <c r="K36" s="666"/>
      <c r="L36" s="548"/>
      <c r="M36" s="549"/>
      <c r="N36" s="666"/>
      <c r="O36" s="548"/>
      <c r="P36" s="549"/>
      <c r="Q36" s="666"/>
      <c r="R36" s="548"/>
      <c r="S36" s="549"/>
      <c r="T36" s="666"/>
      <c r="U36" s="548"/>
      <c r="V36" s="549"/>
      <c r="W36" s="666"/>
      <c r="X36" s="548"/>
      <c r="Y36" s="549"/>
      <c r="Z36" s="666"/>
      <c r="AA36" s="548"/>
      <c r="AB36" s="549"/>
      <c r="AC36" s="666"/>
      <c r="AD36" s="548"/>
      <c r="AE36" s="549"/>
      <c r="AF36" s="666"/>
      <c r="AG36" s="548"/>
      <c r="AH36" s="549"/>
      <c r="AI36" s="666"/>
      <c r="AJ36" s="548"/>
      <c r="AK36" s="549"/>
      <c r="AL36" s="666"/>
      <c r="AM36" s="548"/>
      <c r="AN36" s="549"/>
      <c r="AO36" s="549"/>
      <c r="AP36" s="549"/>
      <c r="AQ36" s="549"/>
      <c r="AR36" s="554"/>
      <c r="AS36" s="555"/>
      <c r="AT36" s="556"/>
    </row>
    <row r="37" spans="1:46" s="558" customFormat="1" ht="18.75" customHeight="1" x14ac:dyDescent="0.3">
      <c r="A37" s="530" t="s">
        <v>319</v>
      </c>
      <c r="B37" s="667">
        <v>4.8460000000000001</v>
      </c>
      <c r="C37" s="533">
        <v>17.277000000000001</v>
      </c>
      <c r="D37" s="532">
        <f t="shared" ref="D37:D43" si="26">IF(B37=0, "    ---- ", IF(ABS(ROUND(100/B37*C37-100,1))&lt;999,ROUND(100/B37*C37-100,1),IF(ROUND(100/B37*C37-100,1)&gt;999,999,-999)))</f>
        <v>256.5</v>
      </c>
      <c r="E37" s="533">
        <v>349.37</v>
      </c>
      <c r="F37" s="533">
        <v>251.97800000000001</v>
      </c>
      <c r="G37" s="532">
        <f t="shared" ref="G37:G44" si="27">IF(E37=0, "    ---- ", IF(ABS(ROUND(100/E37*F37-100,1))&lt;999,ROUND(100/E37*F37-100,1),IF(ROUND(100/E37*F37-100,1)&gt;999,999,-999)))</f>
        <v>-27.9</v>
      </c>
      <c r="H37" s="533"/>
      <c r="I37" s="533">
        <v>12.490792810000002</v>
      </c>
      <c r="J37" s="532" t="str">
        <f t="shared" ref="J37:J43" si="28">IF(H37=0, "    ---- ", IF(ABS(ROUND(100/H37*I37-100,1))&lt;999,ROUND(100/H37*I37-100,1),IF(ROUND(100/H37*I37-100,1)&gt;999,999,-999)))</f>
        <v xml:space="preserve">    ---- </v>
      </c>
      <c r="K37" s="667">
        <v>6.4630000000000001</v>
      </c>
      <c r="L37" s="533">
        <v>2.29</v>
      </c>
      <c r="M37" s="532">
        <f t="shared" ref="M37:M43" si="29">IF(K37=0, "    ---- ", IF(ABS(ROUND(100/K37*L37-100,1))&lt;999,ROUND(100/K37*L37-100,1),IF(ROUND(100/K37*L37-100,1)&gt;999,999,-999)))</f>
        <v>-64.599999999999994</v>
      </c>
      <c r="N37" s="667">
        <v>8.5</v>
      </c>
      <c r="O37" s="533">
        <v>9.8000000000000007</v>
      </c>
      <c r="P37" s="532">
        <f t="shared" ref="P37:P43" si="30">IF(N37=0, "    ---- ", IF(ABS(ROUND(100/N37*O37-100,1))&lt;999,ROUND(100/N37*O37-100,1),IF(ROUND(100/N37*O37-100,1)&gt;999,999,-999)))</f>
        <v>15.3</v>
      </c>
      <c r="Q37" s="667">
        <v>1.03291307</v>
      </c>
      <c r="R37" s="533">
        <v>1.21228544</v>
      </c>
      <c r="S37" s="532">
        <f t="shared" ref="S37:S43" si="31">IF(Q37=0, "    ---- ", IF(ABS(ROUND(100/Q37*R37-100,1))&lt;999,ROUND(100/Q37*R37-100,1),IF(ROUND(100/Q37*R37-100,1)&gt;999,999,-999)))</f>
        <v>17.399999999999999</v>
      </c>
      <c r="T37" s="667">
        <v>955.95338124</v>
      </c>
      <c r="U37" s="533">
        <v>501.34313507000002</v>
      </c>
      <c r="V37" s="532">
        <f t="shared" ref="V37:V44" si="32">IF(T37=0, "    ---- ", IF(ABS(ROUND(100/T37*U37-100,1))&lt;999,ROUND(100/T37*U37-100,1),IF(ROUND(100/T37*U37-100,1)&gt;999,999,-999)))</f>
        <v>-47.6</v>
      </c>
      <c r="W37" s="667">
        <v>8.6820000000000004</v>
      </c>
      <c r="X37" s="533">
        <v>7.9870000000000001</v>
      </c>
      <c r="Y37" s="532">
        <f t="shared" ref="Y37:Y44" si="33">IF(W37=0, "    ---- ", IF(ABS(ROUND(100/W37*X37-100,1))&lt;999,ROUND(100/W37*X37-100,1),IF(ROUND(100/W37*X37-100,1)&gt;999,999,-999)))</f>
        <v>-8</v>
      </c>
      <c r="Z37" s="667">
        <v>63</v>
      </c>
      <c r="AA37" s="533">
        <v>196.25</v>
      </c>
      <c r="AB37" s="532">
        <f t="shared" ref="AB37:AB44" si="34">IF(Z37=0, "    ---- ", IF(ABS(ROUND(100/Z37*AA37-100,1))&lt;999,ROUND(100/Z37*AA37-100,1),IF(ROUND(100/Z37*AA37-100,1)&gt;999,999,-999)))</f>
        <v>211.5</v>
      </c>
      <c r="AC37" s="667">
        <v>363</v>
      </c>
      <c r="AD37" s="533">
        <v>79</v>
      </c>
      <c r="AE37" s="532">
        <f t="shared" ref="AE37:AE43" si="35">IF(AC37=0, "    ---- ", IF(ABS(ROUND(100/AC37*AD37-100,1))&lt;999,ROUND(100/AC37*AD37-100,1),IF(ROUND(100/AC37*AD37-100,1)&gt;999,999,-999)))</f>
        <v>-78.2</v>
      </c>
      <c r="AF37" s="667"/>
      <c r="AG37" s="533"/>
      <c r="AH37" s="532"/>
      <c r="AI37" s="667">
        <v>611.92008527999974</v>
      </c>
      <c r="AJ37" s="533">
        <v>75.67700382999999</v>
      </c>
      <c r="AK37" s="532">
        <f t="shared" ref="AK37:AK43" si="36">IF(AI37=0, "    ---- ", IF(ABS(ROUND(100/AI37*AJ37-100,1))&lt;999,ROUND(100/AI37*AJ37-100,1),IF(ROUND(100/AI37*AJ37-100,1)&gt;999,999,-999)))</f>
        <v>-87.6</v>
      </c>
      <c r="AL37" s="667">
        <v>1112</v>
      </c>
      <c r="AM37" s="533">
        <v>657</v>
      </c>
      <c r="AN37" s="532">
        <f t="shared" ref="AN37:AN44" si="37">IF(AL37=0, "    ---- ", IF(ABS(ROUND(100/AL37*AM37-100,1))&lt;999,ROUND(100/AL37*AM37-100,1),IF(ROUND(100/AL37*AM37-100,1)&gt;999,999,-999)))</f>
        <v>-40.9</v>
      </c>
      <c r="AO37" s="532">
        <f t="shared" ref="AO37:AP39" si="38">B37+E37+H37+K37+N37+T37+W37+Z37+AC37+AI37+AL37</f>
        <v>3483.7344665199998</v>
      </c>
      <c r="AP37" s="532">
        <f t="shared" si="38"/>
        <v>1811.0929317099999</v>
      </c>
      <c r="AQ37" s="532">
        <f t="shared" si="12"/>
        <v>-48</v>
      </c>
      <c r="AR37" s="534"/>
      <c r="AS37" s="557"/>
      <c r="AT37" s="536"/>
    </row>
    <row r="38" spans="1:46" s="558" customFormat="1" ht="18.75" customHeight="1" x14ac:dyDescent="0.3">
      <c r="A38" s="530" t="s">
        <v>320</v>
      </c>
      <c r="B38" s="667"/>
      <c r="C38" s="533"/>
      <c r="D38" s="532"/>
      <c r="E38" s="533">
        <v>2.91</v>
      </c>
      <c r="F38" s="533">
        <v>1253.508</v>
      </c>
      <c r="G38" s="532">
        <f t="shared" si="27"/>
        <v>999</v>
      </c>
      <c r="H38" s="533"/>
      <c r="I38" s="533"/>
      <c r="J38" s="532"/>
      <c r="K38" s="667">
        <v>2.7E-2</v>
      </c>
      <c r="L38" s="533">
        <v>2.7E-2</v>
      </c>
      <c r="M38" s="532">
        <f t="shared" si="29"/>
        <v>0</v>
      </c>
      <c r="N38" s="667"/>
      <c r="O38" s="533"/>
      <c r="P38" s="532"/>
      <c r="Q38" s="667"/>
      <c r="R38" s="533"/>
      <c r="S38" s="532"/>
      <c r="T38" s="667">
        <v>5.9625397900000001</v>
      </c>
      <c r="U38" s="533">
        <v>4.0914403699999999</v>
      </c>
      <c r="V38" s="532">
        <f t="shared" si="32"/>
        <v>-31.4</v>
      </c>
      <c r="W38" s="667">
        <v>2.403</v>
      </c>
      <c r="X38" s="533">
        <v>2.9689999999999999</v>
      </c>
      <c r="Y38" s="532">
        <f t="shared" si="33"/>
        <v>23.6</v>
      </c>
      <c r="Z38" s="667">
        <v>4</v>
      </c>
      <c r="AA38" s="533">
        <v>0.02</v>
      </c>
      <c r="AB38" s="532">
        <f t="shared" si="34"/>
        <v>-99.5</v>
      </c>
      <c r="AC38" s="667">
        <v>4</v>
      </c>
      <c r="AD38" s="533">
        <v>5</v>
      </c>
      <c r="AE38" s="532">
        <f t="shared" si="35"/>
        <v>25</v>
      </c>
      <c r="AF38" s="667"/>
      <c r="AG38" s="533"/>
      <c r="AH38" s="532"/>
      <c r="AI38" s="667">
        <v>120.99774829</v>
      </c>
      <c r="AJ38" s="533">
        <v>2.6028118200000003</v>
      </c>
      <c r="AK38" s="532">
        <f t="shared" si="36"/>
        <v>-97.8</v>
      </c>
      <c r="AL38" s="667">
        <v>11</v>
      </c>
      <c r="AM38" s="533">
        <v>1</v>
      </c>
      <c r="AN38" s="532">
        <f t="shared" si="37"/>
        <v>-90.9</v>
      </c>
      <c r="AO38" s="532">
        <f t="shared" si="38"/>
        <v>151.30028808</v>
      </c>
      <c r="AP38" s="532">
        <f t="shared" si="38"/>
        <v>1269.2182521900002</v>
      </c>
      <c r="AQ38" s="532">
        <f t="shared" si="12"/>
        <v>738.9</v>
      </c>
      <c r="AR38" s="532"/>
      <c r="AS38" s="559"/>
      <c r="AT38" s="532"/>
    </row>
    <row r="39" spans="1:46" s="558" customFormat="1" ht="18.75" customHeight="1" x14ac:dyDescent="0.3">
      <c r="A39" s="530" t="s">
        <v>321</v>
      </c>
      <c r="B39" s="667"/>
      <c r="C39" s="533"/>
      <c r="D39" s="532"/>
      <c r="E39" s="533">
        <v>-77.441000000000003</v>
      </c>
      <c r="F39" s="533">
        <v>-204.35900000000001</v>
      </c>
      <c r="G39" s="532">
        <f t="shared" si="27"/>
        <v>163.9</v>
      </c>
      <c r="H39" s="533"/>
      <c r="I39" s="533">
        <v>-7.6069071900000003</v>
      </c>
      <c r="J39" s="532" t="str">
        <f t="shared" si="28"/>
        <v xml:space="preserve">    ---- </v>
      </c>
      <c r="K39" s="667"/>
      <c r="L39" s="533"/>
      <c r="M39" s="532"/>
      <c r="N39" s="667">
        <v>-6.5</v>
      </c>
      <c r="O39" s="533">
        <v>-7</v>
      </c>
      <c r="P39" s="532">
        <f t="shared" si="30"/>
        <v>7.7</v>
      </c>
      <c r="Q39" s="667"/>
      <c r="R39" s="533"/>
      <c r="S39" s="532"/>
      <c r="T39" s="667">
        <v>-183.42780712999999</v>
      </c>
      <c r="U39" s="533">
        <v>-548.84608850999996</v>
      </c>
      <c r="V39" s="532">
        <f t="shared" si="32"/>
        <v>199.2</v>
      </c>
      <c r="W39" s="667">
        <v>-0.309</v>
      </c>
      <c r="X39" s="533">
        <v>-0.21099999999999999</v>
      </c>
      <c r="Y39" s="532">
        <f t="shared" si="33"/>
        <v>-31.7</v>
      </c>
      <c r="Z39" s="667">
        <v>-50.5</v>
      </c>
      <c r="AA39" s="533">
        <v>-55.8</v>
      </c>
      <c r="AB39" s="532">
        <f t="shared" si="34"/>
        <v>10.5</v>
      </c>
      <c r="AC39" s="667">
        <v>-47</v>
      </c>
      <c r="AD39" s="533">
        <v>-49</v>
      </c>
      <c r="AE39" s="532">
        <f t="shared" si="35"/>
        <v>4.3</v>
      </c>
      <c r="AF39" s="667"/>
      <c r="AG39" s="533"/>
      <c r="AH39" s="532"/>
      <c r="AI39" s="667">
        <v>-139.77428708849999</v>
      </c>
      <c r="AJ39" s="533">
        <v>-29.866573164800002</v>
      </c>
      <c r="AK39" s="532">
        <f t="shared" si="36"/>
        <v>-78.599999999999994</v>
      </c>
      <c r="AL39" s="667">
        <v>-205</v>
      </c>
      <c r="AM39" s="533">
        <v>-200</v>
      </c>
      <c r="AN39" s="532">
        <f t="shared" si="37"/>
        <v>-2.4</v>
      </c>
      <c r="AO39" s="532">
        <f t="shared" si="38"/>
        <v>-709.95209421849995</v>
      </c>
      <c r="AP39" s="532">
        <f t="shared" si="38"/>
        <v>-1102.6895688647999</v>
      </c>
      <c r="AQ39" s="532">
        <f t="shared" si="12"/>
        <v>55.3</v>
      </c>
      <c r="AR39" s="532"/>
      <c r="AS39" s="559"/>
      <c r="AT39" s="532"/>
    </row>
    <row r="40" spans="1:46" s="561" customFormat="1" ht="18.75" customHeight="1" x14ac:dyDescent="0.3">
      <c r="A40" s="547" t="s">
        <v>322</v>
      </c>
      <c r="B40" s="666">
        <f>SUM(B37:B39)</f>
        <v>4.8460000000000001</v>
      </c>
      <c r="C40" s="548">
        <f>SUM(C37:C39)</f>
        <v>17.277000000000001</v>
      </c>
      <c r="D40" s="549">
        <f t="shared" si="26"/>
        <v>256.5</v>
      </c>
      <c r="E40" s="548">
        <f>SUM(E37:E39)</f>
        <v>274.83900000000006</v>
      </c>
      <c r="F40" s="548">
        <f>SUM(F37:F39)</f>
        <v>1301.1270000000002</v>
      </c>
      <c r="G40" s="549">
        <f t="shared" si="27"/>
        <v>373.4</v>
      </c>
      <c r="H40" s="548"/>
      <c r="I40" s="548">
        <f>SUM(I37:I39)</f>
        <v>4.8838856200000018</v>
      </c>
      <c r="J40" s="549" t="str">
        <f t="shared" si="28"/>
        <v xml:space="preserve">    ---- </v>
      </c>
      <c r="K40" s="666">
        <f>SUM(K37:K39)</f>
        <v>6.49</v>
      </c>
      <c r="L40" s="548">
        <f>SUM(L37:L39)</f>
        <v>2.3170000000000002</v>
      </c>
      <c r="M40" s="549">
        <f t="shared" si="29"/>
        <v>-64.3</v>
      </c>
      <c r="N40" s="666">
        <f>SUM(N37:N39)</f>
        <v>2</v>
      </c>
      <c r="O40" s="548">
        <f>SUM(O37:O39)</f>
        <v>2.8000000000000007</v>
      </c>
      <c r="P40" s="549">
        <f t="shared" si="30"/>
        <v>40</v>
      </c>
      <c r="Q40" s="666">
        <f>SUM(Q37:Q39)</f>
        <v>1.03291307</v>
      </c>
      <c r="R40" s="548">
        <f>SUM(R37:R39)</f>
        <v>1.21228544</v>
      </c>
      <c r="S40" s="549">
        <f t="shared" si="31"/>
        <v>17.399999999999999</v>
      </c>
      <c r="T40" s="666">
        <f>SUM(T37:T39)</f>
        <v>778.48811390000003</v>
      </c>
      <c r="U40" s="548">
        <v>-43.411513069999955</v>
      </c>
      <c r="V40" s="549">
        <f t="shared" si="32"/>
        <v>-105.6</v>
      </c>
      <c r="W40" s="666">
        <f>SUM(W37:W39)</f>
        <v>10.776000000000002</v>
      </c>
      <c r="X40" s="548">
        <f>SUM(X37:X39)</f>
        <v>10.744999999999999</v>
      </c>
      <c r="Y40" s="549">
        <f t="shared" si="33"/>
        <v>-0.3</v>
      </c>
      <c r="Z40" s="666">
        <f>SUM(Z37:Z39)</f>
        <v>16.5</v>
      </c>
      <c r="AA40" s="548">
        <f>SUM(AA37:AA39)</f>
        <v>140.47000000000003</v>
      </c>
      <c r="AB40" s="549">
        <f t="shared" si="34"/>
        <v>751.3</v>
      </c>
      <c r="AC40" s="666">
        <f>SUM(AC37:AC39)</f>
        <v>320</v>
      </c>
      <c r="AD40" s="548">
        <f>SUM(AD37:AD39)</f>
        <v>35</v>
      </c>
      <c r="AE40" s="549">
        <f t="shared" si="35"/>
        <v>-89.1</v>
      </c>
      <c r="AF40" s="666"/>
      <c r="AG40" s="548"/>
      <c r="AH40" s="549"/>
      <c r="AI40" s="666">
        <f>SUM(AI37:AI39)</f>
        <v>593.1435464814997</v>
      </c>
      <c r="AJ40" s="548">
        <f>SUM(AJ37:AJ39)</f>
        <v>48.413242485199987</v>
      </c>
      <c r="AK40" s="549">
        <f t="shared" si="36"/>
        <v>-91.8</v>
      </c>
      <c r="AL40" s="666">
        <f>SUM(AL37:AL39)</f>
        <v>918</v>
      </c>
      <c r="AM40" s="548">
        <f>SUM(AM37:AM39)</f>
        <v>458</v>
      </c>
      <c r="AN40" s="549">
        <f t="shared" si="37"/>
        <v>-50.1</v>
      </c>
      <c r="AO40" s="549">
        <f t="shared" ref="AO40:AP43" si="39">B40+E40+H40+K40+N40+T40+W40+Z40+AC40+AI40+AL40</f>
        <v>2925.0826603814999</v>
      </c>
      <c r="AP40" s="549">
        <f t="shared" si="39"/>
        <v>1977.6216150352002</v>
      </c>
      <c r="AQ40" s="549">
        <f t="shared" si="12"/>
        <v>-32.4</v>
      </c>
      <c r="AR40" s="549"/>
      <c r="AS40" s="560"/>
      <c r="AT40" s="549"/>
    </row>
    <row r="41" spans="1:46" s="561" customFormat="1" ht="18.75" customHeight="1" x14ac:dyDescent="0.3">
      <c r="A41" s="547" t="s">
        <v>323</v>
      </c>
      <c r="B41" s="666">
        <f>B34+B40</f>
        <v>52.89800000000011</v>
      </c>
      <c r="C41" s="548">
        <f>C34+C40</f>
        <v>66.315000000000381</v>
      </c>
      <c r="D41" s="549">
        <f t="shared" si="26"/>
        <v>25.4</v>
      </c>
      <c r="E41" s="548">
        <f>E34+E40</f>
        <v>491.52400000000006</v>
      </c>
      <c r="F41" s="548">
        <f>F34+F40</f>
        <v>-1280.6979999999992</v>
      </c>
      <c r="G41" s="549">
        <f t="shared" si="27"/>
        <v>-360.6</v>
      </c>
      <c r="H41" s="548"/>
      <c r="I41" s="548">
        <f>I34+I40</f>
        <v>-217.50669180000034</v>
      </c>
      <c r="J41" s="549" t="str">
        <f t="shared" si="28"/>
        <v xml:space="preserve">    ---- </v>
      </c>
      <c r="K41" s="666">
        <f>K34+K40</f>
        <v>72.931999999999917</v>
      </c>
      <c r="L41" s="548">
        <f>L34+L40</f>
        <v>139.04499999999996</v>
      </c>
      <c r="M41" s="549">
        <f t="shared" si="29"/>
        <v>90.7</v>
      </c>
      <c r="N41" s="666">
        <f>N34+N40</f>
        <v>92.759999999999124</v>
      </c>
      <c r="O41" s="548">
        <f>O34+O40</f>
        <v>69.399999999999963</v>
      </c>
      <c r="P41" s="549">
        <f t="shared" si="30"/>
        <v>-25.2</v>
      </c>
      <c r="Q41" s="666">
        <f>Q34+Q40</f>
        <v>6.2219704899999986</v>
      </c>
      <c r="R41" s="548">
        <f>R34+R40</f>
        <v>6.9747631600000002</v>
      </c>
      <c r="S41" s="549">
        <f t="shared" si="31"/>
        <v>12.1</v>
      </c>
      <c r="T41" s="666">
        <f>T34+T40</f>
        <v>1457.0674026399993</v>
      </c>
      <c r="U41" s="548">
        <v>522.86073603999978</v>
      </c>
      <c r="V41" s="549">
        <f t="shared" si="32"/>
        <v>-64.099999999999994</v>
      </c>
      <c r="W41" s="666">
        <f>W34+W40</f>
        <v>-9.9540000000000983</v>
      </c>
      <c r="X41" s="548">
        <f>X34+X40</f>
        <v>-33.461000000000006</v>
      </c>
      <c r="Y41" s="549">
        <f t="shared" si="33"/>
        <v>236.2</v>
      </c>
      <c r="Z41" s="666">
        <f>Z34+Z40</f>
        <v>309.5</v>
      </c>
      <c r="AA41" s="548">
        <f>AA34+AA40</f>
        <v>193.49094730000184</v>
      </c>
      <c r="AB41" s="549">
        <f t="shared" si="34"/>
        <v>-37.5</v>
      </c>
      <c r="AC41" s="666">
        <f>AC34+AC40</f>
        <v>310</v>
      </c>
      <c r="AD41" s="548">
        <f>AD34+AD40</f>
        <v>263</v>
      </c>
      <c r="AE41" s="549">
        <f t="shared" si="35"/>
        <v>-15.2</v>
      </c>
      <c r="AF41" s="666">
        <f>AF34+AF40</f>
        <v>6.8796428399999749</v>
      </c>
      <c r="AG41" s="548">
        <f>AG34+AG40</f>
        <v>7.0339272800000074</v>
      </c>
      <c r="AH41" s="549">
        <f>IF(AF41=0, "    ---- ", IF(ABS(ROUND(100/AF41*AG41-100,1))&lt;999,ROUND(100/AF41*AG41-100,1),IF(ROUND(100/AF41*AG41-100,1)&gt;999,999,-999)))</f>
        <v>2.2000000000000002</v>
      </c>
      <c r="AI41" s="666">
        <f>AI34+AI40</f>
        <v>893.10673862999874</v>
      </c>
      <c r="AJ41" s="548">
        <f>AJ34+AJ40</f>
        <v>-134.67148828000097</v>
      </c>
      <c r="AK41" s="549">
        <f t="shared" si="36"/>
        <v>-115.1</v>
      </c>
      <c r="AL41" s="666">
        <f>AL34+AL40</f>
        <v>1372.1</v>
      </c>
      <c r="AM41" s="548">
        <f>AM34+AM40</f>
        <v>405</v>
      </c>
      <c r="AN41" s="549">
        <f t="shared" si="37"/>
        <v>-70.5</v>
      </c>
      <c r="AO41" s="549">
        <f t="shared" si="39"/>
        <v>5041.9341412699969</v>
      </c>
      <c r="AP41" s="549">
        <f t="shared" si="39"/>
        <v>-7.2254967399985617</v>
      </c>
      <c r="AQ41" s="549">
        <f t="shared" si="12"/>
        <v>-100.1</v>
      </c>
      <c r="AR41" s="549"/>
      <c r="AS41" s="560"/>
      <c r="AT41" s="549"/>
    </row>
    <row r="42" spans="1:46" s="558" customFormat="1" ht="18.75" customHeight="1" x14ac:dyDescent="0.3">
      <c r="A42" s="530" t="s">
        <v>324</v>
      </c>
      <c r="B42" s="667">
        <v>-13.224</v>
      </c>
      <c r="C42" s="533">
        <v>-16.579000000000001</v>
      </c>
      <c r="D42" s="532">
        <f t="shared" si="26"/>
        <v>25.4</v>
      </c>
      <c r="E42" s="533">
        <v>-111.65300000000001</v>
      </c>
      <c r="F42" s="533">
        <v>643.95600000000002</v>
      </c>
      <c r="G42" s="532">
        <f t="shared" si="27"/>
        <v>-676.7</v>
      </c>
      <c r="H42" s="533"/>
      <c r="I42" s="533">
        <v>54.376672999999997</v>
      </c>
      <c r="J42" s="532" t="str">
        <f t="shared" si="28"/>
        <v xml:space="preserve">    ---- </v>
      </c>
      <c r="K42" s="667">
        <v>-14.914999999999999</v>
      </c>
      <c r="L42" s="533">
        <v>-35.014000000000003</v>
      </c>
      <c r="M42" s="532">
        <f t="shared" si="29"/>
        <v>134.80000000000001</v>
      </c>
      <c r="N42" s="667">
        <v>-23.2</v>
      </c>
      <c r="O42" s="533">
        <v>-17.3</v>
      </c>
      <c r="P42" s="532">
        <f t="shared" si="30"/>
        <v>-25.4</v>
      </c>
      <c r="Q42" s="667">
        <v>-1.616574</v>
      </c>
      <c r="R42" s="533">
        <v>-1.7494719999999999</v>
      </c>
      <c r="S42" s="532">
        <f t="shared" si="31"/>
        <v>8.1999999999999993</v>
      </c>
      <c r="T42" s="667">
        <v>-367.26848247499998</v>
      </c>
      <c r="U42" s="533">
        <v>-125.222287475</v>
      </c>
      <c r="V42" s="532"/>
      <c r="W42" s="667"/>
      <c r="X42" s="533"/>
      <c r="Y42" s="532"/>
      <c r="Z42" s="667">
        <v>-196</v>
      </c>
      <c r="AA42" s="533">
        <v>-48.37</v>
      </c>
      <c r="AB42" s="532">
        <f t="shared" si="34"/>
        <v>-75.3</v>
      </c>
      <c r="AC42" s="667">
        <v>-23</v>
      </c>
      <c r="AD42" s="533">
        <v>-55</v>
      </c>
      <c r="AE42" s="532">
        <f t="shared" si="35"/>
        <v>139.1</v>
      </c>
      <c r="AF42" s="667">
        <v>-1.5530930000000001</v>
      </c>
      <c r="AG42" s="533">
        <v>-1.653446</v>
      </c>
      <c r="AH42" s="532">
        <f>IF(AF42=0, "    ---- ", IF(ABS(ROUND(100/AF42*AG42-100,1))&lt;999,ROUND(100/AF42*AG42-100,1),IF(ROUND(100/AF42*AG42-100,1)&gt;999,999,-999)))</f>
        <v>6.5</v>
      </c>
      <c r="AI42" s="667">
        <v>-72.213125000000005</v>
      </c>
      <c r="AJ42" s="533">
        <v>17.619592999999998</v>
      </c>
      <c r="AK42" s="532">
        <f t="shared" si="36"/>
        <v>-124.4</v>
      </c>
      <c r="AL42" s="667">
        <v>-55</v>
      </c>
      <c r="AM42" s="533">
        <v>596.5</v>
      </c>
      <c r="AN42" s="532">
        <f t="shared" si="37"/>
        <v>-999</v>
      </c>
      <c r="AO42" s="532">
        <f t="shared" si="39"/>
        <v>-876.47360747499999</v>
      </c>
      <c r="AP42" s="532">
        <f t="shared" si="39"/>
        <v>1014.9669785250001</v>
      </c>
      <c r="AQ42" s="532">
        <f t="shared" si="12"/>
        <v>-215.8</v>
      </c>
      <c r="AR42" s="532"/>
      <c r="AS42" s="559"/>
      <c r="AT42" s="532"/>
    </row>
    <row r="43" spans="1:46" s="561" customFormat="1" ht="18.75" customHeight="1" x14ac:dyDescent="0.3">
      <c r="A43" s="547" t="s">
        <v>325</v>
      </c>
      <c r="B43" s="666">
        <f>B41+B42</f>
        <v>39.674000000000106</v>
      </c>
      <c r="C43" s="548">
        <f>C41+C42</f>
        <v>49.736000000000381</v>
      </c>
      <c r="D43" s="549">
        <f t="shared" si="26"/>
        <v>25.4</v>
      </c>
      <c r="E43" s="548">
        <f>E41+E42</f>
        <v>379.87100000000004</v>
      </c>
      <c r="F43" s="548">
        <f>F41+F42</f>
        <v>-636.74199999999917</v>
      </c>
      <c r="G43" s="549">
        <f t="shared" si="27"/>
        <v>-267.60000000000002</v>
      </c>
      <c r="H43" s="548"/>
      <c r="I43" s="548">
        <f>I41+I42</f>
        <v>-163.13001880000036</v>
      </c>
      <c r="J43" s="549" t="str">
        <f t="shared" si="28"/>
        <v xml:space="preserve">    ---- </v>
      </c>
      <c r="K43" s="666">
        <f>K41+K42</f>
        <v>58.016999999999918</v>
      </c>
      <c r="L43" s="548">
        <f>L41+L42</f>
        <v>104.03099999999995</v>
      </c>
      <c r="M43" s="549">
        <f t="shared" si="29"/>
        <v>79.3</v>
      </c>
      <c r="N43" s="666">
        <f>N41+N42</f>
        <v>69.559999999999121</v>
      </c>
      <c r="O43" s="548">
        <f>O41+O42</f>
        <v>52.099999999999966</v>
      </c>
      <c r="P43" s="549">
        <f t="shared" si="30"/>
        <v>-25.1</v>
      </c>
      <c r="Q43" s="666">
        <f>Q41+Q42</f>
        <v>4.6053964899999986</v>
      </c>
      <c r="R43" s="548">
        <f>R41+R42</f>
        <v>5.2252911600000003</v>
      </c>
      <c r="S43" s="549">
        <f t="shared" si="31"/>
        <v>13.5</v>
      </c>
      <c r="T43" s="666">
        <f>T41+T42</f>
        <v>1089.7989201649993</v>
      </c>
      <c r="U43" s="548">
        <v>397.63844856499975</v>
      </c>
      <c r="V43" s="549">
        <f t="shared" si="32"/>
        <v>-63.5</v>
      </c>
      <c r="W43" s="666">
        <f>W41+W42</f>
        <v>-9.9540000000000983</v>
      </c>
      <c r="X43" s="548">
        <f>X41+X42</f>
        <v>-33.461000000000006</v>
      </c>
      <c r="Y43" s="549">
        <f t="shared" si="33"/>
        <v>236.2</v>
      </c>
      <c r="Z43" s="666">
        <f>Z41+Z42</f>
        <v>113.5</v>
      </c>
      <c r="AA43" s="548">
        <f>AA41+AA42</f>
        <v>145.12094730000183</v>
      </c>
      <c r="AB43" s="549">
        <f t="shared" si="34"/>
        <v>27.9</v>
      </c>
      <c r="AC43" s="666">
        <f>AC41+AC42</f>
        <v>287</v>
      </c>
      <c r="AD43" s="548">
        <f>AD41+AD42</f>
        <v>208</v>
      </c>
      <c r="AE43" s="549">
        <f t="shared" si="35"/>
        <v>-27.5</v>
      </c>
      <c r="AF43" s="666">
        <f>AF41+AF42</f>
        <v>5.3265498399999753</v>
      </c>
      <c r="AG43" s="548">
        <f>AG41+AG42</f>
        <v>5.3804812800000077</v>
      </c>
      <c r="AH43" s="549">
        <f>IF(AF43=0, "    ---- ", IF(ABS(ROUND(100/AF43*AG43-100,1))&lt;999,ROUND(100/AF43*AG43-100,1),IF(ROUND(100/AF43*AG43-100,1)&gt;999,999,-999)))</f>
        <v>1</v>
      </c>
      <c r="AI43" s="666">
        <f>AI41+AI42</f>
        <v>820.89361362999875</v>
      </c>
      <c r="AJ43" s="548">
        <f>AJ41+AJ42</f>
        <v>-117.05189528000098</v>
      </c>
      <c r="AK43" s="549">
        <f t="shared" si="36"/>
        <v>-114.3</v>
      </c>
      <c r="AL43" s="666">
        <f>AL41+AL42</f>
        <v>1317.1</v>
      </c>
      <c r="AM43" s="548">
        <f>AM41+AM42</f>
        <v>1001.5</v>
      </c>
      <c r="AN43" s="549">
        <f t="shared" si="37"/>
        <v>-24</v>
      </c>
      <c r="AO43" s="549">
        <f t="shared" si="39"/>
        <v>4165.460533794997</v>
      </c>
      <c r="AP43" s="549">
        <f t="shared" si="39"/>
        <v>1007.7414817850013</v>
      </c>
      <c r="AQ43" s="549">
        <f t="shared" si="12"/>
        <v>-75.8</v>
      </c>
      <c r="AR43" s="549"/>
      <c r="AS43" s="560"/>
      <c r="AT43" s="549"/>
    </row>
    <row r="44" spans="1:46" s="558" customFormat="1" ht="18.75" customHeight="1" x14ac:dyDescent="0.3">
      <c r="A44" s="530" t="s">
        <v>326</v>
      </c>
      <c r="B44" s="667"/>
      <c r="C44" s="533"/>
      <c r="D44" s="532"/>
      <c r="E44" s="533"/>
      <c r="F44" s="533">
        <v>-7.7249999999999996</v>
      </c>
      <c r="G44" s="532" t="str">
        <f t="shared" si="27"/>
        <v xml:space="preserve">    ---- </v>
      </c>
      <c r="H44" s="533"/>
      <c r="I44" s="533"/>
      <c r="J44" s="532"/>
      <c r="K44" s="667"/>
      <c r="L44" s="533"/>
      <c r="M44" s="532"/>
      <c r="N44" s="667"/>
      <c r="O44" s="533"/>
      <c r="P44" s="532"/>
      <c r="Q44" s="667"/>
      <c r="R44" s="533"/>
      <c r="S44" s="532"/>
      <c r="T44" s="667">
        <v>-44.931177425000001</v>
      </c>
      <c r="U44" s="533">
        <v>-285.55306171500001</v>
      </c>
      <c r="V44" s="532">
        <f t="shared" si="32"/>
        <v>535.5</v>
      </c>
      <c r="W44" s="667">
        <v>-0.69799999999999995</v>
      </c>
      <c r="X44" s="533">
        <v>-5.2160000000000002</v>
      </c>
      <c r="Y44" s="532">
        <f t="shared" si="33"/>
        <v>647.29999999999995</v>
      </c>
      <c r="Z44" s="667">
        <v>-11.5</v>
      </c>
      <c r="AA44" s="533">
        <v>-19.260000000000002</v>
      </c>
      <c r="AB44" s="532">
        <f t="shared" si="34"/>
        <v>67.5</v>
      </c>
      <c r="AC44" s="667"/>
      <c r="AD44" s="533"/>
      <c r="AE44" s="532"/>
      <c r="AF44" s="667"/>
      <c r="AG44" s="533"/>
      <c r="AH44" s="532"/>
      <c r="AI44" s="667"/>
      <c r="AJ44" s="533"/>
      <c r="AK44" s="532"/>
      <c r="AL44" s="667">
        <v>-21</v>
      </c>
      <c r="AM44" s="533">
        <v>14</v>
      </c>
      <c r="AN44" s="532">
        <f t="shared" si="37"/>
        <v>-166.7</v>
      </c>
      <c r="AO44" s="532">
        <f t="shared" ref="AO44:AP44" si="40">B44+E44+H44+K44+N44+T44+W44+Z44+AC44+AI44+AL44</f>
        <v>-78.129177424999995</v>
      </c>
      <c r="AP44" s="532">
        <f t="shared" si="40"/>
        <v>-303.75406171500003</v>
      </c>
      <c r="AQ44" s="532">
        <f t="shared" si="12"/>
        <v>288.8</v>
      </c>
      <c r="AR44" s="532"/>
      <c r="AS44" s="559"/>
      <c r="AT44" s="532"/>
    </row>
    <row r="45" spans="1:46" s="561" customFormat="1" ht="18.75" customHeight="1" x14ac:dyDescent="0.3">
      <c r="A45" s="544" t="s">
        <v>327</v>
      </c>
      <c r="B45" s="668">
        <f>B43+B44</f>
        <v>39.674000000000106</v>
      </c>
      <c r="C45" s="562">
        <f>C43+C44</f>
        <v>49.736000000000381</v>
      </c>
      <c r="D45" s="545">
        <f>IF(B45=0, "    ---- ", IF(ABS(ROUND(100/B45*C45-100,1))&lt;999,ROUND(100/B45*C45-100,1),IF(ROUND(100/B45*C45-100,1)&gt;999,999,-999)))</f>
        <v>25.4</v>
      </c>
      <c r="E45" s="562">
        <f>E43+E44</f>
        <v>379.87100000000004</v>
      </c>
      <c r="F45" s="562">
        <f>F43+F44</f>
        <v>-644.46699999999919</v>
      </c>
      <c r="G45" s="545">
        <f>IF(E45=0, "    ---- ", IF(ABS(ROUND(100/E45*F45-100,1))&lt;999,ROUND(100/E45*F45-100,1),IF(ROUND(100/E45*F45-100,1)&gt;999,999,-999)))</f>
        <v>-269.7</v>
      </c>
      <c r="H45" s="562"/>
      <c r="I45" s="562">
        <f>I43+I44</f>
        <v>-163.13001880000036</v>
      </c>
      <c r="J45" s="545" t="str">
        <f>IF(H45=0, "    ---- ", IF(ABS(ROUND(100/H45*I45-100,1))&lt;999,ROUND(100/H45*I45-100,1),IF(ROUND(100/H45*I45-100,1)&gt;999,999,-999)))</f>
        <v xml:space="preserve">    ---- </v>
      </c>
      <c r="K45" s="668">
        <f>K43+K44</f>
        <v>58.016999999999918</v>
      </c>
      <c r="L45" s="562">
        <f>L43+L44</f>
        <v>104.03099999999995</v>
      </c>
      <c r="M45" s="545">
        <f>IF(K45=0, "    ---- ", IF(ABS(ROUND(100/K45*L45-100,1))&lt;999,ROUND(100/K45*L45-100,1),IF(ROUND(100/K45*L45-100,1)&gt;999,999,-999)))</f>
        <v>79.3</v>
      </c>
      <c r="N45" s="668">
        <f>N43+N44</f>
        <v>69.559999999999121</v>
      </c>
      <c r="O45" s="562">
        <f>O43+O44</f>
        <v>52.099999999999966</v>
      </c>
      <c r="P45" s="545">
        <f>IF(N45=0, "    ---- ", IF(ABS(ROUND(100/N45*O45-100,1))&lt;999,ROUND(100/N45*O45-100,1),IF(ROUND(100/N45*O45-100,1)&gt;999,999,-999)))</f>
        <v>-25.1</v>
      </c>
      <c r="Q45" s="668">
        <f>Q43+Q44</f>
        <v>4.6053964899999986</v>
      </c>
      <c r="R45" s="562">
        <f>R43+R44</f>
        <v>5.2252911600000003</v>
      </c>
      <c r="S45" s="545">
        <f>IF(Q45=0, "    ---- ", IF(ABS(ROUND(100/Q45*R45-100,1))&lt;999,ROUND(100/Q45*R45-100,1),IF(ROUND(100/Q45*R45-100,1)&gt;999,999,-999)))</f>
        <v>13.5</v>
      </c>
      <c r="T45" s="668">
        <f>T43+T44</f>
        <v>1044.8677427399994</v>
      </c>
      <c r="U45" s="562">
        <v>112.08538684999974</v>
      </c>
      <c r="V45" s="545">
        <f>IF(T45=0, "    ---- ", IF(ABS(ROUND(100/T45*U45-100,1))&lt;999,ROUND(100/T45*U45-100,1),IF(ROUND(100/T45*U45-100,1)&gt;999,999,-999)))</f>
        <v>-89.3</v>
      </c>
      <c r="W45" s="668">
        <f>W43+W44</f>
        <v>-10.652000000000099</v>
      </c>
      <c r="X45" s="562">
        <f>X43+X44</f>
        <v>-38.677000000000007</v>
      </c>
      <c r="Y45" s="545">
        <f>IF(W45=0, "    ---- ", IF(ABS(ROUND(100/W45*X45-100,1))&lt;999,ROUND(100/W45*X45-100,1),IF(ROUND(100/W45*X45-100,1)&gt;999,999,-999)))</f>
        <v>263.10000000000002</v>
      </c>
      <c r="Z45" s="668">
        <f>Z43+Z44</f>
        <v>102</v>
      </c>
      <c r="AA45" s="562">
        <f>AA43+AA44</f>
        <v>125.86094730000183</v>
      </c>
      <c r="AB45" s="545">
        <f>IF(Z45=0, "    ---- ", IF(ABS(ROUND(100/Z45*AA45-100,1))&lt;999,ROUND(100/Z45*AA45-100,1),IF(ROUND(100/Z45*AA45-100,1)&gt;999,999,-999)))</f>
        <v>23.4</v>
      </c>
      <c r="AC45" s="668">
        <f>AC43+AC44</f>
        <v>287</v>
      </c>
      <c r="AD45" s="562">
        <f>AD43+AD44</f>
        <v>208</v>
      </c>
      <c r="AE45" s="545">
        <f>IF(AC45=0, "    ---- ", IF(ABS(ROUND(100/AC45*AD45-100,1))&lt;999,ROUND(100/AC45*AD45-100,1),IF(ROUND(100/AC45*AD45-100,1)&gt;999,999,-999)))</f>
        <v>-27.5</v>
      </c>
      <c r="AF45" s="668">
        <f>AF43+AF44</f>
        <v>5.3265498399999753</v>
      </c>
      <c r="AG45" s="562">
        <f>AG43+AG44</f>
        <v>5.3804812800000077</v>
      </c>
      <c r="AH45" s="545">
        <f>IF(AF45=0, "    ---- ", IF(ABS(ROUND(100/AF45*AG45-100,1))&lt;999,ROUND(100/AF45*AG45-100,1),IF(ROUND(100/AF45*AG45-100,1)&gt;999,999,-999)))</f>
        <v>1</v>
      </c>
      <c r="AI45" s="668">
        <f>AI43+AI44</f>
        <v>820.89361362999875</v>
      </c>
      <c r="AJ45" s="562">
        <f>AJ43+AJ44</f>
        <v>-117.05189528000098</v>
      </c>
      <c r="AK45" s="545">
        <f>IF(AI45=0, "    ---- ", IF(ABS(ROUND(100/AI45*AJ45-100,1))&lt;999,ROUND(100/AI45*AJ45-100,1),IF(ROUND(100/AI45*AJ45-100,1)&gt;999,999,-999)))</f>
        <v>-114.3</v>
      </c>
      <c r="AL45" s="668">
        <f>AL43+AL44</f>
        <v>1296.0999999999999</v>
      </c>
      <c r="AM45" s="562">
        <f>AM43+AM44</f>
        <v>1015.5</v>
      </c>
      <c r="AN45" s="545">
        <f>IF(AL45=0, "    ---- ", IF(ABS(ROUND(100/AL45*AM45-100,1))&lt;999,ROUND(100/AL45*AM45-100,1),IF(ROUND(100/AL45*AM45-100,1)&gt;999,999,-999)))</f>
        <v>-21.6</v>
      </c>
      <c r="AO45" s="545">
        <f>B45+E45+H45+K45+N45+T45+W45+Z45+AC45+AI45+AL45</f>
        <v>4087.3313563699971</v>
      </c>
      <c r="AP45" s="545">
        <f>C45+F45+I45+L45+O45+U45+X45+AA45+AD45+AJ45+AM45</f>
        <v>703.98742007000135</v>
      </c>
      <c r="AQ45" s="545">
        <f t="shared" si="12"/>
        <v>-82.8</v>
      </c>
      <c r="AR45" s="563"/>
      <c r="AS45" s="564"/>
      <c r="AT45" s="565"/>
    </row>
    <row r="46" spans="1:46" s="561" customFormat="1" ht="18.75" customHeight="1" x14ac:dyDescent="0.3">
      <c r="A46" s="566"/>
      <c r="B46" s="669"/>
      <c r="C46" s="567"/>
      <c r="D46" s="568"/>
      <c r="E46" s="669"/>
      <c r="F46" s="567"/>
      <c r="G46" s="550"/>
      <c r="H46" s="567"/>
      <c r="I46" s="567"/>
      <c r="J46" s="550"/>
      <c r="K46" s="669"/>
      <c r="L46" s="567"/>
      <c r="M46" s="550"/>
      <c r="N46" s="669"/>
      <c r="O46" s="567"/>
      <c r="P46" s="568"/>
      <c r="Q46" s="669"/>
      <c r="R46" s="567"/>
      <c r="S46" s="550"/>
      <c r="T46" s="669"/>
      <c r="U46" s="567"/>
      <c r="V46" s="550"/>
      <c r="W46" s="669"/>
      <c r="X46" s="567"/>
      <c r="Y46" s="550"/>
      <c r="Z46" s="669"/>
      <c r="AA46" s="567"/>
      <c r="AB46" s="550"/>
      <c r="AC46" s="669"/>
      <c r="AD46" s="567"/>
      <c r="AE46" s="550"/>
      <c r="AF46" s="669"/>
      <c r="AG46" s="567"/>
      <c r="AH46" s="550"/>
      <c r="AI46" s="669"/>
      <c r="AJ46" s="567"/>
      <c r="AK46" s="550"/>
      <c r="AL46" s="669"/>
      <c r="AM46" s="567"/>
      <c r="AN46" s="550"/>
      <c r="AO46" s="568"/>
      <c r="AP46" s="568"/>
      <c r="AQ46" s="550"/>
      <c r="AR46" s="569"/>
      <c r="AS46" s="569"/>
      <c r="AT46" s="570"/>
    </row>
    <row r="47" spans="1:46" s="571" customFormat="1" ht="18.75" customHeight="1" x14ac:dyDescent="0.3">
      <c r="A47" s="592" t="s">
        <v>328</v>
      </c>
      <c r="B47" s="605"/>
      <c r="C47" s="605"/>
      <c r="D47" s="592"/>
      <c r="E47" s="605"/>
      <c r="F47" s="605"/>
      <c r="G47" s="592"/>
      <c r="H47" s="605"/>
      <c r="I47" s="605"/>
      <c r="J47" s="592"/>
      <c r="K47" s="605"/>
      <c r="L47" s="605"/>
      <c r="M47" s="592"/>
      <c r="N47" s="605"/>
      <c r="O47" s="605"/>
      <c r="P47" s="592"/>
      <c r="Q47" s="605"/>
      <c r="R47" s="605"/>
      <c r="S47" s="592"/>
      <c r="T47" s="605"/>
      <c r="U47" s="605"/>
      <c r="V47" s="592"/>
      <c r="W47" s="605"/>
      <c r="X47" s="605"/>
      <c r="Y47" s="592"/>
      <c r="Z47" s="605"/>
      <c r="AA47" s="605"/>
      <c r="AB47" s="592"/>
      <c r="AC47" s="605"/>
      <c r="AD47" s="605"/>
      <c r="AE47" s="592"/>
      <c r="AF47" s="605"/>
      <c r="AG47" s="605"/>
      <c r="AH47" s="592"/>
      <c r="AI47" s="592"/>
      <c r="AJ47" s="605"/>
      <c r="AK47" s="592"/>
      <c r="AL47" s="605"/>
      <c r="AM47" s="605"/>
      <c r="AN47" s="592"/>
      <c r="AO47" s="592"/>
      <c r="AP47" s="592"/>
      <c r="AQ47" s="592"/>
      <c r="AR47" s="592"/>
      <c r="AS47" s="592"/>
      <c r="AT47" s="592"/>
    </row>
    <row r="48" spans="1:46" s="572" customFormat="1" ht="18.75" customHeight="1" x14ac:dyDescent="0.3">
      <c r="A48" s="592" t="s">
        <v>329</v>
      </c>
      <c r="B48" s="605"/>
      <c r="C48" s="605"/>
      <c r="D48" s="592"/>
      <c r="E48" s="605"/>
      <c r="F48" s="605"/>
      <c r="G48" s="592"/>
      <c r="H48" s="605"/>
      <c r="I48" s="605"/>
      <c r="J48" s="592"/>
      <c r="K48" s="605"/>
      <c r="L48" s="605"/>
      <c r="M48" s="592"/>
      <c r="N48" s="605"/>
      <c r="O48" s="605"/>
      <c r="P48" s="592"/>
      <c r="Q48" s="605"/>
      <c r="R48" s="605"/>
      <c r="S48" s="592"/>
      <c r="T48" s="605"/>
      <c r="U48" s="605"/>
      <c r="V48" s="592"/>
      <c r="W48" s="605"/>
      <c r="X48" s="605"/>
      <c r="Y48" s="592"/>
      <c r="Z48" s="605"/>
      <c r="AA48" s="605"/>
      <c r="AB48" s="592"/>
      <c r="AC48" s="605"/>
      <c r="AD48" s="605"/>
      <c r="AE48" s="592"/>
      <c r="AF48" s="605"/>
      <c r="AG48" s="605"/>
      <c r="AH48" s="592"/>
      <c r="AI48" s="592"/>
      <c r="AJ48" s="605"/>
      <c r="AK48" s="592"/>
      <c r="AL48" s="605"/>
      <c r="AM48" s="605"/>
      <c r="AN48" s="592"/>
      <c r="AO48" s="592"/>
      <c r="AP48" s="592"/>
      <c r="AQ48" s="592"/>
      <c r="AR48" s="592"/>
      <c r="AS48" s="592"/>
      <c r="AT48" s="592"/>
    </row>
    <row r="49" spans="1:46" s="572" customFormat="1" ht="18.75" customHeight="1" x14ac:dyDescent="0.3">
      <c r="A49" s="592" t="s">
        <v>330</v>
      </c>
      <c r="B49" s="605"/>
      <c r="C49" s="605"/>
      <c r="D49" s="592"/>
      <c r="E49" s="605"/>
      <c r="F49" s="605"/>
      <c r="G49" s="592"/>
      <c r="H49" s="605"/>
      <c r="I49" s="605"/>
      <c r="J49" s="592"/>
      <c r="K49" s="605"/>
      <c r="L49" s="605"/>
      <c r="M49" s="592"/>
      <c r="N49" s="605"/>
      <c r="O49" s="605"/>
      <c r="P49" s="592"/>
      <c r="Q49" s="605"/>
      <c r="R49" s="605"/>
      <c r="S49" s="592"/>
      <c r="T49" s="605"/>
      <c r="U49" s="605"/>
      <c r="V49" s="592"/>
      <c r="W49" s="605"/>
      <c r="X49" s="605"/>
      <c r="Y49" s="592"/>
      <c r="Z49" s="605"/>
      <c r="AA49" s="605"/>
      <c r="AB49" s="592"/>
      <c r="AC49" s="605"/>
      <c r="AD49" s="605"/>
      <c r="AE49" s="592"/>
      <c r="AF49" s="605"/>
      <c r="AG49" s="605"/>
      <c r="AH49" s="592"/>
      <c r="AI49" s="592"/>
      <c r="AJ49" s="605"/>
      <c r="AK49" s="592"/>
      <c r="AL49" s="605"/>
      <c r="AM49" s="605"/>
      <c r="AN49" s="592"/>
      <c r="AO49" s="592"/>
      <c r="AP49" s="592"/>
      <c r="AQ49" s="592"/>
      <c r="AR49" s="592"/>
      <c r="AS49" s="592"/>
      <c r="AT49" s="592"/>
    </row>
    <row r="50" spans="1:46" s="572" customFormat="1" ht="18.75" customHeight="1" x14ac:dyDescent="0.3">
      <c r="A50" s="592" t="s">
        <v>331</v>
      </c>
      <c r="B50" s="605"/>
      <c r="C50" s="605"/>
      <c r="D50" s="592"/>
      <c r="E50" s="605"/>
      <c r="F50" s="605"/>
      <c r="G50" s="592"/>
      <c r="H50" s="605"/>
      <c r="I50" s="605"/>
      <c r="J50" s="592"/>
      <c r="K50" s="605"/>
      <c r="L50" s="605"/>
      <c r="M50" s="592"/>
      <c r="N50" s="605"/>
      <c r="O50" s="605"/>
      <c r="P50" s="592"/>
      <c r="Q50" s="605"/>
      <c r="R50" s="605"/>
      <c r="S50" s="592"/>
      <c r="T50" s="605"/>
      <c r="U50" s="605"/>
      <c r="V50" s="592"/>
      <c r="W50" s="605"/>
      <c r="X50" s="605"/>
      <c r="Y50" s="592"/>
      <c r="Z50" s="605"/>
      <c r="AA50" s="605"/>
      <c r="AB50" s="592"/>
      <c r="AC50" s="605"/>
      <c r="AD50" s="605"/>
      <c r="AE50" s="592"/>
      <c r="AF50" s="605"/>
      <c r="AG50" s="605"/>
      <c r="AH50" s="592"/>
      <c r="AI50" s="592"/>
      <c r="AJ50" s="605"/>
      <c r="AK50" s="592"/>
      <c r="AL50" s="605"/>
      <c r="AM50" s="605"/>
      <c r="AN50" s="592"/>
      <c r="AO50" s="592"/>
      <c r="AP50" s="592"/>
      <c r="AQ50" s="592"/>
      <c r="AR50" s="592"/>
      <c r="AS50" s="592"/>
      <c r="AT50" s="592"/>
    </row>
    <row r="51" spans="1:46" s="572" customFormat="1" ht="18.75" customHeight="1" x14ac:dyDescent="0.3">
      <c r="A51" s="592" t="s">
        <v>332</v>
      </c>
      <c r="B51" s="605"/>
      <c r="C51" s="605"/>
      <c r="D51" s="592"/>
      <c r="E51" s="605"/>
      <c r="F51" s="605"/>
      <c r="G51" s="592"/>
      <c r="H51" s="605"/>
      <c r="I51" s="605"/>
      <c r="J51" s="592"/>
      <c r="K51" s="605"/>
      <c r="L51" s="605"/>
      <c r="M51" s="592"/>
      <c r="N51" s="605"/>
      <c r="O51" s="605"/>
      <c r="P51" s="592"/>
      <c r="Q51" s="605"/>
      <c r="R51" s="605"/>
      <c r="S51" s="592"/>
      <c r="T51" s="605"/>
      <c r="U51" s="605"/>
      <c r="V51" s="592"/>
      <c r="W51" s="605"/>
      <c r="X51" s="605"/>
      <c r="Y51" s="592"/>
      <c r="Z51" s="605"/>
      <c r="AA51" s="605"/>
      <c r="AB51" s="592"/>
      <c r="AC51" s="605"/>
      <c r="AD51" s="605"/>
      <c r="AE51" s="592"/>
      <c r="AF51" s="605"/>
      <c r="AG51" s="605"/>
      <c r="AH51" s="592"/>
      <c r="AI51" s="592"/>
      <c r="AJ51" s="605"/>
      <c r="AK51" s="592"/>
      <c r="AL51" s="605"/>
      <c r="AM51" s="605"/>
      <c r="AN51" s="592"/>
      <c r="AO51" s="592"/>
      <c r="AP51" s="592"/>
      <c r="AQ51" s="592"/>
      <c r="AR51" s="592"/>
      <c r="AS51" s="592"/>
      <c r="AT51" s="592"/>
    </row>
    <row r="52" spans="1:46" s="572" customFormat="1" ht="18.75" customHeight="1" x14ac:dyDescent="0.3">
      <c r="A52" s="592" t="s">
        <v>333</v>
      </c>
      <c r="B52" s="605"/>
      <c r="C52" s="605"/>
      <c r="D52" s="592"/>
      <c r="E52" s="605"/>
      <c r="F52" s="605"/>
      <c r="G52" s="592"/>
      <c r="H52" s="605"/>
      <c r="I52" s="605"/>
      <c r="J52" s="592"/>
      <c r="K52" s="605"/>
      <c r="L52" s="605"/>
      <c r="M52" s="592"/>
      <c r="N52" s="605"/>
      <c r="O52" s="605"/>
      <c r="P52" s="592"/>
      <c r="Q52" s="605"/>
      <c r="R52" s="605"/>
      <c r="S52" s="592"/>
      <c r="T52" s="605"/>
      <c r="U52" s="605"/>
      <c r="V52" s="592"/>
      <c r="W52" s="605"/>
      <c r="X52" s="605"/>
      <c r="Y52" s="592"/>
      <c r="Z52" s="605"/>
      <c r="AA52" s="605"/>
      <c r="AB52" s="592"/>
      <c r="AC52" s="605"/>
      <c r="AD52" s="605"/>
      <c r="AE52" s="592"/>
      <c r="AF52" s="605"/>
      <c r="AG52" s="605"/>
      <c r="AH52" s="592"/>
      <c r="AI52" s="592"/>
      <c r="AJ52" s="605"/>
      <c r="AK52" s="592"/>
      <c r="AL52" s="605"/>
      <c r="AM52" s="605"/>
      <c r="AN52" s="592"/>
      <c r="AO52" s="592"/>
      <c r="AP52" s="592"/>
      <c r="AQ52" s="592"/>
      <c r="AR52" s="592"/>
      <c r="AS52" s="592"/>
      <c r="AT52" s="592"/>
    </row>
    <row r="53" spans="1:46" s="572" customFormat="1" ht="18.75" customHeight="1" x14ac:dyDescent="0.3">
      <c r="A53" s="592" t="s">
        <v>334</v>
      </c>
      <c r="B53" s="605"/>
      <c r="C53" s="605"/>
      <c r="D53" s="592"/>
      <c r="E53" s="605"/>
      <c r="F53" s="605"/>
      <c r="G53" s="592"/>
      <c r="H53" s="605"/>
      <c r="I53" s="605"/>
      <c r="J53" s="592"/>
      <c r="K53" s="605"/>
      <c r="L53" s="605"/>
      <c r="M53" s="592"/>
      <c r="N53" s="605"/>
      <c r="O53" s="605"/>
      <c r="P53" s="592"/>
      <c r="Q53" s="605"/>
      <c r="R53" s="605"/>
      <c r="S53" s="592"/>
      <c r="T53" s="605"/>
      <c r="U53" s="605"/>
      <c r="V53" s="592"/>
      <c r="W53" s="605"/>
      <c r="X53" s="605"/>
      <c r="Y53" s="592"/>
      <c r="Z53" s="605"/>
      <c r="AA53" s="605"/>
      <c r="AB53" s="592"/>
      <c r="AC53" s="605"/>
      <c r="AD53" s="605"/>
      <c r="AE53" s="592"/>
      <c r="AF53" s="605"/>
      <c r="AG53" s="605"/>
      <c r="AH53" s="592"/>
      <c r="AI53" s="592"/>
      <c r="AJ53" s="605"/>
      <c r="AK53" s="592"/>
      <c r="AL53" s="605"/>
      <c r="AM53" s="605"/>
      <c r="AN53" s="592"/>
      <c r="AO53" s="592"/>
      <c r="AP53" s="592"/>
      <c r="AQ53" s="592"/>
      <c r="AR53" s="592"/>
      <c r="AS53" s="592"/>
      <c r="AT53" s="592"/>
    </row>
    <row r="54" spans="1:46" s="572" customFormat="1" ht="18.75" customHeight="1" x14ac:dyDescent="0.3">
      <c r="A54" s="592" t="s">
        <v>335</v>
      </c>
      <c r="B54" s="605"/>
      <c r="C54" s="605"/>
      <c r="D54" s="592"/>
      <c r="E54" s="605"/>
      <c r="F54" s="605"/>
      <c r="G54" s="592"/>
      <c r="H54" s="605"/>
      <c r="I54" s="605"/>
      <c r="J54" s="592"/>
      <c r="K54" s="605"/>
      <c r="L54" s="605"/>
      <c r="M54" s="592"/>
      <c r="N54" s="605"/>
      <c r="O54" s="605"/>
      <c r="P54" s="592"/>
      <c r="Q54" s="605"/>
      <c r="R54" s="605"/>
      <c r="S54" s="592"/>
      <c r="T54" s="605"/>
      <c r="U54" s="605"/>
      <c r="V54" s="592"/>
      <c r="W54" s="605"/>
      <c r="X54" s="605"/>
      <c r="Y54" s="592"/>
      <c r="Z54" s="605"/>
      <c r="AA54" s="605"/>
      <c r="AB54" s="592"/>
      <c r="AC54" s="605"/>
      <c r="AD54" s="605"/>
      <c r="AE54" s="592"/>
      <c r="AF54" s="605"/>
      <c r="AG54" s="605"/>
      <c r="AH54" s="592"/>
      <c r="AI54" s="592"/>
      <c r="AJ54" s="605"/>
      <c r="AK54" s="592"/>
      <c r="AL54" s="605"/>
      <c r="AM54" s="605"/>
      <c r="AN54" s="592"/>
      <c r="AO54" s="592"/>
      <c r="AP54" s="592"/>
      <c r="AQ54" s="592"/>
      <c r="AR54" s="592"/>
      <c r="AS54" s="592"/>
      <c r="AT54" s="592"/>
    </row>
    <row r="55" spans="1:46" s="572" customFormat="1" ht="18.75" customHeight="1" x14ac:dyDescent="0.3">
      <c r="A55" s="592" t="s">
        <v>336</v>
      </c>
      <c r="B55" s="605"/>
      <c r="C55" s="605"/>
      <c r="D55" s="592"/>
      <c r="E55" s="605"/>
      <c r="F55" s="605"/>
      <c r="G55" s="592"/>
      <c r="H55" s="605"/>
      <c r="I55" s="605"/>
      <c r="J55" s="592"/>
      <c r="K55" s="605"/>
      <c r="L55" s="605"/>
      <c r="M55" s="592"/>
      <c r="N55" s="605"/>
      <c r="O55" s="605"/>
      <c r="P55" s="592"/>
      <c r="Q55" s="605"/>
      <c r="R55" s="605"/>
      <c r="S55" s="592"/>
      <c r="T55" s="605"/>
      <c r="U55" s="605"/>
      <c r="V55" s="592"/>
      <c r="W55" s="605"/>
      <c r="X55" s="605"/>
      <c r="Y55" s="592"/>
      <c r="Z55" s="605"/>
      <c r="AA55" s="605"/>
      <c r="AB55" s="592"/>
      <c r="AC55" s="605"/>
      <c r="AD55" s="605"/>
      <c r="AE55" s="592"/>
      <c r="AF55" s="605"/>
      <c r="AG55" s="605"/>
      <c r="AH55" s="592"/>
      <c r="AI55" s="592"/>
      <c r="AJ55" s="605"/>
      <c r="AK55" s="592"/>
      <c r="AL55" s="605"/>
      <c r="AM55" s="605"/>
      <c r="AN55" s="592"/>
      <c r="AO55" s="592"/>
      <c r="AP55" s="592"/>
      <c r="AQ55" s="592"/>
      <c r="AR55" s="592"/>
      <c r="AS55" s="592"/>
      <c r="AT55" s="592"/>
    </row>
    <row r="56" spans="1:46" s="572" customFormat="1" ht="18.75" customHeight="1" x14ac:dyDescent="0.3">
      <c r="A56" s="592" t="s">
        <v>337</v>
      </c>
      <c r="B56" s="605"/>
      <c r="C56" s="605"/>
      <c r="D56" s="592"/>
      <c r="E56" s="605"/>
      <c r="F56" s="605"/>
      <c r="G56" s="592"/>
      <c r="H56" s="605"/>
      <c r="I56" s="605"/>
      <c r="J56" s="592"/>
      <c r="K56" s="605"/>
      <c r="L56" s="605"/>
      <c r="M56" s="592"/>
      <c r="N56" s="605"/>
      <c r="O56" s="605"/>
      <c r="P56" s="592"/>
      <c r="Q56" s="605"/>
      <c r="R56" s="605"/>
      <c r="S56" s="592"/>
      <c r="T56" s="605"/>
      <c r="U56" s="605"/>
      <c r="V56" s="592"/>
      <c r="W56" s="605"/>
      <c r="X56" s="605"/>
      <c r="Y56" s="592"/>
      <c r="Z56" s="605"/>
      <c r="AA56" s="605"/>
      <c r="AB56" s="592"/>
      <c r="AC56" s="605"/>
      <c r="AD56" s="605"/>
      <c r="AE56" s="592"/>
      <c r="AF56" s="605"/>
      <c r="AG56" s="605"/>
      <c r="AH56" s="592"/>
      <c r="AI56" s="592"/>
      <c r="AJ56" s="605"/>
      <c r="AK56" s="592"/>
      <c r="AL56" s="605"/>
      <c r="AM56" s="605"/>
      <c r="AN56" s="592"/>
      <c r="AO56" s="592"/>
      <c r="AP56" s="592"/>
      <c r="AQ56" s="592"/>
      <c r="AR56" s="592"/>
      <c r="AS56" s="592"/>
      <c r="AT56" s="592"/>
    </row>
    <row r="57" spans="1:46" s="571" customFormat="1" ht="18.75" customHeight="1" x14ac:dyDescent="0.3">
      <c r="A57" s="593" t="s">
        <v>338</v>
      </c>
      <c r="B57" s="606"/>
      <c r="C57" s="606"/>
      <c r="D57" s="593"/>
      <c r="E57" s="606"/>
      <c r="F57" s="606"/>
      <c r="G57" s="593"/>
      <c r="H57" s="606"/>
      <c r="I57" s="606"/>
      <c r="J57" s="593"/>
      <c r="K57" s="606"/>
      <c r="L57" s="606"/>
      <c r="M57" s="593"/>
      <c r="N57" s="606"/>
      <c r="O57" s="606"/>
      <c r="P57" s="593"/>
      <c r="Q57" s="606"/>
      <c r="R57" s="606"/>
      <c r="S57" s="593"/>
      <c r="T57" s="606"/>
      <c r="U57" s="606"/>
      <c r="V57" s="593"/>
      <c r="W57" s="606"/>
      <c r="X57" s="606"/>
      <c r="Y57" s="593"/>
      <c r="Z57" s="606"/>
      <c r="AA57" s="606"/>
      <c r="AB57" s="593"/>
      <c r="AC57" s="606"/>
      <c r="AD57" s="606"/>
      <c r="AE57" s="593"/>
      <c r="AF57" s="606"/>
      <c r="AG57" s="606"/>
      <c r="AH57" s="593"/>
      <c r="AI57" s="593"/>
      <c r="AJ57" s="606"/>
      <c r="AK57" s="593"/>
      <c r="AL57" s="606"/>
      <c r="AM57" s="606"/>
      <c r="AN57" s="593"/>
      <c r="AO57" s="593"/>
      <c r="AP57" s="593"/>
      <c r="AQ57" s="593"/>
      <c r="AR57" s="593"/>
      <c r="AS57" s="593"/>
      <c r="AT57" s="593"/>
    </row>
    <row r="58" spans="1:46" s="574" customFormat="1" ht="18.75" customHeight="1" x14ac:dyDescent="0.3">
      <c r="A58" s="558" t="s">
        <v>254</v>
      </c>
      <c r="B58" s="558"/>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3"/>
      <c r="AL58" s="573"/>
      <c r="AM58" s="573"/>
      <c r="AN58" s="573"/>
      <c r="AO58" s="573"/>
      <c r="AP58" s="573"/>
      <c r="AQ58" s="573"/>
      <c r="AR58" s="573"/>
      <c r="AS58" s="573"/>
    </row>
    <row r="59" spans="1:46" s="574" customFormat="1" ht="18.75" customHeight="1" x14ac:dyDescent="0.3">
      <c r="A59" s="558" t="s">
        <v>255</v>
      </c>
    </row>
    <row r="60" spans="1:46" s="574" customFormat="1" ht="18.75" customHeight="1" x14ac:dyDescent="0.3">
      <c r="A60" s="558" t="s">
        <v>256</v>
      </c>
    </row>
    <row r="61" spans="1:46" s="574" customFormat="1" ht="18.75" x14ac:dyDescent="0.3"/>
    <row r="62" spans="1:46" s="575" customFormat="1" x14ac:dyDescent="0.2">
      <c r="C62" s="576"/>
      <c r="H62" s="576"/>
      <c r="I62" s="576"/>
      <c r="K62" s="576"/>
      <c r="L62" s="576"/>
      <c r="AO62" s="577"/>
      <c r="AP62" s="578"/>
    </row>
  </sheetData>
  <mergeCells count="28">
    <mergeCell ref="H6:J6"/>
    <mergeCell ref="AF6:AH6"/>
    <mergeCell ref="AI6:AK6"/>
    <mergeCell ref="AL6:AN6"/>
    <mergeCell ref="AO6:AQ6"/>
    <mergeCell ref="AR6:AT6"/>
    <mergeCell ref="AR5:AT5"/>
    <mergeCell ref="B6:D6"/>
    <mergeCell ref="E6:G6"/>
    <mergeCell ref="K6:M6"/>
    <mergeCell ref="N6:P6"/>
    <mergeCell ref="Q6:S6"/>
    <mergeCell ref="T6:V6"/>
    <mergeCell ref="W6:Y6"/>
    <mergeCell ref="Z6:AB6"/>
    <mergeCell ref="AC6:AE6"/>
    <mergeCell ref="W5:Y5"/>
    <mergeCell ref="AC5:AE5"/>
    <mergeCell ref="AI5:AK5"/>
    <mergeCell ref="AL5:AN5"/>
    <mergeCell ref="AO5:AQ5"/>
    <mergeCell ref="T5:V5"/>
    <mergeCell ref="H5:J5"/>
    <mergeCell ref="B5:D5"/>
    <mergeCell ref="E5:G5"/>
    <mergeCell ref="K5:M5"/>
    <mergeCell ref="N5:P5"/>
    <mergeCell ref="Q5:S5"/>
  </mergeCells>
  <conditionalFormatting sqref="AL29">
    <cfRule type="expression" dxfId="228" priority="121">
      <formula>#REF! ="30≠24+25+26+27+28+29"</formula>
    </cfRule>
  </conditionalFormatting>
  <conditionalFormatting sqref="AL34">
    <cfRule type="expression" dxfId="227" priority="122">
      <formula>#REF! ="35≠14+15+16+17+22+30+31+32+33+34"</formula>
    </cfRule>
  </conditionalFormatting>
  <conditionalFormatting sqref="AL45">
    <cfRule type="expression" dxfId="226" priority="123">
      <formula>#REF! ="46≠35+38+39+40+43+45"</formula>
    </cfRule>
  </conditionalFormatting>
  <conditionalFormatting sqref="AL14">
    <cfRule type="expression" dxfId="225" priority="124">
      <formula>#REF! ="14≠11+12+13"</formula>
    </cfRule>
  </conditionalFormatting>
  <conditionalFormatting sqref="AL21">
    <cfRule type="expression" dxfId="224" priority="125">
      <formula>#REF! ="22≠19+20+21"</formula>
    </cfRule>
  </conditionalFormatting>
  <conditionalFormatting sqref="AI29">
    <cfRule type="expression" dxfId="223" priority="111">
      <formula>#REF! ="30≠24+25+26+27+28+29"</formula>
    </cfRule>
  </conditionalFormatting>
  <conditionalFormatting sqref="AI34">
    <cfRule type="expression" dxfId="222" priority="112">
      <formula>#REF! ="35≠14+15+16+17+22+30+31+32+33+34"</formula>
    </cfRule>
  </conditionalFormatting>
  <conditionalFormatting sqref="AI45">
    <cfRule type="expression" dxfId="221" priority="113">
      <formula>#REF! ="46≠35+38+39+40+43+45"</formula>
    </cfRule>
  </conditionalFormatting>
  <conditionalFormatting sqref="AI14">
    <cfRule type="expression" dxfId="220" priority="114">
      <formula>#REF! ="14≠11+12+13"</formula>
    </cfRule>
  </conditionalFormatting>
  <conditionalFormatting sqref="AI21">
    <cfRule type="expression" dxfId="219" priority="115">
      <formula>#REF! ="22≠19+20+21"</formula>
    </cfRule>
  </conditionalFormatting>
  <conditionalFormatting sqref="Z29">
    <cfRule type="expression" dxfId="218" priority="101">
      <formula>#REF! ="30≠24+25+26+27+28+29"</formula>
    </cfRule>
  </conditionalFormatting>
  <conditionalFormatting sqref="Z34">
    <cfRule type="expression" dxfId="217" priority="102">
      <formula>#REF! ="35≠14+15+16+17+22+30+31+32+33+34"</formula>
    </cfRule>
  </conditionalFormatting>
  <conditionalFormatting sqref="Z45">
    <cfRule type="expression" dxfId="216" priority="103">
      <formula>#REF! ="46≠35+38+39+40+43+45"</formula>
    </cfRule>
  </conditionalFormatting>
  <conditionalFormatting sqref="Z14">
    <cfRule type="expression" dxfId="215" priority="104">
      <formula>#REF! ="14≠11+12+13"</formula>
    </cfRule>
  </conditionalFormatting>
  <conditionalFormatting sqref="Z21">
    <cfRule type="expression" dxfId="214" priority="105">
      <formula>#REF! ="22≠19+20+21"</formula>
    </cfRule>
  </conditionalFormatting>
  <conditionalFormatting sqref="I34">
    <cfRule type="expression" dxfId="213" priority="95">
      <formula>#REF! ="35≠14+15+16+17+22+30+31+32+33+34"</formula>
    </cfRule>
  </conditionalFormatting>
  <conditionalFormatting sqref="I45">
    <cfRule type="expression" dxfId="212" priority="94">
      <formula>#REF! ="46≠35+38+39+40+43+45"</formula>
    </cfRule>
  </conditionalFormatting>
  <conditionalFormatting sqref="I21">
    <cfRule type="expression" dxfId="211" priority="93">
      <formula>#REF! ="22≠19+20+21"</formula>
    </cfRule>
  </conditionalFormatting>
  <conditionalFormatting sqref="I14">
    <cfRule type="expression" dxfId="210" priority="92">
      <formula>#REF! ="14≠11+12+13"</formula>
    </cfRule>
  </conditionalFormatting>
  <conditionalFormatting sqref="I29">
    <cfRule type="expression" dxfId="209" priority="91">
      <formula>#REF! ="30≠24+25+26+27+28+29"</formula>
    </cfRule>
  </conditionalFormatting>
  <conditionalFormatting sqref="N29">
    <cfRule type="expression" dxfId="208" priority="81">
      <formula>#REF! ="30≠24+25+26+27+28+29"</formula>
    </cfRule>
  </conditionalFormatting>
  <conditionalFormatting sqref="N34">
    <cfRule type="expression" dxfId="207" priority="82">
      <formula>#REF! ="35≠14+15+16+17+22+30+31+32+33+34"</formula>
    </cfRule>
  </conditionalFormatting>
  <conditionalFormatting sqref="N45">
    <cfRule type="expression" dxfId="206" priority="83">
      <formula>#REF! ="46≠35+38+39+40+43+45"</formula>
    </cfRule>
  </conditionalFormatting>
  <conditionalFormatting sqref="N14">
    <cfRule type="expression" dxfId="205" priority="84">
      <formula>#REF! ="14≠11+12+13"</formula>
    </cfRule>
  </conditionalFormatting>
  <conditionalFormatting sqref="N21">
    <cfRule type="expression" dxfId="204" priority="85">
      <formula>#REF! ="22≠19+20+21"</formula>
    </cfRule>
  </conditionalFormatting>
  <conditionalFormatting sqref="AC29">
    <cfRule type="expression" dxfId="203" priority="71">
      <formula>#REF! ="30≠24+25+26+27+28+29"</formula>
    </cfRule>
  </conditionalFormatting>
  <conditionalFormatting sqref="AC34">
    <cfRule type="expression" dxfId="202" priority="72">
      <formula>#REF! ="35≠14+15+16+17+22+30+31+32+33+34"</formula>
    </cfRule>
  </conditionalFormatting>
  <conditionalFormatting sqref="AC45">
    <cfRule type="expression" dxfId="201" priority="73">
      <formula>#REF! ="46≠35+38+39+40+43+45"</formula>
    </cfRule>
  </conditionalFormatting>
  <conditionalFormatting sqref="AC14">
    <cfRule type="expression" dxfId="200" priority="74">
      <formula>#REF! ="14≠11+12+13"</formula>
    </cfRule>
  </conditionalFormatting>
  <conditionalFormatting sqref="AC21">
    <cfRule type="expression" dxfId="199" priority="75">
      <formula>#REF! ="22≠19+20+21"</formula>
    </cfRule>
  </conditionalFormatting>
  <conditionalFormatting sqref="E29">
    <cfRule type="expression" dxfId="198" priority="61">
      <formula>#REF! ="30≠24+25+26+27+28+29"</formula>
    </cfRule>
  </conditionalFormatting>
  <conditionalFormatting sqref="E34">
    <cfRule type="expression" dxfId="197" priority="62">
      <formula>#REF! ="35≠14+15+16+17+22+30+31+32+33+34"</formula>
    </cfRule>
  </conditionalFormatting>
  <conditionalFormatting sqref="E45">
    <cfRule type="expression" dxfId="196" priority="63">
      <formula>#REF! ="46≠35+38+39+40+43+45"</formula>
    </cfRule>
  </conditionalFormatting>
  <conditionalFormatting sqref="E14">
    <cfRule type="expression" dxfId="195" priority="64">
      <formula>#REF! ="14≠11+12+13"</formula>
    </cfRule>
  </conditionalFormatting>
  <conditionalFormatting sqref="E21">
    <cfRule type="expression" dxfId="194" priority="65">
      <formula>#REF! ="22≠19+20+21"</formula>
    </cfRule>
  </conditionalFormatting>
  <conditionalFormatting sqref="W29">
    <cfRule type="expression" dxfId="193" priority="51">
      <formula>#REF! ="30≠24+25+26+27+28+29"</formula>
    </cfRule>
  </conditionalFormatting>
  <conditionalFormatting sqref="W34">
    <cfRule type="expression" dxfId="192" priority="52">
      <formula>#REF! ="35≠14+15+16+17+22+30+31+32+33+34"</formula>
    </cfRule>
  </conditionalFormatting>
  <conditionalFormatting sqref="W45">
    <cfRule type="expression" dxfId="191" priority="53">
      <formula>#REF! ="46≠35+38+39+40+43+45"</formula>
    </cfRule>
  </conditionalFormatting>
  <conditionalFormatting sqref="W14">
    <cfRule type="expression" dxfId="190" priority="54">
      <formula>#REF! ="14≠11+12+13"</formula>
    </cfRule>
  </conditionalFormatting>
  <conditionalFormatting sqref="W21">
    <cfRule type="expression" dxfId="189" priority="55">
      <formula>#REF! ="22≠19+20+21"</formula>
    </cfRule>
  </conditionalFormatting>
  <conditionalFormatting sqref="Q29">
    <cfRule type="expression" dxfId="188" priority="41">
      <formula>#REF! ="30≠24+25+26+27+28+29"</formula>
    </cfRule>
  </conditionalFormatting>
  <conditionalFormatting sqref="Q34">
    <cfRule type="expression" dxfId="187" priority="42">
      <formula>#REF! ="35≠14+15+16+17+22+30+31+32+33+34"</formula>
    </cfRule>
  </conditionalFormatting>
  <conditionalFormatting sqref="Q45">
    <cfRule type="expression" dxfId="186" priority="43">
      <formula>#REF! ="46≠35+38+39+40+43+45"</formula>
    </cfRule>
  </conditionalFormatting>
  <conditionalFormatting sqref="Q14">
    <cfRule type="expression" dxfId="185" priority="44">
      <formula>#REF! ="14≠11+12+13"</formula>
    </cfRule>
  </conditionalFormatting>
  <conditionalFormatting sqref="Q21">
    <cfRule type="expression" dxfId="184" priority="45">
      <formula>#REF! ="22≠19+20+21"</formula>
    </cfRule>
  </conditionalFormatting>
  <conditionalFormatting sqref="AF29">
    <cfRule type="expression" dxfId="183" priority="31">
      <formula>#REF! ="30≠24+25+26+27+28+29"</formula>
    </cfRule>
  </conditionalFormatting>
  <conditionalFormatting sqref="AF34">
    <cfRule type="expression" dxfId="182" priority="32">
      <formula>#REF! ="35≠14+15+16+17+22+30+31+32+33+34"</formula>
    </cfRule>
  </conditionalFormatting>
  <conditionalFormatting sqref="AF45">
    <cfRule type="expression" dxfId="181" priority="33">
      <formula>#REF! ="46≠35+38+39+40+43+45"</formula>
    </cfRule>
  </conditionalFormatting>
  <conditionalFormatting sqref="AF14">
    <cfRule type="expression" dxfId="180" priority="34">
      <formula>#REF! ="14≠11+12+13"</formula>
    </cfRule>
  </conditionalFormatting>
  <conditionalFormatting sqref="AF21">
    <cfRule type="expression" dxfId="179" priority="35">
      <formula>#REF! ="22≠19+20+21"</formula>
    </cfRule>
  </conditionalFormatting>
  <conditionalFormatting sqref="K29">
    <cfRule type="expression" dxfId="178" priority="21">
      <formula>#REF! ="30≠24+25+26+27+28+29"</formula>
    </cfRule>
  </conditionalFormatting>
  <conditionalFormatting sqref="K34">
    <cfRule type="expression" dxfId="177" priority="22">
      <formula>#REF! ="35≠14+15+16+17+22+30+31+32+33+34"</formula>
    </cfRule>
  </conditionalFormatting>
  <conditionalFormatting sqref="K45">
    <cfRule type="expression" dxfId="176" priority="23">
      <formula>#REF! ="46≠35+38+39+40+43+45"</formula>
    </cfRule>
  </conditionalFormatting>
  <conditionalFormatting sqref="K14">
    <cfRule type="expression" dxfId="175" priority="24">
      <formula>#REF! ="14≠11+12+13"</formula>
    </cfRule>
  </conditionalFormatting>
  <conditionalFormatting sqref="K21">
    <cfRule type="expression" dxfId="174" priority="25">
      <formula>#REF! ="22≠19+20+21"</formula>
    </cfRule>
  </conditionalFormatting>
  <conditionalFormatting sqref="B29">
    <cfRule type="expression" dxfId="173" priority="11">
      <formula>#REF! ="30≠24+25+26+27+28+29"</formula>
    </cfRule>
  </conditionalFormatting>
  <conditionalFormatting sqref="B34">
    <cfRule type="expression" dxfId="172" priority="12">
      <formula>#REF! ="35≠14+15+16+17+22+30+31+32+33+34"</formula>
    </cfRule>
  </conditionalFormatting>
  <conditionalFormatting sqref="B45">
    <cfRule type="expression" dxfId="171" priority="13">
      <formula>#REF! ="46≠35+38+39+40+43+45"</formula>
    </cfRule>
  </conditionalFormatting>
  <conditionalFormatting sqref="B14">
    <cfRule type="expression" dxfId="170" priority="14">
      <formula>#REF! ="14≠11+12+13"</formula>
    </cfRule>
  </conditionalFormatting>
  <conditionalFormatting sqref="B21">
    <cfRule type="expression" dxfId="169" priority="15">
      <formula>#REF! ="22≠19+20+21"</formula>
    </cfRule>
  </conditionalFormatting>
  <conditionalFormatting sqref="T29">
    <cfRule type="expression" dxfId="168" priority="1">
      <formula>#REF! ="30≠24+25+26+27+28+29"</formula>
    </cfRule>
  </conditionalFormatting>
  <conditionalFormatting sqref="T34">
    <cfRule type="expression" dxfId="167" priority="2">
      <formula>#REF! ="35≠14+15+16+17+22+30+31+32+33+34"</formula>
    </cfRule>
  </conditionalFormatting>
  <conditionalFormatting sqref="T45">
    <cfRule type="expression" dxfId="166" priority="3">
      <formula>#REF! ="46≠35+38+39+40+43+45"</formula>
    </cfRule>
  </conditionalFormatting>
  <conditionalFormatting sqref="T14">
    <cfRule type="expression" dxfId="165" priority="4">
      <formula>#REF! ="14≠11+12+13"</formula>
    </cfRule>
  </conditionalFormatting>
  <conditionalFormatting sqref="T21">
    <cfRule type="expression" dxfId="164" priority="5">
      <formula>#REF! ="22≠19+20+21"</formula>
    </cfRule>
  </conditionalFormatting>
  <conditionalFormatting sqref="AR29:AS29 AM29 AJ29 AA29 H29 O29 AD29 F29 X29 R29 AG29 L29 C29 U29">
    <cfRule type="expression" dxfId="163" priority="832">
      <formula>#REF! ="30≠24+25+26+27+28+29"</formula>
    </cfRule>
  </conditionalFormatting>
  <conditionalFormatting sqref="AR34:AS34 AO34:AP34 AO45:AP45 AM34 AJ34 AA34 H34 O34 AD34 F34 X34 R34 AG34 L34 C34 U34">
    <cfRule type="expression" dxfId="162" priority="833">
      <formula>#REF! ="35≠14+15+16+17+22+30+31+32+33+34"</formula>
    </cfRule>
  </conditionalFormatting>
  <conditionalFormatting sqref="AR45:AS45 AM45 AJ45 AA45 H45 O45 AD45 F45 X45 R45 AG45 L45 C45 U45">
    <cfRule type="expression" dxfId="161" priority="835">
      <formula>#REF! ="46≠35+38+39+40+43+45"</formula>
    </cfRule>
  </conditionalFormatting>
  <conditionalFormatting sqref="AM14 AJ14 AA14 H14 O14 AD14 F14 X14 R14 AG14 L14 C14 U14">
    <cfRule type="expression" dxfId="160" priority="839">
      <formula>#REF! ="14≠11+12+13"</formula>
    </cfRule>
  </conditionalFormatting>
  <conditionalFormatting sqref="AM21 AJ21 AA21 H21 O21 AD21 F21 X21 R21 AG21 L21 C21 U21">
    <cfRule type="expression" dxfId="159" priority="840">
      <formula>#REF! ="22≠19+20+21"</formula>
    </cfRule>
  </conditionalFormatting>
  <hyperlinks>
    <hyperlink ref="B1" location="Innhold!A1" display="Tilbake" xr:uid="{00000000-0004-0000-1E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K130"/>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106.7109375" style="465" customWidth="1"/>
    <col min="2" max="40" width="11.7109375" style="465" customWidth="1"/>
    <col min="41" max="41" width="15.140625" style="465" customWidth="1"/>
    <col min="42" max="42" width="13" style="465" customWidth="1"/>
    <col min="43" max="43" width="11.7109375" style="465" customWidth="1"/>
    <col min="44" max="45" width="13" style="465" customWidth="1"/>
    <col min="46" max="46" width="11.7109375" style="465" customWidth="1"/>
    <col min="47" max="16384" width="11.42578125" style="465"/>
  </cols>
  <sheetData>
    <row r="1" spans="1:63" ht="20.25" customHeight="1" x14ac:dyDescent="0.3">
      <c r="A1" s="470" t="s">
        <v>173</v>
      </c>
      <c r="B1" s="471" t="s">
        <v>52</v>
      </c>
      <c r="C1" s="472"/>
      <c r="D1" s="472"/>
      <c r="E1" s="472"/>
      <c r="F1" s="472"/>
      <c r="G1" s="472"/>
      <c r="H1" s="472"/>
      <c r="I1" s="472"/>
      <c r="J1" s="472"/>
      <c r="K1" s="472"/>
      <c r="L1" s="472"/>
      <c r="M1" s="472"/>
      <c r="AU1" s="473"/>
    </row>
    <row r="2" spans="1:63" ht="20.100000000000001" customHeight="1" x14ac:dyDescent="0.3">
      <c r="A2" s="470" t="s">
        <v>174</v>
      </c>
      <c r="AU2" s="473"/>
    </row>
    <row r="3" spans="1:63" ht="20.100000000000001" customHeight="1" x14ac:dyDescent="0.3">
      <c r="A3" s="474" t="s">
        <v>175</v>
      </c>
      <c r="B3" s="475"/>
      <c r="C3" s="475"/>
      <c r="D3" s="475"/>
      <c r="E3" s="475"/>
      <c r="F3" s="475"/>
      <c r="G3" s="475"/>
      <c r="H3" s="475"/>
      <c r="I3" s="475"/>
      <c r="J3" s="475"/>
      <c r="K3" s="475"/>
      <c r="L3" s="475"/>
      <c r="M3" s="475"/>
      <c r="AU3" s="476"/>
    </row>
    <row r="4" spans="1:63" ht="18.75" customHeight="1" x14ac:dyDescent="0.25">
      <c r="A4" s="477" t="s">
        <v>419</v>
      </c>
      <c r="B4" s="478"/>
      <c r="C4" s="478"/>
      <c r="D4" s="479"/>
      <c r="E4" s="478"/>
      <c r="F4" s="478"/>
      <c r="G4" s="479"/>
      <c r="H4" s="480"/>
      <c r="I4" s="478"/>
      <c r="J4" s="479"/>
      <c r="K4" s="480"/>
      <c r="L4" s="478"/>
      <c r="M4" s="479"/>
      <c r="N4" s="481"/>
      <c r="O4" s="481"/>
      <c r="P4" s="481"/>
      <c r="Q4" s="482"/>
      <c r="R4" s="481"/>
      <c r="S4" s="483"/>
      <c r="T4" s="482"/>
      <c r="U4" s="481"/>
      <c r="V4" s="483"/>
      <c r="W4" s="482"/>
      <c r="X4" s="481"/>
      <c r="Y4" s="483"/>
      <c r="Z4" s="482"/>
      <c r="AA4" s="481"/>
      <c r="AB4" s="483"/>
      <c r="AC4" s="482"/>
      <c r="AD4" s="481"/>
      <c r="AE4" s="483"/>
      <c r="AF4" s="482"/>
      <c r="AG4" s="481"/>
      <c r="AH4" s="483"/>
      <c r="AI4" s="482"/>
      <c r="AJ4" s="481"/>
      <c r="AK4" s="483"/>
      <c r="AL4" s="482"/>
      <c r="AM4" s="481"/>
      <c r="AN4" s="483"/>
      <c r="AO4" s="482"/>
      <c r="AP4" s="481"/>
      <c r="AQ4" s="483"/>
      <c r="AR4" s="482"/>
      <c r="AS4" s="481"/>
      <c r="AT4" s="483"/>
      <c r="AU4" s="484"/>
      <c r="AV4" s="485"/>
      <c r="AW4" s="485"/>
      <c r="AX4" s="485"/>
      <c r="AY4" s="485"/>
      <c r="AZ4" s="485"/>
      <c r="BA4" s="485"/>
      <c r="BB4" s="485"/>
      <c r="BC4" s="485"/>
      <c r="BD4" s="485"/>
      <c r="BE4" s="485"/>
      <c r="BF4" s="485"/>
      <c r="BG4" s="485"/>
      <c r="BH4" s="485"/>
      <c r="BI4" s="485"/>
      <c r="BJ4" s="485"/>
      <c r="BK4" s="485"/>
    </row>
    <row r="5" spans="1:63" ht="18.75" customHeight="1" x14ac:dyDescent="0.3">
      <c r="A5" s="486" t="s">
        <v>102</v>
      </c>
      <c r="B5" s="759" t="s">
        <v>176</v>
      </c>
      <c r="C5" s="760"/>
      <c r="D5" s="761"/>
      <c r="E5" s="759" t="s">
        <v>177</v>
      </c>
      <c r="F5" s="760"/>
      <c r="G5" s="761"/>
      <c r="H5" s="759" t="s">
        <v>406</v>
      </c>
      <c r="I5" s="760"/>
      <c r="J5" s="761"/>
      <c r="K5" s="759" t="s">
        <v>178</v>
      </c>
      <c r="L5" s="760"/>
      <c r="M5" s="761"/>
      <c r="N5" s="759" t="s">
        <v>179</v>
      </c>
      <c r="O5" s="760"/>
      <c r="P5" s="761"/>
      <c r="Q5" s="759" t="s">
        <v>180</v>
      </c>
      <c r="R5" s="760"/>
      <c r="S5" s="761"/>
      <c r="T5" s="695" t="s">
        <v>180</v>
      </c>
      <c r="U5" s="696"/>
      <c r="V5" s="697"/>
      <c r="W5" s="759" t="s">
        <v>63</v>
      </c>
      <c r="X5" s="760"/>
      <c r="Y5" s="761"/>
      <c r="Z5" s="673"/>
      <c r="AA5" s="674"/>
      <c r="AB5" s="675"/>
      <c r="AC5" s="759" t="s">
        <v>181</v>
      </c>
      <c r="AD5" s="760"/>
      <c r="AE5" s="761"/>
      <c r="AF5" s="686"/>
      <c r="AG5" s="687"/>
      <c r="AH5" s="688"/>
      <c r="AI5" s="759"/>
      <c r="AJ5" s="760"/>
      <c r="AK5" s="761"/>
      <c r="AL5" s="759" t="s">
        <v>73</v>
      </c>
      <c r="AM5" s="760"/>
      <c r="AN5" s="761"/>
      <c r="AO5" s="759" t="s">
        <v>2</v>
      </c>
      <c r="AP5" s="760"/>
      <c r="AQ5" s="761"/>
      <c r="AR5" s="759" t="s">
        <v>2</v>
      </c>
      <c r="AS5" s="760"/>
      <c r="AT5" s="761"/>
      <c r="AU5" s="487"/>
      <c r="AV5" s="488"/>
      <c r="AW5" s="758"/>
      <c r="AX5" s="758"/>
      <c r="AY5" s="758"/>
      <c r="AZ5" s="758"/>
      <c r="BA5" s="758"/>
      <c r="BB5" s="758"/>
      <c r="BC5" s="758"/>
      <c r="BD5" s="758"/>
      <c r="BE5" s="758"/>
      <c r="BF5" s="758"/>
      <c r="BG5" s="758"/>
      <c r="BH5" s="758"/>
      <c r="BI5" s="758"/>
      <c r="BJ5" s="758"/>
      <c r="BK5" s="758"/>
    </row>
    <row r="6" spans="1:63" ht="21" customHeight="1" x14ac:dyDescent="0.3">
      <c r="A6" s="489"/>
      <c r="B6" s="755" t="s">
        <v>182</v>
      </c>
      <c r="C6" s="756"/>
      <c r="D6" s="757"/>
      <c r="E6" s="755" t="s">
        <v>183</v>
      </c>
      <c r="F6" s="756"/>
      <c r="G6" s="757"/>
      <c r="H6" s="755" t="s">
        <v>183</v>
      </c>
      <c r="I6" s="756"/>
      <c r="J6" s="757"/>
      <c r="K6" s="755" t="s">
        <v>183</v>
      </c>
      <c r="L6" s="756"/>
      <c r="M6" s="757"/>
      <c r="N6" s="755" t="s">
        <v>184</v>
      </c>
      <c r="O6" s="756"/>
      <c r="P6" s="757"/>
      <c r="Q6" s="755" t="s">
        <v>91</v>
      </c>
      <c r="R6" s="756"/>
      <c r="S6" s="757"/>
      <c r="T6" s="755" t="s">
        <v>63</v>
      </c>
      <c r="U6" s="756"/>
      <c r="V6" s="757"/>
      <c r="W6" s="755" t="s">
        <v>185</v>
      </c>
      <c r="X6" s="756"/>
      <c r="Y6" s="757"/>
      <c r="Z6" s="755" t="s">
        <v>66</v>
      </c>
      <c r="AA6" s="756"/>
      <c r="AB6" s="757"/>
      <c r="AC6" s="755" t="s">
        <v>182</v>
      </c>
      <c r="AD6" s="756"/>
      <c r="AE6" s="757"/>
      <c r="AF6" s="755" t="s">
        <v>72</v>
      </c>
      <c r="AG6" s="756"/>
      <c r="AH6" s="757"/>
      <c r="AI6" s="755" t="s">
        <v>68</v>
      </c>
      <c r="AJ6" s="756"/>
      <c r="AK6" s="757"/>
      <c r="AL6" s="755" t="s">
        <v>183</v>
      </c>
      <c r="AM6" s="756"/>
      <c r="AN6" s="757"/>
      <c r="AO6" s="755" t="s">
        <v>186</v>
      </c>
      <c r="AP6" s="756"/>
      <c r="AQ6" s="757"/>
      <c r="AR6" s="755" t="s">
        <v>187</v>
      </c>
      <c r="AS6" s="756"/>
      <c r="AT6" s="757"/>
      <c r="AU6" s="487"/>
      <c r="AV6" s="488"/>
      <c r="AW6" s="758"/>
      <c r="AX6" s="758"/>
      <c r="AY6" s="758"/>
      <c r="AZ6" s="758"/>
      <c r="BA6" s="758"/>
      <c r="BB6" s="758"/>
      <c r="BC6" s="758"/>
      <c r="BD6" s="758"/>
      <c r="BE6" s="758"/>
      <c r="BF6" s="758"/>
      <c r="BG6" s="758"/>
      <c r="BH6" s="758"/>
      <c r="BI6" s="758"/>
      <c r="BJ6" s="758"/>
      <c r="BK6" s="758"/>
    </row>
    <row r="7" spans="1:63" ht="18.75" customHeight="1" x14ac:dyDescent="0.3">
      <c r="A7" s="489"/>
      <c r="B7" s="521"/>
      <c r="C7" s="521"/>
      <c r="D7" s="490" t="s">
        <v>81</v>
      </c>
      <c r="E7" s="521"/>
      <c r="F7" s="521"/>
      <c r="G7" s="490" t="s">
        <v>81</v>
      </c>
      <c r="H7" s="521"/>
      <c r="I7" s="521"/>
      <c r="J7" s="490" t="s">
        <v>81</v>
      </c>
      <c r="K7" s="521"/>
      <c r="L7" s="521"/>
      <c r="M7" s="490" t="s">
        <v>81</v>
      </c>
      <c r="N7" s="521"/>
      <c r="O7" s="521"/>
      <c r="P7" s="490" t="s">
        <v>81</v>
      </c>
      <c r="Q7" s="521"/>
      <c r="R7" s="521"/>
      <c r="S7" s="490" t="s">
        <v>81</v>
      </c>
      <c r="T7" s="521"/>
      <c r="U7" s="521"/>
      <c r="V7" s="490" t="s">
        <v>81</v>
      </c>
      <c r="W7" s="521"/>
      <c r="X7" s="521"/>
      <c r="Y7" s="490" t="s">
        <v>81</v>
      </c>
      <c r="Z7" s="521"/>
      <c r="AA7" s="521"/>
      <c r="AB7" s="490" t="s">
        <v>81</v>
      </c>
      <c r="AC7" s="521"/>
      <c r="AD7" s="521"/>
      <c r="AE7" s="490" t="s">
        <v>81</v>
      </c>
      <c r="AF7" s="521"/>
      <c r="AG7" s="521"/>
      <c r="AH7" s="490" t="s">
        <v>81</v>
      </c>
      <c r="AI7" s="521"/>
      <c r="AJ7" s="521"/>
      <c r="AK7" s="490" t="s">
        <v>81</v>
      </c>
      <c r="AL7" s="521"/>
      <c r="AM7" s="521"/>
      <c r="AN7" s="490" t="s">
        <v>81</v>
      </c>
      <c r="AO7" s="521"/>
      <c r="AP7" s="521"/>
      <c r="AQ7" s="490" t="s">
        <v>81</v>
      </c>
      <c r="AR7" s="521"/>
      <c r="AS7" s="521"/>
      <c r="AT7" s="490" t="s">
        <v>81</v>
      </c>
      <c r="AU7" s="487"/>
      <c r="AV7" s="488"/>
      <c r="AW7" s="488"/>
      <c r="AX7" s="488"/>
      <c r="AY7" s="488"/>
      <c r="AZ7" s="488"/>
      <c r="BA7" s="488"/>
      <c r="BB7" s="488"/>
      <c r="BC7" s="488"/>
      <c r="BD7" s="488"/>
      <c r="BE7" s="488"/>
      <c r="BF7" s="488"/>
      <c r="BG7" s="488"/>
      <c r="BH7" s="488"/>
      <c r="BI7" s="488"/>
      <c r="BJ7" s="488"/>
      <c r="BK7" s="488"/>
    </row>
    <row r="8" spans="1:63" ht="18.75" customHeight="1" x14ac:dyDescent="0.25">
      <c r="A8" s="455" t="s">
        <v>188</v>
      </c>
      <c r="B8" s="657">
        <v>2019</v>
      </c>
      <c r="C8" s="657">
        <v>2020</v>
      </c>
      <c r="D8" s="456" t="s">
        <v>83</v>
      </c>
      <c r="E8" s="657">
        <v>2019</v>
      </c>
      <c r="F8" s="657">
        <v>2020</v>
      </c>
      <c r="G8" s="456" t="s">
        <v>83</v>
      </c>
      <c r="H8" s="657">
        <v>2019</v>
      </c>
      <c r="I8" s="657">
        <v>2020</v>
      </c>
      <c r="J8" s="456" t="s">
        <v>83</v>
      </c>
      <c r="K8" s="657">
        <v>2019</v>
      </c>
      <c r="L8" s="657">
        <v>2020</v>
      </c>
      <c r="M8" s="456" t="s">
        <v>83</v>
      </c>
      <c r="N8" s="607">
        <v>2019</v>
      </c>
      <c r="O8" s="607">
        <v>2020</v>
      </c>
      <c r="P8" s="456" t="s">
        <v>83</v>
      </c>
      <c r="Q8" s="657">
        <v>2019</v>
      </c>
      <c r="R8" s="657">
        <v>2020</v>
      </c>
      <c r="S8" s="456" t="s">
        <v>83</v>
      </c>
      <c r="T8" s="657">
        <v>2019</v>
      </c>
      <c r="U8" s="657">
        <v>2020</v>
      </c>
      <c r="V8" s="456" t="s">
        <v>83</v>
      </c>
      <c r="W8" s="657">
        <v>2019</v>
      </c>
      <c r="X8" s="657">
        <v>2020</v>
      </c>
      <c r="Y8" s="456" t="s">
        <v>83</v>
      </c>
      <c r="Z8" s="659">
        <v>2019</v>
      </c>
      <c r="AA8" s="659">
        <v>2020</v>
      </c>
      <c r="AB8" s="456" t="s">
        <v>83</v>
      </c>
      <c r="AC8" s="657">
        <v>2019</v>
      </c>
      <c r="AD8" s="657">
        <v>2020</v>
      </c>
      <c r="AE8" s="456" t="s">
        <v>83</v>
      </c>
      <c r="AF8" s="657">
        <v>2019</v>
      </c>
      <c r="AG8" s="657">
        <v>2020</v>
      </c>
      <c r="AH8" s="456" t="s">
        <v>83</v>
      </c>
      <c r="AI8" s="607">
        <v>2019</v>
      </c>
      <c r="AJ8" s="607">
        <v>2020</v>
      </c>
      <c r="AK8" s="456" t="s">
        <v>83</v>
      </c>
      <c r="AL8" s="657">
        <v>2019</v>
      </c>
      <c r="AM8" s="657">
        <v>2020</v>
      </c>
      <c r="AN8" s="456" t="s">
        <v>83</v>
      </c>
      <c r="AO8" s="595">
        <v>2019</v>
      </c>
      <c r="AP8" s="595">
        <v>2020</v>
      </c>
      <c r="AQ8" s="456" t="s">
        <v>83</v>
      </c>
      <c r="AR8" s="595">
        <v>2019</v>
      </c>
      <c r="AS8" s="595">
        <v>2020</v>
      </c>
      <c r="AT8" s="456" t="s">
        <v>83</v>
      </c>
      <c r="AU8" s="487"/>
      <c r="AV8" s="491"/>
      <c r="AW8" s="492"/>
      <c r="AX8" s="492"/>
      <c r="AY8" s="491"/>
      <c r="AZ8" s="492"/>
      <c r="BA8" s="492"/>
      <c r="BB8" s="491"/>
      <c r="BC8" s="492"/>
      <c r="BD8" s="492"/>
      <c r="BE8" s="491"/>
      <c r="BF8" s="492"/>
      <c r="BG8" s="492"/>
      <c r="BH8" s="491"/>
      <c r="BI8" s="492"/>
      <c r="BJ8" s="492"/>
      <c r="BK8" s="491"/>
    </row>
    <row r="9" spans="1:63" ht="18.75" customHeight="1" x14ac:dyDescent="0.3">
      <c r="A9" s="457"/>
      <c r="B9" s="662"/>
      <c r="C9" s="435"/>
      <c r="D9" s="435"/>
      <c r="E9" s="435"/>
      <c r="F9" s="435"/>
      <c r="G9" s="435"/>
      <c r="H9" s="435"/>
      <c r="I9" s="435"/>
      <c r="J9" s="435"/>
      <c r="K9" s="662"/>
      <c r="L9" s="435"/>
      <c r="M9" s="435"/>
      <c r="N9" s="619"/>
      <c r="O9" s="436"/>
      <c r="P9" s="436"/>
      <c r="Q9" s="699"/>
      <c r="R9" s="437"/>
      <c r="S9" s="337"/>
      <c r="T9" s="619"/>
      <c r="U9" s="436"/>
      <c r="V9" s="337"/>
      <c r="W9" s="619"/>
      <c r="X9" s="436"/>
      <c r="Y9" s="337"/>
      <c r="Z9" s="619"/>
      <c r="AA9" s="436"/>
      <c r="AB9" s="337"/>
      <c r="AC9" s="619"/>
      <c r="AD9" s="436"/>
      <c r="AE9" s="337"/>
      <c r="AF9" s="619"/>
      <c r="AG9" s="436"/>
      <c r="AH9" s="337"/>
      <c r="AI9" s="619"/>
      <c r="AJ9" s="436"/>
      <c r="AK9" s="337"/>
      <c r="AL9" s="619"/>
      <c r="AM9" s="436"/>
      <c r="AN9" s="337"/>
      <c r="AO9" s="438"/>
      <c r="AP9" s="438"/>
      <c r="AQ9" s="337"/>
      <c r="AR9" s="438"/>
      <c r="AS9" s="438"/>
      <c r="AT9" s="337"/>
      <c r="AU9" s="487"/>
      <c r="AV9" s="487"/>
    </row>
    <row r="10" spans="1:63" s="466" customFormat="1" ht="18.75" customHeight="1" x14ac:dyDescent="0.3">
      <c r="A10" s="458" t="s">
        <v>189</v>
      </c>
      <c r="B10" s="663"/>
      <c r="C10" s="439"/>
      <c r="D10" s="439"/>
      <c r="E10" s="439"/>
      <c r="F10" s="439"/>
      <c r="G10" s="439"/>
      <c r="H10" s="439"/>
      <c r="I10" s="439"/>
      <c r="J10" s="439"/>
      <c r="K10" s="663"/>
      <c r="L10" s="439"/>
      <c r="M10" s="439"/>
      <c r="N10" s="619"/>
      <c r="O10" s="436"/>
      <c r="P10" s="436"/>
      <c r="Q10" s="699"/>
      <c r="R10" s="437"/>
      <c r="S10" s="337"/>
      <c r="T10" s="619"/>
      <c r="U10" s="436"/>
      <c r="V10" s="337"/>
      <c r="W10" s="619"/>
      <c r="X10" s="436"/>
      <c r="Y10" s="337"/>
      <c r="Z10" s="619"/>
      <c r="AA10" s="436"/>
      <c r="AB10" s="337"/>
      <c r="AC10" s="619"/>
      <c r="AD10" s="436"/>
      <c r="AE10" s="337"/>
      <c r="AF10" s="619"/>
      <c r="AG10" s="436"/>
      <c r="AH10" s="337"/>
      <c r="AI10" s="619"/>
      <c r="AJ10" s="436"/>
      <c r="AK10" s="337"/>
      <c r="AL10" s="619"/>
      <c r="AM10" s="436"/>
      <c r="AN10" s="337"/>
      <c r="AO10" s="438"/>
      <c r="AP10" s="438"/>
      <c r="AQ10" s="337"/>
      <c r="AR10" s="438"/>
      <c r="AS10" s="438"/>
      <c r="AT10" s="337"/>
      <c r="AU10" s="493"/>
      <c r="AV10" s="493"/>
    </row>
    <row r="11" spans="1:63" s="466" customFormat="1" ht="18.75" customHeight="1" x14ac:dyDescent="0.3">
      <c r="A11" s="459"/>
      <c r="B11" s="663"/>
      <c r="C11" s="439"/>
      <c r="D11" s="439"/>
      <c r="E11" s="439"/>
      <c r="F11" s="439"/>
      <c r="G11" s="439"/>
      <c r="H11" s="439"/>
      <c r="I11" s="439"/>
      <c r="J11" s="439"/>
      <c r="K11" s="663"/>
      <c r="L11" s="439"/>
      <c r="M11" s="439"/>
      <c r="N11" s="619"/>
      <c r="O11" s="436"/>
      <c r="P11" s="436"/>
      <c r="Q11" s="699"/>
      <c r="R11" s="437"/>
      <c r="S11" s="337"/>
      <c r="T11" s="619"/>
      <c r="U11" s="436"/>
      <c r="V11" s="337"/>
      <c r="W11" s="619"/>
      <c r="X11" s="436"/>
      <c r="Y11" s="337"/>
      <c r="Z11" s="619"/>
      <c r="AA11" s="436"/>
      <c r="AB11" s="337"/>
      <c r="AC11" s="619"/>
      <c r="AD11" s="436"/>
      <c r="AE11" s="337"/>
      <c r="AF11" s="619"/>
      <c r="AG11" s="436"/>
      <c r="AH11" s="337"/>
      <c r="AI11" s="619"/>
      <c r="AJ11" s="436"/>
      <c r="AK11" s="337"/>
      <c r="AL11" s="619"/>
      <c r="AM11" s="436"/>
      <c r="AN11" s="337"/>
      <c r="AO11" s="438"/>
      <c r="AP11" s="438"/>
      <c r="AQ11" s="337"/>
      <c r="AR11" s="438"/>
      <c r="AS11" s="438"/>
      <c r="AT11" s="337"/>
      <c r="AU11" s="493"/>
      <c r="AV11" s="493"/>
    </row>
    <row r="12" spans="1:63" s="466" customFormat="1" ht="20.100000000000001" customHeight="1" x14ac:dyDescent="0.3">
      <c r="A12" s="458" t="s">
        <v>190</v>
      </c>
      <c r="B12" s="197"/>
      <c r="C12" s="440"/>
      <c r="D12" s="440"/>
      <c r="E12" s="440"/>
      <c r="F12" s="440"/>
      <c r="G12" s="440"/>
      <c r="H12" s="440"/>
      <c r="I12" s="440"/>
      <c r="J12" s="440"/>
      <c r="K12" s="197"/>
      <c r="L12" s="440"/>
      <c r="M12" s="440"/>
      <c r="N12" s="619"/>
      <c r="O12" s="436"/>
      <c r="P12" s="436"/>
      <c r="Q12" s="699"/>
      <c r="R12" s="437"/>
      <c r="S12" s="337"/>
      <c r="T12" s="619"/>
      <c r="U12" s="436"/>
      <c r="V12" s="337"/>
      <c r="W12" s="619"/>
      <c r="X12" s="436"/>
      <c r="Y12" s="337"/>
      <c r="Z12" s="619"/>
      <c r="AA12" s="436"/>
      <c r="AB12" s="337"/>
      <c r="AC12" s="619"/>
      <c r="AD12" s="436"/>
      <c r="AE12" s="337"/>
      <c r="AF12" s="619"/>
      <c r="AG12" s="436"/>
      <c r="AH12" s="337"/>
      <c r="AI12" s="619"/>
      <c r="AJ12" s="436"/>
      <c r="AK12" s="337"/>
      <c r="AL12" s="619"/>
      <c r="AM12" s="436"/>
      <c r="AN12" s="337"/>
      <c r="AO12" s="438"/>
      <c r="AP12" s="438"/>
      <c r="AQ12" s="337"/>
      <c r="AR12" s="438"/>
      <c r="AS12" s="438"/>
      <c r="AT12" s="337"/>
      <c r="AU12" s="493"/>
      <c r="AV12" s="493"/>
    </row>
    <row r="13" spans="1:63" s="495" customFormat="1" ht="20.100000000000001" customHeight="1" x14ac:dyDescent="0.3">
      <c r="A13" s="458" t="s">
        <v>191</v>
      </c>
      <c r="B13" s="197"/>
      <c r="C13" s="440"/>
      <c r="D13" s="441"/>
      <c r="E13" s="440"/>
      <c r="F13" s="440"/>
      <c r="G13" s="441"/>
      <c r="H13" s="440"/>
      <c r="I13" s="440"/>
      <c r="J13" s="441"/>
      <c r="K13" s="197"/>
      <c r="L13" s="440"/>
      <c r="M13" s="441"/>
      <c r="N13" s="104"/>
      <c r="O13" s="621"/>
      <c r="P13" s="442"/>
      <c r="Q13" s="700"/>
      <c r="R13" s="701"/>
      <c r="S13" s="443"/>
      <c r="T13" s="104"/>
      <c r="U13" s="621"/>
      <c r="V13" s="443"/>
      <c r="W13" s="104"/>
      <c r="X13" s="621"/>
      <c r="Y13" s="443"/>
      <c r="Z13" s="104"/>
      <c r="AA13" s="621"/>
      <c r="AB13" s="443"/>
      <c r="AC13" s="104"/>
      <c r="AD13" s="621"/>
      <c r="AE13" s="443"/>
      <c r="AF13" s="104"/>
      <c r="AG13" s="621"/>
      <c r="AH13" s="443"/>
      <c r="AI13" s="104"/>
      <c r="AJ13" s="621"/>
      <c r="AK13" s="443"/>
      <c r="AL13" s="104"/>
      <c r="AM13" s="621"/>
      <c r="AN13" s="443"/>
      <c r="AO13" s="444"/>
      <c r="AP13" s="444"/>
      <c r="AQ13" s="443"/>
      <c r="AR13" s="444"/>
      <c r="AS13" s="444"/>
      <c r="AT13" s="443"/>
      <c r="AU13" s="494"/>
      <c r="AV13" s="494"/>
    </row>
    <row r="14" spans="1:63" s="495" customFormat="1" ht="20.100000000000001" customHeight="1" x14ac:dyDescent="0.3">
      <c r="A14" s="460" t="s">
        <v>192</v>
      </c>
      <c r="B14" s="195"/>
      <c r="C14" s="446"/>
      <c r="D14" s="443"/>
      <c r="E14" s="446"/>
      <c r="F14" s="446"/>
      <c r="G14" s="443"/>
      <c r="H14" s="446"/>
      <c r="I14" s="446"/>
      <c r="J14" s="443"/>
      <c r="K14" s="195"/>
      <c r="L14" s="446"/>
      <c r="M14" s="443"/>
      <c r="N14" s="104">
        <v>26.3</v>
      </c>
      <c r="O14" s="621">
        <v>8.9</v>
      </c>
      <c r="P14" s="436">
        <f>IF(N14=0, "    ---- ", IF(ABS(ROUND(100/N14*O14-100,1))&lt;999,ROUND(100/N14*O14-100,1),IF(ROUND(100/N14*O14-100,1)&gt;999,999,-999)))</f>
        <v>-66.2</v>
      </c>
      <c r="Q14" s="700"/>
      <c r="R14" s="701"/>
      <c r="S14" s="443"/>
      <c r="T14" s="104">
        <v>957.96184874999994</v>
      </c>
      <c r="U14" s="621">
        <v>970.80500874999996</v>
      </c>
      <c r="V14" s="443">
        <f t="shared" ref="V14:V28" si="0">IF(T14=0, "    ---- ", IF(ABS(ROUND(100/T14*U14-100,1))&lt;999,ROUND(100/T14*U14-100,1),IF(ROUND(100/T14*U14-100,1)&gt;999,999,-999)))</f>
        <v>1.3</v>
      </c>
      <c r="W14" s="104"/>
      <c r="X14" s="621"/>
      <c r="Y14" s="443"/>
      <c r="Z14" s="104"/>
      <c r="AA14" s="621"/>
      <c r="AB14" s="443"/>
      <c r="AC14" s="104"/>
      <c r="AD14" s="621"/>
      <c r="AE14" s="443"/>
      <c r="AF14" s="104"/>
      <c r="AG14" s="621"/>
      <c r="AH14" s="443"/>
      <c r="AI14" s="104"/>
      <c r="AJ14" s="621"/>
      <c r="AK14" s="443"/>
      <c r="AL14" s="104"/>
      <c r="AM14" s="621"/>
      <c r="AN14" s="443"/>
      <c r="AO14" s="444">
        <f>B14+E14+H14+K14+N14+T14+W14+Z14+AC14+AI14+AL14</f>
        <v>984.2618487499999</v>
      </c>
      <c r="AP14" s="444">
        <f>C14+F14+I14+L14+O14+U14+X14+AA14+AD14+AJ14+AM14</f>
        <v>979.70500874999993</v>
      </c>
      <c r="AQ14" s="443">
        <f t="shared" ref="AQ14:AQ28" si="1">IF(AO14=0, "    ---- ", IF(ABS(ROUND(100/AO14*AP14-100,1))&lt;999,ROUND(100/AO14*AP14-100,1),IF(ROUND(100/AO14*AP14-100,1)&gt;999,999,-999)))</f>
        <v>-0.5</v>
      </c>
      <c r="AR14" s="444">
        <f>B14+E14+H14+K14+N14+Q14+T14+W14+Z14+AC14+AF14+AI14+AL14</f>
        <v>984.2618487499999</v>
      </c>
      <c r="AS14" s="444">
        <f>C14+F14+I14+L14+O14+R14+U14+X14+AA14+AD14+AG14+AJ14+AM14</f>
        <v>979.70500874999993</v>
      </c>
      <c r="AT14" s="443">
        <f t="shared" ref="AT14:AT29" si="2">IF(AR14=0, "    ---- ", IF(ABS(ROUND(100/AR14*AS14-100,1))&lt;999,ROUND(100/AR14*AS14-100,1),IF(ROUND(100/AR14*AS14-100,1)&gt;999,999,-999)))</f>
        <v>-0.5</v>
      </c>
      <c r="AU14" s="494"/>
      <c r="AV14" s="494"/>
    </row>
    <row r="15" spans="1:63" s="495" customFormat="1" ht="20.100000000000001" customHeight="1" x14ac:dyDescent="0.3">
      <c r="A15" s="460" t="s">
        <v>193</v>
      </c>
      <c r="B15" s="195"/>
      <c r="C15" s="446"/>
      <c r="D15" s="443"/>
      <c r="E15" s="446">
        <f>43.455+39.039</f>
        <v>82.494</v>
      </c>
      <c r="F15" s="446">
        <v>1439.175</v>
      </c>
      <c r="G15" s="443">
        <f t="shared" ref="G15:G28" si="3">IF(E15=0, "    ---- ", IF(ABS(ROUND(100/E15*F15-100,1))&lt;999,ROUND(100/E15*F15-100,1),IF(ROUND(100/E15*F15-100,1)&gt;999,999,-999)))</f>
        <v>999</v>
      </c>
      <c r="H15" s="446"/>
      <c r="I15" s="446"/>
      <c r="J15" s="443"/>
      <c r="K15" s="195"/>
      <c r="L15" s="446"/>
      <c r="M15" s="443"/>
      <c r="N15" s="104"/>
      <c r="O15" s="621"/>
      <c r="P15" s="442"/>
      <c r="Q15" s="700"/>
      <c r="R15" s="701"/>
      <c r="S15" s="443"/>
      <c r="T15" s="104">
        <v>7748.45220582</v>
      </c>
      <c r="U15" s="621">
        <v>8124.6480636800006</v>
      </c>
      <c r="V15" s="443">
        <f t="shared" si="0"/>
        <v>4.9000000000000004</v>
      </c>
      <c r="W15" s="104"/>
      <c r="X15" s="621"/>
      <c r="Y15" s="443"/>
      <c r="Z15" s="104"/>
      <c r="AA15" s="621"/>
      <c r="AB15" s="443"/>
      <c r="AC15" s="104">
        <v>1127</v>
      </c>
      <c r="AD15" s="621">
        <f>586+332</f>
        <v>918</v>
      </c>
      <c r="AE15" s="443">
        <f t="shared" ref="AE15:AE28" si="4">IF(AC15=0, "    ---- ", IF(ABS(ROUND(100/AC15*AD15-100,1))&lt;999,ROUND(100/AC15*AD15-100,1),IF(ROUND(100/AC15*AD15-100,1)&gt;999,999,-999)))</f>
        <v>-18.5</v>
      </c>
      <c r="AF15" s="104"/>
      <c r="AG15" s="621"/>
      <c r="AH15" s="443"/>
      <c r="AI15" s="104">
        <v>2559.7800000000002</v>
      </c>
      <c r="AJ15" s="621">
        <v>1638.664</v>
      </c>
      <c r="AK15" s="443">
        <f t="shared" ref="AK15:AK28" si="5">IF(AI15=0, "    ---- ", IF(ABS(ROUND(100/AI15*AJ15-100,1))&lt;999,ROUND(100/AI15*AJ15-100,1),IF(ROUND(100/AI15*AJ15-100,1)&gt;999,999,-999)))</f>
        <v>-36</v>
      </c>
      <c r="AL15" s="104">
        <v>12676</v>
      </c>
      <c r="AM15" s="621">
        <v>13627</v>
      </c>
      <c r="AN15" s="443">
        <f t="shared" ref="AN15:AN28" si="6">IF(AL15=0, "    ---- ", IF(ABS(ROUND(100/AL15*AM15-100,1))&lt;999,ROUND(100/AL15*AM15-100,1),IF(ROUND(100/AL15*AM15-100,1)&gt;999,999,-999)))</f>
        <v>7.5</v>
      </c>
      <c r="AO15" s="444">
        <f t="shared" ref="AO15:AP29" si="7">B15+E15+H15+K15+N15+T15+W15+Z15+AC15+AI15+AL15</f>
        <v>24193.726205819999</v>
      </c>
      <c r="AP15" s="444">
        <f t="shared" si="7"/>
        <v>25747.487063680001</v>
      </c>
      <c r="AQ15" s="443">
        <f t="shared" si="1"/>
        <v>6.4</v>
      </c>
      <c r="AR15" s="444">
        <f t="shared" ref="AR15:AS29" si="8">B15+E15+H15+K15+N15+Q15+T15+W15+Z15+AC15+AF15+AI15+AL15</f>
        <v>24193.726205819999</v>
      </c>
      <c r="AS15" s="444">
        <f t="shared" si="8"/>
        <v>25747.487063680001</v>
      </c>
      <c r="AT15" s="443">
        <f t="shared" si="2"/>
        <v>6.4</v>
      </c>
      <c r="AU15" s="494"/>
      <c r="AV15" s="494"/>
    </row>
    <row r="16" spans="1:63" s="495" customFormat="1" ht="20.100000000000001" customHeight="1" x14ac:dyDescent="0.3">
      <c r="A16" s="460" t="s">
        <v>194</v>
      </c>
      <c r="B16" s="195"/>
      <c r="C16" s="446"/>
      <c r="D16" s="443"/>
      <c r="E16" s="446">
        <f>SUM(E17+E19)</f>
        <v>3994.1149999999998</v>
      </c>
      <c r="F16" s="446">
        <f>SUM(F17+F19)</f>
        <v>8720.8649999999998</v>
      </c>
      <c r="G16" s="443">
        <f t="shared" si="3"/>
        <v>118.3</v>
      </c>
      <c r="H16" s="446"/>
      <c r="I16" s="446"/>
      <c r="J16" s="443"/>
      <c r="K16" s="195">
        <f>SUM(K17+K19)</f>
        <v>39.835000000000001</v>
      </c>
      <c r="L16" s="446">
        <f>SUM(L17+L19)</f>
        <v>73.308000000000007</v>
      </c>
      <c r="M16" s="443">
        <f t="shared" ref="M16:M17" si="9">IF(K16=0, "    ---- ", IF(ABS(ROUND(100/K16*L16-100,1))&lt;999,ROUND(100/K16*L16-100,1),IF(ROUND(100/K16*L16-100,1)&gt;999,999,-999)))</f>
        <v>84</v>
      </c>
      <c r="N16" s="104">
        <f>SUM(N17+N19)</f>
        <v>233.6</v>
      </c>
      <c r="O16" s="621">
        <f>SUM(O17+O19)</f>
        <v>252.1</v>
      </c>
      <c r="P16" s="436">
        <f>IF(N16=0, "    ---- ", IF(ABS(ROUND(100/N16*O16-100,1))&lt;999,ROUND(100/N16*O16-100,1),IF(ROUND(100/N16*O16-100,1)&gt;999,999,-999)))</f>
        <v>7.9</v>
      </c>
      <c r="Q16" s="700"/>
      <c r="R16" s="701">
        <f>SUM(R17+R19)</f>
        <v>0</v>
      </c>
      <c r="S16" s="443"/>
      <c r="T16" s="104">
        <f>SUM(T17+T19)</f>
        <v>18158.502889359999</v>
      </c>
      <c r="U16" s="621">
        <v>19098.04880221</v>
      </c>
      <c r="V16" s="443">
        <f t="shared" si="0"/>
        <v>5.2</v>
      </c>
      <c r="W16" s="104">
        <f>SUM(W17+W19)</f>
        <v>252.143</v>
      </c>
      <c r="X16" s="621">
        <f>SUM(X17+X19)</f>
        <v>297.48599999999999</v>
      </c>
      <c r="Y16" s="443">
        <f t="shared" ref="Y16:Y17" si="10">IF(W16=0, "    ---- ", IF(ABS(ROUND(100/W16*X16-100,1))&lt;999,ROUND(100/W16*X16-100,1),IF(ROUND(100/W16*X16-100,1)&gt;999,999,-999)))</f>
        <v>18</v>
      </c>
      <c r="Z16" s="104">
        <f>SUM(Z17+Z19)</f>
        <v>0</v>
      </c>
      <c r="AA16" s="621">
        <f>SUM(AA17+AA19)</f>
        <v>0</v>
      </c>
      <c r="AB16" s="443"/>
      <c r="AC16" s="104">
        <f>SUM(AC17+AC19)</f>
        <v>4549</v>
      </c>
      <c r="AD16" s="621">
        <f>SUM(AD17+AD19)</f>
        <v>4374</v>
      </c>
      <c r="AE16" s="443">
        <f t="shared" si="4"/>
        <v>-3.8</v>
      </c>
      <c r="AF16" s="104"/>
      <c r="AG16" s="621"/>
      <c r="AH16" s="443"/>
      <c r="AI16" s="104">
        <f>SUM(AI17+AI19)</f>
        <v>1212.5509999999999</v>
      </c>
      <c r="AJ16" s="621">
        <f>SUM(AJ17+AJ19)</f>
        <v>1119.7860000000001</v>
      </c>
      <c r="AK16" s="443">
        <f t="shared" si="5"/>
        <v>-7.7</v>
      </c>
      <c r="AL16" s="104">
        <f>SUM(AL17+AL19)</f>
        <v>7970</v>
      </c>
      <c r="AM16" s="621">
        <f>SUM(AM17+AM19)</f>
        <v>8920</v>
      </c>
      <c r="AN16" s="443">
        <f t="shared" si="6"/>
        <v>11.9</v>
      </c>
      <c r="AO16" s="444">
        <f t="shared" si="7"/>
        <v>36409.746889360002</v>
      </c>
      <c r="AP16" s="444">
        <f t="shared" si="7"/>
        <v>42855.593802210002</v>
      </c>
      <c r="AQ16" s="443">
        <f t="shared" si="1"/>
        <v>17.7</v>
      </c>
      <c r="AR16" s="444">
        <f t="shared" si="8"/>
        <v>36409.746889360002</v>
      </c>
      <c r="AS16" s="444">
        <f t="shared" si="8"/>
        <v>42855.593802210002</v>
      </c>
      <c r="AT16" s="443">
        <f t="shared" si="2"/>
        <v>17.7</v>
      </c>
      <c r="AU16" s="494"/>
      <c r="AV16" s="494"/>
    </row>
    <row r="17" spans="1:49" s="495" customFormat="1" ht="20.100000000000001" customHeight="1" x14ac:dyDescent="0.3">
      <c r="A17" s="460" t="s">
        <v>195</v>
      </c>
      <c r="B17" s="195"/>
      <c r="C17" s="446"/>
      <c r="D17" s="443"/>
      <c r="E17" s="446">
        <v>2173.41</v>
      </c>
      <c r="F17" s="446">
        <v>6265.1710000000003</v>
      </c>
      <c r="G17" s="443">
        <f t="shared" si="3"/>
        <v>188.3</v>
      </c>
      <c r="H17" s="446"/>
      <c r="I17" s="446"/>
      <c r="J17" s="443"/>
      <c r="K17" s="195">
        <v>39.835000000000001</v>
      </c>
      <c r="L17" s="446">
        <v>73.308000000000007</v>
      </c>
      <c r="M17" s="443">
        <f t="shared" si="9"/>
        <v>84</v>
      </c>
      <c r="N17" s="104"/>
      <c r="O17" s="621"/>
      <c r="P17" s="442"/>
      <c r="Q17" s="700"/>
      <c r="R17" s="701"/>
      <c r="S17" s="443"/>
      <c r="T17" s="104">
        <v>6908.8133649399997</v>
      </c>
      <c r="U17" s="621">
        <v>7328.1603061400001</v>
      </c>
      <c r="V17" s="443">
        <f t="shared" si="0"/>
        <v>6.1</v>
      </c>
      <c r="W17" s="104">
        <v>252.143</v>
      </c>
      <c r="X17" s="621">
        <v>297.48599999999999</v>
      </c>
      <c r="Y17" s="443">
        <f t="shared" si="10"/>
        <v>18</v>
      </c>
      <c r="Z17" s="104"/>
      <c r="AA17" s="621"/>
      <c r="AB17" s="443"/>
      <c r="AC17" s="104">
        <v>119</v>
      </c>
      <c r="AD17" s="621">
        <v>15</v>
      </c>
      <c r="AE17" s="443">
        <f t="shared" si="4"/>
        <v>-87.4</v>
      </c>
      <c r="AF17" s="104"/>
      <c r="AG17" s="621"/>
      <c r="AH17" s="443"/>
      <c r="AI17" s="104">
        <v>103.23399999999999</v>
      </c>
      <c r="AJ17" s="621">
        <v>74.72</v>
      </c>
      <c r="AK17" s="443">
        <f t="shared" si="5"/>
        <v>-27.6</v>
      </c>
      <c r="AL17" s="104"/>
      <c r="AM17" s="621"/>
      <c r="AN17" s="443"/>
      <c r="AO17" s="444">
        <f t="shared" si="7"/>
        <v>9596.43536494</v>
      </c>
      <c r="AP17" s="444">
        <f t="shared" si="7"/>
        <v>14053.845306140001</v>
      </c>
      <c r="AQ17" s="443">
        <f t="shared" si="1"/>
        <v>46.4</v>
      </c>
      <c r="AR17" s="444">
        <f t="shared" si="8"/>
        <v>9596.43536494</v>
      </c>
      <c r="AS17" s="444">
        <f t="shared" si="8"/>
        <v>14053.845306140001</v>
      </c>
      <c r="AT17" s="443">
        <f t="shared" si="2"/>
        <v>46.4</v>
      </c>
      <c r="AU17" s="494"/>
      <c r="AV17" s="494"/>
    </row>
    <row r="18" spans="1:49" s="495" customFormat="1" ht="20.100000000000001" customHeight="1" x14ac:dyDescent="0.3">
      <c r="A18" s="460" t="s">
        <v>196</v>
      </c>
      <c r="B18" s="195"/>
      <c r="C18" s="446"/>
      <c r="D18" s="443"/>
      <c r="E18" s="446">
        <v>2173.41</v>
      </c>
      <c r="F18" s="446">
        <v>6265.1710000000003</v>
      </c>
      <c r="G18" s="443">
        <f t="shared" si="3"/>
        <v>188.3</v>
      </c>
      <c r="H18" s="446"/>
      <c r="I18" s="446"/>
      <c r="J18" s="443"/>
      <c r="K18" s="195"/>
      <c r="L18" s="446"/>
      <c r="M18" s="443"/>
      <c r="N18" s="104"/>
      <c r="O18" s="621"/>
      <c r="P18" s="442"/>
      <c r="Q18" s="700"/>
      <c r="R18" s="701"/>
      <c r="S18" s="443"/>
      <c r="T18" s="104">
        <v>6908.8133649399997</v>
      </c>
      <c r="U18" s="621">
        <v>7328.1603061400001</v>
      </c>
      <c r="V18" s="443">
        <f t="shared" si="0"/>
        <v>6.1</v>
      </c>
      <c r="W18" s="104"/>
      <c r="X18" s="621"/>
      <c r="Y18" s="443"/>
      <c r="Z18" s="104"/>
      <c r="AA18" s="621"/>
      <c r="AB18" s="443"/>
      <c r="AC18" s="104"/>
      <c r="AD18" s="621"/>
      <c r="AE18" s="443"/>
      <c r="AF18" s="104"/>
      <c r="AG18" s="621"/>
      <c r="AH18" s="443"/>
      <c r="AI18" s="104">
        <v>16.489130860000142</v>
      </c>
      <c r="AJ18" s="621">
        <v>7.4999999999996723</v>
      </c>
      <c r="AK18" s="443">
        <f t="shared" si="5"/>
        <v>-54.5</v>
      </c>
      <c r="AL18" s="104"/>
      <c r="AM18" s="621"/>
      <c r="AN18" s="443"/>
      <c r="AO18" s="444">
        <f t="shared" si="7"/>
        <v>9098.7124958000004</v>
      </c>
      <c r="AP18" s="444">
        <f t="shared" si="7"/>
        <v>13600.83130614</v>
      </c>
      <c r="AQ18" s="443">
        <f t="shared" si="1"/>
        <v>49.5</v>
      </c>
      <c r="AR18" s="444">
        <f t="shared" si="8"/>
        <v>9098.7124958000004</v>
      </c>
      <c r="AS18" s="444">
        <f t="shared" si="8"/>
        <v>13600.83130614</v>
      </c>
      <c r="AT18" s="443">
        <f t="shared" si="2"/>
        <v>49.5</v>
      </c>
      <c r="AU18" s="494"/>
      <c r="AV18" s="494"/>
    </row>
    <row r="19" spans="1:49" s="495" customFormat="1" ht="20.100000000000001" customHeight="1" x14ac:dyDescent="0.3">
      <c r="A19" s="460" t="s">
        <v>197</v>
      </c>
      <c r="B19" s="195"/>
      <c r="C19" s="446"/>
      <c r="D19" s="443"/>
      <c r="E19" s="446">
        <v>1820.7049999999999</v>
      </c>
      <c r="F19" s="446">
        <v>2455.694</v>
      </c>
      <c r="G19" s="443">
        <f t="shared" si="3"/>
        <v>34.9</v>
      </c>
      <c r="H19" s="446"/>
      <c r="I19" s="446"/>
      <c r="J19" s="443"/>
      <c r="K19" s="195"/>
      <c r="L19" s="446"/>
      <c r="M19" s="443"/>
      <c r="N19" s="104">
        <v>233.6</v>
      </c>
      <c r="O19" s="621">
        <v>252.1</v>
      </c>
      <c r="P19" s="436">
        <f>IF(N19=0, "    ---- ", IF(ABS(ROUND(100/N19*O19-100,1))&lt;999,ROUND(100/N19*O19-100,1),IF(ROUND(100/N19*O19-100,1)&gt;999,999,-999)))</f>
        <v>7.9</v>
      </c>
      <c r="Q19" s="700"/>
      <c r="R19" s="701"/>
      <c r="S19" s="443"/>
      <c r="T19" s="104">
        <v>11249.68952442</v>
      </c>
      <c r="U19" s="621">
        <v>11769.88849607</v>
      </c>
      <c r="V19" s="443">
        <f t="shared" si="0"/>
        <v>4.5999999999999996</v>
      </c>
      <c r="W19" s="104"/>
      <c r="X19" s="621"/>
      <c r="Y19" s="443"/>
      <c r="Z19" s="104"/>
      <c r="AA19" s="621"/>
      <c r="AB19" s="443"/>
      <c r="AC19" s="104">
        <v>4430</v>
      </c>
      <c r="AD19" s="621">
        <v>4359</v>
      </c>
      <c r="AE19" s="443">
        <f t="shared" si="4"/>
        <v>-1.6</v>
      </c>
      <c r="AF19" s="104"/>
      <c r="AG19" s="621"/>
      <c r="AH19" s="443"/>
      <c r="AI19" s="104">
        <v>1109.317</v>
      </c>
      <c r="AJ19" s="621">
        <v>1045.066</v>
      </c>
      <c r="AK19" s="443">
        <f t="shared" si="5"/>
        <v>-5.8</v>
      </c>
      <c r="AL19" s="104">
        <f>7542+427+1</f>
        <v>7970</v>
      </c>
      <c r="AM19" s="621">
        <f>1+8113+806</f>
        <v>8920</v>
      </c>
      <c r="AN19" s="443">
        <f t="shared" si="6"/>
        <v>11.9</v>
      </c>
      <c r="AO19" s="444">
        <f t="shared" si="7"/>
        <v>26813.311524419998</v>
      </c>
      <c r="AP19" s="444">
        <f t="shared" si="7"/>
        <v>28801.748496069999</v>
      </c>
      <c r="AQ19" s="443">
        <f t="shared" si="1"/>
        <v>7.4</v>
      </c>
      <c r="AR19" s="444">
        <f t="shared" si="8"/>
        <v>26813.311524419998</v>
      </c>
      <c r="AS19" s="444">
        <f t="shared" si="8"/>
        <v>28801.748496069999</v>
      </c>
      <c r="AT19" s="443">
        <f t="shared" si="2"/>
        <v>7.4</v>
      </c>
      <c r="AU19" s="494"/>
      <c r="AV19" s="494"/>
    </row>
    <row r="20" spans="1:49" s="495" customFormat="1" ht="20.100000000000001" customHeight="1" x14ac:dyDescent="0.3">
      <c r="A20" s="460" t="s">
        <v>198</v>
      </c>
      <c r="B20" s="195">
        <f>SUM(B21:B25)</f>
        <v>243.90200000000002</v>
      </c>
      <c r="C20" s="446">
        <f>SUM(C21:C25)</f>
        <v>757.03300000000002</v>
      </c>
      <c r="D20" s="443">
        <f>IF(B20=0, "    ---- ", IF(ABS(ROUND(100/B20*C20-100,1))&lt;999,ROUND(100/B20*C20-100,1),IF(ROUND(100/B20*C20-100,1)&gt;999,999,-999)))</f>
        <v>210.4</v>
      </c>
      <c r="E20" s="446">
        <f>SUM(E21:E25)</f>
        <v>26704.371999999999</v>
      </c>
      <c r="F20" s="446">
        <f>SUM(F21:F25)</f>
        <v>22362.158000000003</v>
      </c>
      <c r="G20" s="443">
        <f t="shared" si="3"/>
        <v>-16.3</v>
      </c>
      <c r="H20" s="446"/>
      <c r="I20" s="446">
        <v>1399.9362183000003</v>
      </c>
      <c r="J20" s="443" t="str">
        <f t="shared" ref="J20:J23" si="11">IF(H20=0, "    ---- ", IF(ABS(ROUND(100/H20*I20-100,1))&lt;999,ROUND(100/H20*I20-100,1),IF(ROUND(100/H20*I20-100,1)&gt;999,999,-999)))</f>
        <v xml:space="preserve">    ---- </v>
      </c>
      <c r="K20" s="195">
        <f>SUM(K21:K25)</f>
        <v>154.928</v>
      </c>
      <c r="L20" s="446">
        <f>SUM(L21:L25)</f>
        <v>357.68399999999997</v>
      </c>
      <c r="M20" s="443">
        <f t="shared" ref="M20:M28" si="12">IF(K20=0, "    ---- ", IF(ABS(ROUND(100/K20*L20-100,1))&lt;999,ROUND(100/K20*L20-100,1),IF(ROUND(100/K20*L20-100,1)&gt;999,999,-999)))</f>
        <v>130.9</v>
      </c>
      <c r="N20" s="104">
        <f>SUM(N21:N25)</f>
        <v>662.19999999999993</v>
      </c>
      <c r="O20" s="621">
        <f>SUM(O21:O25)</f>
        <v>716.09999999999991</v>
      </c>
      <c r="P20" s="442">
        <f t="shared" ref="P20:P28" si="13">IF(N20=0, "    ---- ", IF(ABS(ROUND(100/N20*O20-100,1))&lt;999,ROUND(100/N20*O20-100,1),IF(ROUND(100/N20*O20-100,1)&gt;999,999,-999)))</f>
        <v>8.1</v>
      </c>
      <c r="Q20" s="700">
        <f>SUM(Q21:Q25)</f>
        <v>147.51286438</v>
      </c>
      <c r="R20" s="701">
        <f>SUM(R21:R25)</f>
        <v>151.43561832</v>
      </c>
      <c r="S20" s="443">
        <f t="shared" ref="S20:S27" si="14">IF(Q20=0, "    ---- ", IF(ABS(ROUND(100/Q20*R20-100,1))&lt;999,ROUND(100/Q20*R20-100,1),IF(ROUND(100/Q20*R20-100,1)&gt;999,999,-999)))</f>
        <v>2.7</v>
      </c>
      <c r="T20" s="104">
        <f>SUM(T21:T25)</f>
        <v>12411.934722129999</v>
      </c>
      <c r="U20" s="621">
        <v>19528.102857320002</v>
      </c>
      <c r="V20" s="443">
        <f t="shared" si="0"/>
        <v>57.3</v>
      </c>
      <c r="W20" s="104">
        <f>SUM(W21:W25)</f>
        <v>239.50899999999999</v>
      </c>
      <c r="X20" s="621">
        <f>SUM(X21:X25)</f>
        <v>274.81700000000001</v>
      </c>
      <c r="Y20" s="443">
        <f t="shared" ref="Y20:Y28" si="15">IF(W20=0, "    ---- ", IF(ABS(ROUND(100/W20*X20-100,1))&lt;999,ROUND(100/W20*X20-100,1),IF(ROUND(100/W20*X20-100,1)&gt;999,999,-999)))</f>
        <v>14.7</v>
      </c>
      <c r="Z20" s="104">
        <f>SUM(Z21:Z25)</f>
        <v>10849.5</v>
      </c>
      <c r="AA20" s="621">
        <f>SUM(AA21:AA25)</f>
        <v>10469.219999999999</v>
      </c>
      <c r="AB20" s="443">
        <f t="shared" ref="AB20:AB28" si="16">IF(Z20=0, "    ---- ", IF(ABS(ROUND(100/Z20*AA20-100,1))&lt;999,ROUND(100/Z20*AA20-100,1),IF(ROUND(100/Z20*AA20-100,1)&gt;999,999,-999)))</f>
        <v>-3.5</v>
      </c>
      <c r="AC20" s="104">
        <f>SUM(AC21:AC25)</f>
        <v>3616</v>
      </c>
      <c r="AD20" s="621">
        <f>SUM(AD21:AD25)</f>
        <v>4653</v>
      </c>
      <c r="AE20" s="443">
        <f t="shared" si="4"/>
        <v>28.7</v>
      </c>
      <c r="AF20" s="104">
        <f>SUM(AF21:AF25)</f>
        <v>69.567778559999994</v>
      </c>
      <c r="AG20" s="621">
        <f>SUM(AG21:AG25)</f>
        <v>79</v>
      </c>
      <c r="AH20" s="337">
        <f>IF(AF20=0, "    ---- ", IF(ABS(ROUND(100/AF20*AG20-100,1))&lt;999,ROUND(100/AF20*AG20-100,1),IF(ROUND(100/AF20*AG20-100,1)&gt;999,999,-999)))</f>
        <v>13.6</v>
      </c>
      <c r="AI20" s="104">
        <f>SUM(AI21:AI25)</f>
        <v>3399.9389999999999</v>
      </c>
      <c r="AJ20" s="621">
        <f>SUM(AJ21:AJ25)</f>
        <v>3637.8420000000001</v>
      </c>
      <c r="AK20" s="443">
        <f t="shared" si="5"/>
        <v>7</v>
      </c>
      <c r="AL20" s="104">
        <f>SUM(AL21:AL25)</f>
        <v>11296</v>
      </c>
      <c r="AM20" s="621">
        <f>SUM(AM21:AM25)</f>
        <v>11907</v>
      </c>
      <c r="AN20" s="443">
        <f t="shared" si="6"/>
        <v>5.4</v>
      </c>
      <c r="AO20" s="444">
        <f t="shared" si="7"/>
        <v>69578.284722129989</v>
      </c>
      <c r="AP20" s="444">
        <f t="shared" si="7"/>
        <v>76062.893075619999</v>
      </c>
      <c r="AQ20" s="443">
        <f t="shared" si="1"/>
        <v>9.3000000000000007</v>
      </c>
      <c r="AR20" s="444">
        <f t="shared" si="8"/>
        <v>69795.36536507</v>
      </c>
      <c r="AS20" s="444">
        <f t="shared" si="8"/>
        <v>76293.328693940013</v>
      </c>
      <c r="AT20" s="443">
        <f t="shared" si="2"/>
        <v>9.3000000000000007</v>
      </c>
      <c r="AU20" s="494"/>
      <c r="AV20" s="494"/>
    </row>
    <row r="21" spans="1:49" s="495" customFormat="1" ht="20.100000000000001" customHeight="1" x14ac:dyDescent="0.3">
      <c r="A21" s="460" t="s">
        <v>199</v>
      </c>
      <c r="B21" s="195">
        <v>5.7329999999999997</v>
      </c>
      <c r="C21" s="446">
        <v>5.8639999999999999</v>
      </c>
      <c r="D21" s="443">
        <f>IF(B21=0, "    ---- ", IF(ABS(ROUND(100/B21*C21-100,1))&lt;999,ROUND(100/B21*C21-100,1),IF(ROUND(100/B21*C21-100,1)&gt;999,999,-999)))</f>
        <v>2.2999999999999998</v>
      </c>
      <c r="E21" s="446">
        <v>1484.5039999999999</v>
      </c>
      <c r="F21" s="446">
        <v>526.19799999999998</v>
      </c>
      <c r="G21" s="443">
        <f t="shared" si="3"/>
        <v>-64.599999999999994</v>
      </c>
      <c r="H21" s="446"/>
      <c r="I21" s="446"/>
      <c r="J21" s="443"/>
      <c r="K21" s="195">
        <v>17.798999999999999</v>
      </c>
      <c r="L21" s="446">
        <v>41.003</v>
      </c>
      <c r="M21" s="443">
        <f t="shared" si="12"/>
        <v>130.4</v>
      </c>
      <c r="N21" s="104">
        <v>18.8</v>
      </c>
      <c r="O21" s="621">
        <v>9.3000000000000007</v>
      </c>
      <c r="P21" s="442">
        <f t="shared" si="13"/>
        <v>-50.5</v>
      </c>
      <c r="Q21" s="700"/>
      <c r="R21" s="701"/>
      <c r="S21" s="443"/>
      <c r="T21" s="104">
        <v>3.53380845</v>
      </c>
      <c r="U21" s="621">
        <v>5.2555584500000005</v>
      </c>
      <c r="V21" s="443">
        <f t="shared" si="0"/>
        <v>48.7</v>
      </c>
      <c r="W21" s="104">
        <v>230.21199999999999</v>
      </c>
      <c r="X21" s="621">
        <v>253.71299999999999</v>
      </c>
      <c r="Y21" s="443">
        <f t="shared" si="15"/>
        <v>10.199999999999999</v>
      </c>
      <c r="Z21" s="104">
        <v>0</v>
      </c>
      <c r="AA21" s="621">
        <v>0</v>
      </c>
      <c r="AB21" s="443" t="str">
        <f t="shared" si="16"/>
        <v xml:space="preserve">    ---- </v>
      </c>
      <c r="AC21" s="104">
        <v>1931</v>
      </c>
      <c r="AD21" s="621">
        <v>2175</v>
      </c>
      <c r="AE21" s="443">
        <f t="shared" si="4"/>
        <v>12.6</v>
      </c>
      <c r="AF21" s="104"/>
      <c r="AG21" s="621"/>
      <c r="AH21" s="443"/>
      <c r="AI21" s="104">
        <v>0.48899999999999999</v>
      </c>
      <c r="AJ21" s="621">
        <v>0.48899999999999999</v>
      </c>
      <c r="AK21" s="443">
        <f t="shared" si="5"/>
        <v>0</v>
      </c>
      <c r="AL21" s="104">
        <v>19</v>
      </c>
      <c r="AM21" s="621">
        <v>33</v>
      </c>
      <c r="AN21" s="443">
        <f t="shared" si="6"/>
        <v>73.7</v>
      </c>
      <c r="AO21" s="444">
        <f t="shared" si="7"/>
        <v>3711.0708084499997</v>
      </c>
      <c r="AP21" s="444">
        <f t="shared" si="7"/>
        <v>3049.8225584500001</v>
      </c>
      <c r="AQ21" s="443">
        <f t="shared" si="1"/>
        <v>-17.8</v>
      </c>
      <c r="AR21" s="444">
        <f t="shared" si="8"/>
        <v>3711.0708084499997</v>
      </c>
      <c r="AS21" s="444">
        <f t="shared" si="8"/>
        <v>3049.8225584500001</v>
      </c>
      <c r="AT21" s="443">
        <f t="shared" si="2"/>
        <v>-17.8</v>
      </c>
      <c r="AU21" s="494"/>
      <c r="AV21" s="494"/>
    </row>
    <row r="22" spans="1:49" s="495" customFormat="1" ht="20.100000000000001" customHeight="1" x14ac:dyDescent="0.3">
      <c r="A22" s="460" t="s">
        <v>200</v>
      </c>
      <c r="B22" s="195">
        <v>238.16900000000001</v>
      </c>
      <c r="C22" s="446">
        <v>751.16899999999998</v>
      </c>
      <c r="D22" s="443">
        <f>IF(B22=0, "    ---- ", IF(ABS(ROUND(100/B22*C22-100,1))&lt;999,ROUND(100/B22*C22-100,1),IF(ROUND(100/B22*C22-100,1)&gt;999,999,-999)))</f>
        <v>215.4</v>
      </c>
      <c r="E22" s="446">
        <v>25184.307000000001</v>
      </c>
      <c r="F22" s="446">
        <v>21504.741000000002</v>
      </c>
      <c r="G22" s="443">
        <f t="shared" si="3"/>
        <v>-14.6</v>
      </c>
      <c r="H22" s="446"/>
      <c r="I22" s="446">
        <v>1399.5387254100003</v>
      </c>
      <c r="J22" s="443" t="str">
        <f t="shared" si="11"/>
        <v xml:space="preserve">    ---- </v>
      </c>
      <c r="K22" s="195">
        <v>111.89400000000001</v>
      </c>
      <c r="L22" s="446">
        <v>273.43099999999998</v>
      </c>
      <c r="M22" s="443">
        <f t="shared" si="12"/>
        <v>144.4</v>
      </c>
      <c r="N22" s="104">
        <v>642</v>
      </c>
      <c r="O22" s="621">
        <v>706.8</v>
      </c>
      <c r="P22" s="442">
        <f t="shared" si="13"/>
        <v>10.1</v>
      </c>
      <c r="Q22" s="700"/>
      <c r="R22" s="701"/>
      <c r="S22" s="443"/>
      <c r="T22" s="104">
        <v>10261.168937879998</v>
      </c>
      <c r="U22" s="621">
        <v>9534.09418878</v>
      </c>
      <c r="V22" s="443">
        <f t="shared" si="0"/>
        <v>-7.1</v>
      </c>
      <c r="W22" s="104"/>
      <c r="X22" s="621"/>
      <c r="Y22" s="443"/>
      <c r="Z22" s="104">
        <v>10397.209999999999</v>
      </c>
      <c r="AA22" s="621">
        <v>10468.959999999999</v>
      </c>
      <c r="AB22" s="443">
        <f t="shared" si="16"/>
        <v>0.7</v>
      </c>
      <c r="AC22" s="104">
        <v>1675</v>
      </c>
      <c r="AD22" s="621">
        <v>2462</v>
      </c>
      <c r="AE22" s="443">
        <f t="shared" si="4"/>
        <v>47</v>
      </c>
      <c r="AF22" s="104"/>
      <c r="AG22" s="621"/>
      <c r="AH22" s="443"/>
      <c r="AI22" s="104">
        <v>2769.1109999999999</v>
      </c>
      <c r="AJ22" s="621">
        <v>3192.665</v>
      </c>
      <c r="AK22" s="443">
        <f t="shared" si="5"/>
        <v>15.3</v>
      </c>
      <c r="AL22" s="104">
        <v>10274</v>
      </c>
      <c r="AM22" s="621">
        <v>10573</v>
      </c>
      <c r="AN22" s="443">
        <f t="shared" si="6"/>
        <v>2.9</v>
      </c>
      <c r="AO22" s="444">
        <f t="shared" si="7"/>
        <v>61552.859937879999</v>
      </c>
      <c r="AP22" s="444">
        <f t="shared" si="7"/>
        <v>60866.398914190002</v>
      </c>
      <c r="AQ22" s="443">
        <f t="shared" si="1"/>
        <v>-1.1000000000000001</v>
      </c>
      <c r="AR22" s="444">
        <f t="shared" si="8"/>
        <v>61552.859937879999</v>
      </c>
      <c r="AS22" s="444">
        <f t="shared" si="8"/>
        <v>60866.398914190002</v>
      </c>
      <c r="AT22" s="443">
        <f t="shared" si="2"/>
        <v>-1.1000000000000001</v>
      </c>
      <c r="AU22" s="494"/>
      <c r="AV22" s="494"/>
    </row>
    <row r="23" spans="1:49" s="495" customFormat="1" ht="20.100000000000001" customHeight="1" x14ac:dyDescent="0.3">
      <c r="A23" s="460" t="s">
        <v>201</v>
      </c>
      <c r="B23" s="195"/>
      <c r="C23" s="446"/>
      <c r="D23" s="443"/>
      <c r="E23" s="446">
        <v>0.20599999999999999</v>
      </c>
      <c r="F23" s="446">
        <v>33.286999999999999</v>
      </c>
      <c r="G23" s="443">
        <f t="shared" si="3"/>
        <v>999</v>
      </c>
      <c r="H23" s="446"/>
      <c r="I23" s="446">
        <v>-20.234618819999991</v>
      </c>
      <c r="J23" s="443" t="str">
        <f t="shared" si="11"/>
        <v xml:space="preserve">    ---- </v>
      </c>
      <c r="K23" s="195"/>
      <c r="L23" s="446"/>
      <c r="M23" s="443"/>
      <c r="N23" s="104"/>
      <c r="O23" s="621"/>
      <c r="P23" s="442"/>
      <c r="Q23" s="700"/>
      <c r="R23" s="701"/>
      <c r="S23" s="443"/>
      <c r="T23" s="104">
        <v>1422.31604496</v>
      </c>
      <c r="U23" s="621">
        <v>4078.65558104</v>
      </c>
      <c r="V23" s="443">
        <f t="shared" si="0"/>
        <v>186.8</v>
      </c>
      <c r="W23" s="104">
        <v>9.2970000000000006</v>
      </c>
      <c r="X23" s="621">
        <v>21.103999999999999</v>
      </c>
      <c r="Y23" s="443">
        <f t="shared" si="15"/>
        <v>127</v>
      </c>
      <c r="Z23" s="104">
        <v>117.29</v>
      </c>
      <c r="AA23" s="621">
        <v>0.26</v>
      </c>
      <c r="AB23" s="443">
        <f t="shared" si="16"/>
        <v>-99.8</v>
      </c>
      <c r="AC23" s="104"/>
      <c r="AD23" s="621"/>
      <c r="AE23" s="443"/>
      <c r="AF23" s="104"/>
      <c r="AG23" s="621"/>
      <c r="AH23" s="443"/>
      <c r="AI23" s="104"/>
      <c r="AJ23" s="621"/>
      <c r="AK23" s="443"/>
      <c r="AL23" s="104"/>
      <c r="AM23" s="621"/>
      <c r="AN23" s="443"/>
      <c r="AO23" s="444">
        <f t="shared" si="7"/>
        <v>1549.1090449599999</v>
      </c>
      <c r="AP23" s="444">
        <f t="shared" si="7"/>
        <v>4113.0719622200004</v>
      </c>
      <c r="AQ23" s="443">
        <f t="shared" si="1"/>
        <v>165.5</v>
      </c>
      <c r="AR23" s="444">
        <f t="shared" si="8"/>
        <v>1549.1090449599999</v>
      </c>
      <c r="AS23" s="444">
        <f t="shared" si="8"/>
        <v>4113.0719622200004</v>
      </c>
      <c r="AT23" s="443">
        <f t="shared" si="2"/>
        <v>165.5</v>
      </c>
      <c r="AU23" s="494"/>
      <c r="AV23" s="494"/>
    </row>
    <row r="24" spans="1:49" s="495" customFormat="1" ht="20.100000000000001" customHeight="1" x14ac:dyDescent="0.3">
      <c r="A24" s="460" t="s">
        <v>202</v>
      </c>
      <c r="B24" s="195"/>
      <c r="C24" s="446"/>
      <c r="D24" s="443"/>
      <c r="E24" s="446"/>
      <c r="F24" s="446"/>
      <c r="G24" s="443"/>
      <c r="H24" s="446"/>
      <c r="I24" s="446"/>
      <c r="J24" s="443"/>
      <c r="K24" s="195"/>
      <c r="L24" s="446"/>
      <c r="M24" s="443"/>
      <c r="N24" s="104"/>
      <c r="O24" s="621"/>
      <c r="P24" s="442"/>
      <c r="Q24" s="700"/>
      <c r="R24" s="701"/>
      <c r="S24" s="443"/>
      <c r="T24" s="104">
        <v>720.64763240999991</v>
      </c>
      <c r="U24" s="621">
        <v>1060.2007095500001</v>
      </c>
      <c r="V24" s="443">
        <f t="shared" si="0"/>
        <v>47.1</v>
      </c>
      <c r="W24" s="104"/>
      <c r="X24" s="621"/>
      <c r="Y24" s="443"/>
      <c r="Z24" s="104">
        <v>0</v>
      </c>
      <c r="AA24" s="621">
        <v>0</v>
      </c>
      <c r="AB24" s="443"/>
      <c r="AC24" s="104">
        <v>10</v>
      </c>
      <c r="AD24" s="621">
        <v>16</v>
      </c>
      <c r="AE24" s="443">
        <f t="shared" si="4"/>
        <v>60</v>
      </c>
      <c r="AF24" s="104"/>
      <c r="AG24" s="621"/>
      <c r="AH24" s="443"/>
      <c r="AI24" s="104">
        <v>0</v>
      </c>
      <c r="AJ24" s="621">
        <v>0.63500000000000001</v>
      </c>
      <c r="AK24" s="443" t="str">
        <f t="shared" si="5"/>
        <v xml:space="preserve">    ---- </v>
      </c>
      <c r="AL24" s="104">
        <v>1003</v>
      </c>
      <c r="AM24" s="621">
        <v>1301</v>
      </c>
      <c r="AN24" s="443">
        <f t="shared" si="6"/>
        <v>29.7</v>
      </c>
      <c r="AO24" s="444">
        <f t="shared" si="7"/>
        <v>1733.6476324099999</v>
      </c>
      <c r="AP24" s="444">
        <f t="shared" si="7"/>
        <v>2377.83570955</v>
      </c>
      <c r="AQ24" s="443">
        <f t="shared" si="1"/>
        <v>37.200000000000003</v>
      </c>
      <c r="AR24" s="444">
        <f t="shared" si="8"/>
        <v>1733.6476324099999</v>
      </c>
      <c r="AS24" s="444">
        <f t="shared" si="8"/>
        <v>2377.83570955</v>
      </c>
      <c r="AT24" s="443">
        <f t="shared" si="2"/>
        <v>37.200000000000003</v>
      </c>
      <c r="AU24" s="494"/>
      <c r="AV24" s="494"/>
    </row>
    <row r="25" spans="1:49" s="495" customFormat="1" ht="20.100000000000001" customHeight="1" x14ac:dyDescent="0.3">
      <c r="A25" s="460" t="s">
        <v>203</v>
      </c>
      <c r="B25" s="195"/>
      <c r="C25" s="446"/>
      <c r="D25" s="443"/>
      <c r="E25" s="446">
        <v>35.354999999999997</v>
      </c>
      <c r="F25" s="446">
        <v>297.93200000000002</v>
      </c>
      <c r="G25" s="443">
        <f t="shared" si="3"/>
        <v>742.7</v>
      </c>
      <c r="H25" s="446"/>
      <c r="I25" s="446">
        <v>20.63211171</v>
      </c>
      <c r="J25" s="443" t="str">
        <f t="shared" ref="J25" si="17">IF(H25=0, "    ---- ", IF(ABS(ROUND(100/H25*I25-100,1))&lt;999,ROUND(100/H25*I25-100,1),IF(ROUND(100/H25*I25-100,1)&gt;999,999,-999)))</f>
        <v xml:space="preserve">    ---- </v>
      </c>
      <c r="K25" s="195">
        <v>25.234999999999999</v>
      </c>
      <c r="L25" s="446">
        <v>43.25</v>
      </c>
      <c r="M25" s="443">
        <f t="shared" si="12"/>
        <v>71.400000000000006</v>
      </c>
      <c r="N25" s="104">
        <v>1.4</v>
      </c>
      <c r="O25" s="621"/>
      <c r="P25" s="442"/>
      <c r="Q25" s="700">
        <v>147.51286438</v>
      </c>
      <c r="R25" s="701">
        <v>151.43561832</v>
      </c>
      <c r="S25" s="443">
        <f t="shared" si="14"/>
        <v>2.7</v>
      </c>
      <c r="T25" s="104">
        <v>4.2682984299999998</v>
      </c>
      <c r="U25" s="621">
        <v>4849.8968194999998</v>
      </c>
      <c r="V25" s="443">
        <f t="shared" si="0"/>
        <v>999</v>
      </c>
      <c r="W25" s="104"/>
      <c r="X25" s="621"/>
      <c r="Y25" s="443"/>
      <c r="Z25" s="104">
        <v>335</v>
      </c>
      <c r="AA25" s="621">
        <v>0</v>
      </c>
      <c r="AB25" s="443"/>
      <c r="AC25" s="104"/>
      <c r="AD25" s="621"/>
      <c r="AE25" s="443"/>
      <c r="AF25" s="104">
        <v>69.567778559999994</v>
      </c>
      <c r="AG25" s="621">
        <v>79</v>
      </c>
      <c r="AH25" s="337">
        <f>IF(AF25=0, "    ---- ", IF(ABS(ROUND(100/AF25*AG25-100,1))&lt;999,ROUND(100/AF25*AG25-100,1),IF(ROUND(100/AF25*AG25-100,1)&gt;999,999,-999)))</f>
        <v>13.6</v>
      </c>
      <c r="AI25" s="104">
        <v>630.33900000000006</v>
      </c>
      <c r="AJ25" s="621">
        <v>444.053</v>
      </c>
      <c r="AK25" s="443">
        <f t="shared" si="5"/>
        <v>-29.6</v>
      </c>
      <c r="AL25" s="104"/>
      <c r="AM25" s="621"/>
      <c r="AN25" s="443"/>
      <c r="AO25" s="444">
        <f t="shared" si="7"/>
        <v>1031.5972984300001</v>
      </c>
      <c r="AP25" s="444">
        <f t="shared" si="7"/>
        <v>5655.76393121</v>
      </c>
      <c r="AQ25" s="443">
        <f t="shared" si="1"/>
        <v>448.3</v>
      </c>
      <c r="AR25" s="444">
        <f t="shared" si="8"/>
        <v>1248.6779413700001</v>
      </c>
      <c r="AS25" s="444">
        <f t="shared" si="8"/>
        <v>5886.1995495299998</v>
      </c>
      <c r="AT25" s="443">
        <f t="shared" si="2"/>
        <v>371.4</v>
      </c>
      <c r="AU25" s="494"/>
      <c r="AV25" s="494"/>
    </row>
    <row r="26" spans="1:49" s="495" customFormat="1" ht="20.100000000000001" customHeight="1" x14ac:dyDescent="0.3">
      <c r="A26" s="460" t="s">
        <v>204</v>
      </c>
      <c r="B26" s="195"/>
      <c r="C26" s="446"/>
      <c r="D26" s="443"/>
      <c r="E26" s="446"/>
      <c r="F26" s="446"/>
      <c r="G26" s="443"/>
      <c r="H26" s="446"/>
      <c r="I26" s="446"/>
      <c r="J26" s="443"/>
      <c r="K26" s="195"/>
      <c r="L26" s="446"/>
      <c r="M26" s="443"/>
      <c r="N26" s="104"/>
      <c r="O26" s="621"/>
      <c r="P26" s="442"/>
      <c r="Q26" s="700"/>
      <c r="R26" s="701"/>
      <c r="S26" s="443"/>
      <c r="T26" s="104"/>
      <c r="U26" s="621"/>
      <c r="V26" s="443"/>
      <c r="W26" s="104"/>
      <c r="X26" s="621"/>
      <c r="Y26" s="443"/>
      <c r="Z26" s="104"/>
      <c r="AA26" s="621">
        <v>0</v>
      </c>
      <c r="AB26" s="443"/>
      <c r="AC26" s="104"/>
      <c r="AD26" s="621"/>
      <c r="AE26" s="443"/>
      <c r="AF26" s="104"/>
      <c r="AG26" s="621"/>
      <c r="AH26" s="443"/>
      <c r="AI26" s="104"/>
      <c r="AJ26" s="621"/>
      <c r="AK26" s="443"/>
      <c r="AL26" s="104"/>
      <c r="AM26" s="621"/>
      <c r="AN26" s="443"/>
      <c r="AO26" s="444">
        <f t="shared" si="7"/>
        <v>0</v>
      </c>
      <c r="AP26" s="444">
        <f t="shared" si="7"/>
        <v>0</v>
      </c>
      <c r="AQ26" s="443" t="str">
        <f t="shared" si="1"/>
        <v xml:space="preserve">    ---- </v>
      </c>
      <c r="AR26" s="444">
        <f t="shared" si="8"/>
        <v>0</v>
      </c>
      <c r="AS26" s="444">
        <f t="shared" si="8"/>
        <v>0</v>
      </c>
      <c r="AT26" s="443" t="str">
        <f t="shared" si="2"/>
        <v xml:space="preserve">    ---- </v>
      </c>
      <c r="AU26" s="494"/>
      <c r="AV26" s="494"/>
    </row>
    <row r="27" spans="1:49" s="495" customFormat="1" ht="20.100000000000001" customHeight="1" x14ac:dyDescent="0.3">
      <c r="A27" s="461" t="s">
        <v>205</v>
      </c>
      <c r="B27" s="195">
        <f>SUM(B14+B15+B16+B20+B26)</f>
        <v>243.90200000000002</v>
      </c>
      <c r="C27" s="446">
        <f>SUM(C14+C15+C16+C20+C26)</f>
        <v>757.03300000000002</v>
      </c>
      <c r="D27" s="443">
        <f>IF(B27=0, "    ---- ", IF(ABS(ROUND(100/B27*C27-100,1))&lt;999,ROUND(100/B27*C27-100,1),IF(ROUND(100/B27*C27-100,1)&gt;999,999,-999)))</f>
        <v>210.4</v>
      </c>
      <c r="E27" s="446">
        <f>SUM(E14+E15+E16+E20+E26)</f>
        <v>30780.981</v>
      </c>
      <c r="F27" s="446">
        <f>SUM(F14+F15+F16+F20+F26)</f>
        <v>32522.198000000004</v>
      </c>
      <c r="G27" s="443">
        <f t="shared" si="3"/>
        <v>5.7</v>
      </c>
      <c r="H27" s="446"/>
      <c r="I27" s="446">
        <f>SUM(I14+I15+I16+I20+I26)</f>
        <v>1399.9362183000003</v>
      </c>
      <c r="J27" s="443" t="str">
        <f t="shared" ref="J27:J28" si="18">IF(H27=0, "    ---- ", IF(ABS(ROUND(100/H27*I27-100,1))&lt;999,ROUND(100/H27*I27-100,1),IF(ROUND(100/H27*I27-100,1)&gt;999,999,-999)))</f>
        <v xml:space="preserve">    ---- </v>
      </c>
      <c r="K27" s="195">
        <f>SUM(K14+K15+K16+K20+K26)</f>
        <v>194.76300000000001</v>
      </c>
      <c r="L27" s="446">
        <f>SUM(L14+L15+L16+L20+L26)</f>
        <v>430.99199999999996</v>
      </c>
      <c r="M27" s="443">
        <f t="shared" si="12"/>
        <v>121.3</v>
      </c>
      <c r="N27" s="104">
        <f>SUM(N14+N15+N16+N20+N26)</f>
        <v>922.09999999999991</v>
      </c>
      <c r="O27" s="621">
        <f>SUM(O14+O15+O16+O20+O26)</f>
        <v>977.09999999999991</v>
      </c>
      <c r="P27" s="442">
        <f t="shared" si="13"/>
        <v>6</v>
      </c>
      <c r="Q27" s="700">
        <f>SUM(Q14+Q15+Q16+Q20+Q26)</f>
        <v>147.51286438</v>
      </c>
      <c r="R27" s="701">
        <f>SUM(R14+R15+R16+R20+R26)</f>
        <v>151.43561832</v>
      </c>
      <c r="S27" s="443">
        <f t="shared" si="14"/>
        <v>2.7</v>
      </c>
      <c r="T27" s="104">
        <f>SUM(T14+T15+T16+T20+T26)</f>
        <v>39276.85166606</v>
      </c>
      <c r="U27" s="621">
        <v>47721.604731960004</v>
      </c>
      <c r="V27" s="443">
        <f t="shared" si="0"/>
        <v>21.5</v>
      </c>
      <c r="W27" s="104">
        <f>SUM(W14+W15+W16+W20+W26)</f>
        <v>491.65199999999999</v>
      </c>
      <c r="X27" s="621">
        <f>SUM(X14+X15+X16+X20+X26)</f>
        <v>572.303</v>
      </c>
      <c r="Y27" s="443">
        <f t="shared" si="15"/>
        <v>16.399999999999999</v>
      </c>
      <c r="Z27" s="104">
        <f>SUM(Z14+Z15+Z16+Z20+Z26)</f>
        <v>10849.5</v>
      </c>
      <c r="AA27" s="621">
        <f>SUM(AA14+AA15+AA16+AA20+AA26)</f>
        <v>10469.219999999999</v>
      </c>
      <c r="AB27" s="443">
        <f t="shared" si="16"/>
        <v>-3.5</v>
      </c>
      <c r="AC27" s="104">
        <f>SUM(AC14+AC15+AC16+AC20+AC26)</f>
        <v>9292</v>
      </c>
      <c r="AD27" s="621">
        <f>SUM(AD14+AD15+AD16+AD20+AD26)</f>
        <v>9945</v>
      </c>
      <c r="AE27" s="443">
        <f t="shared" si="4"/>
        <v>7</v>
      </c>
      <c r="AF27" s="104">
        <f>SUM(AF14+AF15+AF16+AF20+AF26)</f>
        <v>69.567778559999994</v>
      </c>
      <c r="AG27" s="621">
        <f>SUM(AG14+AG15+AG16+AG20+AG26)</f>
        <v>79</v>
      </c>
      <c r="AH27" s="337">
        <f>IF(AF27=0, "    ---- ", IF(ABS(ROUND(100/AF27*AG27-100,1))&lt;999,ROUND(100/AF27*AG27-100,1),IF(ROUND(100/AF27*AG27-100,1)&gt;999,999,-999)))</f>
        <v>13.6</v>
      </c>
      <c r="AI27" s="104">
        <f>SUM(AI14+AI15+AI16+AI20+AI26)</f>
        <v>7172.27</v>
      </c>
      <c r="AJ27" s="621">
        <f>SUM(AJ14+AJ15+AJ16+AJ20+AJ26)</f>
        <v>6396.2919999999995</v>
      </c>
      <c r="AK27" s="443">
        <f t="shared" si="5"/>
        <v>-10.8</v>
      </c>
      <c r="AL27" s="104">
        <f>SUM(AL14+AL15+AL16+AL20+AL26)</f>
        <v>31942</v>
      </c>
      <c r="AM27" s="621">
        <f>SUM(AM14+AM15+AM16+AM20+AM26)</f>
        <v>34454</v>
      </c>
      <c r="AN27" s="443">
        <f t="shared" si="6"/>
        <v>7.9</v>
      </c>
      <c r="AO27" s="444">
        <f t="shared" si="7"/>
        <v>131166.01966605999</v>
      </c>
      <c r="AP27" s="444">
        <f t="shared" si="7"/>
        <v>145645.67895026001</v>
      </c>
      <c r="AQ27" s="443">
        <f t="shared" si="1"/>
        <v>11</v>
      </c>
      <c r="AR27" s="444">
        <f t="shared" si="8"/>
        <v>131383.100309</v>
      </c>
      <c r="AS27" s="444">
        <f t="shared" si="8"/>
        <v>145876.11456858</v>
      </c>
      <c r="AT27" s="443">
        <f t="shared" si="2"/>
        <v>11</v>
      </c>
      <c r="AU27" s="494"/>
      <c r="AV27" s="494"/>
    </row>
    <row r="28" spans="1:49" s="495" customFormat="1" ht="20.100000000000001" customHeight="1" x14ac:dyDescent="0.3">
      <c r="A28" s="460" t="s">
        <v>206</v>
      </c>
      <c r="B28" s="195">
        <f>70.592+228.1+2.86</f>
        <v>301.55200000000002</v>
      </c>
      <c r="C28" s="446">
        <f>62.181+130.869+3.925</f>
        <v>196.97500000000002</v>
      </c>
      <c r="D28" s="443">
        <f>IF(B28=0, "    ---- ", IF(ABS(ROUND(100/B28*C28-100,1))&lt;999,ROUND(100/B28*C28-100,1),IF(ROUND(100/B28*C28-100,1)&gt;999,999,-999)))</f>
        <v>-34.700000000000003</v>
      </c>
      <c r="E28" s="446">
        <f>8.019+269.719+636.291+52.62</f>
        <v>966.649</v>
      </c>
      <c r="F28" s="446">
        <f>2.585+152.593+521.082+151.831</f>
        <v>828.09100000000001</v>
      </c>
      <c r="G28" s="443">
        <f t="shared" si="3"/>
        <v>-14.3</v>
      </c>
      <c r="H28" s="446"/>
      <c r="I28" s="446">
        <v>1579.1475227699998</v>
      </c>
      <c r="J28" s="443" t="str">
        <f t="shared" si="18"/>
        <v xml:space="preserve">    ---- </v>
      </c>
      <c r="K28" s="195">
        <v>415.44</v>
      </c>
      <c r="L28" s="446">
        <v>453.685</v>
      </c>
      <c r="M28" s="443">
        <f t="shared" si="12"/>
        <v>9.1999999999999993</v>
      </c>
      <c r="N28" s="104">
        <f>58.6+132.6+208.6+13.8</f>
        <v>413.59999999999997</v>
      </c>
      <c r="O28" s="621">
        <f>32.2+145.7+307.1+1.5</f>
        <v>486.5</v>
      </c>
      <c r="P28" s="442">
        <f t="shared" si="13"/>
        <v>17.600000000000001</v>
      </c>
      <c r="Q28" s="700"/>
      <c r="R28" s="701"/>
      <c r="S28" s="443"/>
      <c r="T28" s="104">
        <v>10917.25841618</v>
      </c>
      <c r="U28" s="621">
        <v>2679.6004479099997</v>
      </c>
      <c r="V28" s="443">
        <f t="shared" si="0"/>
        <v>-75.5</v>
      </c>
      <c r="W28" s="104">
        <v>29.068999999999999</v>
      </c>
      <c r="X28" s="621">
        <v>28.085000000000001</v>
      </c>
      <c r="Y28" s="443">
        <f t="shared" si="15"/>
        <v>-3.4</v>
      </c>
      <c r="Z28" s="104">
        <v>221</v>
      </c>
      <c r="AA28" s="621">
        <v>1032</v>
      </c>
      <c r="AB28" s="443">
        <f t="shared" si="16"/>
        <v>367</v>
      </c>
      <c r="AC28" s="104">
        <f>75+1159+29+19</f>
        <v>1282</v>
      </c>
      <c r="AD28" s="621">
        <v>1316</v>
      </c>
      <c r="AE28" s="443">
        <f t="shared" si="4"/>
        <v>2.7</v>
      </c>
      <c r="AF28" s="104"/>
      <c r="AG28" s="621"/>
      <c r="AH28" s="443"/>
      <c r="AI28" s="104">
        <v>563.61500000000001</v>
      </c>
      <c r="AJ28" s="621">
        <v>512.62400000000002</v>
      </c>
      <c r="AK28" s="443">
        <f t="shared" si="5"/>
        <v>-9</v>
      </c>
      <c r="AL28" s="104">
        <f>340+2995+2799+99</f>
        <v>6233</v>
      </c>
      <c r="AM28" s="621">
        <f>380+1687+2924+47</f>
        <v>5038</v>
      </c>
      <c r="AN28" s="443">
        <f t="shared" si="6"/>
        <v>-19.2</v>
      </c>
      <c r="AO28" s="444">
        <f t="shared" si="7"/>
        <v>21343.18341618</v>
      </c>
      <c r="AP28" s="444">
        <f t="shared" si="7"/>
        <v>14150.70797068</v>
      </c>
      <c r="AQ28" s="443">
        <f t="shared" si="1"/>
        <v>-33.700000000000003</v>
      </c>
      <c r="AR28" s="444">
        <f t="shared" si="8"/>
        <v>21343.18341618</v>
      </c>
      <c r="AS28" s="444">
        <f t="shared" si="8"/>
        <v>14150.70797068</v>
      </c>
      <c r="AT28" s="443">
        <f t="shared" si="2"/>
        <v>-33.700000000000003</v>
      </c>
      <c r="AU28" s="494"/>
      <c r="AV28" s="494"/>
    </row>
    <row r="29" spans="1:49" s="495" customFormat="1" ht="20.100000000000001" customHeight="1" x14ac:dyDescent="0.3">
      <c r="A29" s="460" t="s">
        <v>207</v>
      </c>
      <c r="B29" s="195">
        <f>SUM(B27+B28)</f>
        <v>545.45400000000006</v>
      </c>
      <c r="C29" s="446">
        <f>SUM(C27+C28)</f>
        <v>954.00800000000004</v>
      </c>
      <c r="D29" s="443">
        <f>IF(B29=0, "    ---- ", IF(ABS(ROUND(100/B29*C29-100,1))&lt;999,ROUND(100/B29*C29-100,1),IF(ROUND(100/B29*C29-100,1)&gt;999,999,-999)))</f>
        <v>74.900000000000006</v>
      </c>
      <c r="E29" s="446">
        <f>SUM(E27+E28)</f>
        <v>31747.63</v>
      </c>
      <c r="F29" s="446">
        <f>SUM(F27+F28)</f>
        <v>33350.289000000004</v>
      </c>
      <c r="G29" s="443">
        <f>IF(E29=0, "    ---- ", IF(ABS(ROUND(100/E29*F29-100,1))&lt;999,ROUND(100/E29*F29-100,1),IF(ROUND(100/E29*F29-100,1)&gt;999,999,-999)))</f>
        <v>5</v>
      </c>
      <c r="H29" s="446"/>
      <c r="I29" s="446">
        <f>SUM(I27+I28)</f>
        <v>2979.0837410700001</v>
      </c>
      <c r="J29" s="443" t="str">
        <f>IF(H29=0, "    ---- ", IF(ABS(ROUND(100/H29*I29-100,1))&lt;999,ROUND(100/H29*I29-100,1),IF(ROUND(100/H29*I29-100,1)&gt;999,999,-999)))</f>
        <v xml:space="preserve">    ---- </v>
      </c>
      <c r="K29" s="195">
        <f>SUM(K27+K28)</f>
        <v>610.20299999999997</v>
      </c>
      <c r="L29" s="446">
        <f>SUM(L27+L28)</f>
        <v>884.67699999999991</v>
      </c>
      <c r="M29" s="443">
        <f>IF(K29=0, "    ---- ", IF(ABS(ROUND(100/K29*L29-100,1))&lt;999,ROUND(100/K29*L29-100,1),IF(ROUND(100/K29*L29-100,1)&gt;999,999,-999)))</f>
        <v>45</v>
      </c>
      <c r="N29" s="195">
        <f>SUM(N27+N28)</f>
        <v>1335.6999999999998</v>
      </c>
      <c r="O29" s="446">
        <f>SUM(O27+O28)</f>
        <v>1463.6</v>
      </c>
      <c r="P29" s="443">
        <f>IF(N29=0, "    ---- ", IF(ABS(ROUND(100/N29*O29-100,1))&lt;999,ROUND(100/N29*O29-100,1),IF(ROUND(100/N29*O29-100,1)&gt;999,999,-999)))</f>
        <v>9.6</v>
      </c>
      <c r="Q29" s="195">
        <f>SUM(Q27+Q28)</f>
        <v>147.51286438</v>
      </c>
      <c r="R29" s="446">
        <f>SUM(R27+R28)</f>
        <v>151.43561832</v>
      </c>
      <c r="S29" s="443">
        <f>IF(Q29=0, "    ---- ", IF(ABS(ROUND(100/Q29*R29-100,1))&lt;999,ROUND(100/Q29*R29-100,1),IF(ROUND(100/Q29*R29-100,1)&gt;999,999,-999)))</f>
        <v>2.7</v>
      </c>
      <c r="T29" s="195">
        <f>SUM(T27+T28)</f>
        <v>50194.110082240004</v>
      </c>
      <c r="U29" s="446">
        <v>50401.205179870005</v>
      </c>
      <c r="V29" s="443">
        <f>IF(T29=0, "    ---- ", IF(ABS(ROUND(100/T29*U29-100,1))&lt;999,ROUND(100/T29*U29-100,1),IF(ROUND(100/T29*U29-100,1)&gt;999,999,-999)))</f>
        <v>0.4</v>
      </c>
      <c r="W29" s="195">
        <f>SUM(W27+W28)</f>
        <v>520.721</v>
      </c>
      <c r="X29" s="446">
        <f>SUM(X27+X28)</f>
        <v>600.38800000000003</v>
      </c>
      <c r="Y29" s="443">
        <f>IF(W29=0, "    ---- ", IF(ABS(ROUND(100/W29*X29-100,1))&lt;999,ROUND(100/W29*X29-100,1),IF(ROUND(100/W29*X29-100,1)&gt;999,999,-999)))</f>
        <v>15.3</v>
      </c>
      <c r="Z29" s="195">
        <f>SUM(Z27+Z28)</f>
        <v>11070.5</v>
      </c>
      <c r="AA29" s="446">
        <f>SUM(AA27+AA28)</f>
        <v>11501.22</v>
      </c>
      <c r="AB29" s="443">
        <f>IF(Z29=0, "    ---- ", IF(ABS(ROUND(100/Z29*AA29-100,1))&lt;999,ROUND(100/Z29*AA29-100,1),IF(ROUND(100/Z29*AA29-100,1)&gt;999,999,-999)))</f>
        <v>3.9</v>
      </c>
      <c r="AC29" s="195">
        <f>SUM(AC27+AC28)</f>
        <v>10574</v>
      </c>
      <c r="AD29" s="446">
        <f>SUM(AD27+AD28)</f>
        <v>11261</v>
      </c>
      <c r="AE29" s="443">
        <f>IF(AC29=0, "    ---- ", IF(ABS(ROUND(100/AC29*AD29-100,1))&lt;999,ROUND(100/AC29*AD29-100,1),IF(ROUND(100/AC29*AD29-100,1)&gt;999,999,-999)))</f>
        <v>6.5</v>
      </c>
      <c r="AF29" s="195">
        <f>SUM(AF27+AF28)</f>
        <v>69.567778559999994</v>
      </c>
      <c r="AG29" s="446">
        <f>SUM(AG27+AG28)</f>
        <v>79</v>
      </c>
      <c r="AH29" s="443">
        <f>IF(AF29=0, "    ---- ", IF(ABS(ROUND(100/AF29*AG29-100,1))&lt;999,ROUND(100/AF29*AG29-100,1),IF(ROUND(100/AF29*AG29-100,1)&gt;999,999,-999)))</f>
        <v>13.6</v>
      </c>
      <c r="AI29" s="195">
        <f>SUM(AI27+AI28)</f>
        <v>7735.8850000000002</v>
      </c>
      <c r="AJ29" s="446">
        <f>SUM(AJ27+AJ28)</f>
        <v>6908.9159999999993</v>
      </c>
      <c r="AK29" s="443">
        <f>IF(AI29=0, "    ---- ", IF(ABS(ROUND(100/AI29*AJ29-100,1))&lt;999,ROUND(100/AI29*AJ29-100,1),IF(ROUND(100/AI29*AJ29-100,1)&gt;999,999,-999)))</f>
        <v>-10.7</v>
      </c>
      <c r="AL29" s="195">
        <f>SUM(AL27+AL28)</f>
        <v>38175</v>
      </c>
      <c r="AM29" s="446">
        <f>SUM(AM27+AM28)</f>
        <v>39492</v>
      </c>
      <c r="AN29" s="443">
        <f>IF(AL29=0, "    ---- ", IF(ABS(ROUND(100/AL29*AM29-100,1))&lt;999,ROUND(100/AL29*AM29-100,1),IF(ROUND(100/AL29*AM29-100,1)&gt;999,999,-999)))</f>
        <v>3.4</v>
      </c>
      <c r="AO29" s="444">
        <f t="shared" si="7"/>
        <v>152509.20308224001</v>
      </c>
      <c r="AP29" s="444">
        <f t="shared" si="7"/>
        <v>159796.38692094001</v>
      </c>
      <c r="AQ29" s="443">
        <f>IF(AO29=0, "    ---- ", IF(ABS(ROUND(100/AO29*AP29-100,1))&lt;999,ROUND(100/AO29*AP29-100,1),IF(ROUND(100/AO29*AP29-100,1)&gt;999,999,-999)))</f>
        <v>4.8</v>
      </c>
      <c r="AR29" s="444">
        <f t="shared" si="8"/>
        <v>152726.28372518002</v>
      </c>
      <c r="AS29" s="444">
        <f t="shared" si="8"/>
        <v>160026.82253926003</v>
      </c>
      <c r="AT29" s="445">
        <f t="shared" si="2"/>
        <v>4.8</v>
      </c>
      <c r="AU29" s="494"/>
      <c r="AV29" s="494"/>
      <c r="AW29" s="496"/>
    </row>
    <row r="30" spans="1:49" s="466" customFormat="1" ht="20.100000000000001" customHeight="1" x14ac:dyDescent="0.3">
      <c r="A30" s="460"/>
      <c r="B30" s="619"/>
      <c r="C30" s="436"/>
      <c r="D30" s="446"/>
      <c r="E30" s="436"/>
      <c r="F30" s="436"/>
      <c r="G30" s="446"/>
      <c r="H30" s="436"/>
      <c r="I30" s="436"/>
      <c r="J30" s="446"/>
      <c r="K30" s="619"/>
      <c r="L30" s="436"/>
      <c r="M30" s="446"/>
      <c r="N30" s="195"/>
      <c r="O30" s="446"/>
      <c r="P30" s="436"/>
      <c r="Q30" s="619"/>
      <c r="R30" s="436"/>
      <c r="S30" s="337"/>
      <c r="T30" s="619"/>
      <c r="U30" s="436"/>
      <c r="V30" s="337"/>
      <c r="W30" s="619"/>
      <c r="X30" s="436"/>
      <c r="Y30" s="337"/>
      <c r="Z30" s="619"/>
      <c r="AA30" s="436"/>
      <c r="AB30" s="337"/>
      <c r="AC30" s="619"/>
      <c r="AD30" s="436"/>
      <c r="AE30" s="337"/>
      <c r="AF30" s="619"/>
      <c r="AG30" s="436"/>
      <c r="AH30" s="337"/>
      <c r="AI30" s="619"/>
      <c r="AJ30" s="436"/>
      <c r="AK30" s="337"/>
      <c r="AL30" s="619"/>
      <c r="AM30" s="436"/>
      <c r="AN30" s="337"/>
      <c r="AO30" s="438"/>
      <c r="AP30" s="438"/>
      <c r="AQ30" s="337"/>
      <c r="AR30" s="438"/>
      <c r="AS30" s="438"/>
      <c r="AT30" s="447"/>
      <c r="AU30" s="493"/>
      <c r="AV30" s="493"/>
    </row>
    <row r="31" spans="1:49" s="466" customFormat="1" ht="20.100000000000001" customHeight="1" x14ac:dyDescent="0.3">
      <c r="A31" s="458" t="s">
        <v>208</v>
      </c>
      <c r="B31" s="195"/>
      <c r="C31" s="446"/>
      <c r="D31" s="446"/>
      <c r="E31" s="446"/>
      <c r="F31" s="446"/>
      <c r="G31" s="446"/>
      <c r="H31" s="446"/>
      <c r="I31" s="446"/>
      <c r="J31" s="446"/>
      <c r="K31" s="195"/>
      <c r="L31" s="446"/>
      <c r="M31" s="446"/>
      <c r="N31" s="195"/>
      <c r="O31" s="446"/>
      <c r="P31" s="436"/>
      <c r="Q31" s="195"/>
      <c r="R31" s="446"/>
      <c r="S31" s="337"/>
      <c r="T31" s="195"/>
      <c r="U31" s="446"/>
      <c r="V31" s="337"/>
      <c r="W31" s="195"/>
      <c r="X31" s="446"/>
      <c r="Y31" s="337"/>
      <c r="Z31" s="195"/>
      <c r="AA31" s="446"/>
      <c r="AB31" s="337"/>
      <c r="AC31" s="195"/>
      <c r="AD31" s="446"/>
      <c r="AE31" s="337"/>
      <c r="AF31" s="195"/>
      <c r="AG31" s="446"/>
      <c r="AH31" s="337"/>
      <c r="AI31" s="195"/>
      <c r="AJ31" s="446"/>
      <c r="AK31" s="337"/>
      <c r="AL31" s="195"/>
      <c r="AM31" s="446"/>
      <c r="AN31" s="337"/>
      <c r="AO31" s="438"/>
      <c r="AP31" s="438"/>
      <c r="AQ31" s="337"/>
      <c r="AR31" s="438"/>
      <c r="AS31" s="438"/>
      <c r="AT31" s="447"/>
      <c r="AU31" s="493"/>
      <c r="AV31" s="493"/>
    </row>
    <row r="32" spans="1:49" s="466" customFormat="1" ht="20.100000000000001" customHeight="1" x14ac:dyDescent="0.3">
      <c r="A32" s="458" t="s">
        <v>209</v>
      </c>
      <c r="B32" s="195"/>
      <c r="C32" s="446"/>
      <c r="D32" s="337"/>
      <c r="E32" s="446"/>
      <c r="F32" s="446"/>
      <c r="G32" s="337"/>
      <c r="H32" s="446"/>
      <c r="I32" s="446"/>
      <c r="J32" s="337"/>
      <c r="K32" s="195"/>
      <c r="L32" s="446"/>
      <c r="M32" s="337"/>
      <c r="N32" s="195"/>
      <c r="O32" s="446"/>
      <c r="P32" s="436"/>
      <c r="Q32" s="195"/>
      <c r="R32" s="446"/>
      <c r="S32" s="337"/>
      <c r="T32" s="195"/>
      <c r="U32" s="446"/>
      <c r="V32" s="337"/>
      <c r="W32" s="195"/>
      <c r="X32" s="446"/>
      <c r="Y32" s="337"/>
      <c r="Z32" s="195"/>
      <c r="AA32" s="446"/>
      <c r="AB32" s="337"/>
      <c r="AC32" s="195"/>
      <c r="AD32" s="446"/>
      <c r="AE32" s="337"/>
      <c r="AF32" s="195"/>
      <c r="AG32" s="446"/>
      <c r="AH32" s="337"/>
      <c r="AI32" s="195"/>
      <c r="AJ32" s="446"/>
      <c r="AK32" s="337"/>
      <c r="AL32" s="195"/>
      <c r="AM32" s="446"/>
      <c r="AN32" s="337"/>
      <c r="AO32" s="438"/>
      <c r="AP32" s="438"/>
      <c r="AQ32" s="337"/>
      <c r="AR32" s="438"/>
      <c r="AS32" s="438"/>
      <c r="AT32" s="447"/>
      <c r="AU32" s="493"/>
      <c r="AV32" s="493"/>
    </row>
    <row r="33" spans="1:49" s="466" customFormat="1" ht="20.100000000000001" customHeight="1" x14ac:dyDescent="0.3">
      <c r="A33" s="460" t="s">
        <v>210</v>
      </c>
      <c r="B33" s="195"/>
      <c r="C33" s="446"/>
      <c r="D33" s="446"/>
      <c r="E33" s="446">
        <v>33.442</v>
      </c>
      <c r="F33" s="446">
        <v>22.242999999999999</v>
      </c>
      <c r="G33" s="446">
        <f t="shared" ref="G33:G91" si="19">IF(E33=0, "    ---- ", IF(ABS(ROUND(100/E33*F33-100,1))&lt;999,ROUND(100/E33*F33-100,1),IF(ROUND(100/E33*F33-100,1)&gt;999,999,-999)))</f>
        <v>-33.5</v>
      </c>
      <c r="H33" s="446"/>
      <c r="I33" s="446"/>
      <c r="J33" s="446"/>
      <c r="K33" s="195"/>
      <c r="L33" s="446"/>
      <c r="M33" s="446"/>
      <c r="N33" s="195"/>
      <c r="O33" s="446"/>
      <c r="P33" s="436"/>
      <c r="Q33" s="195"/>
      <c r="R33" s="446"/>
      <c r="S33" s="337"/>
      <c r="T33" s="195"/>
      <c r="U33" s="446"/>
      <c r="V33" s="337"/>
      <c r="W33" s="195"/>
      <c r="X33" s="446"/>
      <c r="Y33" s="337"/>
      <c r="Z33" s="195">
        <v>1.9699999999999998E-6</v>
      </c>
      <c r="AA33" s="446">
        <v>1.9699999999999998E-6</v>
      </c>
      <c r="AB33" s="337"/>
      <c r="AC33" s="195"/>
      <c r="AD33" s="446"/>
      <c r="AE33" s="337" t="str">
        <f t="shared" ref="AE33:AE42" si="20">IF(AC33=0, "    ---- ", IF(ABS(ROUND(100/AC33*AD33-100,1))&lt;999,ROUND(100/AC33*AD33-100,1),IF(ROUND(100/AC33*AD33-100,1)&gt;999,999,-999)))</f>
        <v xml:space="preserve">    ---- </v>
      </c>
      <c r="AF33" s="195"/>
      <c r="AG33" s="446"/>
      <c r="AH33" s="337"/>
      <c r="AI33" s="195"/>
      <c r="AJ33" s="446"/>
      <c r="AK33" s="337"/>
      <c r="AL33" s="195"/>
      <c r="AM33" s="446"/>
      <c r="AN33" s="337"/>
      <c r="AO33" s="444">
        <f t="shared" ref="AO33:AP46" si="21">B33+E33+H33+K33+N33+T33+W33+Z33+AC33+AI33+AL33</f>
        <v>33.44200197</v>
      </c>
      <c r="AP33" s="444">
        <f t="shared" si="21"/>
        <v>22.243001969999998</v>
      </c>
      <c r="AQ33" s="337">
        <f t="shared" ref="AQ33:AQ91" si="22">IF(AO33=0, "    ---- ", IF(ABS(ROUND(100/AO33*AP33-100,1))&lt;999,ROUND(100/AO33*AP33-100,1),IF(ROUND(100/AO33*AP33-100,1)&gt;999,999,-999)))</f>
        <v>-33.5</v>
      </c>
      <c r="AR33" s="444">
        <f t="shared" ref="AR33:AS46" si="23">B33+E33+H33+K33+N33+Q33+T33+W33+Z33+AC33+AF33+AI33+AL33</f>
        <v>33.44200197</v>
      </c>
      <c r="AS33" s="444">
        <f t="shared" si="23"/>
        <v>22.243001969999998</v>
      </c>
      <c r="AT33" s="447">
        <f t="shared" ref="AT33:AT91" si="24">IF(AR33=0, "    ---- ", IF(ABS(ROUND(100/AR33*AS33-100,1))&lt;999,ROUND(100/AR33*AS33-100,1),IF(ROUND(100/AR33*AS33-100,1)&gt;999,999,-999)))</f>
        <v>-33.5</v>
      </c>
      <c r="AU33" s="493"/>
      <c r="AV33" s="493"/>
      <c r="AW33" s="497"/>
    </row>
    <row r="34" spans="1:49" s="466" customFormat="1" ht="20.100000000000001" customHeight="1" x14ac:dyDescent="0.3">
      <c r="A34" s="460" t="s">
        <v>211</v>
      </c>
      <c r="B34" s="195"/>
      <c r="C34" s="446"/>
      <c r="D34" s="446"/>
      <c r="E34" s="446">
        <v>21645.466</v>
      </c>
      <c r="F34" s="446">
        <v>27622.489000000001</v>
      </c>
      <c r="G34" s="446">
        <f t="shared" si="19"/>
        <v>27.6</v>
      </c>
      <c r="H34" s="446"/>
      <c r="I34" s="446"/>
      <c r="J34" s="446"/>
      <c r="K34" s="195"/>
      <c r="L34" s="446"/>
      <c r="M34" s="446"/>
      <c r="N34" s="195">
        <v>922.2</v>
      </c>
      <c r="O34" s="446">
        <v>969.8</v>
      </c>
      <c r="P34" s="436">
        <f>IF(N34=0, "    ---- ", IF(ABS(ROUND(100/N34*O34-100,1))&lt;999,ROUND(100/N34*O34-100,1),IF(ROUND(100/N34*O34-100,1)&gt;999,999,-999)))</f>
        <v>5.2</v>
      </c>
      <c r="Q34" s="195"/>
      <c r="R34" s="446"/>
      <c r="S34" s="337"/>
      <c r="T34" s="195">
        <v>66535.632718749999</v>
      </c>
      <c r="U34" s="446">
        <v>74805.739974490003</v>
      </c>
      <c r="V34" s="337">
        <f>IF(T34=0, "    ---- ", IF(ABS(ROUND(100/T34*U34-100,1))&lt;999,ROUND(100/T34*U34-100,1),IF(ROUND(100/T34*U34-100,1)&gt;999,999,-999)))</f>
        <v>12.4</v>
      </c>
      <c r="W34" s="195">
        <v>206.2</v>
      </c>
      <c r="X34" s="446">
        <v>189.631</v>
      </c>
      <c r="Y34" s="337">
        <f>IF(W34=0, "    ---- ", IF(ABS(ROUND(100/W34*X34-100,1))&lt;999,ROUND(100/W34*X34-100,1),IF(ROUND(100/W34*X34-100,1)&gt;999,999,-999)))</f>
        <v>-8</v>
      </c>
      <c r="Z34" s="195">
        <v>7379.435536070001</v>
      </c>
      <c r="AA34" s="446">
        <v>7547.9900551700002</v>
      </c>
      <c r="AB34" s="337">
        <f t="shared" ref="AB34:AB91" si="25">IF(Z34=0, "    ---- ", IF(ABS(ROUND(100/Z34*AA34-100,1))&lt;999,ROUND(100/Z34*AA34-100,1),IF(ROUND(100/Z34*AA34-100,1)&gt;999,999,-999)))</f>
        <v>2.2999999999999998</v>
      </c>
      <c r="AC34" s="195">
        <v>14843</v>
      </c>
      <c r="AD34" s="446">
        <f>9820+5950</f>
        <v>15770</v>
      </c>
      <c r="AE34" s="337">
        <f t="shared" si="20"/>
        <v>6.2</v>
      </c>
      <c r="AF34" s="195"/>
      <c r="AG34" s="446"/>
      <c r="AH34" s="337"/>
      <c r="AI34" s="195">
        <v>4819.2349999999997</v>
      </c>
      <c r="AJ34" s="446">
        <v>4788.7860000000001</v>
      </c>
      <c r="AK34" s="337">
        <f t="shared" ref="AK34:AK91" si="26">IF(AI34=0, "    ---- ", IF(ABS(ROUND(100/AI34*AJ34-100,1))&lt;999,ROUND(100/AI34*AJ34-100,1),IF(ROUND(100/AI34*AJ34-100,1)&gt;999,999,-999)))</f>
        <v>-0.6</v>
      </c>
      <c r="AL34" s="195">
        <v>27244</v>
      </c>
      <c r="AM34" s="446">
        <v>29255</v>
      </c>
      <c r="AN34" s="337">
        <f t="shared" ref="AN34:AN91" si="27">IF(AL34=0, "    ---- ", IF(ABS(ROUND(100/AL34*AM34-100,1))&lt;999,ROUND(100/AL34*AM34-100,1),IF(ROUND(100/AL34*AM34-100,1)&gt;999,999,-999)))</f>
        <v>7.4</v>
      </c>
      <c r="AO34" s="444">
        <f t="shared" si="21"/>
        <v>143595.16925481998</v>
      </c>
      <c r="AP34" s="444">
        <f t="shared" si="21"/>
        <v>160949.43602965999</v>
      </c>
      <c r="AQ34" s="337">
        <f t="shared" si="22"/>
        <v>12.1</v>
      </c>
      <c r="AR34" s="444">
        <f t="shared" si="23"/>
        <v>143595.16925481998</v>
      </c>
      <c r="AS34" s="444">
        <f t="shared" si="23"/>
        <v>160949.43602965999</v>
      </c>
      <c r="AT34" s="447">
        <f t="shared" si="24"/>
        <v>12.1</v>
      </c>
      <c r="AU34" s="493"/>
      <c r="AV34" s="493"/>
      <c r="AW34" s="497"/>
    </row>
    <row r="35" spans="1:49" s="466" customFormat="1" ht="20.100000000000001" customHeight="1" x14ac:dyDescent="0.3">
      <c r="A35" s="460" t="s">
        <v>212</v>
      </c>
      <c r="B35" s="195"/>
      <c r="C35" s="446"/>
      <c r="D35" s="446"/>
      <c r="E35" s="446">
        <f>SUM(E36+E38)</f>
        <v>106987.96100000001</v>
      </c>
      <c r="F35" s="446">
        <f>SUM(F36+F38)</f>
        <v>101009.45999999999</v>
      </c>
      <c r="G35" s="446">
        <f t="shared" si="19"/>
        <v>-5.6</v>
      </c>
      <c r="H35" s="446"/>
      <c r="I35" s="446"/>
      <c r="J35" s="446"/>
      <c r="K35" s="195">
        <f>SUM(K36+K38)</f>
        <v>218.642</v>
      </c>
      <c r="L35" s="446">
        <f>SUM(L36+L38)</f>
        <v>198.94399999999999</v>
      </c>
      <c r="M35" s="443">
        <f t="shared" ref="M35:M36" si="28">IF(K35=0, "    ---- ", IF(ABS(ROUND(100/K35*L35-100,1))&lt;999,ROUND(100/K35*L35-100,1),IF(ROUND(100/K35*L35-100,1)&gt;999,999,-999)))</f>
        <v>-9</v>
      </c>
      <c r="N35" s="195">
        <f>SUM(N36+N38)</f>
        <v>5016</v>
      </c>
      <c r="O35" s="446">
        <f>SUM(O36+O38)</f>
        <v>5284.9</v>
      </c>
      <c r="P35" s="436">
        <f>IF(N35=0, "    ---- ", IF(ABS(ROUND(100/N35*O35-100,1))&lt;999,ROUND(100/N35*O35-100,1),IF(ROUND(100/N35*O35-100,1)&gt;999,999,-999)))</f>
        <v>5.4</v>
      </c>
      <c r="Q35" s="195"/>
      <c r="R35" s="446"/>
      <c r="S35" s="337"/>
      <c r="T35" s="195">
        <f>SUM(T36+T38)</f>
        <v>217394.56140808002</v>
      </c>
      <c r="U35" s="446">
        <v>252979.5383938</v>
      </c>
      <c r="V35" s="337">
        <f>IF(T35=0, "    ---- ", IF(ABS(ROUND(100/T35*U35-100,1))&lt;999,ROUND(100/T35*U35-100,1),IF(ROUND(100/T35*U35-100,1)&gt;999,999,-999)))</f>
        <v>16.399999999999999</v>
      </c>
      <c r="W35" s="195">
        <v>1415.3009999999999</v>
      </c>
      <c r="X35" s="446">
        <f>SUM(X36+X38)</f>
        <v>1451.2250000000001</v>
      </c>
      <c r="Y35" s="337">
        <f>IF(W35=0, "    ---- ", IF(ABS(ROUND(100/W35*X35-100,1))&lt;999,ROUND(100/W35*X35-100,1),IF(ROUND(100/W35*X35-100,1)&gt;999,999,-999)))</f>
        <v>2.5</v>
      </c>
      <c r="Z35" s="195">
        <f>SUM(Z36+Z38)</f>
        <v>32020.205661189902</v>
      </c>
      <c r="AA35" s="446">
        <f>SUM(AA36+AA38)</f>
        <v>32010.23397746</v>
      </c>
      <c r="AB35" s="337">
        <f t="shared" si="25"/>
        <v>0</v>
      </c>
      <c r="AC35" s="195">
        <f>SUM(AC36+AC38)</f>
        <v>22585</v>
      </c>
      <c r="AD35" s="446">
        <f>SUM(AD36+AD38)</f>
        <v>20625</v>
      </c>
      <c r="AE35" s="337">
        <f t="shared" si="20"/>
        <v>-8.6999999999999993</v>
      </c>
      <c r="AF35" s="195"/>
      <c r="AG35" s="446"/>
      <c r="AH35" s="337"/>
      <c r="AI35" s="195">
        <f>SUM(AI36+AI38)</f>
        <v>8314.4459999999999</v>
      </c>
      <c r="AJ35" s="446">
        <f>SUM(AJ36+AJ38)</f>
        <v>7764.7690000000002</v>
      </c>
      <c r="AK35" s="337">
        <f t="shared" si="26"/>
        <v>-6.6</v>
      </c>
      <c r="AL35" s="195">
        <f>SUM(AL36+AL38)</f>
        <v>130388</v>
      </c>
      <c r="AM35" s="446">
        <f>SUM(AM36+AM38)</f>
        <v>135304</v>
      </c>
      <c r="AN35" s="337">
        <f t="shared" si="27"/>
        <v>3.8</v>
      </c>
      <c r="AO35" s="444">
        <f t="shared" si="21"/>
        <v>524340.11706927</v>
      </c>
      <c r="AP35" s="444">
        <f t="shared" si="21"/>
        <v>556628.07037125994</v>
      </c>
      <c r="AQ35" s="337">
        <f t="shared" si="22"/>
        <v>6.2</v>
      </c>
      <c r="AR35" s="444">
        <f t="shared" si="23"/>
        <v>524340.11706927</v>
      </c>
      <c r="AS35" s="444">
        <f t="shared" si="23"/>
        <v>556628.07037125994</v>
      </c>
      <c r="AT35" s="447">
        <f t="shared" si="24"/>
        <v>6.2</v>
      </c>
      <c r="AU35" s="493"/>
      <c r="AV35" s="493"/>
      <c r="AW35" s="497"/>
    </row>
    <row r="36" spans="1:49" s="466" customFormat="1" ht="20.100000000000001" customHeight="1" x14ac:dyDescent="0.3">
      <c r="A36" s="460" t="s">
        <v>213</v>
      </c>
      <c r="B36" s="195"/>
      <c r="C36" s="446"/>
      <c r="D36" s="337"/>
      <c r="E36" s="446">
        <v>74339.884000000005</v>
      </c>
      <c r="F36" s="446">
        <v>72838.452999999994</v>
      </c>
      <c r="G36" s="337">
        <f t="shared" si="19"/>
        <v>-2</v>
      </c>
      <c r="H36" s="446"/>
      <c r="I36" s="446"/>
      <c r="J36" s="337"/>
      <c r="K36" s="195">
        <v>218.642</v>
      </c>
      <c r="L36" s="446">
        <v>198.94399999999999</v>
      </c>
      <c r="M36" s="443">
        <f t="shared" si="28"/>
        <v>-9</v>
      </c>
      <c r="N36" s="195"/>
      <c r="O36" s="446"/>
      <c r="P36" s="436"/>
      <c r="Q36" s="195"/>
      <c r="R36" s="446"/>
      <c r="S36" s="337"/>
      <c r="T36" s="195">
        <v>21274.56938664</v>
      </c>
      <c r="U36" s="446">
        <v>23802.649544220003</v>
      </c>
      <c r="V36" s="337">
        <f>IF(T36=0, "    ---- ", IF(ABS(ROUND(100/T36*U36-100,1))&lt;999,ROUND(100/T36*U36-100,1),IF(ROUND(100/T36*U36-100,1)&gt;999,999,-999)))</f>
        <v>11.9</v>
      </c>
      <c r="W36" s="195">
        <v>116.348</v>
      </c>
      <c r="X36" s="446">
        <v>94.716999999999999</v>
      </c>
      <c r="Y36" s="337">
        <f>IF(W36=0, "    ---- ", IF(ABS(ROUND(100/W36*X36-100,1))&lt;999,ROUND(100/W36*X36-100,1),IF(ROUND(100/W36*X36-100,1)&gt;999,999,-999)))</f>
        <v>-18.600000000000001</v>
      </c>
      <c r="Z36" s="195">
        <v>523.20546105000005</v>
      </c>
      <c r="AA36" s="446">
        <v>523.27204879999999</v>
      </c>
      <c r="AB36" s="337">
        <f t="shared" si="25"/>
        <v>0</v>
      </c>
      <c r="AC36" s="195">
        <v>606</v>
      </c>
      <c r="AD36" s="446"/>
      <c r="AE36" s="337">
        <f t="shared" si="20"/>
        <v>-100</v>
      </c>
      <c r="AF36" s="195"/>
      <c r="AG36" s="446"/>
      <c r="AH36" s="337"/>
      <c r="AI36" s="195">
        <v>903.06100000000004</v>
      </c>
      <c r="AJ36" s="446">
        <v>578.62099999999998</v>
      </c>
      <c r="AK36" s="337">
        <f t="shared" si="26"/>
        <v>-35.9</v>
      </c>
      <c r="AL36" s="195">
        <v>13376</v>
      </c>
      <c r="AM36" s="446">
        <v>13394</v>
      </c>
      <c r="AN36" s="337">
        <f t="shared" si="27"/>
        <v>0.1</v>
      </c>
      <c r="AO36" s="444">
        <f t="shared" si="21"/>
        <v>111357.70984769001</v>
      </c>
      <c r="AP36" s="444">
        <f t="shared" si="21"/>
        <v>111430.65659302002</v>
      </c>
      <c r="AQ36" s="337">
        <f t="shared" si="22"/>
        <v>0.1</v>
      </c>
      <c r="AR36" s="444">
        <f t="shared" si="23"/>
        <v>111357.70984769001</v>
      </c>
      <c r="AS36" s="444">
        <f t="shared" si="23"/>
        <v>111430.65659302002</v>
      </c>
      <c r="AT36" s="447">
        <f t="shared" si="24"/>
        <v>0.1</v>
      </c>
      <c r="AU36" s="493"/>
      <c r="AV36" s="493"/>
      <c r="AW36" s="497"/>
    </row>
    <row r="37" spans="1:49" s="466" customFormat="1" ht="20.100000000000001" customHeight="1" x14ac:dyDescent="0.3">
      <c r="A37" s="460" t="s">
        <v>196</v>
      </c>
      <c r="B37" s="195"/>
      <c r="C37" s="446"/>
      <c r="D37" s="446"/>
      <c r="E37" s="446">
        <v>74339.884000000005</v>
      </c>
      <c r="F37" s="446">
        <v>72838.452999999994</v>
      </c>
      <c r="G37" s="446">
        <f t="shared" si="19"/>
        <v>-2</v>
      </c>
      <c r="H37" s="446"/>
      <c r="I37" s="446"/>
      <c r="J37" s="446"/>
      <c r="K37" s="195"/>
      <c r="L37" s="446"/>
      <c r="M37" s="446"/>
      <c r="N37" s="195"/>
      <c r="O37" s="446"/>
      <c r="P37" s="436"/>
      <c r="Q37" s="195"/>
      <c r="R37" s="446"/>
      <c r="S37" s="337"/>
      <c r="T37" s="195">
        <v>21274.56938664</v>
      </c>
      <c r="U37" s="446">
        <v>23802.649544220003</v>
      </c>
      <c r="V37" s="337">
        <f>IF(T37=0, "    ---- ", IF(ABS(ROUND(100/T37*U37-100,1))&lt;999,ROUND(100/T37*U37-100,1),IF(ROUND(100/T37*U37-100,1)&gt;999,999,-999)))</f>
        <v>11.9</v>
      </c>
      <c r="W37" s="195"/>
      <c r="X37" s="446"/>
      <c r="Y37" s="337"/>
      <c r="Z37" s="195">
        <v>523.20546105000005</v>
      </c>
      <c r="AA37" s="446">
        <v>523.27204879999999</v>
      </c>
      <c r="AB37" s="337">
        <f t="shared" si="25"/>
        <v>0</v>
      </c>
      <c r="AC37" s="195"/>
      <c r="AD37" s="446"/>
      <c r="AE37" s="337"/>
      <c r="AF37" s="195"/>
      <c r="AG37" s="446"/>
      <c r="AH37" s="337"/>
      <c r="AI37" s="195">
        <v>127.44867350000068</v>
      </c>
      <c r="AJ37" s="446">
        <v>34.499999999999318</v>
      </c>
      <c r="AK37" s="337">
        <f t="shared" si="26"/>
        <v>-72.900000000000006</v>
      </c>
      <c r="AL37" s="195">
        <v>13376</v>
      </c>
      <c r="AM37" s="446">
        <v>13394</v>
      </c>
      <c r="AN37" s="337">
        <f t="shared" si="27"/>
        <v>0.1</v>
      </c>
      <c r="AO37" s="444">
        <f t="shared" si="21"/>
        <v>109641.10752119</v>
      </c>
      <c r="AP37" s="444">
        <f t="shared" si="21"/>
        <v>110592.87459301999</v>
      </c>
      <c r="AQ37" s="337">
        <f t="shared" si="22"/>
        <v>0.9</v>
      </c>
      <c r="AR37" s="444">
        <f t="shared" si="23"/>
        <v>109641.10752119</v>
      </c>
      <c r="AS37" s="444">
        <f t="shared" si="23"/>
        <v>110592.87459301999</v>
      </c>
      <c r="AT37" s="447">
        <f t="shared" si="24"/>
        <v>0.9</v>
      </c>
      <c r="AU37" s="493"/>
      <c r="AV37" s="493"/>
      <c r="AW37" s="497"/>
    </row>
    <row r="38" spans="1:49" s="466" customFormat="1" ht="20.100000000000001" customHeight="1" x14ac:dyDescent="0.3">
      <c r="A38" s="460" t="s">
        <v>214</v>
      </c>
      <c r="B38" s="195"/>
      <c r="C38" s="446"/>
      <c r="D38" s="446"/>
      <c r="E38" s="446">
        <v>32648.077000000001</v>
      </c>
      <c r="F38" s="446">
        <v>28171.007000000001</v>
      </c>
      <c r="G38" s="446"/>
      <c r="H38" s="446"/>
      <c r="I38" s="446"/>
      <c r="J38" s="446"/>
      <c r="K38" s="195"/>
      <c r="L38" s="446"/>
      <c r="M38" s="446"/>
      <c r="N38" s="195">
        <v>5016</v>
      </c>
      <c r="O38" s="446">
        <v>5284.9</v>
      </c>
      <c r="P38" s="436">
        <f t="shared" ref="P38:P56" si="29">IF(N38=0, "    ---- ", IF(ABS(ROUND(100/N38*O38-100,1))&lt;999,ROUND(100/N38*O38-100,1),IF(ROUND(100/N38*O38-100,1)&gt;999,999,-999)))</f>
        <v>5.4</v>
      </c>
      <c r="Q38" s="195"/>
      <c r="R38" s="446"/>
      <c r="S38" s="337"/>
      <c r="T38" s="195">
        <v>196119.99202144</v>
      </c>
      <c r="U38" s="446">
        <v>229176.88884957999</v>
      </c>
      <c r="V38" s="337">
        <f t="shared" ref="V38:V45" si="30">IF(T38=0, "    ---- ", IF(ABS(ROUND(100/T38*U38-100,1))&lt;999,ROUND(100/T38*U38-100,1),IF(ROUND(100/T38*U38-100,1)&gt;999,999,-999)))</f>
        <v>16.899999999999999</v>
      </c>
      <c r="W38" s="195">
        <v>1298.953</v>
      </c>
      <c r="X38" s="446">
        <v>1356.508</v>
      </c>
      <c r="Y38" s="337">
        <f>IF(W38=0, "    ---- ", IF(ABS(ROUND(100/W38*X38-100,1))&lt;999,ROUND(100/W38*X38-100,1),IF(ROUND(100/W38*X38-100,1)&gt;999,999,-999)))</f>
        <v>4.4000000000000004</v>
      </c>
      <c r="Z38" s="195">
        <v>31497.000200139901</v>
      </c>
      <c r="AA38" s="446">
        <v>31486.961928659999</v>
      </c>
      <c r="AB38" s="337">
        <f t="shared" si="25"/>
        <v>0</v>
      </c>
      <c r="AC38" s="195">
        <v>21979</v>
      </c>
      <c r="AD38" s="446">
        <v>20625</v>
      </c>
      <c r="AE38" s="337">
        <f t="shared" si="20"/>
        <v>-6.2</v>
      </c>
      <c r="AF38" s="195"/>
      <c r="AG38" s="446"/>
      <c r="AH38" s="337"/>
      <c r="AI38" s="195">
        <v>7411.3850000000002</v>
      </c>
      <c r="AJ38" s="446">
        <v>7186.1480000000001</v>
      </c>
      <c r="AK38" s="337">
        <f t="shared" si="26"/>
        <v>-3</v>
      </c>
      <c r="AL38" s="195">
        <f>88587+24046+4379</f>
        <v>117012</v>
      </c>
      <c r="AM38" s="446">
        <f>91312+23378+7220</f>
        <v>121910</v>
      </c>
      <c r="AN38" s="337">
        <f t="shared" si="27"/>
        <v>4.2</v>
      </c>
      <c r="AO38" s="444">
        <f t="shared" si="21"/>
        <v>412982.40722157992</v>
      </c>
      <c r="AP38" s="444">
        <f t="shared" si="21"/>
        <v>445197.41377823992</v>
      </c>
      <c r="AQ38" s="337">
        <f t="shared" si="22"/>
        <v>7.8</v>
      </c>
      <c r="AR38" s="444">
        <f t="shared" si="23"/>
        <v>412982.40722157992</v>
      </c>
      <c r="AS38" s="444">
        <f t="shared" si="23"/>
        <v>445197.41377823992</v>
      </c>
      <c r="AT38" s="447">
        <f t="shared" si="24"/>
        <v>7.8</v>
      </c>
      <c r="AU38" s="493"/>
      <c r="AV38" s="493"/>
      <c r="AW38" s="497"/>
    </row>
    <row r="39" spans="1:49" s="466" customFormat="1" ht="20.100000000000001" customHeight="1" x14ac:dyDescent="0.3">
      <c r="A39" s="460" t="s">
        <v>215</v>
      </c>
      <c r="B39" s="195">
        <f>SUM(B40:B44)</f>
        <v>1199.4539999999997</v>
      </c>
      <c r="C39" s="446">
        <f>SUM(C40:C44)</f>
        <v>1259.5509999999999</v>
      </c>
      <c r="D39" s="446">
        <f>IF(B39=0, "    ---- ", IF(ABS(ROUND(100/B39*C39-100,1))&lt;999,ROUND(100/B39*C39-100,1),IF(ROUND(100/B39*C39-100,1)&gt;999,999,-999)))</f>
        <v>5</v>
      </c>
      <c r="E39" s="446">
        <f>SUM(E40:E44)</f>
        <v>78291.75499999999</v>
      </c>
      <c r="F39" s="446">
        <f>SUM(F40:F44)</f>
        <v>71847.019</v>
      </c>
      <c r="G39" s="446">
        <f t="shared" si="19"/>
        <v>-8.1999999999999993</v>
      </c>
      <c r="H39" s="446"/>
      <c r="I39" s="446">
        <v>6249.9387432399999</v>
      </c>
      <c r="J39" s="446" t="str">
        <f t="shared" ref="J39" si="31">IF(H39=0, "    ---- ", IF(ABS(ROUND(100/H39*I39-100,1))&lt;999,ROUND(100/H39*I39-100,1),IF(ROUND(100/H39*I39-100,1)&gt;999,999,-999)))</f>
        <v xml:space="preserve">    ---- </v>
      </c>
      <c r="K39" s="195">
        <f>SUM(K40:K44)</f>
        <v>850.33900000000006</v>
      </c>
      <c r="L39" s="446">
        <f>SUM(L40:L44)</f>
        <v>970.67899999999997</v>
      </c>
      <c r="M39" s="446">
        <f t="shared" ref="M39:M46" si="32">IF(K39=0, "    ---- ", IF(ABS(ROUND(100/K39*L39-100,1))&lt;999,ROUND(100/K39*L39-100,1),IF(ROUND(100/K39*L39-100,1)&gt;999,999,-999)))</f>
        <v>14.2</v>
      </c>
      <c r="N39" s="195">
        <f>SUM(N40:N44)</f>
        <v>578.20000000000005</v>
      </c>
      <c r="O39" s="446">
        <f>SUM(O40:O44)</f>
        <v>711.1</v>
      </c>
      <c r="P39" s="436">
        <f t="shared" si="29"/>
        <v>23</v>
      </c>
      <c r="Q39" s="195"/>
      <c r="R39" s="446"/>
      <c r="S39" s="337"/>
      <c r="T39" s="195">
        <f>SUM(T40:T44)</f>
        <v>257871.54722114</v>
      </c>
      <c r="U39" s="446">
        <v>247104.99250036999</v>
      </c>
      <c r="V39" s="337">
        <f t="shared" si="30"/>
        <v>-4.2</v>
      </c>
      <c r="W39" s="195">
        <v>125.878</v>
      </c>
      <c r="X39" s="446">
        <f>SUM(X40:X44)</f>
        <v>153.26600000000002</v>
      </c>
      <c r="Y39" s="337">
        <f>IF(W39=0, "    ---- ", IF(ABS(ROUND(100/W39*X39-100,1))&lt;999,ROUND(100/W39*X39-100,1),IF(ROUND(100/W39*X39-100,1)&gt;999,999,-999)))</f>
        <v>21.8</v>
      </c>
      <c r="Z39" s="195">
        <f>SUM(Z40:Z44)</f>
        <v>12154.079155050002</v>
      </c>
      <c r="AA39" s="446">
        <f>SUM(AA40:AA44)</f>
        <v>12677.884736669999</v>
      </c>
      <c r="AB39" s="337">
        <f t="shared" si="25"/>
        <v>4.3</v>
      </c>
      <c r="AC39" s="195">
        <f>SUM(AC40:AC44)</f>
        <v>52587</v>
      </c>
      <c r="AD39" s="446">
        <f>SUM(AD40:AD44)</f>
        <v>57979</v>
      </c>
      <c r="AE39" s="337">
        <f t="shared" si="20"/>
        <v>10.3</v>
      </c>
      <c r="AF39" s="195"/>
      <c r="AG39" s="446"/>
      <c r="AH39" s="337"/>
      <c r="AI39" s="195">
        <f>SUM(AI40:AI44)</f>
        <v>11694.204</v>
      </c>
      <c r="AJ39" s="446">
        <f>SUM(AJ40:AJ44)</f>
        <v>9490.0530000000017</v>
      </c>
      <c r="AK39" s="337">
        <f t="shared" si="26"/>
        <v>-18.8</v>
      </c>
      <c r="AL39" s="195">
        <f>SUM(AL40:AL44)</f>
        <v>33502.400000000001</v>
      </c>
      <c r="AM39" s="446">
        <f>SUM(AM40:AM44)</f>
        <v>39471</v>
      </c>
      <c r="AN39" s="337">
        <f t="shared" si="27"/>
        <v>17.8</v>
      </c>
      <c r="AO39" s="444">
        <f t="shared" si="21"/>
        <v>448854.85637619009</v>
      </c>
      <c r="AP39" s="444">
        <f t="shared" si="21"/>
        <v>447914.48398028006</v>
      </c>
      <c r="AQ39" s="337">
        <f t="shared" si="22"/>
        <v>-0.2</v>
      </c>
      <c r="AR39" s="444">
        <f t="shared" si="23"/>
        <v>448854.85637619009</v>
      </c>
      <c r="AS39" s="444">
        <f t="shared" si="23"/>
        <v>447914.48398028006</v>
      </c>
      <c r="AT39" s="447">
        <f t="shared" si="24"/>
        <v>-0.2</v>
      </c>
      <c r="AU39" s="493"/>
      <c r="AV39" s="493"/>
      <c r="AW39" s="497"/>
    </row>
    <row r="40" spans="1:49" s="466" customFormat="1" ht="20.100000000000001" customHeight="1" x14ac:dyDescent="0.3">
      <c r="A40" s="460" t="s">
        <v>216</v>
      </c>
      <c r="B40" s="195">
        <v>31.541</v>
      </c>
      <c r="C40" s="446">
        <v>36.634</v>
      </c>
      <c r="D40" s="337">
        <f>IF(B40=0, "    ---- ", IF(ABS(ROUND(100/B40*C40-100,1))&lt;999,ROUND(100/B40*C40-100,1),IF(ROUND(100/B40*C40-100,1)&gt;999,999,-999)))</f>
        <v>16.100000000000001</v>
      </c>
      <c r="E40" s="446">
        <v>18960.866000000002</v>
      </c>
      <c r="F40" s="446">
        <v>6124.2879999999996</v>
      </c>
      <c r="G40" s="337">
        <f t="shared" si="19"/>
        <v>-67.7</v>
      </c>
      <c r="H40" s="446"/>
      <c r="I40" s="446"/>
      <c r="J40" s="337"/>
      <c r="K40" s="195">
        <v>97.69</v>
      </c>
      <c r="L40" s="446">
        <v>111.274</v>
      </c>
      <c r="M40" s="337">
        <f t="shared" si="32"/>
        <v>13.9</v>
      </c>
      <c r="N40" s="195"/>
      <c r="O40" s="446"/>
      <c r="P40" s="436"/>
      <c r="Q40" s="195"/>
      <c r="R40" s="446"/>
      <c r="S40" s="337"/>
      <c r="T40" s="195">
        <v>125999.50267772</v>
      </c>
      <c r="U40" s="446">
        <v>116468.80258985001</v>
      </c>
      <c r="V40" s="337">
        <f t="shared" si="30"/>
        <v>-7.6</v>
      </c>
      <c r="W40" s="195">
        <v>87.411000000000001</v>
      </c>
      <c r="X40" s="446">
        <v>89.54</v>
      </c>
      <c r="Y40" s="337">
        <f>IF(W40=0, "    ---- ", IF(ABS(ROUND(100/W40*X40-100,1))&lt;999,ROUND(100/W40*X40-100,1),IF(ROUND(100/W40*X40-100,1)&gt;999,999,-999)))</f>
        <v>2.4</v>
      </c>
      <c r="Z40" s="195">
        <v>5069.9608731600001</v>
      </c>
      <c r="AA40" s="446">
        <v>5186.3295414799995</v>
      </c>
      <c r="AB40" s="337">
        <f t="shared" si="25"/>
        <v>2.2999999999999998</v>
      </c>
      <c r="AC40" s="195">
        <v>32240</v>
      </c>
      <c r="AD40" s="446">
        <v>35718</v>
      </c>
      <c r="AE40" s="337">
        <f t="shared" si="20"/>
        <v>10.8</v>
      </c>
      <c r="AF40" s="195"/>
      <c r="AG40" s="446"/>
      <c r="AH40" s="337"/>
      <c r="AI40" s="195">
        <v>2889.248</v>
      </c>
      <c r="AJ40" s="446">
        <v>3076.337</v>
      </c>
      <c r="AK40" s="337">
        <f t="shared" si="26"/>
        <v>6.5</v>
      </c>
      <c r="AL40" s="195">
        <v>7341</v>
      </c>
      <c r="AM40" s="446">
        <v>5262</v>
      </c>
      <c r="AN40" s="337">
        <f t="shared" si="27"/>
        <v>-28.3</v>
      </c>
      <c r="AO40" s="444">
        <f t="shared" si="21"/>
        <v>192717.21955087996</v>
      </c>
      <c r="AP40" s="444">
        <f t="shared" si="21"/>
        <v>172073.20513133</v>
      </c>
      <c r="AQ40" s="337">
        <f t="shared" si="22"/>
        <v>-10.7</v>
      </c>
      <c r="AR40" s="444">
        <f t="shared" si="23"/>
        <v>192717.21955087996</v>
      </c>
      <c r="AS40" s="444">
        <f t="shared" si="23"/>
        <v>172073.20513133</v>
      </c>
      <c r="AT40" s="447">
        <f t="shared" si="24"/>
        <v>-10.7</v>
      </c>
      <c r="AU40" s="493"/>
      <c r="AV40" s="493"/>
      <c r="AW40" s="497"/>
    </row>
    <row r="41" spans="1:49" s="466" customFormat="1" ht="20.100000000000001" customHeight="1" x14ac:dyDescent="0.3">
      <c r="A41" s="460" t="s">
        <v>217</v>
      </c>
      <c r="B41" s="195">
        <v>1129.079</v>
      </c>
      <c r="C41" s="446">
        <v>1154.93</v>
      </c>
      <c r="D41" s="446">
        <f>IF(B41=0, "    ---- ", IF(ABS(ROUND(100/B41*C41-100,1))&lt;999,ROUND(100/B41*C41-100,1),IF(ROUND(100/B41*C41-100,1)&gt;999,999,-999)))</f>
        <v>2.2999999999999998</v>
      </c>
      <c r="E41" s="446">
        <v>56579.065999999999</v>
      </c>
      <c r="F41" s="446">
        <v>63420.766000000003</v>
      </c>
      <c r="G41" s="446">
        <f t="shared" si="19"/>
        <v>12.1</v>
      </c>
      <c r="H41" s="446"/>
      <c r="I41" s="446">
        <v>6005.4457192399996</v>
      </c>
      <c r="J41" s="446" t="str">
        <f>IF(H41=0, "    ---- ", IF(ABS(ROUND(100/H41*I41-100,1))&lt;999,ROUND(100/H41*I41-100,1),IF(ROUND(100/H41*I41-100,1)&gt;999,999,-999)))</f>
        <v xml:space="preserve">    ---- </v>
      </c>
      <c r="K41" s="195">
        <v>614.14499999999998</v>
      </c>
      <c r="L41" s="446">
        <v>742.03300000000002</v>
      </c>
      <c r="M41" s="446">
        <f>IF(K41=0, "    ---- ", IF(ABS(ROUND(100/K41*L41-100,1))&lt;999,ROUND(100/K41*L41-100,1),IF(ROUND(100/K41*L41-100,1)&gt;999,999,-999)))</f>
        <v>20.8</v>
      </c>
      <c r="N41" s="195">
        <v>560.6</v>
      </c>
      <c r="O41" s="446">
        <v>595.9</v>
      </c>
      <c r="P41" s="436">
        <f t="shared" si="29"/>
        <v>6.3</v>
      </c>
      <c r="Q41" s="195"/>
      <c r="R41" s="446"/>
      <c r="S41" s="337"/>
      <c r="T41" s="195">
        <v>120417.82974587</v>
      </c>
      <c r="U41" s="446">
        <v>112083.08928238999</v>
      </c>
      <c r="V41" s="337">
        <f t="shared" si="30"/>
        <v>-6.9</v>
      </c>
      <c r="W41" s="195"/>
      <c r="X41" s="446"/>
      <c r="Y41" s="337"/>
      <c r="Z41" s="195">
        <v>6660.1521483300003</v>
      </c>
      <c r="AA41" s="446">
        <v>7383.9275416800001</v>
      </c>
      <c r="AB41" s="337">
        <f t="shared" si="25"/>
        <v>10.9</v>
      </c>
      <c r="AC41" s="195">
        <v>18555</v>
      </c>
      <c r="AD41" s="446">
        <v>19715</v>
      </c>
      <c r="AE41" s="337">
        <f t="shared" si="20"/>
        <v>6.3</v>
      </c>
      <c r="AF41" s="195"/>
      <c r="AG41" s="446"/>
      <c r="AH41" s="337"/>
      <c r="AI41" s="195">
        <v>8481.3189999999995</v>
      </c>
      <c r="AJ41" s="446">
        <v>6003.2030000000004</v>
      </c>
      <c r="AK41" s="337">
        <f t="shared" si="26"/>
        <v>-29.2</v>
      </c>
      <c r="AL41" s="195">
        <f>24571.4</f>
        <v>24571.4</v>
      </c>
      <c r="AM41" s="446">
        <v>28385</v>
      </c>
      <c r="AN41" s="337">
        <f t="shared" si="27"/>
        <v>15.5</v>
      </c>
      <c r="AO41" s="444">
        <f t="shared" si="21"/>
        <v>237568.59089419997</v>
      </c>
      <c r="AP41" s="444">
        <f t="shared" si="21"/>
        <v>245489.29454330998</v>
      </c>
      <c r="AQ41" s="337">
        <f t="shared" si="22"/>
        <v>3.3</v>
      </c>
      <c r="AR41" s="444">
        <f t="shared" si="23"/>
        <v>237568.59089419997</v>
      </c>
      <c r="AS41" s="444">
        <f t="shared" si="23"/>
        <v>245489.29454330998</v>
      </c>
      <c r="AT41" s="447">
        <f t="shared" si="24"/>
        <v>3.3</v>
      </c>
      <c r="AU41" s="493"/>
      <c r="AV41" s="493"/>
      <c r="AW41" s="497"/>
    </row>
    <row r="42" spans="1:49" s="466" customFormat="1" ht="20.100000000000001" customHeight="1" x14ac:dyDescent="0.3">
      <c r="A42" s="460" t="s">
        <v>218</v>
      </c>
      <c r="B42" s="195"/>
      <c r="C42" s="446"/>
      <c r="D42" s="446"/>
      <c r="E42" s="446">
        <v>1885.19</v>
      </c>
      <c r="F42" s="446">
        <v>1134.17</v>
      </c>
      <c r="G42" s="446">
        <f t="shared" si="19"/>
        <v>-39.799999999999997</v>
      </c>
      <c r="H42" s="446"/>
      <c r="I42" s="446">
        <v>20.234618819999991</v>
      </c>
      <c r="J42" s="446" t="str">
        <f t="shared" ref="J42:J43" si="33">IF(H42=0, "    ---- ", IF(ABS(ROUND(100/H42*I42-100,1))&lt;999,ROUND(100/H42*I42-100,1),IF(ROUND(100/H42*I42-100,1)&gt;999,999,-999)))</f>
        <v xml:space="preserve">    ---- </v>
      </c>
      <c r="K42" s="195"/>
      <c r="L42" s="446"/>
      <c r="M42" s="446"/>
      <c r="N42" s="195"/>
      <c r="O42" s="446"/>
      <c r="P42" s="436"/>
      <c r="Q42" s="195"/>
      <c r="R42" s="446"/>
      <c r="S42" s="337"/>
      <c r="T42" s="195">
        <v>8581.3230959200009</v>
      </c>
      <c r="U42" s="446">
        <v>10202.808916559999</v>
      </c>
      <c r="V42" s="337">
        <f t="shared" si="30"/>
        <v>18.899999999999999</v>
      </c>
      <c r="W42" s="195">
        <v>38.466000000000001</v>
      </c>
      <c r="X42" s="446">
        <v>63.725999999999999</v>
      </c>
      <c r="Y42" s="337">
        <f>IF(W42=0, "    ---- ", IF(ABS(ROUND(100/W42*X42-100,1))&lt;999,ROUND(100/W42*X42-100,1),IF(ROUND(100/W42*X42-100,1)&gt;999,999,-999)))</f>
        <v>65.7</v>
      </c>
      <c r="Z42" s="195">
        <v>0</v>
      </c>
      <c r="AA42" s="446">
        <v>0</v>
      </c>
      <c r="AB42" s="337"/>
      <c r="AC42" s="195">
        <v>53</v>
      </c>
      <c r="AD42" s="446">
        <v>0</v>
      </c>
      <c r="AE42" s="337">
        <f t="shared" si="20"/>
        <v>-100</v>
      </c>
      <c r="AF42" s="195"/>
      <c r="AG42" s="446"/>
      <c r="AH42" s="337"/>
      <c r="AI42" s="195"/>
      <c r="AJ42" s="446"/>
      <c r="AK42" s="337"/>
      <c r="AL42" s="195"/>
      <c r="AM42" s="446"/>
      <c r="AN42" s="337"/>
      <c r="AO42" s="444">
        <f t="shared" si="21"/>
        <v>10557.979095920002</v>
      </c>
      <c r="AP42" s="444">
        <f t="shared" si="21"/>
        <v>11420.939535380001</v>
      </c>
      <c r="AQ42" s="337">
        <f t="shared" si="22"/>
        <v>8.1999999999999993</v>
      </c>
      <c r="AR42" s="444">
        <f t="shared" si="23"/>
        <v>10557.979095920002</v>
      </c>
      <c r="AS42" s="444">
        <f t="shared" si="23"/>
        <v>11420.939535380001</v>
      </c>
      <c r="AT42" s="447">
        <f t="shared" si="24"/>
        <v>8.1999999999999993</v>
      </c>
      <c r="AU42" s="493"/>
      <c r="AV42" s="493"/>
      <c r="AW42" s="497"/>
    </row>
    <row r="43" spans="1:49" s="466" customFormat="1" ht="20.100000000000001" customHeight="1" x14ac:dyDescent="0.3">
      <c r="A43" s="460" t="s">
        <v>219</v>
      </c>
      <c r="B43" s="195">
        <v>0.79100000000000004</v>
      </c>
      <c r="C43" s="446">
        <v>0.79300000000000004</v>
      </c>
      <c r="D43" s="446">
        <f>IF(B43=0, "    ---- ", IF(ABS(ROUND(100/B43*C43-100,1))&lt;999,ROUND(100/B43*C43-100,1),IF(ROUND(100/B43*C43-100,1)&gt;999,999,-999)))</f>
        <v>0.3</v>
      </c>
      <c r="E43" s="446">
        <v>114.358</v>
      </c>
      <c r="F43" s="446">
        <v>377.44400000000002</v>
      </c>
      <c r="G43" s="446">
        <f t="shared" si="19"/>
        <v>230.1</v>
      </c>
      <c r="H43" s="446"/>
      <c r="I43" s="446">
        <v>52.596458499999997</v>
      </c>
      <c r="J43" s="446" t="str">
        <f t="shared" si="33"/>
        <v xml:space="preserve">    ---- </v>
      </c>
      <c r="K43" s="195"/>
      <c r="L43" s="446"/>
      <c r="M43" s="446"/>
      <c r="N43" s="195"/>
      <c r="O43" s="446"/>
      <c r="P43" s="436"/>
      <c r="Q43" s="195"/>
      <c r="R43" s="446"/>
      <c r="S43" s="337"/>
      <c r="T43" s="195">
        <v>1411.5016332999999</v>
      </c>
      <c r="U43" s="446">
        <v>4761.1135534899995</v>
      </c>
      <c r="V43" s="337">
        <f t="shared" si="30"/>
        <v>237.3</v>
      </c>
      <c r="W43" s="195"/>
      <c r="X43" s="446"/>
      <c r="Y43" s="337"/>
      <c r="Z43" s="195">
        <v>11.112134900000001</v>
      </c>
      <c r="AA43" s="446">
        <v>6.0875059999999995E-2</v>
      </c>
      <c r="AB43" s="337">
        <f t="shared" si="25"/>
        <v>-99.5</v>
      </c>
      <c r="AC43" s="195">
        <v>527</v>
      </c>
      <c r="AD43" s="446">
        <v>1042</v>
      </c>
      <c r="AE43" s="337">
        <f>IF(AC43=0, "    ---- ", IF(ABS(ROUND(100/AC43*AD43-100,1))&lt;999,ROUND(100/AC43*AD43-100,1),IF(ROUND(100/AC43*AD43-100,1)&gt;999,999,-999)))</f>
        <v>97.7</v>
      </c>
      <c r="AF43" s="195"/>
      <c r="AG43" s="446"/>
      <c r="AH43" s="337"/>
      <c r="AI43" s="195">
        <v>50.744</v>
      </c>
      <c r="AJ43" s="446">
        <v>82.885000000000005</v>
      </c>
      <c r="AK43" s="337">
        <f t="shared" si="26"/>
        <v>63.3</v>
      </c>
      <c r="AL43" s="195">
        <v>1590</v>
      </c>
      <c r="AM43" s="446">
        <v>5824</v>
      </c>
      <c r="AN43" s="337">
        <f t="shared" si="27"/>
        <v>266.3</v>
      </c>
      <c r="AO43" s="444">
        <f t="shared" si="21"/>
        <v>3705.5067681999999</v>
      </c>
      <c r="AP43" s="444">
        <f t="shared" si="21"/>
        <v>12140.89288705</v>
      </c>
      <c r="AQ43" s="337">
        <f t="shared" si="22"/>
        <v>227.6</v>
      </c>
      <c r="AR43" s="444">
        <f t="shared" si="23"/>
        <v>3705.5067681999999</v>
      </c>
      <c r="AS43" s="444">
        <f t="shared" si="23"/>
        <v>12140.89288705</v>
      </c>
      <c r="AT43" s="447">
        <f t="shared" si="24"/>
        <v>227.6</v>
      </c>
      <c r="AU43" s="493"/>
      <c r="AV43" s="493"/>
      <c r="AW43" s="497"/>
    </row>
    <row r="44" spans="1:49" s="466" customFormat="1" ht="20.100000000000001" customHeight="1" x14ac:dyDescent="0.3">
      <c r="A44" s="460" t="s">
        <v>220</v>
      </c>
      <c r="B44" s="195">
        <v>38.042999999999999</v>
      </c>
      <c r="C44" s="446">
        <v>67.194000000000003</v>
      </c>
      <c r="D44" s="446">
        <f>IF(B44=0, "    ---- ", IF(ABS(ROUND(100/B44*C44-100,1))&lt;999,ROUND(100/B44*C44-100,1),IF(ROUND(100/B44*C44-100,1)&gt;999,999,-999)))</f>
        <v>76.599999999999994</v>
      </c>
      <c r="E44" s="446">
        <v>752.27499999999998</v>
      </c>
      <c r="F44" s="446">
        <v>790.351</v>
      </c>
      <c r="G44" s="446">
        <f t="shared" si="19"/>
        <v>5.0999999999999996</v>
      </c>
      <c r="H44" s="446"/>
      <c r="I44" s="446">
        <v>171.66194668</v>
      </c>
      <c r="J44" s="446" t="str">
        <f t="shared" ref="J44:J46" si="34">IF(H44=0, "    ---- ", IF(ABS(ROUND(100/H44*I44-100,1))&lt;999,ROUND(100/H44*I44-100,1),IF(ROUND(100/H44*I44-100,1)&gt;999,999,-999)))</f>
        <v xml:space="preserve">    ---- </v>
      </c>
      <c r="K44" s="195">
        <v>138.50399999999999</v>
      </c>
      <c r="L44" s="446">
        <v>117.372</v>
      </c>
      <c r="M44" s="446">
        <f t="shared" si="32"/>
        <v>-15.3</v>
      </c>
      <c r="N44" s="195">
        <f>2.2+15.4</f>
        <v>17.600000000000001</v>
      </c>
      <c r="O44" s="446">
        <v>115.2</v>
      </c>
      <c r="P44" s="436">
        <f t="shared" si="29"/>
        <v>554.5</v>
      </c>
      <c r="Q44" s="195"/>
      <c r="R44" s="446"/>
      <c r="S44" s="337"/>
      <c r="T44" s="195">
        <v>1461.3900683299998</v>
      </c>
      <c r="U44" s="446">
        <v>3589.1781580799998</v>
      </c>
      <c r="V44" s="337">
        <f t="shared" si="30"/>
        <v>145.6</v>
      </c>
      <c r="W44" s="195"/>
      <c r="X44" s="446"/>
      <c r="Y44" s="337"/>
      <c r="Z44" s="195">
        <v>412.85399866</v>
      </c>
      <c r="AA44" s="446">
        <v>107.56677845</v>
      </c>
      <c r="AB44" s="337">
        <f t="shared" si="25"/>
        <v>-73.900000000000006</v>
      </c>
      <c r="AC44" s="195">
        <v>1212</v>
      </c>
      <c r="AD44" s="446">
        <v>1504</v>
      </c>
      <c r="AE44" s="337">
        <f>IF(AC44=0, "    ---- ", IF(ABS(ROUND(100/AC44*AD44-100,1))&lt;999,ROUND(100/AC44*AD44-100,1),IF(ROUND(100/AC44*AD44-100,1)&gt;999,999,-999)))</f>
        <v>24.1</v>
      </c>
      <c r="AF44" s="195"/>
      <c r="AG44" s="446"/>
      <c r="AH44" s="337"/>
      <c r="AI44" s="195">
        <v>272.89299999999997</v>
      </c>
      <c r="AJ44" s="446">
        <v>327.62799999999999</v>
      </c>
      <c r="AK44" s="337">
        <f t="shared" si="26"/>
        <v>20.100000000000001</v>
      </c>
      <c r="AL44" s="195"/>
      <c r="AM44" s="446"/>
      <c r="AN44" s="337"/>
      <c r="AO44" s="444">
        <f t="shared" si="21"/>
        <v>4305.5590669899993</v>
      </c>
      <c r="AP44" s="444">
        <f t="shared" si="21"/>
        <v>6790.1518832100001</v>
      </c>
      <c r="AQ44" s="337">
        <f t="shared" si="22"/>
        <v>57.7</v>
      </c>
      <c r="AR44" s="444">
        <f t="shared" si="23"/>
        <v>4305.5590669899993</v>
      </c>
      <c r="AS44" s="444">
        <f t="shared" si="23"/>
        <v>6790.1518832100001</v>
      </c>
      <c r="AT44" s="447">
        <f t="shared" si="24"/>
        <v>57.7</v>
      </c>
      <c r="AU44" s="493"/>
      <c r="AV44" s="493"/>
      <c r="AW44" s="497"/>
    </row>
    <row r="45" spans="1:49" s="466" customFormat="1" ht="20.100000000000001" customHeight="1" x14ac:dyDescent="0.3">
      <c r="A45" s="461" t="s">
        <v>221</v>
      </c>
      <c r="B45" s="195">
        <f>SUM(B33+B34+B35+B39)</f>
        <v>1199.4539999999997</v>
      </c>
      <c r="C45" s="446">
        <f>SUM(C33+C34+C35+C39)</f>
        <v>1259.5509999999999</v>
      </c>
      <c r="D45" s="337">
        <f>IF(B45=0, "    ---- ", IF(ABS(ROUND(100/B45*C45-100,1))&lt;999,ROUND(100/B45*C45-100,1),IF(ROUND(100/B45*C45-100,1)&gt;999,999,-999)))</f>
        <v>5</v>
      </c>
      <c r="E45" s="446">
        <f>SUM(E33+E34+E35+E39)</f>
        <v>206958.62400000001</v>
      </c>
      <c r="F45" s="446">
        <f>SUM(F33+F34+F35+F39)</f>
        <v>200501.21100000001</v>
      </c>
      <c r="G45" s="337">
        <f t="shared" si="19"/>
        <v>-3.1</v>
      </c>
      <c r="H45" s="446"/>
      <c r="I45" s="446">
        <f>SUM(I33+I34+I35+I39)</f>
        <v>6249.9387432399999</v>
      </c>
      <c r="J45" s="337" t="str">
        <f t="shared" si="34"/>
        <v xml:space="preserve">    ---- </v>
      </c>
      <c r="K45" s="195">
        <f>SUM(K33+K34+K35+K39)</f>
        <v>1068.981</v>
      </c>
      <c r="L45" s="446">
        <f>SUM(L33+L34+L35+L39)</f>
        <v>1169.623</v>
      </c>
      <c r="M45" s="337">
        <f t="shared" si="32"/>
        <v>9.4</v>
      </c>
      <c r="N45" s="195">
        <f>SUM(N33+N34+N35+N39)</f>
        <v>6516.4</v>
      </c>
      <c r="O45" s="446">
        <f>SUM(O33+O34+O35+O39)</f>
        <v>6965.8</v>
      </c>
      <c r="P45" s="436">
        <f t="shared" si="29"/>
        <v>6.9</v>
      </c>
      <c r="Q45" s="195"/>
      <c r="R45" s="446"/>
      <c r="S45" s="337"/>
      <c r="T45" s="195">
        <f>SUM(T33+T34+T35+T39)</f>
        <v>541801.74134796998</v>
      </c>
      <c r="U45" s="446">
        <v>574890.27086865995</v>
      </c>
      <c r="V45" s="337">
        <f t="shared" si="30"/>
        <v>6.1</v>
      </c>
      <c r="W45" s="195">
        <f>SUM(W33+W34+W35+W39)</f>
        <v>1747.3789999999999</v>
      </c>
      <c r="X45" s="446">
        <f>SUM(X33+X34+X35+X39)</f>
        <v>1794.1220000000003</v>
      </c>
      <c r="Y45" s="337">
        <f>IF(W45=0, "    ---- ", IF(ABS(ROUND(100/W45*X45-100,1))&lt;999,ROUND(100/W45*X45-100,1),IF(ROUND(100/W45*X45-100,1)&gt;999,999,-999)))</f>
        <v>2.7</v>
      </c>
      <c r="Z45" s="195">
        <f>SUM(Z33+Z34+Z35+Z39)</f>
        <v>51553.720354279903</v>
      </c>
      <c r="AA45" s="446">
        <f>SUM(AA33+AA34+AA35+AA39)</f>
        <v>52236.108771270003</v>
      </c>
      <c r="AB45" s="337">
        <f t="shared" si="25"/>
        <v>1.3</v>
      </c>
      <c r="AC45" s="195">
        <f>SUM(AC33+AC34+AC35+AC39)</f>
        <v>90015</v>
      </c>
      <c r="AD45" s="446">
        <f>SUM(AD33+AD34+AD35+AD39)</f>
        <v>94374</v>
      </c>
      <c r="AE45" s="337">
        <f>IF(AC45=0, "    ---- ", IF(ABS(ROUND(100/AC45*AD45-100,1))&lt;999,ROUND(100/AC45*AD45-100,1),IF(ROUND(100/AC45*AD45-100,1)&gt;999,999,-999)))</f>
        <v>4.8</v>
      </c>
      <c r="AF45" s="195"/>
      <c r="AG45" s="446"/>
      <c r="AH45" s="337"/>
      <c r="AI45" s="195">
        <f>SUM(AI33+AI34+AI35+AI39)</f>
        <v>24827.885000000002</v>
      </c>
      <c r="AJ45" s="446">
        <f>SUM(AJ33+AJ34+AJ35+AJ39)</f>
        <v>22043.608</v>
      </c>
      <c r="AK45" s="337">
        <f t="shared" si="26"/>
        <v>-11.2</v>
      </c>
      <c r="AL45" s="195">
        <f>SUM(AL33+AL34+AL35+AL39)</f>
        <v>191134.4</v>
      </c>
      <c r="AM45" s="446">
        <f>SUM(AM33+AM34+AM35+AM39)</f>
        <v>204030</v>
      </c>
      <c r="AN45" s="337">
        <f t="shared" si="27"/>
        <v>6.7</v>
      </c>
      <c r="AO45" s="444">
        <f t="shared" si="21"/>
        <v>1116823.5847022498</v>
      </c>
      <c r="AP45" s="444">
        <f t="shared" si="21"/>
        <v>1165514.2333831699</v>
      </c>
      <c r="AQ45" s="337">
        <f t="shared" si="22"/>
        <v>4.4000000000000004</v>
      </c>
      <c r="AR45" s="444">
        <f t="shared" si="23"/>
        <v>1116823.5847022498</v>
      </c>
      <c r="AS45" s="444">
        <f t="shared" si="23"/>
        <v>1165514.2333831699</v>
      </c>
      <c r="AT45" s="447">
        <f t="shared" si="24"/>
        <v>4.4000000000000004</v>
      </c>
      <c r="AU45" s="493"/>
      <c r="AV45" s="493"/>
      <c r="AW45" s="497"/>
    </row>
    <row r="46" spans="1:49" s="466" customFormat="1" ht="20.100000000000001" customHeight="1" x14ac:dyDescent="0.3">
      <c r="A46" s="458" t="s">
        <v>340</v>
      </c>
      <c r="B46" s="195">
        <v>152.36199999999999</v>
      </c>
      <c r="C46" s="446">
        <v>156.25800000000001</v>
      </c>
      <c r="D46" s="337">
        <f>IF(B46=0, "    ---- ", IF(ABS(ROUND(100/B46*C46-100,1))&lt;999,ROUND(100/B46*C46-100,1),IF(ROUND(100/B46*C46-100,1)&gt;999,999,-999)))</f>
        <v>2.6</v>
      </c>
      <c r="E46" s="446">
        <v>241.40600000000001</v>
      </c>
      <c r="F46" s="446">
        <v>218.928</v>
      </c>
      <c r="G46" s="337">
        <f t="shared" si="19"/>
        <v>-9.3000000000000007</v>
      </c>
      <c r="H46" s="446"/>
      <c r="I46" s="446">
        <v>518.96165052999993</v>
      </c>
      <c r="J46" s="337" t="str">
        <f t="shared" si="34"/>
        <v xml:space="preserve">    ---- </v>
      </c>
      <c r="K46" s="195">
        <v>98.372</v>
      </c>
      <c r="L46" s="446">
        <v>56.255000000000003</v>
      </c>
      <c r="M46" s="337">
        <f t="shared" si="32"/>
        <v>-42.8</v>
      </c>
      <c r="N46" s="195">
        <v>415.8</v>
      </c>
      <c r="O46" s="446">
        <v>489.8</v>
      </c>
      <c r="P46" s="436">
        <f t="shared" si="29"/>
        <v>17.8</v>
      </c>
      <c r="Q46" s="195"/>
      <c r="R46" s="446"/>
      <c r="S46" s="337"/>
      <c r="T46" s="195"/>
      <c r="U46" s="446"/>
      <c r="V46" s="337"/>
      <c r="W46" s="195"/>
      <c r="X46" s="446"/>
      <c r="Y46" s="337"/>
      <c r="Z46" s="195">
        <v>51.12</v>
      </c>
      <c r="AA46" s="446">
        <v>54.44</v>
      </c>
      <c r="AB46" s="337">
        <f t="shared" si="25"/>
        <v>6.5</v>
      </c>
      <c r="AC46" s="195"/>
      <c r="AD46" s="446"/>
      <c r="AE46" s="337"/>
      <c r="AF46" s="195"/>
      <c r="AG46" s="446"/>
      <c r="AH46" s="337"/>
      <c r="AI46" s="195">
        <v>519.79399999999998</v>
      </c>
      <c r="AJ46" s="446"/>
      <c r="AK46" s="337">
        <f t="shared" si="26"/>
        <v>-100</v>
      </c>
      <c r="AL46" s="195">
        <v>67</v>
      </c>
      <c r="AM46" s="446">
        <v>21</v>
      </c>
      <c r="AN46" s="337">
        <f t="shared" si="27"/>
        <v>-68.7</v>
      </c>
      <c r="AO46" s="444">
        <f t="shared" si="21"/>
        <v>1545.854</v>
      </c>
      <c r="AP46" s="444">
        <f t="shared" si="21"/>
        <v>1515.6426505300001</v>
      </c>
      <c r="AQ46" s="337">
        <f t="shared" si="22"/>
        <v>-2</v>
      </c>
      <c r="AR46" s="444">
        <f t="shared" si="23"/>
        <v>1545.854</v>
      </c>
      <c r="AS46" s="444">
        <f t="shared" si="23"/>
        <v>1515.6426505300001</v>
      </c>
      <c r="AT46" s="447">
        <f t="shared" si="24"/>
        <v>-2</v>
      </c>
      <c r="AU46" s="493"/>
      <c r="AV46" s="493"/>
      <c r="AW46" s="497"/>
    </row>
    <row r="47" spans="1:49" s="466" customFormat="1" ht="20.100000000000001" customHeight="1" x14ac:dyDescent="0.3">
      <c r="A47" s="458" t="s">
        <v>222</v>
      </c>
      <c r="B47" s="195"/>
      <c r="C47" s="446"/>
      <c r="D47" s="446"/>
      <c r="E47" s="446"/>
      <c r="F47" s="446"/>
      <c r="G47" s="446"/>
      <c r="H47" s="446"/>
      <c r="I47" s="446"/>
      <c r="J47" s="446"/>
      <c r="K47" s="195"/>
      <c r="L47" s="446"/>
      <c r="M47" s="446"/>
      <c r="N47" s="195"/>
      <c r="O47" s="446"/>
      <c r="P47" s="436"/>
      <c r="Q47" s="195"/>
      <c r="R47" s="446"/>
      <c r="S47" s="337"/>
      <c r="T47" s="195"/>
      <c r="U47" s="446"/>
      <c r="V47" s="337"/>
      <c r="W47" s="195"/>
      <c r="X47" s="446"/>
      <c r="Y47" s="337"/>
      <c r="Z47" s="195"/>
      <c r="AA47" s="446"/>
      <c r="AB47" s="337"/>
      <c r="AC47" s="195"/>
      <c r="AD47" s="446"/>
      <c r="AE47" s="337"/>
      <c r="AF47" s="195"/>
      <c r="AG47" s="446"/>
      <c r="AH47" s="337"/>
      <c r="AI47" s="195"/>
      <c r="AJ47" s="446"/>
      <c r="AK47" s="337"/>
      <c r="AL47" s="195"/>
      <c r="AM47" s="446"/>
      <c r="AN47" s="337"/>
      <c r="AO47" s="438"/>
      <c r="AP47" s="438"/>
      <c r="AQ47" s="337"/>
      <c r="AR47" s="438"/>
      <c r="AS47" s="438"/>
      <c r="AT47" s="447"/>
      <c r="AU47" s="493"/>
      <c r="AV47" s="493"/>
      <c r="AW47" s="497"/>
    </row>
    <row r="48" spans="1:49" s="466" customFormat="1" ht="20.100000000000001" customHeight="1" x14ac:dyDescent="0.3">
      <c r="A48" s="460" t="s">
        <v>223</v>
      </c>
      <c r="B48" s="195"/>
      <c r="C48" s="446"/>
      <c r="D48" s="446"/>
      <c r="E48" s="446"/>
      <c r="F48" s="446"/>
      <c r="G48" s="446"/>
      <c r="H48" s="446"/>
      <c r="I48" s="446"/>
      <c r="J48" s="446"/>
      <c r="K48" s="195"/>
      <c r="L48" s="446"/>
      <c r="M48" s="446"/>
      <c r="N48" s="195"/>
      <c r="O48" s="446"/>
      <c r="P48" s="436"/>
      <c r="Q48" s="195"/>
      <c r="R48" s="446"/>
      <c r="S48" s="337"/>
      <c r="T48" s="195"/>
      <c r="U48" s="446"/>
      <c r="V48" s="337"/>
      <c r="W48" s="195"/>
      <c r="X48" s="446"/>
      <c r="Y48" s="337"/>
      <c r="Z48" s="195"/>
      <c r="AA48" s="446"/>
      <c r="AB48" s="337"/>
      <c r="AC48" s="195"/>
      <c r="AD48" s="446"/>
      <c r="AE48" s="337"/>
      <c r="AF48" s="195"/>
      <c r="AG48" s="446"/>
      <c r="AH48" s="337"/>
      <c r="AI48" s="195"/>
      <c r="AJ48" s="446"/>
      <c r="AK48" s="337"/>
      <c r="AL48" s="195"/>
      <c r="AM48" s="446"/>
      <c r="AN48" s="337"/>
      <c r="AO48" s="444">
        <f t="shared" ref="AO48:AP62" si="35">B48+E48+H48+K48+N48+T48+W48+Z48+AC48+AI48+AL48</f>
        <v>0</v>
      </c>
      <c r="AP48" s="444">
        <f t="shared" si="35"/>
        <v>0</v>
      </c>
      <c r="AQ48" s="337" t="str">
        <f t="shared" si="22"/>
        <v xml:space="preserve">    ---- </v>
      </c>
      <c r="AR48" s="444">
        <f t="shared" ref="AR48:AS62" si="36">B48+E48+H48+K48+N48+Q48+T48+W48+Z48+AC48+AF48+AI48+AL48</f>
        <v>0</v>
      </c>
      <c r="AS48" s="444">
        <f t="shared" si="36"/>
        <v>0</v>
      </c>
      <c r="AT48" s="447" t="str">
        <f t="shared" si="24"/>
        <v xml:space="preserve">    ---- </v>
      </c>
      <c r="AU48" s="493"/>
      <c r="AV48" s="493"/>
      <c r="AW48" s="497"/>
    </row>
    <row r="49" spans="1:49" s="466" customFormat="1" ht="20.100000000000001" customHeight="1" x14ac:dyDescent="0.3">
      <c r="A49" s="460" t="s">
        <v>224</v>
      </c>
      <c r="B49" s="195"/>
      <c r="C49" s="446"/>
      <c r="D49" s="446"/>
      <c r="E49" s="446"/>
      <c r="F49" s="446"/>
      <c r="G49" s="446"/>
      <c r="H49" s="446"/>
      <c r="I49" s="446"/>
      <c r="J49" s="446"/>
      <c r="K49" s="195"/>
      <c r="L49" s="446"/>
      <c r="M49" s="446"/>
      <c r="N49" s="195">
        <v>828.1</v>
      </c>
      <c r="O49" s="446">
        <v>1525.5</v>
      </c>
      <c r="P49" s="436">
        <f t="shared" si="29"/>
        <v>84.2</v>
      </c>
      <c r="Q49" s="195"/>
      <c r="R49" s="446"/>
      <c r="S49" s="337"/>
      <c r="T49" s="195">
        <v>312.97716487999998</v>
      </c>
      <c r="U49" s="446">
        <v>274.01296287999998</v>
      </c>
      <c r="V49" s="337">
        <f t="shared" ref="V49:V60" si="37">IF(T49=0, "    ---- ", IF(ABS(ROUND(100/T49*U49-100,1))&lt;999,ROUND(100/T49*U49-100,1),IF(ROUND(100/T49*U49-100,1)&gt;999,999,-999)))</f>
        <v>-12.4</v>
      </c>
      <c r="W49" s="195"/>
      <c r="X49" s="446"/>
      <c r="Y49" s="337"/>
      <c r="Z49" s="195"/>
      <c r="AA49" s="446"/>
      <c r="AB49" s="337"/>
      <c r="AC49" s="195"/>
      <c r="AD49" s="446"/>
      <c r="AE49" s="337"/>
      <c r="AF49" s="195"/>
      <c r="AG49" s="446"/>
      <c r="AH49" s="337"/>
      <c r="AI49" s="195"/>
      <c r="AJ49" s="446"/>
      <c r="AK49" s="337"/>
      <c r="AL49" s="195">
        <v>17941</v>
      </c>
      <c r="AM49" s="446">
        <v>20774</v>
      </c>
      <c r="AN49" s="337">
        <f t="shared" si="27"/>
        <v>15.8</v>
      </c>
      <c r="AO49" s="444">
        <f t="shared" si="35"/>
        <v>19082.07716488</v>
      </c>
      <c r="AP49" s="444">
        <f t="shared" si="35"/>
        <v>22573.512962879999</v>
      </c>
      <c r="AQ49" s="337">
        <f t="shared" si="22"/>
        <v>18.3</v>
      </c>
      <c r="AR49" s="444">
        <f t="shared" si="36"/>
        <v>19082.07716488</v>
      </c>
      <c r="AS49" s="444">
        <f t="shared" si="36"/>
        <v>22573.512962879999</v>
      </c>
      <c r="AT49" s="447">
        <f t="shared" si="24"/>
        <v>18.3</v>
      </c>
      <c r="AU49" s="493"/>
      <c r="AV49" s="493"/>
      <c r="AW49" s="497"/>
    </row>
    <row r="50" spans="1:49" s="466" customFormat="1" ht="20.100000000000001" customHeight="1" x14ac:dyDescent="0.3">
      <c r="A50" s="460" t="s">
        <v>225</v>
      </c>
      <c r="B50" s="195"/>
      <c r="C50" s="446"/>
      <c r="D50" s="446"/>
      <c r="E50" s="446"/>
      <c r="F50" s="446"/>
      <c r="G50" s="446"/>
      <c r="H50" s="446"/>
      <c r="I50" s="446"/>
      <c r="J50" s="446"/>
      <c r="K50" s="195"/>
      <c r="L50" s="446"/>
      <c r="M50" s="446"/>
      <c r="N50" s="195"/>
      <c r="O50" s="446"/>
      <c r="P50" s="436"/>
      <c r="Q50" s="195"/>
      <c r="R50" s="446"/>
      <c r="S50" s="337"/>
      <c r="T50" s="195">
        <f>SUM(T51+T53)</f>
        <v>892.83497797999996</v>
      </c>
      <c r="U50" s="446">
        <v>714.90278091000005</v>
      </c>
      <c r="V50" s="337">
        <f t="shared" si="37"/>
        <v>-19.899999999999999</v>
      </c>
      <c r="W50" s="195"/>
      <c r="X50" s="446"/>
      <c r="Y50" s="337"/>
      <c r="Z50" s="195"/>
      <c r="AA50" s="446"/>
      <c r="AB50" s="337"/>
      <c r="AC50" s="195"/>
      <c r="AD50" s="446"/>
      <c r="AE50" s="337"/>
      <c r="AF50" s="195"/>
      <c r="AG50" s="446"/>
      <c r="AH50" s="337"/>
      <c r="AI50" s="195"/>
      <c r="AJ50" s="446"/>
      <c r="AK50" s="337"/>
      <c r="AL50" s="195">
        <f>SUM(AL51+AL53)</f>
        <v>809</v>
      </c>
      <c r="AM50" s="446">
        <f>SUM(AM51+AM53)</f>
        <v>36</v>
      </c>
      <c r="AN50" s="337">
        <f t="shared" si="27"/>
        <v>-95.6</v>
      </c>
      <c r="AO50" s="444">
        <f t="shared" si="35"/>
        <v>1701.8349779800001</v>
      </c>
      <c r="AP50" s="444">
        <f t="shared" si="35"/>
        <v>750.90278091000005</v>
      </c>
      <c r="AQ50" s="337">
        <f t="shared" si="22"/>
        <v>-55.9</v>
      </c>
      <c r="AR50" s="444">
        <f t="shared" si="36"/>
        <v>1701.8349779800001</v>
      </c>
      <c r="AS50" s="444">
        <f t="shared" si="36"/>
        <v>750.90278091000005</v>
      </c>
      <c r="AT50" s="447">
        <f t="shared" si="24"/>
        <v>-55.9</v>
      </c>
      <c r="AU50" s="493"/>
      <c r="AV50" s="493"/>
      <c r="AW50" s="497"/>
    </row>
    <row r="51" spans="1:49" s="466" customFormat="1" ht="20.100000000000001" customHeight="1" x14ac:dyDescent="0.3">
      <c r="A51" s="460" t="s">
        <v>226</v>
      </c>
      <c r="B51" s="195"/>
      <c r="C51" s="446"/>
      <c r="D51" s="337"/>
      <c r="E51" s="446"/>
      <c r="F51" s="446"/>
      <c r="G51" s="337"/>
      <c r="H51" s="446"/>
      <c r="I51" s="446"/>
      <c r="J51" s="337"/>
      <c r="K51" s="195"/>
      <c r="L51" s="446"/>
      <c r="M51" s="337"/>
      <c r="N51" s="195"/>
      <c r="O51" s="446"/>
      <c r="P51" s="436"/>
      <c r="Q51" s="195"/>
      <c r="R51" s="446"/>
      <c r="S51" s="337"/>
      <c r="T51" s="195">
        <v>81.417462839999999</v>
      </c>
      <c r="U51" s="446">
        <v>49.651621799999994</v>
      </c>
      <c r="V51" s="337">
        <f t="shared" si="37"/>
        <v>-39</v>
      </c>
      <c r="W51" s="195"/>
      <c r="X51" s="446"/>
      <c r="Y51" s="337"/>
      <c r="Z51" s="195"/>
      <c r="AA51" s="446"/>
      <c r="AB51" s="337"/>
      <c r="AC51" s="195"/>
      <c r="AD51" s="446"/>
      <c r="AE51" s="337"/>
      <c r="AF51" s="195"/>
      <c r="AG51" s="446"/>
      <c r="AH51" s="337"/>
      <c r="AI51" s="195"/>
      <c r="AJ51" s="446"/>
      <c r="AK51" s="337"/>
      <c r="AL51" s="195"/>
      <c r="AM51" s="446"/>
      <c r="AN51" s="337"/>
      <c r="AO51" s="444">
        <f t="shared" si="35"/>
        <v>81.417462839999999</v>
      </c>
      <c r="AP51" s="444">
        <f t="shared" si="35"/>
        <v>49.651621799999994</v>
      </c>
      <c r="AQ51" s="337">
        <f t="shared" si="22"/>
        <v>-39</v>
      </c>
      <c r="AR51" s="444">
        <f t="shared" si="36"/>
        <v>81.417462839999999</v>
      </c>
      <c r="AS51" s="444">
        <f t="shared" si="36"/>
        <v>49.651621799999994</v>
      </c>
      <c r="AT51" s="447">
        <f t="shared" si="24"/>
        <v>-39</v>
      </c>
      <c r="AU51" s="493"/>
      <c r="AV51" s="493"/>
      <c r="AW51" s="497"/>
    </row>
    <row r="52" spans="1:49" s="495" customFormat="1" ht="20.100000000000001" customHeight="1" x14ac:dyDescent="0.3">
      <c r="A52" s="460" t="s">
        <v>196</v>
      </c>
      <c r="B52" s="195"/>
      <c r="C52" s="446"/>
      <c r="D52" s="443"/>
      <c r="E52" s="446"/>
      <c r="F52" s="446"/>
      <c r="G52" s="443"/>
      <c r="H52" s="446"/>
      <c r="I52" s="446"/>
      <c r="J52" s="443"/>
      <c r="K52" s="195"/>
      <c r="L52" s="446"/>
      <c r="M52" s="443"/>
      <c r="N52" s="195"/>
      <c r="O52" s="446"/>
      <c r="P52" s="442"/>
      <c r="Q52" s="195"/>
      <c r="R52" s="446"/>
      <c r="S52" s="443"/>
      <c r="T52" s="195">
        <v>81.417462839999999</v>
      </c>
      <c r="U52" s="446">
        <v>49.651621799999994</v>
      </c>
      <c r="V52" s="337">
        <f t="shared" si="37"/>
        <v>-39</v>
      </c>
      <c r="W52" s="195"/>
      <c r="X52" s="446"/>
      <c r="Y52" s="443"/>
      <c r="Z52" s="195"/>
      <c r="AA52" s="446"/>
      <c r="AB52" s="443"/>
      <c r="AC52" s="195"/>
      <c r="AD52" s="446"/>
      <c r="AE52" s="443"/>
      <c r="AF52" s="195"/>
      <c r="AG52" s="446"/>
      <c r="AH52" s="443"/>
      <c r="AI52" s="195"/>
      <c r="AJ52" s="446"/>
      <c r="AK52" s="443"/>
      <c r="AL52" s="195"/>
      <c r="AM52" s="446"/>
      <c r="AN52" s="443"/>
      <c r="AO52" s="444">
        <f t="shared" si="35"/>
        <v>81.417462839999999</v>
      </c>
      <c r="AP52" s="444">
        <f t="shared" si="35"/>
        <v>49.651621799999994</v>
      </c>
      <c r="AQ52" s="443">
        <f t="shared" si="22"/>
        <v>-39</v>
      </c>
      <c r="AR52" s="444">
        <f t="shared" si="36"/>
        <v>81.417462839999999</v>
      </c>
      <c r="AS52" s="444">
        <f t="shared" si="36"/>
        <v>49.651621799999994</v>
      </c>
      <c r="AT52" s="445">
        <f t="shared" si="24"/>
        <v>-39</v>
      </c>
      <c r="AU52" s="494"/>
      <c r="AV52" s="494"/>
      <c r="AW52" s="496"/>
    </row>
    <row r="53" spans="1:49" s="466" customFormat="1" ht="20.100000000000001" customHeight="1" x14ac:dyDescent="0.3">
      <c r="A53" s="460" t="s">
        <v>227</v>
      </c>
      <c r="B53" s="195"/>
      <c r="C53" s="446"/>
      <c r="D53" s="446"/>
      <c r="E53" s="446"/>
      <c r="F53" s="446"/>
      <c r="G53" s="446"/>
      <c r="H53" s="446"/>
      <c r="I53" s="446"/>
      <c r="J53" s="446"/>
      <c r="K53" s="195"/>
      <c r="L53" s="446"/>
      <c r="M53" s="446"/>
      <c r="N53" s="195"/>
      <c r="O53" s="446"/>
      <c r="P53" s="436"/>
      <c r="Q53" s="195"/>
      <c r="R53" s="446"/>
      <c r="S53" s="337"/>
      <c r="T53" s="195">
        <v>811.41751513999998</v>
      </c>
      <c r="U53" s="446">
        <v>665.25115911</v>
      </c>
      <c r="V53" s="337">
        <f t="shared" si="37"/>
        <v>-18</v>
      </c>
      <c r="W53" s="195"/>
      <c r="X53" s="446"/>
      <c r="Y53" s="337"/>
      <c r="Z53" s="195"/>
      <c r="AA53" s="446"/>
      <c r="AB53" s="337"/>
      <c r="AC53" s="195"/>
      <c r="AD53" s="446"/>
      <c r="AE53" s="337"/>
      <c r="AF53" s="195"/>
      <c r="AG53" s="446"/>
      <c r="AH53" s="337"/>
      <c r="AI53" s="195"/>
      <c r="AJ53" s="446"/>
      <c r="AK53" s="337"/>
      <c r="AL53" s="195">
        <v>809</v>
      </c>
      <c r="AM53" s="446">
        <v>36</v>
      </c>
      <c r="AN53" s="337">
        <f t="shared" si="27"/>
        <v>-95.6</v>
      </c>
      <c r="AO53" s="444">
        <f t="shared" si="35"/>
        <v>1620.41751514</v>
      </c>
      <c r="AP53" s="444">
        <f t="shared" si="35"/>
        <v>701.25115911</v>
      </c>
      <c r="AQ53" s="337">
        <f t="shared" si="22"/>
        <v>-56.7</v>
      </c>
      <c r="AR53" s="444">
        <f t="shared" si="36"/>
        <v>1620.41751514</v>
      </c>
      <c r="AS53" s="444">
        <f t="shared" si="36"/>
        <v>701.25115911</v>
      </c>
      <c r="AT53" s="447">
        <f t="shared" si="24"/>
        <v>-56.7</v>
      </c>
      <c r="AU53" s="493"/>
      <c r="AV53" s="493"/>
      <c r="AW53" s="497"/>
    </row>
    <row r="54" spans="1:49" s="466" customFormat="1" ht="20.100000000000001" customHeight="1" x14ac:dyDescent="0.3">
      <c r="A54" s="460" t="s">
        <v>228</v>
      </c>
      <c r="B54" s="195">
        <f>SUM(B55:B59)</f>
        <v>19030.607</v>
      </c>
      <c r="C54" s="446">
        <f>SUM(C55:C59)</f>
        <v>20948.923999999999</v>
      </c>
      <c r="D54" s="446">
        <f>IF(B54=0, "    ---- ", IF(ABS(ROUND(100/B54*C54-100,1))&lt;999,ROUND(100/B54*C54-100,1),IF(ROUND(100/B54*C54-100,1)&gt;999,999,-999)))</f>
        <v>10.1</v>
      </c>
      <c r="E54" s="446">
        <f>SUM(E55:E59)</f>
        <v>85192.428</v>
      </c>
      <c r="F54" s="446">
        <f>SUM(F55:F59)</f>
        <v>95193.911000000007</v>
      </c>
      <c r="G54" s="446">
        <f t="shared" si="19"/>
        <v>11.7</v>
      </c>
      <c r="H54" s="446"/>
      <c r="I54" s="446"/>
      <c r="J54" s="446"/>
      <c r="K54" s="195">
        <f>SUM(K55:K59)</f>
        <v>3826.7869999999998</v>
      </c>
      <c r="L54" s="446">
        <f>SUM(L55:L59)</f>
        <v>4269.2669999999998</v>
      </c>
      <c r="M54" s="446">
        <f>IF(K54=0, "    ---- ", IF(ABS(ROUND(100/K54*L54-100,1))&lt;999,ROUND(100/K54*L54-100,1),IF(ROUND(100/K54*L54-100,1)&gt;999,999,-999)))</f>
        <v>11.6</v>
      </c>
      <c r="N54" s="195">
        <f>SUM(N55:N59)</f>
        <v>26393.200000000001</v>
      </c>
      <c r="O54" s="446">
        <f>SUM(O55:O59)</f>
        <v>28229.3</v>
      </c>
      <c r="P54" s="436">
        <f t="shared" si="29"/>
        <v>7</v>
      </c>
      <c r="Q54" s="195"/>
      <c r="R54" s="446"/>
      <c r="S54" s="337"/>
      <c r="T54" s="195">
        <f>SUM(T55:T59)</f>
        <v>1382.78617399</v>
      </c>
      <c r="U54" s="446">
        <v>977.49404066</v>
      </c>
      <c r="V54" s="337">
        <f t="shared" si="37"/>
        <v>-29.3</v>
      </c>
      <c r="W54" s="195">
        <v>4242.2250000000004</v>
      </c>
      <c r="X54" s="446">
        <f>SUM(X55:X59)</f>
        <v>5167.9110000000001</v>
      </c>
      <c r="Y54" s="337">
        <f>IF(W54=0, "    ---- ", IF(ABS(ROUND(100/W54*X54-100,1))&lt;999,ROUND(100/W54*X54-100,1),IF(ROUND(100/W54*X54-100,1)&gt;999,999,-999)))</f>
        <v>21.8</v>
      </c>
      <c r="Z54" s="195">
        <f>SUM(Z55:Z59)</f>
        <v>68352.479999999996</v>
      </c>
      <c r="AA54" s="446">
        <f>SUM(AA55:AA59)</f>
        <v>79687.040000000008</v>
      </c>
      <c r="AB54" s="337">
        <f t="shared" si="25"/>
        <v>16.600000000000001</v>
      </c>
      <c r="AC54" s="195"/>
      <c r="AD54" s="446"/>
      <c r="AE54" s="337"/>
      <c r="AF54" s="195">
        <f>SUM(AF55:AF59)</f>
        <v>2309.4846787400002</v>
      </c>
      <c r="AG54" s="446">
        <f>SUM(AG55:AG59)</f>
        <v>2519.6196610400002</v>
      </c>
      <c r="AH54" s="337">
        <f>IF(AF54=0, "    ---- ", IF(ABS(ROUND(100/AF54*AG54-100,1))&lt;999,ROUND(100/AF54*AG54-100,1),IF(ROUND(100/AF54*AG54-100,1)&gt;999,999,-999)))</f>
        <v>9.1</v>
      </c>
      <c r="AI54" s="195">
        <f>SUM(AI55:AI59)</f>
        <v>32178.036999999997</v>
      </c>
      <c r="AJ54" s="446">
        <f>SUM(AJ55:AJ59)</f>
        <v>36530.807000000001</v>
      </c>
      <c r="AK54" s="337">
        <f t="shared" si="26"/>
        <v>13.5</v>
      </c>
      <c r="AL54" s="195">
        <f>SUM(AL55:AL59)</f>
        <v>85434</v>
      </c>
      <c r="AM54" s="446">
        <f>SUM(AM55:AM59)</f>
        <v>96693</v>
      </c>
      <c r="AN54" s="337">
        <f t="shared" si="27"/>
        <v>13.2</v>
      </c>
      <c r="AO54" s="444">
        <f t="shared" si="35"/>
        <v>326032.55017399002</v>
      </c>
      <c r="AP54" s="444">
        <f t="shared" si="35"/>
        <v>367697.65404066001</v>
      </c>
      <c r="AQ54" s="337">
        <f t="shared" si="22"/>
        <v>12.8</v>
      </c>
      <c r="AR54" s="444">
        <f t="shared" si="36"/>
        <v>328342.03485272999</v>
      </c>
      <c r="AS54" s="444">
        <f t="shared" si="36"/>
        <v>370217.27370170003</v>
      </c>
      <c r="AT54" s="447">
        <f t="shared" si="24"/>
        <v>12.8</v>
      </c>
      <c r="AU54" s="493"/>
      <c r="AV54" s="493"/>
      <c r="AW54" s="497"/>
    </row>
    <row r="55" spans="1:49" s="466" customFormat="1" ht="20.100000000000001" customHeight="1" x14ac:dyDescent="0.3">
      <c r="A55" s="460" t="s">
        <v>229</v>
      </c>
      <c r="B55" s="195">
        <v>11396.734</v>
      </c>
      <c r="C55" s="446">
        <v>12822.056</v>
      </c>
      <c r="D55" s="446">
        <f>IF(B55=0, "    ---- ", IF(ABS(ROUND(100/B55*C55-100,1))&lt;999,ROUND(100/B55*C55-100,1),IF(ROUND(100/B55*C55-100,1)&gt;999,999,-999)))</f>
        <v>12.5</v>
      </c>
      <c r="E55" s="446">
        <v>46742.811999999998</v>
      </c>
      <c r="F55" s="446">
        <v>53886.171000000002</v>
      </c>
      <c r="G55" s="446">
        <f t="shared" si="19"/>
        <v>15.3</v>
      </c>
      <c r="H55" s="446"/>
      <c r="I55" s="446"/>
      <c r="J55" s="446"/>
      <c r="K55" s="195">
        <f>3826.787-K59</f>
        <v>2519.7869999999998</v>
      </c>
      <c r="L55" s="446">
        <f>4269.267-L59</f>
        <v>2862.9789999999998</v>
      </c>
      <c r="M55" s="446">
        <f>IF(K55=0, "    ---- ", IF(ABS(ROUND(100/K55*L55-100,1))&lt;999,ROUND(100/K55*L55-100,1),IF(ROUND(100/K55*L55-100,1)&gt;999,999,-999)))</f>
        <v>13.6</v>
      </c>
      <c r="N55" s="195">
        <v>23341.4</v>
      </c>
      <c r="O55" s="446">
        <v>24090.5</v>
      </c>
      <c r="P55" s="436">
        <f t="shared" si="29"/>
        <v>3.2</v>
      </c>
      <c r="Q55" s="195"/>
      <c r="R55" s="446"/>
      <c r="S55" s="337"/>
      <c r="T55" s="195">
        <v>732.74725937000005</v>
      </c>
      <c r="U55" s="446">
        <v>511.05584636999998</v>
      </c>
      <c r="V55" s="337">
        <f t="shared" si="37"/>
        <v>-30.3</v>
      </c>
      <c r="W55" s="195">
        <v>4239.9260000000004</v>
      </c>
      <c r="X55" s="446">
        <v>5168.451</v>
      </c>
      <c r="Y55" s="337">
        <f>IF(W55=0, "    ---- ", IF(ABS(ROUND(100/W55*X55-100,1))&lt;999,ROUND(100/W55*X55-100,1),IF(ROUND(100/W55*X55-100,1)&gt;999,999,-999)))</f>
        <v>21.9</v>
      </c>
      <c r="Z55" s="195">
        <v>34782.269999999997</v>
      </c>
      <c r="AA55" s="446">
        <v>42565.47</v>
      </c>
      <c r="AB55" s="337">
        <f t="shared" si="25"/>
        <v>22.4</v>
      </c>
      <c r="AC55" s="195"/>
      <c r="AD55" s="446"/>
      <c r="AE55" s="337"/>
      <c r="AF55" s="195">
        <v>2309.4846787400002</v>
      </c>
      <c r="AG55" s="446">
        <v>2519.6196610400002</v>
      </c>
      <c r="AH55" s="337">
        <f>IF(AF55=0, "    ---- ", IF(ABS(ROUND(100/AF55*AG55-100,1))&lt;999,ROUND(100/AF55*AG55-100,1),IF(ROUND(100/AF55*AG55-100,1)&gt;999,999,-999)))</f>
        <v>9.1</v>
      </c>
      <c r="AI55" s="195">
        <v>19339.812999999998</v>
      </c>
      <c r="AJ55" s="446">
        <v>22161.429</v>
      </c>
      <c r="AK55" s="337">
        <f t="shared" si="26"/>
        <v>14.6</v>
      </c>
      <c r="AL55" s="195">
        <v>48395</v>
      </c>
      <c r="AM55" s="446">
        <v>55425</v>
      </c>
      <c r="AN55" s="337">
        <f t="shared" si="27"/>
        <v>14.5</v>
      </c>
      <c r="AO55" s="444">
        <f t="shared" si="35"/>
        <v>191490.48925936999</v>
      </c>
      <c r="AP55" s="444">
        <f t="shared" si="35"/>
        <v>219493.11184637001</v>
      </c>
      <c r="AQ55" s="337">
        <f t="shared" si="22"/>
        <v>14.6</v>
      </c>
      <c r="AR55" s="444">
        <f t="shared" si="36"/>
        <v>193799.97393810999</v>
      </c>
      <c r="AS55" s="444">
        <f t="shared" si="36"/>
        <v>222012.73150741</v>
      </c>
      <c r="AT55" s="447">
        <f t="shared" si="24"/>
        <v>14.6</v>
      </c>
      <c r="AU55" s="493"/>
      <c r="AV55" s="493"/>
      <c r="AW55" s="497"/>
    </row>
    <row r="56" spans="1:49" s="466" customFormat="1" ht="20.100000000000001" customHeight="1" x14ac:dyDescent="0.3">
      <c r="A56" s="460" t="s">
        <v>230</v>
      </c>
      <c r="B56" s="195">
        <v>7196.6419999999998</v>
      </c>
      <c r="C56" s="446">
        <v>7846.0829999999996</v>
      </c>
      <c r="D56" s="446">
        <f>IF(B56=0, "    ---- ", IF(ABS(ROUND(100/B56*C56-100,1))&lt;999,ROUND(100/B56*C56-100,1),IF(ROUND(100/B56*C56-100,1)&gt;999,999,-999)))</f>
        <v>9</v>
      </c>
      <c r="E56" s="446">
        <v>36992.75</v>
      </c>
      <c r="F56" s="446">
        <v>39853.464</v>
      </c>
      <c r="G56" s="446">
        <f t="shared" si="19"/>
        <v>7.7</v>
      </c>
      <c r="H56" s="446"/>
      <c r="I56" s="446"/>
      <c r="J56" s="446"/>
      <c r="K56" s="195"/>
      <c r="L56" s="446"/>
      <c r="M56" s="446"/>
      <c r="N56" s="195">
        <v>2965.6</v>
      </c>
      <c r="O56" s="446">
        <v>4079.1</v>
      </c>
      <c r="P56" s="436">
        <f t="shared" si="29"/>
        <v>37.5</v>
      </c>
      <c r="Q56" s="195"/>
      <c r="R56" s="446"/>
      <c r="S56" s="337"/>
      <c r="T56" s="195">
        <v>546.33178662</v>
      </c>
      <c r="U56" s="446">
        <v>368.48095145999997</v>
      </c>
      <c r="V56" s="337">
        <f t="shared" si="37"/>
        <v>-32.6</v>
      </c>
      <c r="W56" s="195"/>
      <c r="X56" s="446"/>
      <c r="Y56" s="337"/>
      <c r="Z56" s="195">
        <v>33049.199999999997</v>
      </c>
      <c r="AA56" s="446">
        <v>36736.29</v>
      </c>
      <c r="AB56" s="337">
        <f t="shared" si="25"/>
        <v>11.2</v>
      </c>
      <c r="AC56" s="195"/>
      <c r="AD56" s="446"/>
      <c r="AE56" s="337"/>
      <c r="AF56" s="195"/>
      <c r="AG56" s="446"/>
      <c r="AH56" s="337"/>
      <c r="AI56" s="195">
        <v>12618.858</v>
      </c>
      <c r="AJ56" s="446">
        <v>14268.388999999999</v>
      </c>
      <c r="AK56" s="337">
        <f t="shared" si="26"/>
        <v>13.1</v>
      </c>
      <c r="AL56" s="195">
        <v>36290</v>
      </c>
      <c r="AM56" s="446">
        <v>40050</v>
      </c>
      <c r="AN56" s="337">
        <f t="shared" si="27"/>
        <v>10.4</v>
      </c>
      <c r="AO56" s="444">
        <f t="shared" si="35"/>
        <v>129659.38178662001</v>
      </c>
      <c r="AP56" s="444">
        <f t="shared" si="35"/>
        <v>143201.80695145999</v>
      </c>
      <c r="AQ56" s="337">
        <f t="shared" si="22"/>
        <v>10.4</v>
      </c>
      <c r="AR56" s="444">
        <f t="shared" si="36"/>
        <v>129659.38178662001</v>
      </c>
      <c r="AS56" s="444">
        <f t="shared" si="36"/>
        <v>143201.80695145999</v>
      </c>
      <c r="AT56" s="447">
        <f t="shared" si="24"/>
        <v>10.4</v>
      </c>
      <c r="AU56" s="493"/>
      <c r="AV56" s="493"/>
      <c r="AW56" s="497"/>
    </row>
    <row r="57" spans="1:49" s="466" customFormat="1" ht="20.100000000000001" customHeight="1" x14ac:dyDescent="0.3">
      <c r="A57" s="460" t="s">
        <v>231</v>
      </c>
      <c r="B57" s="195"/>
      <c r="C57" s="446"/>
      <c r="D57" s="337"/>
      <c r="E57" s="446">
        <v>1456.866</v>
      </c>
      <c r="F57" s="446">
        <v>1454.2760000000001</v>
      </c>
      <c r="G57" s="337">
        <f t="shared" si="19"/>
        <v>-0.2</v>
      </c>
      <c r="H57" s="446"/>
      <c r="I57" s="446"/>
      <c r="J57" s="337"/>
      <c r="K57" s="195"/>
      <c r="L57" s="446"/>
      <c r="M57" s="337"/>
      <c r="N57" s="195"/>
      <c r="O57" s="446"/>
      <c r="P57" s="337"/>
      <c r="Q57" s="195"/>
      <c r="R57" s="446"/>
      <c r="S57" s="337"/>
      <c r="T57" s="195">
        <v>100.21447695000001</v>
      </c>
      <c r="U57" s="446">
        <v>89.215434620000011</v>
      </c>
      <c r="V57" s="337">
        <f t="shared" si="37"/>
        <v>-11</v>
      </c>
      <c r="W57" s="195">
        <v>2.2989999999999999</v>
      </c>
      <c r="X57" s="446">
        <v>-0.54</v>
      </c>
      <c r="Y57" s="337">
        <f>IF(W57=0, "    ---- ", IF(ABS(ROUND(100/W57*X57-100,1))&lt;999,ROUND(100/W57*X57-100,1),IF(ROUND(100/W57*X57-100,1)&gt;999,999,-999)))</f>
        <v>-123.5</v>
      </c>
      <c r="Z57" s="195"/>
      <c r="AA57" s="446"/>
      <c r="AB57" s="337"/>
      <c r="AC57" s="195"/>
      <c r="AD57" s="446"/>
      <c r="AE57" s="337"/>
      <c r="AF57" s="195"/>
      <c r="AG57" s="446"/>
      <c r="AH57" s="337"/>
      <c r="AI57" s="195"/>
      <c r="AJ57" s="446"/>
      <c r="AK57" s="337"/>
      <c r="AL57" s="195">
        <v>340</v>
      </c>
      <c r="AM57" s="446">
        <f>141+321-1</f>
        <v>461</v>
      </c>
      <c r="AN57" s="337">
        <f t="shared" si="27"/>
        <v>35.6</v>
      </c>
      <c r="AO57" s="444">
        <f t="shared" si="35"/>
        <v>1899.37947695</v>
      </c>
      <c r="AP57" s="444">
        <f t="shared" si="35"/>
        <v>2003.9514346200001</v>
      </c>
      <c r="AQ57" s="337">
        <f t="shared" si="22"/>
        <v>5.5</v>
      </c>
      <c r="AR57" s="444">
        <f t="shared" si="36"/>
        <v>1899.37947695</v>
      </c>
      <c r="AS57" s="444">
        <f t="shared" si="36"/>
        <v>2003.9514346200001</v>
      </c>
      <c r="AT57" s="447">
        <f t="shared" si="24"/>
        <v>5.5</v>
      </c>
      <c r="AU57" s="493"/>
      <c r="AV57" s="493"/>
      <c r="AW57" s="497"/>
    </row>
    <row r="58" spans="1:49" s="466" customFormat="1" ht="20.100000000000001" customHeight="1" x14ac:dyDescent="0.3">
      <c r="A58" s="460" t="s">
        <v>232</v>
      </c>
      <c r="B58" s="195">
        <v>-10.679</v>
      </c>
      <c r="C58" s="446">
        <v>130.15799999999999</v>
      </c>
      <c r="D58" s="337">
        <f>IF(B58=0, "    ---- ", IF(ABS(ROUND(100/B58*C58-100,1))&lt;999,ROUND(100/B58*C58-100,1),IF(ROUND(100/B58*C58-100,1)&gt;999,999,-999)))</f>
        <v>-999</v>
      </c>
      <c r="E58" s="446"/>
      <c r="F58" s="446"/>
      <c r="G58" s="337"/>
      <c r="H58" s="446"/>
      <c r="I58" s="446"/>
      <c r="J58" s="337"/>
      <c r="K58" s="195"/>
      <c r="L58" s="446"/>
      <c r="M58" s="337"/>
      <c r="N58" s="195"/>
      <c r="O58" s="446"/>
      <c r="P58" s="337"/>
      <c r="Q58" s="195"/>
      <c r="R58" s="446"/>
      <c r="S58" s="337"/>
      <c r="T58" s="195">
        <v>2.7657987200000003</v>
      </c>
      <c r="U58" s="446">
        <v>8.7418082200000011</v>
      </c>
      <c r="V58" s="337">
        <f t="shared" si="37"/>
        <v>216.1</v>
      </c>
      <c r="W58" s="195"/>
      <c r="X58" s="446"/>
      <c r="Y58" s="337"/>
      <c r="Z58" s="195">
        <v>0</v>
      </c>
      <c r="AA58" s="446">
        <v>-24.16</v>
      </c>
      <c r="AB58" s="337" t="str">
        <f t="shared" si="25"/>
        <v xml:space="preserve">    ---- </v>
      </c>
      <c r="AC58" s="195"/>
      <c r="AD58" s="446"/>
      <c r="AE58" s="337"/>
      <c r="AF58" s="195"/>
      <c r="AG58" s="446"/>
      <c r="AH58" s="337"/>
      <c r="AI58" s="195">
        <v>140.31700000000001</v>
      </c>
      <c r="AJ58" s="446">
        <v>12.138999999999999</v>
      </c>
      <c r="AK58" s="337">
        <f t="shared" si="26"/>
        <v>-91.3</v>
      </c>
      <c r="AL58" s="195">
        <v>409</v>
      </c>
      <c r="AM58" s="446">
        <v>757</v>
      </c>
      <c r="AN58" s="337">
        <f t="shared" si="27"/>
        <v>85.1</v>
      </c>
      <c r="AO58" s="444">
        <f t="shared" si="35"/>
        <v>541.40379871999994</v>
      </c>
      <c r="AP58" s="444">
        <f t="shared" si="35"/>
        <v>883.87880822</v>
      </c>
      <c r="AQ58" s="337">
        <f t="shared" si="22"/>
        <v>63.3</v>
      </c>
      <c r="AR58" s="444">
        <f t="shared" si="36"/>
        <v>541.40379871999994</v>
      </c>
      <c r="AS58" s="444">
        <f t="shared" si="36"/>
        <v>883.87880822</v>
      </c>
      <c r="AT58" s="447">
        <f t="shared" si="24"/>
        <v>63.3</v>
      </c>
      <c r="AU58" s="493"/>
      <c r="AV58" s="493"/>
      <c r="AW58" s="497"/>
    </row>
    <row r="59" spans="1:49" s="466" customFormat="1" ht="20.100000000000001" customHeight="1" x14ac:dyDescent="0.3">
      <c r="A59" s="460" t="s">
        <v>233</v>
      </c>
      <c r="B59" s="195">
        <f>342.033+105.877</f>
        <v>447.91</v>
      </c>
      <c r="C59" s="446">
        <f>52.011+98.616</f>
        <v>150.62700000000001</v>
      </c>
      <c r="D59" s="337">
        <f>IF(B59=0, "    ---- ", IF(ABS(ROUND(100/B59*C59-100,1))&lt;999,ROUND(100/B59*C59-100,1),IF(ROUND(100/B59*C59-100,1)&gt;999,999,-999)))</f>
        <v>-66.400000000000006</v>
      </c>
      <c r="E59" s="446"/>
      <c r="F59" s="446"/>
      <c r="G59" s="337"/>
      <c r="H59" s="446"/>
      <c r="I59" s="446"/>
      <c r="J59" s="337"/>
      <c r="K59" s="195">
        <v>1307</v>
      </c>
      <c r="L59" s="446">
        <v>1406.288</v>
      </c>
      <c r="M59" s="337">
        <f>IF(K59=0, "    ---- ", IF(ABS(ROUND(100/K59*L59-100,1))&lt;999,ROUND(100/K59*L59-100,1),IF(ROUND(100/K59*L59-100,1)&gt;999,999,-999)))</f>
        <v>7.6</v>
      </c>
      <c r="N59" s="195">
        <f>45.8+40.4</f>
        <v>86.199999999999989</v>
      </c>
      <c r="O59" s="446">
        <f>31+28.7</f>
        <v>59.7</v>
      </c>
      <c r="P59" s="337">
        <f>IF(N59=0, "    ---- ", IF(ABS(ROUND(100/N59*O59-100,1))&lt;999,ROUND(100/N59*O59-100,1),IF(ROUND(100/N59*O59-100,1)&gt;999,999,-999)))</f>
        <v>-30.7</v>
      </c>
      <c r="Q59" s="195"/>
      <c r="R59" s="446"/>
      <c r="S59" s="337"/>
      <c r="T59" s="195">
        <v>0.72685232999999994</v>
      </c>
      <c r="U59" s="446">
        <v>-1E-8</v>
      </c>
      <c r="V59" s="337">
        <f t="shared" si="37"/>
        <v>-100</v>
      </c>
      <c r="W59" s="195"/>
      <c r="X59" s="446"/>
      <c r="Y59" s="337"/>
      <c r="Z59" s="195">
        <v>521.01</v>
      </c>
      <c r="AA59" s="446">
        <v>409.44</v>
      </c>
      <c r="AB59" s="337">
        <f t="shared" si="25"/>
        <v>-21.4</v>
      </c>
      <c r="AC59" s="195"/>
      <c r="AD59" s="446"/>
      <c r="AE59" s="337"/>
      <c r="AF59" s="195"/>
      <c r="AG59" s="446"/>
      <c r="AH59" s="337"/>
      <c r="AI59" s="195">
        <v>79.049000000000007</v>
      </c>
      <c r="AJ59" s="446">
        <v>88.85</v>
      </c>
      <c r="AK59" s="337">
        <f t="shared" si="26"/>
        <v>12.4</v>
      </c>
      <c r="AL59" s="195"/>
      <c r="AM59" s="446"/>
      <c r="AN59" s="337"/>
      <c r="AO59" s="444">
        <f t="shared" si="35"/>
        <v>2441.8958523299998</v>
      </c>
      <c r="AP59" s="444">
        <f t="shared" si="35"/>
        <v>2114.9049999900003</v>
      </c>
      <c r="AQ59" s="337">
        <f t="shared" si="22"/>
        <v>-13.4</v>
      </c>
      <c r="AR59" s="444">
        <f t="shared" si="36"/>
        <v>2441.8958523299998</v>
      </c>
      <c r="AS59" s="444">
        <f t="shared" si="36"/>
        <v>2114.9049999900003</v>
      </c>
      <c r="AT59" s="447">
        <f t="shared" si="24"/>
        <v>-13.4</v>
      </c>
      <c r="AU59" s="493"/>
      <c r="AV59" s="493"/>
      <c r="AW59" s="497"/>
    </row>
    <row r="60" spans="1:49" s="466" customFormat="1" ht="20.100000000000001" customHeight="1" x14ac:dyDescent="0.3">
      <c r="A60" s="461" t="s">
        <v>234</v>
      </c>
      <c r="B60" s="195">
        <f>SUM(B48+B49+B50+B54)</f>
        <v>19030.607</v>
      </c>
      <c r="C60" s="446">
        <f>SUM(C48+C49+C50+C54)</f>
        <v>20948.923999999999</v>
      </c>
      <c r="D60" s="337">
        <f>IF(B60=0, "    ---- ", IF(ABS(ROUND(100/B60*C60-100,1))&lt;999,ROUND(100/B60*C60-100,1),IF(ROUND(100/B60*C60-100,1)&gt;999,999,-999)))</f>
        <v>10.1</v>
      </c>
      <c r="E60" s="446">
        <f>SUM(E48+E49+E50+E54)</f>
        <v>85192.428</v>
      </c>
      <c r="F60" s="446">
        <f>SUM(F48+F49+F50+F54)</f>
        <v>95193.911000000007</v>
      </c>
      <c r="G60" s="337">
        <f t="shared" si="19"/>
        <v>11.7</v>
      </c>
      <c r="H60" s="446"/>
      <c r="I60" s="446"/>
      <c r="J60" s="337"/>
      <c r="K60" s="195">
        <f>SUM(K48+K49+K50+K54)</f>
        <v>3826.7869999999998</v>
      </c>
      <c r="L60" s="446">
        <f>SUM(L48+L49+L50+L54)</f>
        <v>4269.2669999999998</v>
      </c>
      <c r="M60" s="337">
        <f>IF(K60=0, "    ---- ", IF(ABS(ROUND(100/K60*L60-100,1))&lt;999,ROUND(100/K60*L60-100,1),IF(ROUND(100/K60*L60-100,1)&gt;999,999,-999)))</f>
        <v>11.6</v>
      </c>
      <c r="N60" s="195">
        <f>SUM(N48+N49+N50+N54)</f>
        <v>27221.3</v>
      </c>
      <c r="O60" s="446">
        <f>SUM(O48+O49+O50+O54)</f>
        <v>29754.799999999999</v>
      </c>
      <c r="P60" s="337">
        <f>IF(N60=0, "    ---- ", IF(ABS(ROUND(100/N60*O60-100,1))&lt;999,ROUND(100/N60*O60-100,1),IF(ROUND(100/N60*O60-100,1)&gt;999,999,-999)))</f>
        <v>9.3000000000000007</v>
      </c>
      <c r="Q60" s="195"/>
      <c r="R60" s="446"/>
      <c r="S60" s="337"/>
      <c r="T60" s="195">
        <f>SUM(T48+T49+T50+T54)</f>
        <v>2588.5983168499997</v>
      </c>
      <c r="U60" s="446">
        <v>1966.4097844500002</v>
      </c>
      <c r="V60" s="337">
        <f t="shared" si="37"/>
        <v>-24</v>
      </c>
      <c r="W60" s="195">
        <f>SUM(W48+W49+W50+W54)</f>
        <v>4242.2250000000004</v>
      </c>
      <c r="X60" s="446">
        <f>SUM(X48+X49+X50+X54)</f>
        <v>5167.9110000000001</v>
      </c>
      <c r="Y60" s="337">
        <f>IF(W60=0, "    ---- ", IF(ABS(ROUND(100/W60*X60-100,1))&lt;999,ROUND(100/W60*X60-100,1),IF(ROUND(100/W60*X60-100,1)&gt;999,999,-999)))</f>
        <v>21.8</v>
      </c>
      <c r="Z60" s="195">
        <f>SUM(Z48+Z49+Z50+Z54)</f>
        <v>68352.479999999996</v>
      </c>
      <c r="AA60" s="446">
        <f>SUM(AA48+AA49+AA50+AA54)</f>
        <v>79687.040000000008</v>
      </c>
      <c r="AB60" s="337">
        <f t="shared" si="25"/>
        <v>16.600000000000001</v>
      </c>
      <c r="AC60" s="195"/>
      <c r="AD60" s="446"/>
      <c r="AE60" s="337"/>
      <c r="AF60" s="195">
        <f>SUM(AF48+AF49+AF50+AF54)</f>
        <v>2309.4846787400002</v>
      </c>
      <c r="AG60" s="446">
        <f>SUM(AG48+AG49+AG50+AG54)</f>
        <v>2519.6196610400002</v>
      </c>
      <c r="AH60" s="337">
        <f>IF(AF60=0, "    ---- ", IF(ABS(ROUND(100/AF60*AG60-100,1))&lt;999,ROUND(100/AF60*AG60-100,1),IF(ROUND(100/AF60*AG60-100,1)&gt;999,999,-999)))</f>
        <v>9.1</v>
      </c>
      <c r="AI60" s="195">
        <f>SUM(AI48+AI49+AI50+AI54)</f>
        <v>32178.036999999997</v>
      </c>
      <c r="AJ60" s="446">
        <f>SUM(AJ48+AJ49+AJ50+AJ54)</f>
        <v>36530.807000000001</v>
      </c>
      <c r="AK60" s="337">
        <f t="shared" si="26"/>
        <v>13.5</v>
      </c>
      <c r="AL60" s="195">
        <f>SUM(AL48+AL49+AL50+AL54)</f>
        <v>104184</v>
      </c>
      <c r="AM60" s="446">
        <f>SUM(AM48+AM49+AM50+AM54)</f>
        <v>117503</v>
      </c>
      <c r="AN60" s="337">
        <f t="shared" si="27"/>
        <v>12.8</v>
      </c>
      <c r="AO60" s="444">
        <f t="shared" si="35"/>
        <v>346816.46231685003</v>
      </c>
      <c r="AP60" s="444">
        <f t="shared" si="35"/>
        <v>391022.06978445</v>
      </c>
      <c r="AQ60" s="337">
        <f t="shared" si="22"/>
        <v>12.7</v>
      </c>
      <c r="AR60" s="444">
        <f t="shared" si="36"/>
        <v>349125.94699559</v>
      </c>
      <c r="AS60" s="444">
        <f t="shared" si="36"/>
        <v>393541.68944549002</v>
      </c>
      <c r="AT60" s="447">
        <f t="shared" si="24"/>
        <v>12.7</v>
      </c>
      <c r="AU60" s="493"/>
      <c r="AV60" s="493"/>
      <c r="AW60" s="497"/>
    </row>
    <row r="61" spans="1:49" s="466" customFormat="1" ht="20.100000000000001" customHeight="1" x14ac:dyDescent="0.3">
      <c r="A61" s="458" t="s">
        <v>341</v>
      </c>
      <c r="B61" s="195"/>
      <c r="C61" s="446"/>
      <c r="D61" s="337"/>
      <c r="E61" s="446"/>
      <c r="F61" s="446"/>
      <c r="G61" s="337"/>
      <c r="H61" s="446"/>
      <c r="I61" s="446"/>
      <c r="J61" s="337"/>
      <c r="K61" s="195"/>
      <c r="L61" s="446"/>
      <c r="M61" s="337"/>
      <c r="N61" s="195"/>
      <c r="O61" s="446"/>
      <c r="P61" s="337"/>
      <c r="Q61" s="195"/>
      <c r="R61" s="446"/>
      <c r="S61" s="337"/>
      <c r="T61" s="195"/>
      <c r="U61" s="446"/>
      <c r="V61" s="337"/>
      <c r="W61" s="195"/>
      <c r="X61" s="446"/>
      <c r="Y61" s="337"/>
      <c r="Z61" s="195"/>
      <c r="AA61" s="446"/>
      <c r="AB61" s="337"/>
      <c r="AC61" s="195"/>
      <c r="AD61" s="446"/>
      <c r="AE61" s="337"/>
      <c r="AF61" s="195"/>
      <c r="AG61" s="446"/>
      <c r="AH61" s="337"/>
      <c r="AI61" s="195"/>
      <c r="AJ61" s="446"/>
      <c r="AK61" s="337"/>
      <c r="AL61" s="195"/>
      <c r="AM61" s="446"/>
      <c r="AN61" s="337"/>
      <c r="AO61" s="444">
        <f t="shared" si="35"/>
        <v>0</v>
      </c>
      <c r="AP61" s="444">
        <f t="shared" si="35"/>
        <v>0</v>
      </c>
      <c r="AQ61" s="337" t="str">
        <f t="shared" si="22"/>
        <v xml:space="preserve">    ---- </v>
      </c>
      <c r="AR61" s="444">
        <f t="shared" si="36"/>
        <v>0</v>
      </c>
      <c r="AS61" s="444">
        <f t="shared" si="36"/>
        <v>0</v>
      </c>
      <c r="AT61" s="447" t="str">
        <f t="shared" si="24"/>
        <v xml:space="preserve">    ---- </v>
      </c>
      <c r="AU61" s="493"/>
      <c r="AV61" s="493"/>
      <c r="AW61" s="497"/>
    </row>
    <row r="62" spans="1:49" s="466" customFormat="1" ht="20.100000000000001" customHeight="1" x14ac:dyDescent="0.3">
      <c r="A62" s="460" t="s">
        <v>235</v>
      </c>
      <c r="B62" s="195">
        <f>SUM(B45+B46+B60+B61)</f>
        <v>20382.422999999999</v>
      </c>
      <c r="C62" s="446">
        <f>SUM(C45+C46+C60+C61)</f>
        <v>22364.733</v>
      </c>
      <c r="D62" s="337">
        <f>IF(B62=0, "    ---- ", IF(ABS(ROUND(100/B62*C62-100,1))&lt;999,ROUND(100/B62*C62-100,1),IF(ROUND(100/B62*C62-100,1)&gt;999,999,-999)))</f>
        <v>9.6999999999999993</v>
      </c>
      <c r="E62" s="446">
        <f>SUM(E45+E46+E60+E61)</f>
        <v>292392.45799999998</v>
      </c>
      <c r="F62" s="446">
        <f>SUM(F45+F46+F60+F61)</f>
        <v>295914.05000000005</v>
      </c>
      <c r="G62" s="337">
        <f t="shared" si="19"/>
        <v>1.2</v>
      </c>
      <c r="H62" s="446"/>
      <c r="I62" s="446">
        <f>SUM(I45+I46+I60+I61)</f>
        <v>6768.9003937699999</v>
      </c>
      <c r="J62" s="337" t="str">
        <f>IF(H62=0, "    ---- ", IF(ABS(ROUND(100/H62*I62-100,1))&lt;999,ROUND(100/H62*I62-100,1),IF(ROUND(100/H62*I62-100,1)&gt;999,999,-999)))</f>
        <v xml:space="preserve">    ---- </v>
      </c>
      <c r="K62" s="195">
        <f>SUM(K45+K46+K60+K61)</f>
        <v>4994.1399999999994</v>
      </c>
      <c r="L62" s="446">
        <f>SUM(L45+L46+L60+L61)</f>
        <v>5495.1450000000004</v>
      </c>
      <c r="M62" s="337">
        <f>IF(K62=0, "    ---- ", IF(ABS(ROUND(100/K62*L62-100,1))&lt;999,ROUND(100/K62*L62-100,1),IF(ROUND(100/K62*L62-100,1)&gt;999,999,-999)))</f>
        <v>10</v>
      </c>
      <c r="N62" s="195">
        <f>SUM(N45+N46+N60+N61)</f>
        <v>34153.5</v>
      </c>
      <c r="O62" s="446">
        <f>SUM(O45+O46+O60+O61)</f>
        <v>37210.400000000001</v>
      </c>
      <c r="P62" s="337">
        <f>IF(N62=0, "    ---- ", IF(ABS(ROUND(100/N62*O62-100,1))&lt;999,ROUND(100/N62*O62-100,1),IF(ROUND(100/N62*O62-100,1)&gt;999,999,-999)))</f>
        <v>9</v>
      </c>
      <c r="Q62" s="195"/>
      <c r="R62" s="446"/>
      <c r="S62" s="337"/>
      <c r="T62" s="195">
        <f>SUM(T45+T46+T60+T61)</f>
        <v>544390.33966482</v>
      </c>
      <c r="U62" s="446">
        <f>SUM(U45+U46+U60+U61)</f>
        <v>576856.68065310991</v>
      </c>
      <c r="V62" s="337">
        <f>IF(T62=0, "    ---- ", IF(ABS(ROUND(100/T62*U62-100,1))&lt;999,ROUND(100/T62*U62-100,1),IF(ROUND(100/T62*U62-100,1)&gt;999,999,-999)))</f>
        <v>6</v>
      </c>
      <c r="W62" s="195">
        <f>SUM(W45+W46+W60+W61)</f>
        <v>5989.6040000000003</v>
      </c>
      <c r="X62" s="446">
        <f>SUM(X45+X46+X60+X61)</f>
        <v>6962.0330000000004</v>
      </c>
      <c r="Y62" s="337">
        <f>IF(W62=0, "    ---- ", IF(ABS(ROUND(100/W62*X62-100,1))&lt;999,ROUND(100/W62*X62-100,1),IF(ROUND(100/W62*X62-100,1)&gt;999,999,-999)))</f>
        <v>16.2</v>
      </c>
      <c r="Z62" s="195">
        <f>SUM(Z45+Z46+Z60+Z61)</f>
        <v>119957.3203542799</v>
      </c>
      <c r="AA62" s="446">
        <f>SUM(AA45+AA46+AA60+AA61)</f>
        <v>131977.58877127001</v>
      </c>
      <c r="AB62" s="337">
        <f t="shared" si="25"/>
        <v>10</v>
      </c>
      <c r="AC62" s="195">
        <f>SUM(AC45+AC46+AC60+AC61)</f>
        <v>90015</v>
      </c>
      <c r="AD62" s="446">
        <f>SUM(AD45+AD46+AD60+AD61)</f>
        <v>94374</v>
      </c>
      <c r="AE62" s="337">
        <f>IF(AC62=0, "    ---- ", IF(ABS(ROUND(100/AC62*AD62-100,1))&lt;999,ROUND(100/AC62*AD62-100,1),IF(ROUND(100/AC62*AD62-100,1)&gt;999,999,-999)))</f>
        <v>4.8</v>
      </c>
      <c r="AF62" s="195">
        <f>SUM(AF45+AF46+AF60+AF61)</f>
        <v>2309.4846787400002</v>
      </c>
      <c r="AG62" s="446">
        <f>SUM(AG45+AG46+AG60+AG61)</f>
        <v>2519.6196610400002</v>
      </c>
      <c r="AH62" s="337">
        <f>IF(AF62=0, "    ---- ", IF(ABS(ROUND(100/AF62*AG62-100,1))&lt;999,ROUND(100/AF62*AG62-100,1),IF(ROUND(100/AF62*AG62-100,1)&gt;999,999,-999)))</f>
        <v>9.1</v>
      </c>
      <c r="AI62" s="195">
        <f>SUM(AI45+AI46+AI60+AI61)</f>
        <v>57525.716</v>
      </c>
      <c r="AJ62" s="446">
        <f>SUM(AJ45+AJ46+AJ60+AJ61)</f>
        <v>58574.415000000001</v>
      </c>
      <c r="AK62" s="337">
        <f t="shared" si="26"/>
        <v>1.8</v>
      </c>
      <c r="AL62" s="195">
        <f>SUM(AL45+AL46+AL60+AL61)</f>
        <v>295385.40000000002</v>
      </c>
      <c r="AM62" s="446">
        <f>SUM(AM45+AM46+AM60+AM61)</f>
        <v>321554</v>
      </c>
      <c r="AN62" s="337">
        <f t="shared" si="27"/>
        <v>8.9</v>
      </c>
      <c r="AO62" s="444">
        <f t="shared" si="35"/>
        <v>1465185.9010191001</v>
      </c>
      <c r="AP62" s="444">
        <f t="shared" si="35"/>
        <v>1558051.94581815</v>
      </c>
      <c r="AQ62" s="337">
        <f t="shared" si="22"/>
        <v>6.3</v>
      </c>
      <c r="AR62" s="444">
        <f t="shared" si="36"/>
        <v>1467495.3856978402</v>
      </c>
      <c r="AS62" s="444">
        <f t="shared" si="36"/>
        <v>1560571.5654791899</v>
      </c>
      <c r="AT62" s="447">
        <f t="shared" si="24"/>
        <v>6.3</v>
      </c>
      <c r="AU62" s="493"/>
      <c r="AV62" s="498"/>
      <c r="AW62" s="497"/>
    </row>
    <row r="63" spans="1:49" s="501" customFormat="1" ht="20.100000000000001" customHeight="1" x14ac:dyDescent="0.3">
      <c r="A63" s="458"/>
      <c r="B63" s="197"/>
      <c r="C63" s="440"/>
      <c r="D63" s="439"/>
      <c r="E63" s="440"/>
      <c r="F63" s="440"/>
      <c r="G63" s="439"/>
      <c r="H63" s="440"/>
      <c r="I63" s="440"/>
      <c r="J63" s="439"/>
      <c r="K63" s="197"/>
      <c r="L63" s="440"/>
      <c r="M63" s="439"/>
      <c r="N63" s="197"/>
      <c r="O63" s="440"/>
      <c r="P63" s="448"/>
      <c r="Q63" s="197"/>
      <c r="R63" s="440"/>
      <c r="S63" s="439"/>
      <c r="T63" s="197"/>
      <c r="U63" s="440"/>
      <c r="V63" s="439"/>
      <c r="W63" s="197"/>
      <c r="X63" s="440"/>
      <c r="Y63" s="439"/>
      <c r="Z63" s="197"/>
      <c r="AA63" s="440"/>
      <c r="AB63" s="439"/>
      <c r="AC63" s="197"/>
      <c r="AD63" s="440"/>
      <c r="AE63" s="439"/>
      <c r="AF63" s="197"/>
      <c r="AG63" s="440"/>
      <c r="AH63" s="439"/>
      <c r="AI63" s="197"/>
      <c r="AJ63" s="440"/>
      <c r="AK63" s="439"/>
      <c r="AL63" s="197"/>
      <c r="AM63" s="440"/>
      <c r="AN63" s="439"/>
      <c r="AO63" s="449"/>
      <c r="AP63" s="449"/>
      <c r="AQ63" s="439"/>
      <c r="AR63" s="449"/>
      <c r="AS63" s="449"/>
      <c r="AT63" s="450"/>
      <c r="AU63" s="499"/>
      <c r="AV63" s="499"/>
      <c r="AW63" s="500"/>
    </row>
    <row r="64" spans="1:49" s="501" customFormat="1" ht="20.100000000000001" customHeight="1" x14ac:dyDescent="0.3">
      <c r="A64" s="458" t="s">
        <v>236</v>
      </c>
      <c r="B64" s="197">
        <f>SUM(B29+B62)</f>
        <v>20927.877</v>
      </c>
      <c r="C64" s="440">
        <f>SUM(C29+C62)</f>
        <v>23318.741000000002</v>
      </c>
      <c r="D64" s="439">
        <f>IF(B64=0, "    ---- ", IF(ABS(ROUND(100/B64*C64-100,1))&lt;999,ROUND(100/B64*C64-100,1),IF(ROUND(100/B64*C64-100,1)&gt;999,999,-999)))</f>
        <v>11.4</v>
      </c>
      <c r="E64" s="440">
        <v>324140.08799999999</v>
      </c>
      <c r="F64" s="440">
        <f>SUM(F29+F62)</f>
        <v>329264.33900000004</v>
      </c>
      <c r="G64" s="439">
        <f t="shared" si="19"/>
        <v>1.6</v>
      </c>
      <c r="H64" s="440"/>
      <c r="I64" s="440">
        <f>SUM(I29+I62)</f>
        <v>9747.9841348400005</v>
      </c>
      <c r="J64" s="439" t="str">
        <f>IF(H64=0, "    ---- ", IF(ABS(ROUND(100/H64*I64-100,1))&lt;999,ROUND(100/H64*I64-100,1),IF(ROUND(100/H64*I64-100,1)&gt;999,999,-999)))</f>
        <v xml:space="preserve">    ---- </v>
      </c>
      <c r="K64" s="197">
        <f>SUM(K29+K62)</f>
        <v>5604.3429999999989</v>
      </c>
      <c r="L64" s="440">
        <f>SUM(L29+L62)</f>
        <v>6379.8220000000001</v>
      </c>
      <c r="M64" s="439">
        <f>IF(K64=0, "    ---- ", IF(ABS(ROUND(100/K64*L64-100,1))&lt;999,ROUND(100/K64*L64-100,1),IF(ROUND(100/K64*L64-100,1)&gt;999,999,-999)))</f>
        <v>13.8</v>
      </c>
      <c r="N64" s="197">
        <f>SUM(N29+N62)</f>
        <v>35489.199999999997</v>
      </c>
      <c r="O64" s="440">
        <f>SUM(O29+O62)</f>
        <v>38674</v>
      </c>
      <c r="P64" s="448">
        <f>IF(N64=0, "    ---- ", IF(ABS(ROUND(100/N64*O64-100,1))&lt;999,ROUND(100/N64*O64-100,1),IF(ROUND(100/N64*O64-100,1)&gt;999,999,-999)))</f>
        <v>9</v>
      </c>
      <c r="Q64" s="197">
        <f>SUM(Q29+Q62)</f>
        <v>147.51286438</v>
      </c>
      <c r="R64" s="440">
        <f>SUM(R29+R62)</f>
        <v>151.43561832</v>
      </c>
      <c r="S64" s="439">
        <f>IF(Q64=0, "    ---- ", IF(ABS(ROUND(100/Q64*R64-100,1))&lt;999,ROUND(100/Q64*R64-100,1),IF(ROUND(100/Q64*R64-100,1)&gt;999,999,-999)))</f>
        <v>2.7</v>
      </c>
      <c r="T64" s="197">
        <f>SUM(T29+T62)</f>
        <v>594584.44974705996</v>
      </c>
      <c r="U64" s="440">
        <f>SUM(U29+U62)</f>
        <v>627257.88583297993</v>
      </c>
      <c r="V64" s="439">
        <f>IF(T64=0, "    ---- ", IF(ABS(ROUND(100/T64*U64-100,1))&lt;999,ROUND(100/T64*U64-100,1),IF(ROUND(100/T64*U64-100,1)&gt;999,999,-999)))</f>
        <v>5.5</v>
      </c>
      <c r="W64" s="197">
        <f>SUM(W29+W62)</f>
        <v>6510.3250000000007</v>
      </c>
      <c r="X64" s="440">
        <f>SUM(X29+X62)</f>
        <v>7562.4210000000003</v>
      </c>
      <c r="Y64" s="439">
        <f>IF(W64=0, "    ---- ", IF(ABS(ROUND(100/W64*X64-100,1))&lt;999,ROUND(100/W64*X64-100,1),IF(ROUND(100/W64*X64-100,1)&gt;999,999,-999)))</f>
        <v>16.2</v>
      </c>
      <c r="Z64" s="197">
        <f>SUM(Z29+Z62)</f>
        <v>131027.8203542799</v>
      </c>
      <c r="AA64" s="440">
        <f>SUM(AA29+AA62)</f>
        <v>143478.80877127001</v>
      </c>
      <c r="AB64" s="439">
        <f t="shared" si="25"/>
        <v>9.5</v>
      </c>
      <c r="AC64" s="197">
        <f>SUM(AC29+AC62)</f>
        <v>100589</v>
      </c>
      <c r="AD64" s="440">
        <f>SUM(AD29+AD62)</f>
        <v>105635</v>
      </c>
      <c r="AE64" s="439">
        <f>IF(AC64=0, "    ---- ", IF(ABS(ROUND(100/AC64*AD64-100,1))&lt;999,ROUND(100/AC64*AD64-100,1),IF(ROUND(100/AC64*AD64-100,1)&gt;999,999,-999)))</f>
        <v>5</v>
      </c>
      <c r="AF64" s="197">
        <f>SUM(AF29+AF62)</f>
        <v>2379.0524573000002</v>
      </c>
      <c r="AG64" s="440">
        <f>SUM(AG29+AG62)</f>
        <v>2598.6196610400002</v>
      </c>
      <c r="AH64" s="439">
        <f>IF(AF64=0, "    ---- ", IF(ABS(ROUND(100/AF64*AG64-100,1))&lt;999,ROUND(100/AF64*AG64-100,1),IF(ROUND(100/AF64*AG64-100,1)&gt;999,999,-999)))</f>
        <v>9.1999999999999993</v>
      </c>
      <c r="AI64" s="197">
        <f>SUM(AI29+AI62)</f>
        <v>65261.601000000002</v>
      </c>
      <c r="AJ64" s="440">
        <f>SUM(AJ29+AJ62)</f>
        <v>65483.330999999998</v>
      </c>
      <c r="AK64" s="439">
        <f t="shared" si="26"/>
        <v>0.3</v>
      </c>
      <c r="AL64" s="197">
        <f>SUM(AL29+AL62)</f>
        <v>333560.40000000002</v>
      </c>
      <c r="AM64" s="440">
        <f>SUM(AM29+AM62)</f>
        <v>361046</v>
      </c>
      <c r="AN64" s="439">
        <f t="shared" si="27"/>
        <v>8.1999999999999993</v>
      </c>
      <c r="AO64" s="451">
        <f>B64+E64+H64+K64+N64+T64+W64+Z64+AC64+AI64+AL64</f>
        <v>1617695.1041013398</v>
      </c>
      <c r="AP64" s="451">
        <f>C64+F64+I64+L64+O64+U64+X64+AA64+AD64+AJ64+AM64</f>
        <v>1717848.3327390898</v>
      </c>
      <c r="AQ64" s="439">
        <f t="shared" si="22"/>
        <v>6.2</v>
      </c>
      <c r="AR64" s="451">
        <f>B64+E64+H64+K64+N64+Q64+T64+W64+Z64+AC64+AF64+AI64+AL64</f>
        <v>1620221.66942302</v>
      </c>
      <c r="AS64" s="451">
        <f>C64+F64+I64+L64+O64+R64+U64+X64+AA64+AD64+AG64+AJ64+AM64</f>
        <v>1720598.3880184498</v>
      </c>
      <c r="AT64" s="450">
        <f t="shared" si="24"/>
        <v>6.2</v>
      </c>
      <c r="AU64" s="499"/>
      <c r="AV64" s="499"/>
      <c r="AW64" s="497"/>
    </row>
    <row r="65" spans="1:49" s="466" customFormat="1" ht="20.100000000000001" customHeight="1" x14ac:dyDescent="0.3">
      <c r="A65" s="462"/>
      <c r="B65" s="195"/>
      <c r="C65" s="446"/>
      <c r="D65" s="337"/>
      <c r="E65" s="446"/>
      <c r="F65" s="446"/>
      <c r="G65" s="337"/>
      <c r="H65" s="446"/>
      <c r="I65" s="446"/>
      <c r="J65" s="337"/>
      <c r="K65" s="195"/>
      <c r="L65" s="446"/>
      <c r="M65" s="337"/>
      <c r="N65" s="195"/>
      <c r="O65" s="446"/>
      <c r="P65" s="436"/>
      <c r="Q65" s="195"/>
      <c r="R65" s="446"/>
      <c r="S65" s="337"/>
      <c r="T65" s="195"/>
      <c r="U65" s="446"/>
      <c r="V65" s="337"/>
      <c r="W65" s="195"/>
      <c r="X65" s="446"/>
      <c r="Y65" s="337"/>
      <c r="Z65" s="195"/>
      <c r="AA65" s="446"/>
      <c r="AB65" s="337"/>
      <c r="AC65" s="195"/>
      <c r="AD65" s="446"/>
      <c r="AE65" s="337"/>
      <c r="AF65" s="195"/>
      <c r="AG65" s="446"/>
      <c r="AH65" s="337"/>
      <c r="AI65" s="195"/>
      <c r="AJ65" s="446"/>
      <c r="AK65" s="337"/>
      <c r="AL65" s="195"/>
      <c r="AM65" s="446"/>
      <c r="AN65" s="337"/>
      <c r="AO65" s="438"/>
      <c r="AP65" s="451"/>
      <c r="AQ65" s="337"/>
      <c r="AR65" s="438"/>
      <c r="AS65" s="438"/>
      <c r="AT65" s="447"/>
      <c r="AU65" s="493"/>
      <c r="AV65" s="493"/>
      <c r="AW65" s="497"/>
    </row>
    <row r="66" spans="1:49" s="466" customFormat="1" ht="20.100000000000001" customHeight="1" x14ac:dyDescent="0.3">
      <c r="A66" s="458" t="s">
        <v>237</v>
      </c>
      <c r="B66" s="195"/>
      <c r="C66" s="446"/>
      <c r="D66" s="337"/>
      <c r="E66" s="446"/>
      <c r="F66" s="446"/>
      <c r="G66" s="337"/>
      <c r="H66" s="446"/>
      <c r="I66" s="446"/>
      <c r="J66" s="337"/>
      <c r="K66" s="195"/>
      <c r="L66" s="446"/>
      <c r="M66" s="337"/>
      <c r="N66" s="195"/>
      <c r="O66" s="446"/>
      <c r="P66" s="436"/>
      <c r="Q66" s="195"/>
      <c r="R66" s="446"/>
      <c r="S66" s="337"/>
      <c r="T66" s="195"/>
      <c r="U66" s="446"/>
      <c r="V66" s="337"/>
      <c r="W66" s="195"/>
      <c r="X66" s="446"/>
      <c r="Y66" s="337"/>
      <c r="Z66" s="195"/>
      <c r="AA66" s="446"/>
      <c r="AB66" s="337"/>
      <c r="AC66" s="195"/>
      <c r="AD66" s="446"/>
      <c r="AE66" s="337"/>
      <c r="AF66" s="195"/>
      <c r="AG66" s="446"/>
      <c r="AH66" s="337"/>
      <c r="AI66" s="195"/>
      <c r="AJ66" s="446"/>
      <c r="AK66" s="337"/>
      <c r="AL66" s="195"/>
      <c r="AM66" s="446"/>
      <c r="AN66" s="337"/>
      <c r="AO66" s="438"/>
      <c r="AP66" s="438"/>
      <c r="AQ66" s="337"/>
      <c r="AR66" s="438"/>
      <c r="AS66" s="438"/>
      <c r="AT66" s="447"/>
      <c r="AU66" s="493"/>
      <c r="AV66" s="493"/>
      <c r="AW66" s="497"/>
    </row>
    <row r="67" spans="1:49" s="466" customFormat="1" ht="20.100000000000001" customHeight="1" x14ac:dyDescent="0.3">
      <c r="A67" s="458"/>
      <c r="B67" s="195"/>
      <c r="C67" s="446"/>
      <c r="D67" s="337"/>
      <c r="E67" s="446"/>
      <c r="F67" s="446"/>
      <c r="G67" s="337"/>
      <c r="H67" s="446"/>
      <c r="I67" s="446"/>
      <c r="J67" s="337"/>
      <c r="K67" s="195"/>
      <c r="L67" s="446"/>
      <c r="M67" s="337"/>
      <c r="N67" s="195"/>
      <c r="O67" s="446"/>
      <c r="P67" s="436"/>
      <c r="Q67" s="195"/>
      <c r="R67" s="446"/>
      <c r="S67" s="337"/>
      <c r="T67" s="195"/>
      <c r="U67" s="446"/>
      <c r="V67" s="337"/>
      <c r="W67" s="195"/>
      <c r="X67" s="446"/>
      <c r="Y67" s="337"/>
      <c r="Z67" s="195"/>
      <c r="AA67" s="446"/>
      <c r="AB67" s="337"/>
      <c r="AC67" s="195"/>
      <c r="AD67" s="446"/>
      <c r="AE67" s="337"/>
      <c r="AF67" s="195"/>
      <c r="AG67" s="446"/>
      <c r="AH67" s="337"/>
      <c r="AI67" s="195"/>
      <c r="AJ67" s="446"/>
      <c r="AK67" s="337"/>
      <c r="AL67" s="195"/>
      <c r="AM67" s="446"/>
      <c r="AN67" s="337"/>
      <c r="AO67" s="438"/>
      <c r="AP67" s="438"/>
      <c r="AQ67" s="337"/>
      <c r="AR67" s="438"/>
      <c r="AS67" s="438"/>
      <c r="AT67" s="447"/>
      <c r="AU67" s="493"/>
      <c r="AV67" s="493"/>
      <c r="AW67" s="497"/>
    </row>
    <row r="68" spans="1:49" s="466" customFormat="1" ht="20.100000000000001" customHeight="1" x14ac:dyDescent="0.3">
      <c r="A68" s="460" t="s">
        <v>238</v>
      </c>
      <c r="B68" s="195">
        <v>141.16</v>
      </c>
      <c r="C68" s="446">
        <v>406.16</v>
      </c>
      <c r="D68" s="337">
        <f>IF(B68=0, "    ---- ", IF(ABS(ROUND(100/B68*C68-100,1))&lt;999,ROUND(100/B68*C68-100,1),IF(ROUND(100/B68*C68-100,1)&gt;999,999,-999)))</f>
        <v>187.7</v>
      </c>
      <c r="E68" s="446">
        <v>7765.924</v>
      </c>
      <c r="F68" s="446">
        <v>7657.0529999999999</v>
      </c>
      <c r="G68" s="337">
        <f t="shared" si="19"/>
        <v>-1.4</v>
      </c>
      <c r="H68" s="446"/>
      <c r="I68" s="446">
        <v>2252.057311</v>
      </c>
      <c r="J68" s="337" t="str">
        <f>IF(H68=0, "    ---- ", IF(ABS(ROUND(100/H68*I68-100,1))&lt;999,ROUND(100/H68*I68-100,1),IF(ROUND(100/H68*I68-100,1)&gt;999,999,-999)))</f>
        <v xml:space="preserve">    ---- </v>
      </c>
      <c r="K68" s="195">
        <v>210</v>
      </c>
      <c r="L68" s="446">
        <v>210</v>
      </c>
      <c r="M68" s="337">
        <f>IF(K68=0, "    ---- ", IF(ABS(ROUND(100/K68*L68-100,1))&lt;999,ROUND(100/K68*L68-100,1),IF(ROUND(100/K68*L68-100,1)&gt;999,999,-999)))</f>
        <v>0</v>
      </c>
      <c r="N68" s="195">
        <v>121.1</v>
      </c>
      <c r="O68" s="446">
        <v>121.6</v>
      </c>
      <c r="P68" s="436">
        <f>IF(N68=0, "    ---- ", IF(ABS(ROUND(100/N68*O68-100,1))&lt;999,ROUND(100/N68*O68-100,1),IF(ROUND(100/N68*O68-100,1)&gt;999,999,-999)))</f>
        <v>0.4</v>
      </c>
      <c r="Q68" s="195">
        <v>5</v>
      </c>
      <c r="R68" s="446">
        <v>5</v>
      </c>
      <c r="S68" s="337">
        <f>IF(Q68=0, "    ---- ", IF(ABS(ROUND(100/Q68*R68-100,1))&lt;999,ROUND(100/Q68*R68-100,1),IF(ROUND(100/Q68*R68-100,1)&gt;999,999,-999)))</f>
        <v>0</v>
      </c>
      <c r="T68" s="195">
        <v>14552.159906999999</v>
      </c>
      <c r="U68" s="446">
        <v>16332.611500000001</v>
      </c>
      <c r="V68" s="337">
        <f t="shared" ref="V68:V79" si="38">IF(T68=0, "    ---- ", IF(ABS(ROUND(100/T68*U68-100,1))&lt;999,ROUND(100/T68*U68-100,1),IF(ROUND(100/T68*U68-100,1)&gt;999,999,-999)))</f>
        <v>12.2</v>
      </c>
      <c r="W68" s="195">
        <v>741.25</v>
      </c>
      <c r="X68" s="446">
        <v>841.25</v>
      </c>
      <c r="Y68" s="337">
        <f>IF(W68=0, "    ---- ", IF(ABS(ROUND(100/W68*X68-100,1))&lt;999,ROUND(100/W68*X68-100,1),IF(ROUND(100/W68*X68-100,1)&gt;999,999,-999)))</f>
        <v>13.5</v>
      </c>
      <c r="Z68" s="195">
        <v>1126.76</v>
      </c>
      <c r="AA68" s="446">
        <v>1126.76</v>
      </c>
      <c r="AB68" s="337">
        <f t="shared" si="25"/>
        <v>0</v>
      </c>
      <c r="AC68" s="195">
        <v>1430</v>
      </c>
      <c r="AD68" s="446">
        <v>1430</v>
      </c>
      <c r="AE68" s="337">
        <f>IF(AC68=0, "    ---- ", IF(ABS(ROUND(100/AC68*AD68-100,1))&lt;999,ROUND(100/AC68*AD68-100,1),IF(ROUND(100/AC68*AD68-100,1)&gt;999,999,-999)))</f>
        <v>0</v>
      </c>
      <c r="AF68" s="195">
        <v>48.519831859999996</v>
      </c>
      <c r="AG68" s="446">
        <v>48.519831859999996</v>
      </c>
      <c r="AH68" s="337">
        <f>IF(AF68=0, "    ---- ", IF(ABS(ROUND(100/AF68*AG68-100,1))&lt;999,ROUND(100/AF68*AG68-100,1),IF(ROUND(100/AF68*AG68-100,1)&gt;999,999,-999)))</f>
        <v>0</v>
      </c>
      <c r="AI68" s="195">
        <v>3352.7420000000002</v>
      </c>
      <c r="AJ68" s="446">
        <v>4257.0320000000002</v>
      </c>
      <c r="AK68" s="337">
        <f t="shared" si="26"/>
        <v>27</v>
      </c>
      <c r="AL68" s="195">
        <v>13339</v>
      </c>
      <c r="AM68" s="446">
        <v>13850</v>
      </c>
      <c r="AN68" s="337">
        <f t="shared" si="27"/>
        <v>3.8</v>
      </c>
      <c r="AO68" s="444">
        <f t="shared" ref="AO68:AP71" si="39">B68+E68+H68+K68+N68+T68+W68+Z68+AC68+AI68+AL68</f>
        <v>42780.095906999995</v>
      </c>
      <c r="AP68" s="444">
        <f t="shared" si="39"/>
        <v>48484.523810999999</v>
      </c>
      <c r="AQ68" s="337">
        <f t="shared" si="22"/>
        <v>13.3</v>
      </c>
      <c r="AR68" s="444">
        <f t="shared" ref="AR68:AS71" si="40">B68+E68+H68+K68+N68+Q68+T68+W68+Z68+AC68+AF68+AI68+AL68</f>
        <v>42833.615738859997</v>
      </c>
      <c r="AS68" s="444">
        <f t="shared" si="40"/>
        <v>48538.043642860001</v>
      </c>
      <c r="AT68" s="447">
        <f t="shared" si="24"/>
        <v>13.3</v>
      </c>
      <c r="AU68" s="493"/>
      <c r="AV68" s="493"/>
      <c r="AW68" s="497"/>
    </row>
    <row r="69" spans="1:49" s="466" customFormat="1" ht="20.100000000000001" customHeight="1" x14ac:dyDescent="0.3">
      <c r="A69" s="460" t="s">
        <v>239</v>
      </c>
      <c r="B69" s="195">
        <v>400.065</v>
      </c>
      <c r="C69" s="446">
        <v>545.39</v>
      </c>
      <c r="D69" s="337">
        <f>IF(B69=0, "    ---- ", IF(ABS(ROUND(100/B69*C69-100,1))&lt;999,ROUND(100/B69*C69-100,1),IF(ROUND(100/B69*C69-100,1)&gt;999,999,-999)))</f>
        <v>36.299999999999997</v>
      </c>
      <c r="E69" s="446">
        <v>14355.501</v>
      </c>
      <c r="F69" s="446">
        <v>13656.348</v>
      </c>
      <c r="G69" s="337">
        <f t="shared" si="19"/>
        <v>-4.9000000000000004</v>
      </c>
      <c r="H69" s="446"/>
      <c r="I69" s="446">
        <v>-146.34166954999998</v>
      </c>
      <c r="J69" s="337" t="str">
        <f>IF(H69=0, "    ---- ", IF(ABS(ROUND(100/H69*I69-100,1))&lt;999,ROUND(100/H69*I69-100,1),IF(ROUND(100/H69*I69-100,1)&gt;999,999,-999)))</f>
        <v xml:space="preserve">    ---- </v>
      </c>
      <c r="K69" s="195">
        <v>213.35300000000001</v>
      </c>
      <c r="L69" s="446">
        <v>382.94600000000003</v>
      </c>
      <c r="M69" s="337">
        <f>IF(K69=0, "    ---- ", IF(ABS(ROUND(100/K69*L69-100,1))&lt;999,ROUND(100/K69*L69-100,1),IF(ROUND(100/K69*L69-100,1)&gt;999,999,-999)))</f>
        <v>79.5</v>
      </c>
      <c r="N69" s="195">
        <v>702.8</v>
      </c>
      <c r="O69" s="446">
        <v>832.9</v>
      </c>
      <c r="P69" s="436">
        <f>IF(N69=0, "    ---- ", IF(ABS(ROUND(100/N69*O69-100,1))&lt;999,ROUND(100/N69*O69-100,1),IF(ROUND(100/N69*O69-100,1)&gt;999,999,-999)))</f>
        <v>18.5</v>
      </c>
      <c r="Q69" s="195">
        <v>88.411584489999996</v>
      </c>
      <c r="R69" s="446">
        <v>93.217724799999999</v>
      </c>
      <c r="S69" s="337">
        <f>IF(Q69=0, "    ---- ", IF(ABS(ROUND(100/Q69*R69-100,1))&lt;999,ROUND(100/Q69*R69-100,1),IF(ROUND(100/Q69*R69-100,1)&gt;999,999,-999)))</f>
        <v>5.4</v>
      </c>
      <c r="T69" s="195">
        <v>20326.02207608</v>
      </c>
      <c r="U69" s="446">
        <v>20890.19091867</v>
      </c>
      <c r="V69" s="337">
        <f t="shared" si="38"/>
        <v>2.8</v>
      </c>
      <c r="W69" s="195">
        <v>-249.77199999999999</v>
      </c>
      <c r="X69" s="446">
        <v>-288.14400000000001</v>
      </c>
      <c r="Y69" s="337">
        <f>IF(W69=0, "    ---- ", IF(ABS(ROUND(100/W69*X69-100,1))&lt;999,ROUND(100/W69*X69-100,1),IF(ROUND(100/W69*X69-100,1)&gt;999,999,-999)))</f>
        <v>15.4</v>
      </c>
      <c r="Z69" s="195">
        <v>6523.66</v>
      </c>
      <c r="AA69" s="446">
        <v>6899.21</v>
      </c>
      <c r="AB69" s="337">
        <f t="shared" si="25"/>
        <v>5.8</v>
      </c>
      <c r="AC69" s="195">
        <v>7548</v>
      </c>
      <c r="AD69" s="446">
        <v>8340</v>
      </c>
      <c r="AE69" s="337">
        <f>IF(AC69=0, "    ---- ", IF(ABS(ROUND(100/AC69*AD69-100,1))&lt;999,ROUND(100/AC69*AD69-100,1),IF(ROUND(100/AC69*AD69-100,1)&gt;999,999,-999)))</f>
        <v>10.5</v>
      </c>
      <c r="AF69" s="195">
        <v>10.2154988800001</v>
      </c>
      <c r="AG69" s="446">
        <v>20.8293916400001</v>
      </c>
      <c r="AH69" s="337">
        <f>IF(AF69=0, "    ---- ", IF(ABS(ROUND(100/AF69*AG69-100,1))&lt;999,ROUND(100/AF69*AG69-100,1),IF(ROUND(100/AF69*AG69-100,1)&gt;999,999,-999)))</f>
        <v>103.9</v>
      </c>
      <c r="AI69" s="195">
        <v>1666.1030000000001</v>
      </c>
      <c r="AJ69" s="446">
        <v>750.06799999999998</v>
      </c>
      <c r="AK69" s="337">
        <f t="shared" si="26"/>
        <v>-55</v>
      </c>
      <c r="AL69" s="195">
        <v>13341</v>
      </c>
      <c r="AM69" s="446">
        <v>12676</v>
      </c>
      <c r="AN69" s="337">
        <f t="shared" si="27"/>
        <v>-5</v>
      </c>
      <c r="AO69" s="444">
        <f t="shared" si="39"/>
        <v>64826.732076080007</v>
      </c>
      <c r="AP69" s="444">
        <f t="shared" si="39"/>
        <v>64538.567249119995</v>
      </c>
      <c r="AQ69" s="337">
        <f t="shared" si="22"/>
        <v>-0.4</v>
      </c>
      <c r="AR69" s="444">
        <f t="shared" si="40"/>
        <v>64925.359159450003</v>
      </c>
      <c r="AS69" s="444">
        <f t="shared" si="40"/>
        <v>64652.614365559995</v>
      </c>
      <c r="AT69" s="447">
        <f t="shared" si="24"/>
        <v>-0.4</v>
      </c>
      <c r="AU69" s="493"/>
      <c r="AV69" s="493"/>
      <c r="AW69" s="497"/>
    </row>
    <row r="70" spans="1:49" s="466" customFormat="1" ht="20.100000000000001" customHeight="1" x14ac:dyDescent="0.3">
      <c r="A70" s="460" t="s">
        <v>240</v>
      </c>
      <c r="B70" s="195">
        <v>3.4529999999999998</v>
      </c>
      <c r="C70" s="446">
        <v>7.9089999999999998</v>
      </c>
      <c r="D70" s="337">
        <f>IF(B70=0, "    ---- ", IF(ABS(ROUND(100/B70*C70-100,1))&lt;999,ROUND(100/B70*C70-100,1),IF(ROUND(100/B70*C70-100,1)&gt;999,999,-999)))</f>
        <v>129</v>
      </c>
      <c r="E70" s="446">
        <v>600.71199999999999</v>
      </c>
      <c r="F70" s="446">
        <v>715.149</v>
      </c>
      <c r="G70" s="337">
        <f>IF(E70=0, "    ---- ", IF(ABS(ROUND(100/E70*F70-100,1))&lt;999,ROUND(100/E70*F70-100,1),IF(ROUND(100/E70*F70-100,1)&gt;999,999,-999)))</f>
        <v>19.100000000000001</v>
      </c>
      <c r="H70" s="446"/>
      <c r="I70" s="446"/>
      <c r="J70" s="337"/>
      <c r="K70" s="195">
        <v>65.844999999999999</v>
      </c>
      <c r="L70" s="446">
        <v>75.566999999999993</v>
      </c>
      <c r="M70" s="337">
        <f>IF(K70=0, "    ---- ", IF(ABS(ROUND(100/K70*L70-100,1))&lt;999,ROUND(100/K70*L70-100,1),IF(ROUND(100/K70*L70-100,1)&gt;999,999,-999)))</f>
        <v>14.8</v>
      </c>
      <c r="N70" s="195">
        <v>15.3</v>
      </c>
      <c r="O70" s="446">
        <v>38</v>
      </c>
      <c r="P70" s="337">
        <f>IF(N70=0, "    ---- ", IF(ABS(ROUND(100/N70*O70-100,1))&lt;999,ROUND(100/N70*O70-100,1),IF(ROUND(100/N70*O70-100,1)&gt;999,999,-999)))</f>
        <v>148.4</v>
      </c>
      <c r="Q70" s="195"/>
      <c r="R70" s="446"/>
      <c r="S70" s="337"/>
      <c r="T70" s="195">
        <v>5157.0794610000003</v>
      </c>
      <c r="U70" s="446">
        <v>5797.4477980000001</v>
      </c>
      <c r="V70" s="337">
        <f t="shared" si="38"/>
        <v>12.4</v>
      </c>
      <c r="W70" s="195">
        <v>3.379</v>
      </c>
      <c r="X70" s="446">
        <v>7.2119999999999997</v>
      </c>
      <c r="Y70" s="337">
        <f>IF(W70=0, "    ---- ", IF(ABS(ROUND(100/W70*X70-100,1))&lt;999,ROUND(100/W70*X70-100,1),IF(ROUND(100/W70*X70-100,1)&gt;999,999,-999)))</f>
        <v>113.4</v>
      </c>
      <c r="Z70" s="195">
        <v>65.48</v>
      </c>
      <c r="AA70" s="446">
        <v>40.270000000000003</v>
      </c>
      <c r="AB70" s="337">
        <f t="shared" si="25"/>
        <v>-38.5</v>
      </c>
      <c r="AC70" s="195"/>
      <c r="AD70" s="446"/>
      <c r="AE70" s="337"/>
      <c r="AF70" s="195"/>
      <c r="AG70" s="446"/>
      <c r="AH70" s="337"/>
      <c r="AI70" s="195">
        <v>102.018</v>
      </c>
      <c r="AJ70" s="446">
        <v>137.61099999999999</v>
      </c>
      <c r="AK70" s="337">
        <f>IF(AI70=0, "    ---- ", IF(ABS(ROUND(100/AI70*AJ70-100,1))&lt;999,ROUND(100/AI70*AJ70-100,1),IF(ROUND(100/AI70*AJ70-100,1)&gt;999,999,-999)))</f>
        <v>34.9</v>
      </c>
      <c r="AL70" s="195">
        <v>361</v>
      </c>
      <c r="AM70" s="446">
        <v>459</v>
      </c>
      <c r="AN70" s="337">
        <f t="shared" si="27"/>
        <v>27.1</v>
      </c>
      <c r="AO70" s="444">
        <f t="shared" si="39"/>
        <v>6374.2664610000002</v>
      </c>
      <c r="AP70" s="444">
        <f t="shared" si="39"/>
        <v>7278.1657980000009</v>
      </c>
      <c r="AQ70" s="337">
        <f t="shared" si="22"/>
        <v>14.2</v>
      </c>
      <c r="AR70" s="444">
        <f t="shared" si="40"/>
        <v>6374.2664610000002</v>
      </c>
      <c r="AS70" s="444">
        <f t="shared" si="40"/>
        <v>7278.1657980000009</v>
      </c>
      <c r="AT70" s="447">
        <f t="shared" si="24"/>
        <v>14.2</v>
      </c>
      <c r="AU70" s="493"/>
      <c r="AV70" s="493"/>
      <c r="AW70" s="497"/>
    </row>
    <row r="71" spans="1:49" s="466" customFormat="1" ht="20.100000000000001" customHeight="1" x14ac:dyDescent="0.3">
      <c r="A71" s="460" t="s">
        <v>241</v>
      </c>
      <c r="B71" s="195"/>
      <c r="C71" s="446"/>
      <c r="D71" s="337"/>
      <c r="E71" s="446">
        <v>7000</v>
      </c>
      <c r="F71" s="446">
        <v>7000</v>
      </c>
      <c r="G71" s="337">
        <f t="shared" si="19"/>
        <v>0</v>
      </c>
      <c r="H71" s="446"/>
      <c r="I71" s="446">
        <v>300</v>
      </c>
      <c r="J71" s="337"/>
      <c r="K71" s="195"/>
      <c r="L71" s="446"/>
      <c r="M71" s="337"/>
      <c r="N71" s="195">
        <v>299.8</v>
      </c>
      <c r="O71" s="446">
        <v>299.89999999999998</v>
      </c>
      <c r="P71" s="436">
        <f>IF(N71=0, "    ---- ", IF(ABS(ROUND(100/N71*O71-100,1))&lt;999,ROUND(100/N71*O71-100,1),IF(ROUND(100/N71*O71-100,1)&gt;999,999,-999)))</f>
        <v>0</v>
      </c>
      <c r="Q71" s="195"/>
      <c r="R71" s="446"/>
      <c r="S71" s="337"/>
      <c r="T71" s="195">
        <v>7483.4699596199998</v>
      </c>
      <c r="U71" s="446">
        <v>5193.6224465900004</v>
      </c>
      <c r="V71" s="337">
        <f t="shared" si="38"/>
        <v>-30.6</v>
      </c>
      <c r="W71" s="195"/>
      <c r="X71" s="446"/>
      <c r="Y71" s="337"/>
      <c r="Z71" s="195">
        <v>2830</v>
      </c>
      <c r="AA71" s="446">
        <v>2830</v>
      </c>
      <c r="AB71" s="337">
        <f t="shared" si="25"/>
        <v>0</v>
      </c>
      <c r="AC71" s="195">
        <v>1240</v>
      </c>
      <c r="AD71" s="446">
        <v>1240</v>
      </c>
      <c r="AE71" s="337">
        <f>IF(AC71=0, "    ---- ", IF(ABS(ROUND(100/AC71*AD71-100,1))&lt;999,ROUND(100/AC71*AD71-100,1),IF(ROUND(100/AC71*AD71-100,1)&gt;999,999,-999)))</f>
        <v>0</v>
      </c>
      <c r="AF71" s="195"/>
      <c r="AG71" s="446"/>
      <c r="AH71" s="337"/>
      <c r="AI71" s="195">
        <v>1000</v>
      </c>
      <c r="AJ71" s="446">
        <v>1000</v>
      </c>
      <c r="AK71" s="337">
        <f t="shared" si="26"/>
        <v>0</v>
      </c>
      <c r="AL71" s="195">
        <v>7660</v>
      </c>
      <c r="AM71" s="446">
        <v>8832</v>
      </c>
      <c r="AN71" s="337">
        <f t="shared" si="27"/>
        <v>15.3</v>
      </c>
      <c r="AO71" s="444">
        <f t="shared" si="39"/>
        <v>27513.26995962</v>
      </c>
      <c r="AP71" s="444">
        <f t="shared" si="39"/>
        <v>26695.522446589999</v>
      </c>
      <c r="AQ71" s="337">
        <f t="shared" si="22"/>
        <v>-3</v>
      </c>
      <c r="AR71" s="444">
        <f t="shared" si="40"/>
        <v>27513.26995962</v>
      </c>
      <c r="AS71" s="444">
        <f t="shared" si="40"/>
        <v>26695.522446589999</v>
      </c>
      <c r="AT71" s="447">
        <f t="shared" si="24"/>
        <v>-3</v>
      </c>
      <c r="AU71" s="493"/>
      <c r="AW71" s="497"/>
    </row>
    <row r="72" spans="1:49" s="466" customFormat="1" ht="20.100000000000001" customHeight="1" x14ac:dyDescent="0.3">
      <c r="A72" s="460" t="s">
        <v>242</v>
      </c>
      <c r="B72" s="195"/>
      <c r="C72" s="446"/>
      <c r="D72" s="337"/>
      <c r="E72" s="446"/>
      <c r="F72" s="446"/>
      <c r="G72" s="337"/>
      <c r="H72" s="446"/>
      <c r="I72" s="446"/>
      <c r="J72" s="337"/>
      <c r="K72" s="195"/>
      <c r="L72" s="446"/>
      <c r="M72" s="337"/>
      <c r="N72" s="195"/>
      <c r="O72" s="446"/>
      <c r="P72" s="436"/>
      <c r="Q72" s="195"/>
      <c r="R72" s="446"/>
      <c r="S72" s="337"/>
      <c r="T72" s="195"/>
      <c r="U72" s="446"/>
      <c r="V72" s="337"/>
      <c r="W72" s="195"/>
      <c r="X72" s="446"/>
      <c r="Y72" s="337"/>
      <c r="Z72" s="195"/>
      <c r="AA72" s="446"/>
      <c r="AB72" s="337"/>
      <c r="AC72" s="195"/>
      <c r="AD72" s="446"/>
      <c r="AE72" s="337"/>
      <c r="AF72" s="195"/>
      <c r="AG72" s="446"/>
      <c r="AH72" s="337"/>
      <c r="AI72" s="195"/>
      <c r="AJ72" s="446"/>
      <c r="AK72" s="337"/>
      <c r="AL72" s="195"/>
      <c r="AM72" s="446"/>
      <c r="AN72" s="337"/>
      <c r="AO72" s="438"/>
      <c r="AP72" s="438"/>
      <c r="AQ72" s="337"/>
      <c r="AR72" s="438"/>
      <c r="AS72" s="438"/>
      <c r="AT72" s="447"/>
      <c r="AU72" s="493"/>
      <c r="AV72" s="493"/>
      <c r="AW72" s="497"/>
    </row>
    <row r="73" spans="1:49" s="466" customFormat="1" ht="20.100000000000001" customHeight="1" x14ac:dyDescent="0.3">
      <c r="A73" s="460" t="s">
        <v>399</v>
      </c>
      <c r="B73" s="195">
        <v>1064.48</v>
      </c>
      <c r="C73" s="446">
        <v>1101.0809999999999</v>
      </c>
      <c r="D73" s="337">
        <f>IF(B73=0, "    ---- ", IF(ABS(ROUND(100/B73*C73-100,1))&lt;999,ROUND(100/B73*C73-100,1),IF(ROUND(100/B73*C73-100,1)&gt;999,999,-999)))</f>
        <v>3.4</v>
      </c>
      <c r="E73" s="446">
        <v>194897.391</v>
      </c>
      <c r="F73" s="446">
        <v>190282.26699999999</v>
      </c>
      <c r="G73" s="337">
        <f t="shared" si="19"/>
        <v>-2.4</v>
      </c>
      <c r="H73" s="446"/>
      <c r="I73" s="446">
        <v>6643.0073816799986</v>
      </c>
      <c r="J73" s="337" t="str">
        <f>IF(H73=0, "    ---- ", IF(ABS(ROUND(100/H73*I73-100,1))&lt;999,ROUND(100/H73*I73-100,1),IF(ROUND(100/H73*I73-100,1)&gt;999,999,-999)))</f>
        <v xml:space="preserve">    ---- </v>
      </c>
      <c r="K73" s="195">
        <v>1269.4380000000001</v>
      </c>
      <c r="L73" s="446">
        <v>1353.0440000000001</v>
      </c>
      <c r="M73" s="337">
        <f>IF(K73=0, "    ---- ", IF(ABS(ROUND(100/K73*L73-100,1))&lt;999,ROUND(100/K73*L73-100,1),IF(ROUND(100/K73*L73-100,1)&gt;999,999,-999)))</f>
        <v>6.6</v>
      </c>
      <c r="N73" s="195">
        <v>6648</v>
      </c>
      <c r="O73" s="446">
        <v>7136.6</v>
      </c>
      <c r="P73" s="436">
        <f>IF(N73=0, "    ---- ", IF(ABS(ROUND(100/N73*O73-100,1))&lt;999,ROUND(100/N73*O73-100,1),IF(ROUND(100/N73*O73-100,1)&gt;999,999,-999)))</f>
        <v>7.3</v>
      </c>
      <c r="Q73" s="195">
        <v>50.66199245</v>
      </c>
      <c r="R73" s="446">
        <v>49.090873440000003</v>
      </c>
      <c r="S73" s="337">
        <f>IF(Q73=0, "    ---- ", IF(ABS(ROUND(100/Q73*R73-100,1))&lt;999,ROUND(100/Q73*R73-100,1),IF(ROUND(100/Q73*R73-100,1)&gt;999,999,-999)))</f>
        <v>-3.1</v>
      </c>
      <c r="T73" s="195">
        <v>446907.03472390003</v>
      </c>
      <c r="U73" s="446">
        <v>464903.97871718998</v>
      </c>
      <c r="V73" s="337">
        <f t="shared" si="38"/>
        <v>4</v>
      </c>
      <c r="W73" s="195">
        <v>1591.943</v>
      </c>
      <c r="X73" s="446">
        <v>1657.4860000000001</v>
      </c>
      <c r="Y73" s="337">
        <f>IF(W73=0, "    ---- ", IF(ABS(ROUND(100/W73*X73-100,1))&lt;999,ROUND(100/W73*X73-100,1),IF(ROUND(100/W73*X73-100,1)&gt;999,999,-999)))</f>
        <v>4.0999999999999996</v>
      </c>
      <c r="Z73" s="195">
        <v>46619.962000000007</v>
      </c>
      <c r="AA73" s="446">
        <v>47099.636001120001</v>
      </c>
      <c r="AB73" s="337">
        <f t="shared" si="25"/>
        <v>1</v>
      </c>
      <c r="AC73" s="195">
        <v>64648</v>
      </c>
      <c r="AD73" s="446">
        <v>67484</v>
      </c>
      <c r="AE73" s="337">
        <f>IF(AC73=0, "    ---- ", IF(ABS(ROUND(100/AC73*AD73-100,1))&lt;999,ROUND(100/AC73*AD73-100,1),IF(ROUND(100/AC73*AD73-100,1)&gt;999,999,-999)))</f>
        <v>4.4000000000000004</v>
      </c>
      <c r="AF73" s="195"/>
      <c r="AG73" s="446"/>
      <c r="AH73" s="337"/>
      <c r="AI73" s="195">
        <v>21185.871999999999</v>
      </c>
      <c r="AJ73" s="446">
        <v>17728.569</v>
      </c>
      <c r="AK73" s="337">
        <f t="shared" si="26"/>
        <v>-16.3</v>
      </c>
      <c r="AL73" s="195">
        <v>172610</v>
      </c>
      <c r="AM73" s="446">
        <v>172534</v>
      </c>
      <c r="AN73" s="337">
        <f t="shared" si="27"/>
        <v>0</v>
      </c>
      <c r="AO73" s="444">
        <f t="shared" ref="AO73:AP79" si="41">B73+E73+H73+K73+N73+T73+W73+Z73+AC73+AI73+AL73</f>
        <v>957442.12072390004</v>
      </c>
      <c r="AP73" s="444">
        <f t="shared" si="41"/>
        <v>977923.66909999005</v>
      </c>
      <c r="AQ73" s="337">
        <f t="shared" si="22"/>
        <v>2.1</v>
      </c>
      <c r="AR73" s="444">
        <f t="shared" ref="AR73:AS79" si="42">B73+E73+H73+K73+N73+Q73+T73+W73+Z73+AC73+AF73+AI73+AL73</f>
        <v>957492.78271635005</v>
      </c>
      <c r="AS73" s="444">
        <f t="shared" si="42"/>
        <v>977972.75997342996</v>
      </c>
      <c r="AT73" s="447">
        <f t="shared" si="24"/>
        <v>2.1</v>
      </c>
      <c r="AU73" s="493"/>
      <c r="AV73" s="493"/>
      <c r="AW73" s="497"/>
    </row>
    <row r="74" spans="1:49" s="466" customFormat="1" ht="20.100000000000001" customHeight="1" x14ac:dyDescent="0.3">
      <c r="A74" s="460" t="s">
        <v>243</v>
      </c>
      <c r="B74" s="195">
        <v>22.54</v>
      </c>
      <c r="C74" s="446">
        <v>26.55</v>
      </c>
      <c r="D74" s="337">
        <f>IF(B74=0, "    ---- ", IF(ABS(ROUND(100/B74*C74-100,1))&lt;999,ROUND(100/B74*C74-100,1),IF(ROUND(100/B74*C74-100,1)&gt;999,999,-999)))</f>
        <v>17.8</v>
      </c>
      <c r="E74" s="446">
        <v>7277.4459999999999</v>
      </c>
      <c r="F74" s="446">
        <v>7026.9170000000004</v>
      </c>
      <c r="G74" s="337">
        <f t="shared" si="19"/>
        <v>-3.4</v>
      </c>
      <c r="H74" s="446"/>
      <c r="I74" s="446"/>
      <c r="J74" s="337"/>
      <c r="K74" s="195">
        <v>1.0009999999999999</v>
      </c>
      <c r="L74" s="446">
        <v>7.64</v>
      </c>
      <c r="M74" s="337">
        <f>IF(K74=0, "    ---- ", IF(ABS(ROUND(100/K74*L74-100,1))&lt;999,ROUND(100/K74*L74-100,1),IF(ROUND(100/K74*L74-100,1)&gt;999,999,-999)))</f>
        <v>663.2</v>
      </c>
      <c r="N74" s="195">
        <v>242.6</v>
      </c>
      <c r="O74" s="446">
        <v>284.2</v>
      </c>
      <c r="P74" s="436">
        <f>IF(N74=0, "    ---- ", IF(ABS(ROUND(100/N74*O74-100,1))&lt;999,ROUND(100/N74*O74-100,1),IF(ROUND(100/N74*O74-100,1)&gt;999,999,-999)))</f>
        <v>17.100000000000001</v>
      </c>
      <c r="Q74" s="195"/>
      <c r="R74" s="446"/>
      <c r="S74" s="337"/>
      <c r="T74" s="195">
        <v>28191.044431999999</v>
      </c>
      <c r="U74" s="446">
        <v>35726.540239000002</v>
      </c>
      <c r="V74" s="337">
        <f t="shared" si="38"/>
        <v>26.7</v>
      </c>
      <c r="W74" s="195">
        <v>112.57</v>
      </c>
      <c r="X74" s="446">
        <v>109.642</v>
      </c>
      <c r="Y74" s="337">
        <f>IF(W74=0, "    ---- ", IF(ABS(ROUND(100/W74*X74-100,1))&lt;999,ROUND(100/W74*X74-100,1),IF(ROUND(100/W74*X74-100,1)&gt;999,999,-999)))</f>
        <v>-2.6</v>
      </c>
      <c r="Z74" s="195">
        <v>2039.65</v>
      </c>
      <c r="AA74" s="446">
        <v>2444.01277014998</v>
      </c>
      <c r="AB74" s="337">
        <f t="shared" si="25"/>
        <v>19.8</v>
      </c>
      <c r="AC74" s="195">
        <v>7503</v>
      </c>
      <c r="AD74" s="446">
        <v>7228</v>
      </c>
      <c r="AE74" s="337">
        <f>IF(AC74=0, "    ---- ", IF(ABS(ROUND(100/AC74*AD74-100,1))&lt;999,ROUND(100/AC74*AD74-100,1),IF(ROUND(100/AC74*AD74-100,1)&gt;999,999,-999)))</f>
        <v>-3.7</v>
      </c>
      <c r="AF74" s="195"/>
      <c r="AG74" s="446"/>
      <c r="AH74" s="337"/>
      <c r="AI74" s="195">
        <v>947.46799999999996</v>
      </c>
      <c r="AJ74" s="446">
        <v>1296.3869999999999</v>
      </c>
      <c r="AK74" s="337">
        <f t="shared" si="26"/>
        <v>36.799999999999997</v>
      </c>
      <c r="AL74" s="195">
        <v>8218</v>
      </c>
      <c r="AM74" s="446">
        <v>8862</v>
      </c>
      <c r="AN74" s="337">
        <f t="shared" si="27"/>
        <v>7.8</v>
      </c>
      <c r="AO74" s="444">
        <f t="shared" si="41"/>
        <v>54555.319432000004</v>
      </c>
      <c r="AP74" s="444">
        <f t="shared" si="41"/>
        <v>63011.889009149985</v>
      </c>
      <c r="AQ74" s="337">
        <f t="shared" si="22"/>
        <v>15.5</v>
      </c>
      <c r="AR74" s="444">
        <f t="shared" si="42"/>
        <v>54555.319432000004</v>
      </c>
      <c r="AS74" s="444">
        <f t="shared" si="42"/>
        <v>63011.889009149985</v>
      </c>
      <c r="AT74" s="447">
        <f t="shared" si="24"/>
        <v>15.5</v>
      </c>
      <c r="AU74" s="493"/>
      <c r="AV74" s="493"/>
      <c r="AW74" s="497"/>
    </row>
    <row r="75" spans="1:49" s="466" customFormat="1" ht="20.100000000000001" customHeight="1" x14ac:dyDescent="0.3">
      <c r="A75" s="460" t="s">
        <v>244</v>
      </c>
      <c r="B75" s="195">
        <v>45.917000000000002</v>
      </c>
      <c r="C75" s="446">
        <v>58.487000000000002</v>
      </c>
      <c r="D75" s="337">
        <f>IF(B75=0, "    ---- ", IF(ABS(ROUND(100/B75*C75-100,1))&lt;999,ROUND(100/B75*C75-100,1),IF(ROUND(100/B75*C75-100,1)&gt;999,999,-999)))</f>
        <v>27.4</v>
      </c>
      <c r="E75" s="446">
        <v>3647.3310000000001</v>
      </c>
      <c r="F75" s="446">
        <v>3657.0610000000001</v>
      </c>
      <c r="G75" s="337">
        <f t="shared" si="19"/>
        <v>0.3</v>
      </c>
      <c r="H75" s="446"/>
      <c r="I75" s="446">
        <v>125.893012</v>
      </c>
      <c r="J75" s="337" t="str">
        <f>IF(H75=0, "    ---- ", IF(ABS(ROUND(100/H75*I75-100,1))&lt;999,ROUND(100/H75*I75-100,1),IF(ROUND(100/H75*I75-100,1)&gt;999,999,-999)))</f>
        <v xml:space="preserve">    ---- </v>
      </c>
      <c r="K75" s="195">
        <v>7.9649999999999999</v>
      </c>
      <c r="L75" s="446">
        <v>3.5</v>
      </c>
      <c r="M75" s="337">
        <f>IF(K75=0, "    ---- ", IF(ABS(ROUND(100/K75*L75-100,1))&lt;999,ROUND(100/K75*L75-100,1),IF(ROUND(100/K75*L75-100,1)&gt;999,999,-999)))</f>
        <v>-56.1</v>
      </c>
      <c r="N75" s="195">
        <v>19.399999999999999</v>
      </c>
      <c r="O75" s="446">
        <v>1.1000000000000001</v>
      </c>
      <c r="P75" s="436">
        <f>IF(N75=0, "    ---- ", IF(ABS(ROUND(100/N75*O75-100,1))&lt;999,ROUND(100/N75*O75-100,1),IF(ROUND(100/N75*O75-100,1)&gt;999,999,-999)))</f>
        <v>-94.3</v>
      </c>
      <c r="Q75" s="195"/>
      <c r="R75" s="446"/>
      <c r="S75" s="337"/>
      <c r="T75" s="195">
        <v>48089.418101249998</v>
      </c>
      <c r="U75" s="446">
        <v>43109.966547000004</v>
      </c>
      <c r="V75" s="337">
        <f t="shared" si="38"/>
        <v>-10.4</v>
      </c>
      <c r="W75" s="195">
        <v>14.45</v>
      </c>
      <c r="X75" s="446">
        <v>15.849</v>
      </c>
      <c r="Y75" s="337">
        <f>IF(W75=0, "    ---- ", IF(ABS(ROUND(100/W75*X75-100,1))&lt;999,ROUND(100/W75*X75-100,1),IF(ROUND(100/W75*X75-100,1)&gt;999,999,-999)))</f>
        <v>9.6999999999999993</v>
      </c>
      <c r="Z75" s="195">
        <v>1662.59</v>
      </c>
      <c r="AA75" s="446">
        <v>1518.49</v>
      </c>
      <c r="AB75" s="337">
        <f t="shared" si="25"/>
        <v>-8.6999999999999993</v>
      </c>
      <c r="AC75" s="195">
        <v>13188</v>
      </c>
      <c r="AD75" s="446">
        <v>16013</v>
      </c>
      <c r="AE75" s="337">
        <f>IF(AC75=0, "    ---- ", IF(ABS(ROUND(100/AC75*AD75-100,1))&lt;999,ROUND(100/AC75*AD75-100,1),IF(ROUND(100/AC75*AD75-100,1)&gt;999,999,-999)))</f>
        <v>21.4</v>
      </c>
      <c r="AF75" s="195"/>
      <c r="AG75" s="446"/>
      <c r="AH75" s="337"/>
      <c r="AI75" s="195">
        <v>2121.049</v>
      </c>
      <c r="AJ75" s="446">
        <v>2366.6179999999999</v>
      </c>
      <c r="AK75" s="337">
        <f t="shared" si="26"/>
        <v>11.6</v>
      </c>
      <c r="AL75" s="195">
        <v>5140</v>
      </c>
      <c r="AM75" s="446">
        <v>7403</v>
      </c>
      <c r="AN75" s="337">
        <f t="shared" si="27"/>
        <v>44</v>
      </c>
      <c r="AO75" s="444">
        <f t="shared" si="41"/>
        <v>73936.120101249981</v>
      </c>
      <c r="AP75" s="444">
        <f t="shared" si="41"/>
        <v>74272.964559</v>
      </c>
      <c r="AQ75" s="337">
        <f t="shared" si="22"/>
        <v>0.5</v>
      </c>
      <c r="AR75" s="444">
        <f t="shared" si="42"/>
        <v>73936.120101249981</v>
      </c>
      <c r="AS75" s="444">
        <f t="shared" si="42"/>
        <v>74272.964559</v>
      </c>
      <c r="AT75" s="447">
        <f t="shared" si="24"/>
        <v>0.5</v>
      </c>
      <c r="AU75" s="493"/>
      <c r="AV75" s="493"/>
      <c r="AW75" s="497"/>
    </row>
    <row r="76" spans="1:49" s="466" customFormat="1" ht="20.100000000000001" customHeight="1" x14ac:dyDescent="0.3">
      <c r="A76" s="460" t="s">
        <v>400</v>
      </c>
      <c r="B76" s="195">
        <v>15.932</v>
      </c>
      <c r="C76" s="446">
        <v>17.757999999999999</v>
      </c>
      <c r="D76" s="337">
        <f>IF(B76=0, "    ---- ", IF(ABS(ROUND(100/B76*C76-100,1))&lt;999,ROUND(100/B76*C76-100,1),IF(ROUND(100/B76*C76-100,1)&gt;999,999,-999)))</f>
        <v>11.5</v>
      </c>
      <c r="E76" s="446">
        <v>750.54100000000005</v>
      </c>
      <c r="F76" s="446">
        <v>0</v>
      </c>
      <c r="G76" s="337">
        <f t="shared" si="19"/>
        <v>-100</v>
      </c>
      <c r="H76" s="446"/>
      <c r="I76" s="446"/>
      <c r="J76" s="337"/>
      <c r="K76" s="195"/>
      <c r="L76" s="446"/>
      <c r="M76" s="337"/>
      <c r="N76" s="195">
        <v>1.3</v>
      </c>
      <c r="O76" s="446">
        <v>1.4</v>
      </c>
      <c r="P76" s="436">
        <f>IF(N76=0, "    ---- ", IF(ABS(ROUND(100/N76*O76-100,1))&lt;999,ROUND(100/N76*O76-100,1),IF(ROUND(100/N76*O76-100,1)&gt;999,999,-999)))</f>
        <v>7.7</v>
      </c>
      <c r="Q76" s="195"/>
      <c r="R76" s="446"/>
      <c r="S76" s="337"/>
      <c r="T76" s="195">
        <v>12406.916783000001</v>
      </c>
      <c r="U76" s="446">
        <v>12795.293999</v>
      </c>
      <c r="V76" s="337">
        <f t="shared" si="38"/>
        <v>3.1</v>
      </c>
      <c r="W76" s="195">
        <v>19.814</v>
      </c>
      <c r="X76" s="446">
        <v>19.152999999999999</v>
      </c>
      <c r="Y76" s="337">
        <f>IF(W76=0, "    ---- ", IF(ABS(ROUND(100/W76*X76-100,1))&lt;999,ROUND(100/W76*X76-100,1),IF(ROUND(100/W76*X76-100,1)&gt;999,999,-999)))</f>
        <v>-3.3</v>
      </c>
      <c r="Z76" s="195">
        <v>697.5</v>
      </c>
      <c r="AA76" s="446">
        <v>793.96</v>
      </c>
      <c r="AB76" s="337">
        <f t="shared" si="25"/>
        <v>13.8</v>
      </c>
      <c r="AC76" s="195">
        <v>2963</v>
      </c>
      <c r="AD76" s="446">
        <v>1460</v>
      </c>
      <c r="AE76" s="337">
        <f t="shared" ref="AE76:AE78" si="43">IF(AC76=0, "    ---- ", IF(ABS(ROUND(100/AC76*AD76-100,1))&lt;999,ROUND(100/AC76*AD76-100,1),IF(ROUND(100/AC76*AD76-100,1)&gt;999,999,-999)))</f>
        <v>-50.7</v>
      </c>
      <c r="AF76" s="195"/>
      <c r="AG76" s="446"/>
      <c r="AH76" s="337"/>
      <c r="AI76" s="195">
        <v>189.21100000000001</v>
      </c>
      <c r="AJ76" s="446">
        <v>283.99</v>
      </c>
      <c r="AK76" s="337">
        <f t="shared" si="26"/>
        <v>50.1</v>
      </c>
      <c r="AL76" s="195">
        <v>1971</v>
      </c>
      <c r="AM76" s="446">
        <v>2063</v>
      </c>
      <c r="AN76" s="337">
        <f t="shared" si="27"/>
        <v>4.7</v>
      </c>
      <c r="AO76" s="444">
        <f t="shared" si="41"/>
        <v>19015.214782999999</v>
      </c>
      <c r="AP76" s="444">
        <f t="shared" si="41"/>
        <v>17434.554999</v>
      </c>
      <c r="AQ76" s="337">
        <f t="shared" si="22"/>
        <v>-8.3000000000000007</v>
      </c>
      <c r="AR76" s="444">
        <f t="shared" si="42"/>
        <v>19015.214782999999</v>
      </c>
      <c r="AS76" s="444">
        <f t="shared" si="42"/>
        <v>17434.554999</v>
      </c>
      <c r="AT76" s="447">
        <f t="shared" si="24"/>
        <v>-8.3000000000000007</v>
      </c>
      <c r="AU76" s="493"/>
      <c r="AV76" s="493"/>
      <c r="AW76" s="497"/>
    </row>
    <row r="77" spans="1:49" s="466" customFormat="1" ht="20.100000000000001" customHeight="1" x14ac:dyDescent="0.3">
      <c r="A77" s="460" t="s">
        <v>364</v>
      </c>
      <c r="B77" s="195">
        <v>50.585999999999999</v>
      </c>
      <c r="C77" s="446">
        <v>55.674999999999997</v>
      </c>
      <c r="D77" s="337">
        <f>IF(B77=0, "    ---- ", IF(ABS(ROUND(100/B77*C77-100,1))&lt;999,ROUND(100/B77*C77-100,1),IF(ROUND(100/B77*C77-100,1)&gt;999,999,-999)))</f>
        <v>10.1</v>
      </c>
      <c r="E77" s="446">
        <v>302.45400000000001</v>
      </c>
      <c r="F77" s="446">
        <v>629.54300000000001</v>
      </c>
      <c r="G77" s="337">
        <f t="shared" si="19"/>
        <v>108.1</v>
      </c>
      <c r="H77" s="446"/>
      <c r="I77" s="446"/>
      <c r="J77" s="337"/>
      <c r="K77" s="195">
        <v>28.654</v>
      </c>
      <c r="L77" s="446">
        <v>31.638999999999999</v>
      </c>
      <c r="M77" s="337">
        <f>IF(K77=0, "    ---- ", IF(ABS(ROUND(100/K77*L77-100,1))&lt;999,ROUND(100/K77*L77-100,1),IF(ROUND(100/K77*L77-100,1)&gt;999,999,-999)))</f>
        <v>10.4</v>
      </c>
      <c r="N77" s="195"/>
      <c r="O77" s="446"/>
      <c r="P77" s="436"/>
      <c r="Q77" s="195"/>
      <c r="R77" s="446"/>
      <c r="S77" s="337"/>
      <c r="T77" s="195"/>
      <c r="U77" s="446"/>
      <c r="V77" s="337"/>
      <c r="W77" s="195"/>
      <c r="X77" s="446"/>
      <c r="Y77" s="337"/>
      <c r="Z77" s="195"/>
      <c r="AA77" s="446"/>
      <c r="AB77" s="337"/>
      <c r="AC77" s="195">
        <v>422</v>
      </c>
      <c r="AD77" s="446">
        <v>407</v>
      </c>
      <c r="AE77" s="337">
        <f t="shared" si="43"/>
        <v>-3.6</v>
      </c>
      <c r="AF77" s="195"/>
      <c r="AG77" s="446"/>
      <c r="AH77" s="337"/>
      <c r="AI77" s="195"/>
      <c r="AJ77" s="446"/>
      <c r="AK77" s="337"/>
      <c r="AL77" s="195">
        <v>646</v>
      </c>
      <c r="AM77" s="446">
        <v>695</v>
      </c>
      <c r="AN77" s="337">
        <f t="shared" si="27"/>
        <v>7.6</v>
      </c>
      <c r="AO77" s="444">
        <f t="shared" si="41"/>
        <v>1449.694</v>
      </c>
      <c r="AP77" s="444">
        <f t="shared" si="41"/>
        <v>1818.857</v>
      </c>
      <c r="AQ77" s="337">
        <f t="shared" si="22"/>
        <v>25.5</v>
      </c>
      <c r="AR77" s="444">
        <f t="shared" si="42"/>
        <v>1449.694</v>
      </c>
      <c r="AS77" s="444">
        <f t="shared" si="42"/>
        <v>1818.857</v>
      </c>
      <c r="AT77" s="447">
        <f t="shared" si="24"/>
        <v>25.5</v>
      </c>
      <c r="AU77" s="493"/>
      <c r="AV77" s="493"/>
      <c r="AW77" s="497"/>
    </row>
    <row r="78" spans="1:49" s="466" customFormat="1" ht="20.100000000000001" customHeight="1" x14ac:dyDescent="0.3">
      <c r="A78" s="460" t="s">
        <v>245</v>
      </c>
      <c r="B78" s="195"/>
      <c r="C78" s="446"/>
      <c r="D78" s="337"/>
      <c r="E78" s="446"/>
      <c r="F78" s="446">
        <v>420.899</v>
      </c>
      <c r="G78" s="337" t="str">
        <f t="shared" si="19"/>
        <v xml:space="preserve">    ---- </v>
      </c>
      <c r="H78" s="446"/>
      <c r="I78" s="446"/>
      <c r="J78" s="337"/>
      <c r="K78" s="195"/>
      <c r="L78" s="446"/>
      <c r="M78" s="337"/>
      <c r="N78" s="195">
        <v>34.9</v>
      </c>
      <c r="O78" s="446">
        <v>-47.1</v>
      </c>
      <c r="P78" s="436">
        <f>IF(N78=0, "    ---- ", IF(ABS(ROUND(100/N78*O78-100,1))&lt;999,ROUND(100/N78*O78-100,1),IF(ROUND(100/N78*O78-100,1)&gt;999,999,-999)))</f>
        <v>-235</v>
      </c>
      <c r="Q78" s="195"/>
      <c r="R78" s="446"/>
      <c r="S78" s="337"/>
      <c r="T78" s="195">
        <v>4406.8756880000001</v>
      </c>
      <c r="U78" s="446">
        <v>3524.8378189999999</v>
      </c>
      <c r="V78" s="337">
        <f t="shared" ref="V78" si="44">IF(T78=0, "    ---- ", IF(ABS(ROUND(100/T78*U78-100,1))&lt;999,ROUND(100/T78*U78-100,1),IF(ROUND(100/T78*U78-100,1)&gt;999,999,-999)))</f>
        <v>-20</v>
      </c>
      <c r="W78" s="195">
        <v>7.1109999999999998</v>
      </c>
      <c r="X78" s="446">
        <v>0</v>
      </c>
      <c r="Y78" s="337">
        <f>IF(W78=0, "    ---- ", IF(ABS(ROUND(100/W78*X78-100,1))&lt;999,ROUND(100/W78*X78-100,1),IF(ROUND(100/W78*X78-100,1)&gt;999,999,-999)))</f>
        <v>-100</v>
      </c>
      <c r="Z78" s="195"/>
      <c r="AA78" s="446"/>
      <c r="AB78" s="337"/>
      <c r="AC78" s="195">
        <v>91</v>
      </c>
      <c r="AD78" s="446">
        <v>533</v>
      </c>
      <c r="AE78" s="337">
        <f t="shared" si="43"/>
        <v>485.7</v>
      </c>
      <c r="AF78" s="195"/>
      <c r="AG78" s="446"/>
      <c r="AH78" s="337"/>
      <c r="AI78" s="195">
        <v>760.34118804000025</v>
      </c>
      <c r="AJ78" s="446">
        <v>-192.1444221899998</v>
      </c>
      <c r="AK78" s="337"/>
      <c r="AL78" s="195">
        <v>434</v>
      </c>
      <c r="AM78" s="446">
        <v>771</v>
      </c>
      <c r="AN78" s="337">
        <f t="shared" si="27"/>
        <v>77.599999999999994</v>
      </c>
      <c r="AO78" s="444">
        <f t="shared" si="41"/>
        <v>5734.2278760399995</v>
      </c>
      <c r="AP78" s="444">
        <f t="shared" si="41"/>
        <v>5010.4923968099993</v>
      </c>
      <c r="AQ78" s="337">
        <f t="shared" si="22"/>
        <v>-12.6</v>
      </c>
      <c r="AR78" s="444">
        <f t="shared" si="42"/>
        <v>5734.2278760399995</v>
      </c>
      <c r="AS78" s="444">
        <f t="shared" si="42"/>
        <v>5010.4923968099993</v>
      </c>
      <c r="AT78" s="447">
        <f t="shared" si="24"/>
        <v>-12.6</v>
      </c>
      <c r="AU78" s="493"/>
      <c r="AV78" s="493"/>
      <c r="AW78" s="497"/>
    </row>
    <row r="79" spans="1:49" s="466" customFormat="1" ht="20.100000000000001" customHeight="1" x14ac:dyDescent="0.3">
      <c r="A79" s="461" t="s">
        <v>246</v>
      </c>
      <c r="B79" s="195">
        <f>SUM(B73:B78)</f>
        <v>1199.4549999999999</v>
      </c>
      <c r="C79" s="446">
        <f>SUM(C73:C78)</f>
        <v>1259.5509999999999</v>
      </c>
      <c r="D79" s="337">
        <f>IF(B79=0, "    ---- ", IF(ABS(ROUND(100/B79*C79-100,1))&lt;999,ROUND(100/B79*C79-100,1),IF(ROUND(100/B79*C79-100,1)&gt;999,999,-999)))</f>
        <v>5</v>
      </c>
      <c r="E79" s="446">
        <f>SUM(E73:E78)</f>
        <v>206875.163</v>
      </c>
      <c r="F79" s="446">
        <f>SUM(F73:F78)</f>
        <v>202016.68699999998</v>
      </c>
      <c r="G79" s="337">
        <f t="shared" si="19"/>
        <v>-2.2999999999999998</v>
      </c>
      <c r="H79" s="446"/>
      <c r="I79" s="446">
        <f>SUM(I73:I78)</f>
        <v>6768.9003936799982</v>
      </c>
      <c r="J79" s="337" t="str">
        <f>IF(H79=0, "    ---- ", IF(ABS(ROUND(100/H79*I79-100,1))&lt;999,ROUND(100/H79*I79-100,1),IF(ROUND(100/H79*I79-100,1)&gt;999,999,-999)))</f>
        <v xml:space="preserve">    ---- </v>
      </c>
      <c r="K79" s="195">
        <f>SUM(K73:K78)</f>
        <v>1307.058</v>
      </c>
      <c r="L79" s="446">
        <f>SUM(L73:L78)</f>
        <v>1395.8230000000001</v>
      </c>
      <c r="M79" s="337">
        <f>IF(K79=0, "    ---- ", IF(ABS(ROUND(100/K79*L79-100,1))&lt;999,ROUND(100/K79*L79-100,1),IF(ROUND(100/K79*L79-100,1)&gt;999,999,-999)))</f>
        <v>6.8</v>
      </c>
      <c r="N79" s="195">
        <f>SUM(N73:N78)</f>
        <v>6946.2</v>
      </c>
      <c r="O79" s="446">
        <f>SUM(O73:O78)</f>
        <v>7376.2</v>
      </c>
      <c r="P79" s="436">
        <f>IF(N79=0, "    ---- ", IF(ABS(ROUND(100/N79*O79-100,1))&lt;999,ROUND(100/N79*O79-100,1),IF(ROUND(100/N79*O79-100,1)&gt;999,999,-999)))</f>
        <v>6.2</v>
      </c>
      <c r="Q79" s="195">
        <f>SUM(Q73:Q78)</f>
        <v>50.66199245</v>
      </c>
      <c r="R79" s="446">
        <f>SUM(R73:R78)</f>
        <v>49.090873440000003</v>
      </c>
      <c r="S79" s="337">
        <f>IF(Q79=0, "    ---- ", IF(ABS(ROUND(100/Q79*R79-100,1))&lt;999,ROUND(100/Q79*R79-100,1),IF(ROUND(100/Q79*R79-100,1)&gt;999,999,-999)))</f>
        <v>-3.1</v>
      </c>
      <c r="T79" s="195">
        <f>SUM(T73:T78)</f>
        <v>540001.28972815012</v>
      </c>
      <c r="U79" s="446">
        <f>SUM(U73:U78)</f>
        <v>560060.61732118996</v>
      </c>
      <c r="V79" s="337">
        <f t="shared" si="38"/>
        <v>3.7</v>
      </c>
      <c r="W79" s="195">
        <f>SUM(W73:W78)</f>
        <v>1745.8880000000001</v>
      </c>
      <c r="X79" s="446">
        <f>SUM(X73:X78)</f>
        <v>1802.13</v>
      </c>
      <c r="Y79" s="337">
        <f>IF(W79=0, "    ---- ", IF(ABS(ROUND(100/W79*X79-100,1))&lt;999,ROUND(100/W79*X79-100,1),IF(ROUND(100/W79*X79-100,1)&gt;999,999,-999)))</f>
        <v>3.2</v>
      </c>
      <c r="Z79" s="195">
        <f>SUM(Z73:Z78)</f>
        <v>51019.702000000005</v>
      </c>
      <c r="AA79" s="446">
        <f>SUM(AA73:AA78)</f>
        <v>51856.098771269979</v>
      </c>
      <c r="AB79" s="337">
        <f t="shared" si="25"/>
        <v>1.6</v>
      </c>
      <c r="AC79" s="195">
        <f>SUM(AC73:AC78)</f>
        <v>88815</v>
      </c>
      <c r="AD79" s="446">
        <f>SUM(AD73:AD78)</f>
        <v>93125</v>
      </c>
      <c r="AE79" s="337">
        <f>IF(AC79=0, "    ---- ", IF(ABS(ROUND(100/AC79*AD79-100,1))&lt;999,ROUND(100/AC79*AD79-100,1),IF(ROUND(100/AC79*AD79-100,1)&gt;999,999,-999)))</f>
        <v>4.9000000000000004</v>
      </c>
      <c r="AF79" s="195"/>
      <c r="AG79" s="446"/>
      <c r="AH79" s="337"/>
      <c r="AI79" s="195">
        <f>SUM(AI73:AI78)</f>
        <v>25203.94118804</v>
      </c>
      <c r="AJ79" s="446">
        <f>SUM(AJ73:AJ78)</f>
        <v>21483.41957781</v>
      </c>
      <c r="AK79" s="337">
        <f t="shared" si="26"/>
        <v>-14.8</v>
      </c>
      <c r="AL79" s="195">
        <f>SUM(AL73:AL78)</f>
        <v>189019</v>
      </c>
      <c r="AM79" s="446">
        <f>SUM(AM73:AM78)</f>
        <v>192328</v>
      </c>
      <c r="AN79" s="337">
        <f t="shared" si="27"/>
        <v>1.8</v>
      </c>
      <c r="AO79" s="444">
        <f t="shared" si="41"/>
        <v>1112132.6969161902</v>
      </c>
      <c r="AP79" s="444">
        <f t="shared" si="41"/>
        <v>1139472.4270639499</v>
      </c>
      <c r="AQ79" s="337">
        <f t="shared" si="22"/>
        <v>2.5</v>
      </c>
      <c r="AR79" s="444">
        <f t="shared" si="42"/>
        <v>1112183.3589086402</v>
      </c>
      <c r="AS79" s="444">
        <f t="shared" si="42"/>
        <v>1139521.5179373899</v>
      </c>
      <c r="AT79" s="447">
        <f t="shared" si="24"/>
        <v>2.5</v>
      </c>
      <c r="AU79" s="493"/>
      <c r="AV79" s="493"/>
      <c r="AW79" s="497"/>
    </row>
    <row r="80" spans="1:49" s="466" customFormat="1" ht="20.100000000000001" customHeight="1" x14ac:dyDescent="0.3">
      <c r="A80" s="460" t="s">
        <v>247</v>
      </c>
      <c r="B80" s="195"/>
      <c r="C80" s="446"/>
      <c r="D80" s="337"/>
      <c r="E80" s="446"/>
      <c r="F80" s="446"/>
      <c r="G80" s="337"/>
      <c r="H80" s="446"/>
      <c r="I80" s="446"/>
      <c r="J80" s="337"/>
      <c r="K80" s="195"/>
      <c r="L80" s="446"/>
      <c r="M80" s="337"/>
      <c r="N80" s="195"/>
      <c r="O80" s="446"/>
      <c r="P80" s="436"/>
      <c r="Q80" s="195"/>
      <c r="R80" s="446"/>
      <c r="S80" s="337"/>
      <c r="T80" s="195"/>
      <c r="U80" s="446"/>
      <c r="V80" s="337"/>
      <c r="W80" s="195"/>
      <c r="X80" s="446"/>
      <c r="Y80" s="337"/>
      <c r="Z80" s="195"/>
      <c r="AA80" s="446"/>
      <c r="AB80" s="337"/>
      <c r="AC80" s="195"/>
      <c r="AD80" s="446"/>
      <c r="AE80" s="337"/>
      <c r="AF80" s="195"/>
      <c r="AG80" s="446"/>
      <c r="AH80" s="337"/>
      <c r="AI80" s="195"/>
      <c r="AJ80" s="446"/>
      <c r="AK80" s="337"/>
      <c r="AL80" s="195"/>
      <c r="AM80" s="446"/>
      <c r="AN80" s="337"/>
      <c r="AO80" s="438"/>
      <c r="AP80" s="438"/>
      <c r="AQ80" s="337"/>
      <c r="AR80" s="438"/>
      <c r="AS80" s="438"/>
      <c r="AT80" s="447"/>
      <c r="AU80" s="493"/>
      <c r="AV80" s="493"/>
      <c r="AW80" s="497"/>
    </row>
    <row r="81" spans="1:49" s="466" customFormat="1" ht="20.100000000000001" customHeight="1" x14ac:dyDescent="0.3">
      <c r="A81" s="460" t="s">
        <v>401</v>
      </c>
      <c r="B81" s="195">
        <v>18970.745999999999</v>
      </c>
      <c r="C81" s="446">
        <v>20886.541000000001</v>
      </c>
      <c r="D81" s="337">
        <f>IF(B81=0, "    ---- ", IF(ABS(ROUND(100/B81*C81-100,1))&lt;999,ROUND(100/B81*C81-100,1),IF(ROUND(100/B81*C81-100,1)&gt;999,999,-999)))</f>
        <v>10.1</v>
      </c>
      <c r="E81" s="446">
        <v>84532.13</v>
      </c>
      <c r="F81" s="446">
        <v>94624.83</v>
      </c>
      <c r="G81" s="337">
        <f t="shared" si="19"/>
        <v>11.9</v>
      </c>
      <c r="H81" s="446"/>
      <c r="I81" s="446"/>
      <c r="J81" s="337"/>
      <c r="K81" s="195">
        <v>3826.7869999999998</v>
      </c>
      <c r="L81" s="446">
        <v>4269.2669999999998</v>
      </c>
      <c r="M81" s="337">
        <f>IF(K81=0, "    ---- ", IF(ABS(ROUND(100/K81*L81-100,1))&lt;999,ROUND(100/K81*L81-100,1),IF(ROUND(100/K81*L81-100,1)&gt;999,999,-999)))</f>
        <v>11.6</v>
      </c>
      <c r="N81" s="195">
        <v>26926.6</v>
      </c>
      <c r="O81" s="446">
        <v>29484.7</v>
      </c>
      <c r="P81" s="436">
        <f>IF(N81=0, "    ---- ", IF(ABS(ROUND(100/N81*O81-100,1))&lt;999,ROUND(100/N81*O81-100,1),IF(ROUND(100/N81*O81-100,1)&gt;999,999,-999)))</f>
        <v>9.5</v>
      </c>
      <c r="Q81" s="195"/>
      <c r="R81" s="446"/>
      <c r="S81" s="337"/>
      <c r="T81" s="195">
        <v>1993.6698191500002</v>
      </c>
      <c r="U81" s="446">
        <v>1445.8006971500001</v>
      </c>
      <c r="V81" s="337">
        <f t="shared" ref="V81:V91" si="45">IF(T81=0, "    ---- ", IF(ABS(ROUND(100/T81*U81-100,1))&lt;999,ROUND(100/T81*U81-100,1),IF(ROUND(100/T81*U81-100,1)&gt;999,999,-999)))</f>
        <v>-27.5</v>
      </c>
      <c r="W81" s="195">
        <v>4226.3639999999996</v>
      </c>
      <c r="X81" s="446">
        <v>5152.0140000000001</v>
      </c>
      <c r="Y81" s="337">
        <f>IF(W81=0, "    ---- ", IF(ABS(ROUND(100/W81*X81-100,1))&lt;999,ROUND(100/W81*X81-100,1),IF(ROUND(100/W81*X81-100,1)&gt;999,999,-999)))</f>
        <v>21.9</v>
      </c>
      <c r="Z81" s="195">
        <v>68352.09</v>
      </c>
      <c r="AA81" s="446">
        <v>79687.039999999994</v>
      </c>
      <c r="AB81" s="337">
        <f t="shared" si="25"/>
        <v>16.600000000000001</v>
      </c>
      <c r="AC81" s="195"/>
      <c r="AD81" s="446"/>
      <c r="AE81" s="337"/>
      <c r="AF81" s="195">
        <v>2307.6934400700002</v>
      </c>
      <c r="AG81" s="446">
        <v>2514.0670805200002</v>
      </c>
      <c r="AH81" s="337">
        <f>IF(AF81=0, "    ---- ", IF(ABS(ROUND(100/AF81*AG81-100,1))&lt;999,ROUND(100/AF81*AG81-100,1),IF(ROUND(100/AF81*AG81-100,1)&gt;999,999,-999)))</f>
        <v>8.9</v>
      </c>
      <c r="AI81" s="195">
        <v>31709.135999999999</v>
      </c>
      <c r="AJ81" s="446">
        <v>35981.123</v>
      </c>
      <c r="AK81" s="337">
        <f t="shared" si="26"/>
        <v>13.5</v>
      </c>
      <c r="AL81" s="195">
        <v>103811</v>
      </c>
      <c r="AM81" s="446">
        <v>117333</v>
      </c>
      <c r="AN81" s="337">
        <f t="shared" si="27"/>
        <v>13</v>
      </c>
      <c r="AO81" s="444">
        <f t="shared" ref="AO81:AP89" si="46">B81+E81+H81+K81+N81+T81+W81+Z81+AC81+AI81+AL81</f>
        <v>344348.52281915001</v>
      </c>
      <c r="AP81" s="444">
        <f t="shared" si="46"/>
        <v>388864.31569715001</v>
      </c>
      <c r="AQ81" s="337">
        <f t="shared" si="22"/>
        <v>12.9</v>
      </c>
      <c r="AR81" s="444">
        <f t="shared" ref="AR81:AS89" si="47">B81+E81+H81+K81+N81+Q81+T81+W81+Z81+AC81+AF81+AI81+AL81</f>
        <v>346656.21625922003</v>
      </c>
      <c r="AS81" s="444">
        <f t="shared" si="47"/>
        <v>391378.38277766999</v>
      </c>
      <c r="AT81" s="447">
        <f t="shared" si="24"/>
        <v>12.9</v>
      </c>
      <c r="AU81" s="493"/>
      <c r="AV81" s="493"/>
      <c r="AW81" s="497"/>
    </row>
    <row r="82" spans="1:49" s="466" customFormat="1" ht="20.100000000000001" customHeight="1" x14ac:dyDescent="0.3">
      <c r="A82" s="460" t="s">
        <v>402</v>
      </c>
      <c r="B82" s="195"/>
      <c r="C82" s="446"/>
      <c r="D82" s="337"/>
      <c r="E82" s="446"/>
      <c r="F82" s="446"/>
      <c r="G82" s="337"/>
      <c r="H82" s="446"/>
      <c r="I82" s="446"/>
      <c r="J82" s="337"/>
      <c r="K82" s="195"/>
      <c r="L82" s="446"/>
      <c r="M82" s="337"/>
      <c r="N82" s="195"/>
      <c r="O82" s="446"/>
      <c r="P82" s="337"/>
      <c r="Q82" s="195"/>
      <c r="R82" s="446"/>
      <c r="S82" s="337"/>
      <c r="T82" s="195">
        <v>99.874167999999997</v>
      </c>
      <c r="U82" s="446">
        <v>111.006501</v>
      </c>
      <c r="V82" s="337">
        <f t="shared" si="45"/>
        <v>11.1</v>
      </c>
      <c r="W82" s="195"/>
      <c r="X82" s="446"/>
      <c r="Y82" s="337"/>
      <c r="Z82" s="195"/>
      <c r="AA82" s="446"/>
      <c r="AB82" s="337"/>
      <c r="AC82" s="195"/>
      <c r="AD82" s="446"/>
      <c r="AE82" s="337"/>
      <c r="AF82" s="195"/>
      <c r="AG82" s="446"/>
      <c r="AH82" s="337"/>
      <c r="AI82" s="195"/>
      <c r="AJ82" s="446"/>
      <c r="AK82" s="337"/>
      <c r="AL82" s="195"/>
      <c r="AM82" s="446"/>
      <c r="AN82" s="337"/>
      <c r="AO82" s="444">
        <f t="shared" si="46"/>
        <v>99.874167999999997</v>
      </c>
      <c r="AP82" s="444">
        <f t="shared" si="46"/>
        <v>111.006501</v>
      </c>
      <c r="AQ82" s="337">
        <f t="shared" si="22"/>
        <v>11.1</v>
      </c>
      <c r="AR82" s="444">
        <f t="shared" si="47"/>
        <v>99.874167999999997</v>
      </c>
      <c r="AS82" s="444">
        <f t="shared" si="47"/>
        <v>111.006501</v>
      </c>
      <c r="AT82" s="447">
        <f t="shared" si="24"/>
        <v>11.1</v>
      </c>
      <c r="AU82" s="493"/>
      <c r="AV82" s="493"/>
      <c r="AW82" s="497"/>
    </row>
    <row r="83" spans="1:49" s="466" customFormat="1" ht="20.100000000000001" customHeight="1" x14ac:dyDescent="0.3">
      <c r="A83" s="460" t="s">
        <v>403</v>
      </c>
      <c r="B83" s="620">
        <v>59.860999999999997</v>
      </c>
      <c r="C83" s="337">
        <v>62.372</v>
      </c>
      <c r="D83" s="337">
        <f>IF(B83=0, "    ---- ", IF(ABS(ROUND(100/B83*C83-100,1))&lt;999,ROUND(100/B83*C83-100,1),IF(ROUND(100/B83*C83-100,1)&gt;999,999,-999)))</f>
        <v>4.2</v>
      </c>
      <c r="E83" s="337">
        <v>660.298</v>
      </c>
      <c r="F83" s="337">
        <v>569.08000000000004</v>
      </c>
      <c r="G83" s="337">
        <f t="shared" si="19"/>
        <v>-13.8</v>
      </c>
      <c r="H83" s="337"/>
      <c r="I83" s="337"/>
      <c r="J83" s="337"/>
      <c r="K83" s="620"/>
      <c r="L83" s="337"/>
      <c r="M83" s="337"/>
      <c r="N83" s="620">
        <v>294.7</v>
      </c>
      <c r="O83" s="337">
        <v>270.2</v>
      </c>
      <c r="P83" s="337">
        <f>IF(N83=0, "    ---- ", IF(ABS(ROUND(100/N83*O83-100,1))&lt;999,ROUND(100/N83*O83-100,1),IF(ROUND(100/N83*O83-100,1)&gt;999,999,-999)))</f>
        <v>-8.3000000000000007</v>
      </c>
      <c r="Q83" s="620"/>
      <c r="R83" s="337"/>
      <c r="S83" s="337"/>
      <c r="T83" s="620">
        <v>390.09968900000001</v>
      </c>
      <c r="U83" s="337">
        <v>442.71931999999998</v>
      </c>
      <c r="V83" s="337">
        <f t="shared" si="45"/>
        <v>13.5</v>
      </c>
      <c r="W83" s="620">
        <v>15.861000000000001</v>
      </c>
      <c r="X83" s="337">
        <v>15.896000000000001</v>
      </c>
      <c r="Y83" s="337">
        <f>IF(W83=0, "    ---- ", IF(ABS(ROUND(100/W83*X83-100,1))&lt;999,ROUND(100/W83*X83-100,1),IF(ROUND(100/W83*X83-100,1)&gt;999,999,-999)))</f>
        <v>0.2</v>
      </c>
      <c r="Z83" s="620"/>
      <c r="AA83" s="337"/>
      <c r="AB83" s="337"/>
      <c r="AC83" s="620"/>
      <c r="AD83" s="337"/>
      <c r="AE83" s="337"/>
      <c r="AF83" s="620"/>
      <c r="AG83" s="337"/>
      <c r="AH83" s="337"/>
      <c r="AI83" s="620">
        <v>489.77800000000002</v>
      </c>
      <c r="AJ83" s="337">
        <v>555.36</v>
      </c>
      <c r="AK83" s="337">
        <f t="shared" si="26"/>
        <v>13.4</v>
      </c>
      <c r="AL83" s="620"/>
      <c r="AM83" s="337"/>
      <c r="AN83" s="337"/>
      <c r="AO83" s="444">
        <f t="shared" si="46"/>
        <v>1910.5976890000002</v>
      </c>
      <c r="AP83" s="444">
        <f t="shared" si="46"/>
        <v>1915.6273200000001</v>
      </c>
      <c r="AQ83" s="337">
        <f t="shared" si="22"/>
        <v>0.3</v>
      </c>
      <c r="AR83" s="444">
        <f t="shared" si="47"/>
        <v>1910.5976890000002</v>
      </c>
      <c r="AS83" s="444">
        <f t="shared" si="47"/>
        <v>1915.6273200000001</v>
      </c>
      <c r="AT83" s="447">
        <f t="shared" si="24"/>
        <v>0.3</v>
      </c>
      <c r="AU83" s="493"/>
      <c r="AV83" s="493"/>
      <c r="AW83" s="497"/>
    </row>
    <row r="84" spans="1:49" s="466" customFormat="1" ht="20.100000000000001" customHeight="1" x14ac:dyDescent="0.3">
      <c r="A84" s="460" t="s">
        <v>245</v>
      </c>
      <c r="B84" s="195"/>
      <c r="C84" s="446"/>
      <c r="D84" s="446"/>
      <c r="E84" s="446"/>
      <c r="F84" s="446"/>
      <c r="G84" s="446"/>
      <c r="H84" s="446"/>
      <c r="I84" s="446"/>
      <c r="J84" s="446"/>
      <c r="K84" s="195"/>
      <c r="L84" s="446"/>
      <c r="M84" s="446"/>
      <c r="N84" s="195"/>
      <c r="O84" s="446"/>
      <c r="P84" s="436"/>
      <c r="Q84" s="195"/>
      <c r="R84" s="446"/>
      <c r="S84" s="337"/>
      <c r="T84" s="195">
        <v>103.575507</v>
      </c>
      <c r="U84" s="446">
        <v>-66.371897000000004</v>
      </c>
      <c r="V84" s="337">
        <f t="shared" si="45"/>
        <v>-164.1</v>
      </c>
      <c r="W84" s="195"/>
      <c r="X84" s="446"/>
      <c r="Y84" s="337"/>
      <c r="Z84" s="195"/>
      <c r="AA84" s="446"/>
      <c r="AB84" s="337"/>
      <c r="AC84" s="195"/>
      <c r="AD84" s="446"/>
      <c r="AE84" s="337"/>
      <c r="AF84" s="195"/>
      <c r="AG84" s="446"/>
      <c r="AH84" s="446"/>
      <c r="AI84" s="195"/>
      <c r="AJ84" s="446"/>
      <c r="AK84" s="337"/>
      <c r="AL84" s="195"/>
      <c r="AM84" s="446"/>
      <c r="AN84" s="337"/>
      <c r="AO84" s="444">
        <f t="shared" si="46"/>
        <v>103.575507</v>
      </c>
      <c r="AP84" s="444">
        <f t="shared" si="46"/>
        <v>-66.371897000000004</v>
      </c>
      <c r="AQ84" s="337">
        <f t="shared" si="22"/>
        <v>-164.1</v>
      </c>
      <c r="AR84" s="444">
        <f t="shared" si="47"/>
        <v>103.575507</v>
      </c>
      <c r="AS84" s="444">
        <f t="shared" si="47"/>
        <v>-66.371897000000004</v>
      </c>
      <c r="AT84" s="447">
        <f t="shared" si="24"/>
        <v>-164.1</v>
      </c>
      <c r="AU84" s="493"/>
      <c r="AV84" s="493"/>
      <c r="AW84" s="497"/>
    </row>
    <row r="85" spans="1:49" s="466" customFormat="1" ht="20.100000000000001" customHeight="1" x14ac:dyDescent="0.3">
      <c r="A85" s="461" t="s">
        <v>248</v>
      </c>
      <c r="B85" s="195">
        <f>SUM(B81:B84)</f>
        <v>19030.607</v>
      </c>
      <c r="C85" s="446">
        <f>SUM(C81:C84)</f>
        <v>20948.913</v>
      </c>
      <c r="D85" s="446">
        <f>IF(B85=0, "    ---- ", IF(ABS(ROUND(100/B85*C85-100,1))&lt;999,ROUND(100/B85*C85-100,1),IF(ROUND(100/B85*C85-100,1)&gt;999,999,-999)))</f>
        <v>10.1</v>
      </c>
      <c r="E85" s="446">
        <f>SUM(E81:E84)</f>
        <v>85192.428</v>
      </c>
      <c r="F85" s="446">
        <f>SUM(F81:F84)</f>
        <v>95193.91</v>
      </c>
      <c r="G85" s="446">
        <f t="shared" si="19"/>
        <v>11.7</v>
      </c>
      <c r="H85" s="446"/>
      <c r="I85" s="446"/>
      <c r="J85" s="446"/>
      <c r="K85" s="195">
        <f>SUM(K81:K84)</f>
        <v>3826.7869999999998</v>
      </c>
      <c r="L85" s="446">
        <f>SUM(L81:L84)</f>
        <v>4269.2669999999998</v>
      </c>
      <c r="M85" s="446">
        <f>IF(K85=0, "    ---- ", IF(ABS(ROUND(100/K85*L85-100,1))&lt;999,ROUND(100/K85*L85-100,1),IF(ROUND(100/K85*L85-100,1)&gt;999,999,-999)))</f>
        <v>11.6</v>
      </c>
      <c r="N85" s="195">
        <f>SUM(N81:N84)</f>
        <v>27221.3</v>
      </c>
      <c r="O85" s="446">
        <f>SUM(O81:O84)</f>
        <v>29754.9</v>
      </c>
      <c r="P85" s="436">
        <f>IF(N85=0, "    ---- ", IF(ABS(ROUND(100/N85*O85-100,1))&lt;999,ROUND(100/N85*O85-100,1),IF(ROUND(100/N85*O85-100,1)&gt;999,999,-999)))</f>
        <v>9.3000000000000007</v>
      </c>
      <c r="Q85" s="195"/>
      <c r="R85" s="446"/>
      <c r="S85" s="337"/>
      <c r="T85" s="195">
        <f>SUM(T81:T84)</f>
        <v>2587.2191831500004</v>
      </c>
      <c r="U85" s="446">
        <f>SUM(U81:U84)</f>
        <v>1933.1546211500001</v>
      </c>
      <c r="V85" s="337">
        <f t="shared" si="45"/>
        <v>-25.3</v>
      </c>
      <c r="W85" s="195">
        <f>SUM(W81:W84)</f>
        <v>4242.2249999999995</v>
      </c>
      <c r="X85" s="446">
        <f>SUM(X81:X84)</f>
        <v>5167.91</v>
      </c>
      <c r="Y85" s="337">
        <f>IF(W85=0, "    ---- ", IF(ABS(ROUND(100/W85*X85-100,1))&lt;999,ROUND(100/W85*X85-100,1),IF(ROUND(100/W85*X85-100,1)&gt;999,999,-999)))</f>
        <v>21.8</v>
      </c>
      <c r="Z85" s="195">
        <f>SUM(Z81:Z84)</f>
        <v>68352.09</v>
      </c>
      <c r="AA85" s="446">
        <f>SUM(AA81:AA84)</f>
        <v>79687.039999999994</v>
      </c>
      <c r="AB85" s="337">
        <f t="shared" si="25"/>
        <v>16.600000000000001</v>
      </c>
      <c r="AC85" s="195"/>
      <c r="AD85" s="446"/>
      <c r="AE85" s="337"/>
      <c r="AF85" s="195">
        <f>SUM(AF81:AF84)</f>
        <v>2307.6934400700002</v>
      </c>
      <c r="AG85" s="446">
        <f>SUM(AG81:AG84)</f>
        <v>2514.0670805200002</v>
      </c>
      <c r="AH85" s="446">
        <f>IF(AF85=0, "    ---- ", IF(ABS(ROUND(100/AF85*AG85-100,1))&lt;999,ROUND(100/AF85*AG85-100,1),IF(ROUND(100/AF85*AG85-100,1)&gt;999,999,-999)))</f>
        <v>8.9</v>
      </c>
      <c r="AI85" s="195">
        <f>SUM(AI81:AI84)</f>
        <v>32198.913999999997</v>
      </c>
      <c r="AJ85" s="446">
        <f>SUM(AJ81:AJ84)</f>
        <v>36536.483</v>
      </c>
      <c r="AK85" s="337">
        <f t="shared" si="26"/>
        <v>13.5</v>
      </c>
      <c r="AL85" s="195">
        <f>SUM(AL81:AL84)</f>
        <v>103811</v>
      </c>
      <c r="AM85" s="446">
        <f>SUM(AM81:AM84)</f>
        <v>117333</v>
      </c>
      <c r="AN85" s="337">
        <f t="shared" si="27"/>
        <v>13</v>
      </c>
      <c r="AO85" s="444">
        <f t="shared" si="46"/>
        <v>346462.57018315</v>
      </c>
      <c r="AP85" s="444">
        <f t="shared" si="46"/>
        <v>390824.57762115001</v>
      </c>
      <c r="AQ85" s="337">
        <f t="shared" si="22"/>
        <v>12.8</v>
      </c>
      <c r="AR85" s="444">
        <f t="shared" si="47"/>
        <v>348770.26362322003</v>
      </c>
      <c r="AS85" s="444">
        <f t="shared" si="47"/>
        <v>393338.64470166998</v>
      </c>
      <c r="AT85" s="447">
        <f t="shared" si="24"/>
        <v>12.8</v>
      </c>
      <c r="AU85" s="493"/>
      <c r="AV85" s="493"/>
      <c r="AW85" s="497"/>
    </row>
    <row r="86" spans="1:49" s="466" customFormat="1" ht="20.100000000000001" customHeight="1" x14ac:dyDescent="0.3">
      <c r="A86" s="460" t="s">
        <v>249</v>
      </c>
      <c r="B86" s="195">
        <v>28.922000000000001</v>
      </c>
      <c r="C86" s="446">
        <v>41.439</v>
      </c>
      <c r="D86" s="337">
        <f>IF(B86=0, "    ---- ", IF(ABS(ROUND(100/B86*C86-100,1))&lt;999,ROUND(100/B86*C86-100,1),IF(ROUND(100/B86*C86-100,1)&gt;999,999,-999)))</f>
        <v>43.3</v>
      </c>
      <c r="E86" s="446">
        <v>1151.585</v>
      </c>
      <c r="F86" s="446">
        <v>822.58600000000001</v>
      </c>
      <c r="G86" s="337">
        <f t="shared" si="19"/>
        <v>-28.6</v>
      </c>
      <c r="H86" s="446"/>
      <c r="I86" s="446">
        <v>-22.1221752900002</v>
      </c>
      <c r="J86" s="337" t="str">
        <f>IF(H86=0, "    ---- ", IF(ABS(ROUND(100/H86*I86-100,1))&lt;999,ROUND(100/H86*I86-100,1),IF(ROUND(100/H86*I86-100,1)&gt;999,999,-999)))</f>
        <v xml:space="preserve">    ---- </v>
      </c>
      <c r="K86" s="195">
        <v>34.331000000000003</v>
      </c>
      <c r="L86" s="446">
        <v>107.014</v>
      </c>
      <c r="M86" s="337">
        <f>IF(K86=0, "    ---- ", IF(ABS(ROUND(100/K86*L86-100,1))&lt;999,ROUND(100/K86*L86-100,1),IF(ROUND(100/K86*L86-100,1)&gt;999,999,-999)))</f>
        <v>211.7</v>
      </c>
      <c r="N86" s="195">
        <v>71.2</v>
      </c>
      <c r="O86" s="446">
        <v>104</v>
      </c>
      <c r="P86" s="337">
        <f>IF(N86=0, "    ---- ", IF(ABS(ROUND(100/N86*O86-100,1))&lt;999,ROUND(100/N86*O86-100,1),IF(ROUND(100/N86*O86-100,1)&gt;999,999,-999)))</f>
        <v>46.1</v>
      </c>
      <c r="Q86" s="195"/>
      <c r="R86" s="446"/>
      <c r="S86" s="337"/>
      <c r="T86" s="195">
        <v>1892.4209948900002</v>
      </c>
      <c r="U86" s="621">
        <v>2321.8546807600001</v>
      </c>
      <c r="V86" s="337">
        <f t="shared" si="45"/>
        <v>22.7</v>
      </c>
      <c r="W86" s="195">
        <v>9.8960000000000008</v>
      </c>
      <c r="X86" s="446">
        <v>11.999000000000001</v>
      </c>
      <c r="Y86" s="337">
        <f>IF(W86=0, "    ---- ", IF(ABS(ROUND(100/W86*X86-100,1))&lt;999,ROUND(100/W86*X86-100,1),IF(ROUND(100/W86*X86-100,1)&gt;999,999,-999)))</f>
        <v>21.3</v>
      </c>
      <c r="Z86" s="195">
        <v>824.31</v>
      </c>
      <c r="AA86" s="446">
        <v>465.89</v>
      </c>
      <c r="AB86" s="337">
        <f t="shared" si="25"/>
        <v>-43.5</v>
      </c>
      <c r="AC86" s="195"/>
      <c r="AD86" s="446"/>
      <c r="AE86" s="337"/>
      <c r="AF86" s="195"/>
      <c r="AG86" s="446"/>
      <c r="AH86" s="337"/>
      <c r="AI86" s="195">
        <v>933.87</v>
      </c>
      <c r="AJ86" s="446">
        <v>747.51700000000005</v>
      </c>
      <c r="AK86" s="337">
        <f t="shared" si="26"/>
        <v>-20</v>
      </c>
      <c r="AL86" s="195">
        <v>11.8</v>
      </c>
      <c r="AM86" s="446">
        <v>7</v>
      </c>
      <c r="AN86" s="337">
        <f t="shared" si="27"/>
        <v>-40.700000000000003</v>
      </c>
      <c r="AO86" s="444">
        <f t="shared" si="46"/>
        <v>4958.3349948900004</v>
      </c>
      <c r="AP86" s="444">
        <f t="shared" si="46"/>
        <v>4607.1775054699992</v>
      </c>
      <c r="AQ86" s="337">
        <f t="shared" si="22"/>
        <v>-7.1</v>
      </c>
      <c r="AR86" s="444">
        <f t="shared" si="47"/>
        <v>4958.3349948900004</v>
      </c>
      <c r="AS86" s="444">
        <f t="shared" si="47"/>
        <v>4607.1775054699992</v>
      </c>
      <c r="AT86" s="447">
        <f t="shared" si="24"/>
        <v>-7.1</v>
      </c>
      <c r="AU86" s="493"/>
      <c r="AV86" s="493"/>
      <c r="AW86" s="497"/>
    </row>
    <row r="87" spans="1:49" s="466" customFormat="1" ht="20.100000000000001" customHeight="1" x14ac:dyDescent="0.3">
      <c r="A87" s="460" t="s">
        <v>250</v>
      </c>
      <c r="B87" s="195"/>
      <c r="C87" s="446"/>
      <c r="D87" s="337"/>
      <c r="E87" s="446"/>
      <c r="F87" s="446"/>
      <c r="G87" s="337"/>
      <c r="H87" s="446"/>
      <c r="I87" s="446">
        <v>363.38940428999996</v>
      </c>
      <c r="J87" s="337" t="str">
        <f t="shared" ref="J87:J88" si="48">IF(H87=0, "    ---- ", IF(ABS(ROUND(100/H87*I87-100,1))&lt;999,ROUND(100/H87*I87-100,1),IF(ROUND(100/H87*I87-100,1)&gt;999,999,-999)))</f>
        <v xml:space="preserve">    ---- </v>
      </c>
      <c r="K87" s="195"/>
      <c r="L87" s="446"/>
      <c r="M87" s="337"/>
      <c r="N87" s="195"/>
      <c r="O87" s="446"/>
      <c r="P87" s="337"/>
      <c r="Q87" s="195"/>
      <c r="R87" s="446"/>
      <c r="S87" s="337"/>
      <c r="T87" s="195"/>
      <c r="U87" s="621"/>
      <c r="V87" s="337"/>
      <c r="W87" s="195"/>
      <c r="X87" s="446"/>
      <c r="Y87" s="337"/>
      <c r="Z87" s="195"/>
      <c r="AA87" s="446"/>
      <c r="AB87" s="337"/>
      <c r="AC87" s="195"/>
      <c r="AD87" s="446"/>
      <c r="AE87" s="337"/>
      <c r="AF87" s="195"/>
      <c r="AG87" s="446"/>
      <c r="AH87" s="337"/>
      <c r="AI87" s="195">
        <v>356.286</v>
      </c>
      <c r="AJ87" s="446">
        <v>0</v>
      </c>
      <c r="AK87" s="337">
        <f t="shared" si="26"/>
        <v>-100</v>
      </c>
      <c r="AL87" s="195"/>
      <c r="AM87" s="446"/>
      <c r="AN87" s="337"/>
      <c r="AO87" s="444">
        <f t="shared" si="46"/>
        <v>356.286</v>
      </c>
      <c r="AP87" s="444">
        <f t="shared" si="46"/>
        <v>363.38940428999996</v>
      </c>
      <c r="AQ87" s="337">
        <f t="shared" si="22"/>
        <v>2</v>
      </c>
      <c r="AR87" s="444">
        <f t="shared" si="47"/>
        <v>356.286</v>
      </c>
      <c r="AS87" s="444">
        <f t="shared" si="47"/>
        <v>363.38940428999996</v>
      </c>
      <c r="AT87" s="447">
        <f t="shared" si="24"/>
        <v>2</v>
      </c>
      <c r="AU87" s="493"/>
      <c r="AV87" s="493"/>
      <c r="AW87" s="497"/>
    </row>
    <row r="88" spans="1:49" s="466" customFormat="1" ht="20.100000000000001" customHeight="1" x14ac:dyDescent="0.3">
      <c r="A88" s="460" t="s">
        <v>251</v>
      </c>
      <c r="B88" s="195">
        <v>92.126000000000005</v>
      </c>
      <c r="C88" s="446">
        <v>81.653999999999996</v>
      </c>
      <c r="D88" s="446">
        <f>IF(B88=0, "    ---- ", IF(ABS(ROUND(100/B88*C88-100,1))&lt;999,ROUND(100/B88*C88-100,1),IF(ROUND(100/B88*C88-100,1)&gt;999,999,-999)))</f>
        <v>-11.4</v>
      </c>
      <c r="E88" s="446">
        <v>1695.4839999999999</v>
      </c>
      <c r="F88" s="446">
        <v>2825.9360000000001</v>
      </c>
      <c r="G88" s="446">
        <f t="shared" si="19"/>
        <v>66.7</v>
      </c>
      <c r="H88" s="446"/>
      <c r="I88" s="446">
        <v>228.84756372000001</v>
      </c>
      <c r="J88" s="337" t="str">
        <f t="shared" si="48"/>
        <v xml:space="preserve">    ---- </v>
      </c>
      <c r="K88" s="195"/>
      <c r="L88" s="446"/>
      <c r="M88" s="446"/>
      <c r="N88" s="195">
        <v>110</v>
      </c>
      <c r="O88" s="446">
        <v>163.5</v>
      </c>
      <c r="P88" s="436">
        <f>IF(N88=0, "    ---- ", IF(ABS(ROUND(100/N88*O88-100,1))&lt;999,ROUND(100/N88*O88-100,1),IF(ROUND(100/N88*O88-100,1)&gt;999,999,-999)))</f>
        <v>48.6</v>
      </c>
      <c r="Q88" s="195">
        <v>2.5356956799999999</v>
      </c>
      <c r="R88" s="446">
        <v>3.18047681</v>
      </c>
      <c r="S88" s="337">
        <f>IF(Q88=0, "    ---- ", IF(ABS(ROUND(100/Q88*R88-100,1))&lt;999,ROUND(100/Q88*R88-100,1),IF(ROUND(100/Q88*R88-100,1)&gt;999,999,-999)))</f>
        <v>25.4</v>
      </c>
      <c r="T88" s="195">
        <v>7641.3837590800003</v>
      </c>
      <c r="U88" s="621">
        <v>20399.075434840001</v>
      </c>
      <c r="V88" s="337">
        <f t="shared" si="45"/>
        <v>167</v>
      </c>
      <c r="W88" s="195">
        <v>11.255000000000001</v>
      </c>
      <c r="X88" s="446">
        <v>15.693</v>
      </c>
      <c r="Y88" s="337">
        <f>IF(W88=0, "    ---- ", IF(ABS(ROUND(100/W88*X88-100,1))&lt;999,ROUND(100/W88*X88-100,1),IF(ROUND(100/W88*X88-100,1)&gt;999,999,-999)))</f>
        <v>39.4</v>
      </c>
      <c r="Z88" s="195">
        <v>312.73</v>
      </c>
      <c r="AA88" s="446">
        <v>571.66999999999996</v>
      </c>
      <c r="AB88" s="337">
        <f t="shared" si="25"/>
        <v>82.8</v>
      </c>
      <c r="AC88" s="195">
        <f>1124+359+72+1</f>
        <v>1556</v>
      </c>
      <c r="AD88" s="446">
        <v>1500</v>
      </c>
      <c r="AE88" s="337">
        <f>IF(AC88=0, "    ---- ", IF(ABS(ROUND(100/AC88*AD88-100,1))&lt;999,ROUND(100/AC88*AD88-100,1),IF(ROUND(100/AC88*AD88-100,1)&gt;999,999,-999)))</f>
        <v>-3.6</v>
      </c>
      <c r="AF88" s="195">
        <v>12.19713829</v>
      </c>
      <c r="AG88" s="446">
        <v>15.99499366</v>
      </c>
      <c r="AH88" s="337">
        <f>IF(AF88=0, "    ---- ", IF(ABS(ROUND(100/AF88*AG88-100,1))&lt;999,ROUND(100/AF88*AG88-100,1),IF(ROUND(100/AF88*AG88-100,1)&gt;999,999,-999)))</f>
        <v>31.1</v>
      </c>
      <c r="AI88" s="195">
        <v>412.50400000000002</v>
      </c>
      <c r="AJ88" s="446">
        <v>671.28800000000001</v>
      </c>
      <c r="AK88" s="337">
        <f t="shared" si="26"/>
        <v>62.7</v>
      </c>
      <c r="AL88" s="195">
        <v>6226.6</v>
      </c>
      <c r="AM88" s="446">
        <v>15879</v>
      </c>
      <c r="AN88" s="337">
        <f t="shared" si="27"/>
        <v>155</v>
      </c>
      <c r="AO88" s="444">
        <f t="shared" si="46"/>
        <v>18058.08275908</v>
      </c>
      <c r="AP88" s="444">
        <f t="shared" si="46"/>
        <v>42336.663998559998</v>
      </c>
      <c r="AQ88" s="337">
        <f t="shared" si="22"/>
        <v>134.4</v>
      </c>
      <c r="AR88" s="444">
        <f t="shared" si="47"/>
        <v>18072.81559305</v>
      </c>
      <c r="AS88" s="444">
        <f t="shared" si="47"/>
        <v>42355.839469029997</v>
      </c>
      <c r="AT88" s="447">
        <f t="shared" si="24"/>
        <v>134.4</v>
      </c>
      <c r="AU88" s="493"/>
      <c r="AV88" s="493"/>
      <c r="AW88" s="497"/>
    </row>
    <row r="89" spans="1:49" s="466" customFormat="1" ht="20.100000000000001" customHeight="1" x14ac:dyDescent="0.3">
      <c r="A89" s="460" t="s">
        <v>252</v>
      </c>
      <c r="B89" s="195">
        <v>35.533999999999999</v>
      </c>
      <c r="C89" s="446">
        <v>35.622</v>
      </c>
      <c r="D89" s="446">
        <f>IF(B89=0, "    ---- ", IF(ABS(ROUND(100/B89*C89-100,1))&lt;999,ROUND(100/B89*C89-100,1),IF(ROUND(100/B89*C89-100,1)&gt;999,999,-999)))</f>
        <v>0.2</v>
      </c>
      <c r="E89" s="446">
        <v>104.002</v>
      </c>
      <c r="F89" s="446">
        <v>91.819000000000003</v>
      </c>
      <c r="G89" s="446">
        <f t="shared" si="19"/>
        <v>-11.7</v>
      </c>
      <c r="H89" s="446"/>
      <c r="I89" s="446">
        <v>3.2533069899999996</v>
      </c>
      <c r="J89" s="446" t="str">
        <f>IF(H89=0, "    ---- ", IF(ABS(ROUND(100/H89*I89-100,1))&lt;999,ROUND(100/H89*I89-100,1),IF(ROUND(100/H89*I89-100,1)&gt;999,999,-999)))</f>
        <v xml:space="preserve">    ---- </v>
      </c>
      <c r="K89" s="195">
        <v>12.712999999999999</v>
      </c>
      <c r="L89" s="446">
        <v>14.773999999999999</v>
      </c>
      <c r="M89" s="446">
        <f>IF(K89=0, "    ---- ", IF(ABS(ROUND(100/K89*L89-100,1))&lt;999,ROUND(100/K89*L89-100,1),IF(ROUND(100/K89*L89-100,1)&gt;999,999,-999)))</f>
        <v>16.2</v>
      </c>
      <c r="N89" s="195">
        <v>16.8</v>
      </c>
      <c r="O89" s="446">
        <v>21.4</v>
      </c>
      <c r="P89" s="337">
        <f>IF(N89=0, "    ---- ", IF(ABS(ROUND(100/N89*O89-100,1))&lt;999,ROUND(100/N89*O89-100,1),IF(ROUND(100/N89*O89-100,1)&gt;999,999,-999)))</f>
        <v>27.4</v>
      </c>
      <c r="Q89" s="195">
        <v>0.90359171999999999</v>
      </c>
      <c r="R89" s="446">
        <v>0.28572829999999999</v>
      </c>
      <c r="S89" s="337">
        <f>IF(Q89=0, "    ---- ", IF(ABS(ROUND(100/Q89*R89-100,1))&lt;999,ROUND(100/Q89*R89-100,1),IF(ROUND(100/Q89*R89-100,1)&gt;999,999,-999)))</f>
        <v>-68.400000000000006</v>
      </c>
      <c r="T89" s="195">
        <v>100.48413934999999</v>
      </c>
      <c r="U89" s="621">
        <v>126.75891084999999</v>
      </c>
      <c r="V89" s="337">
        <f t="shared" si="45"/>
        <v>26.1</v>
      </c>
      <c r="W89" s="195">
        <v>9.5820000000000007</v>
      </c>
      <c r="X89" s="446">
        <v>11.582000000000001</v>
      </c>
      <c r="Y89" s="337">
        <f>IF(W89=0, "    ---- ", IF(ABS(ROUND(100/W89*X89-100,1))&lt;999,ROUND(100/W89*X89-100,1),IF(ROUND(100/W89*X89-100,1)&gt;999,999,-999)))</f>
        <v>20.9</v>
      </c>
      <c r="Z89" s="195">
        <v>38.43</v>
      </c>
      <c r="AA89" s="446">
        <v>42.14</v>
      </c>
      <c r="AB89" s="337">
        <f t="shared" si="25"/>
        <v>9.6999999999999993</v>
      </c>
      <c r="AC89" s="195"/>
      <c r="AD89" s="446"/>
      <c r="AE89" s="337"/>
      <c r="AF89" s="195"/>
      <c r="AG89" s="446"/>
      <c r="AH89" s="337"/>
      <c r="AI89" s="195">
        <v>137.24100000000001</v>
      </c>
      <c r="AJ89" s="446">
        <v>37.523000000000003</v>
      </c>
      <c r="AK89" s="337">
        <f t="shared" si="26"/>
        <v>-72.7</v>
      </c>
      <c r="AL89" s="195">
        <v>152</v>
      </c>
      <c r="AM89" s="446">
        <v>141</v>
      </c>
      <c r="AN89" s="337">
        <f t="shared" si="27"/>
        <v>-7.2</v>
      </c>
      <c r="AO89" s="444">
        <f t="shared" si="46"/>
        <v>606.78613934999998</v>
      </c>
      <c r="AP89" s="444">
        <f t="shared" si="46"/>
        <v>525.87221784000008</v>
      </c>
      <c r="AQ89" s="337">
        <f t="shared" si="22"/>
        <v>-13.3</v>
      </c>
      <c r="AR89" s="444">
        <f t="shared" si="47"/>
        <v>607.68973106999999</v>
      </c>
      <c r="AS89" s="444">
        <f t="shared" si="47"/>
        <v>526.15794613999992</v>
      </c>
      <c r="AT89" s="447">
        <f t="shared" si="24"/>
        <v>-13.4</v>
      </c>
      <c r="AU89" s="493"/>
      <c r="AV89" s="493"/>
      <c r="AW89" s="712"/>
    </row>
    <row r="90" spans="1:49" s="466" customFormat="1" ht="20.100000000000001" customHeight="1" x14ac:dyDescent="0.3">
      <c r="A90" s="460"/>
      <c r="B90" s="195"/>
      <c r="C90" s="446"/>
      <c r="D90" s="337"/>
      <c r="E90" s="446"/>
      <c r="F90" s="446"/>
      <c r="G90" s="337"/>
      <c r="H90" s="446"/>
      <c r="I90" s="446"/>
      <c r="J90" s="337"/>
      <c r="K90" s="195"/>
      <c r="L90" s="446"/>
      <c r="M90" s="337"/>
      <c r="N90" s="195"/>
      <c r="O90" s="446"/>
      <c r="P90" s="337"/>
      <c r="Q90" s="195"/>
      <c r="R90" s="446"/>
      <c r="S90" s="337"/>
      <c r="T90" s="195"/>
      <c r="U90" s="446"/>
      <c r="V90" s="337"/>
      <c r="W90" s="195"/>
      <c r="X90" s="446"/>
      <c r="Y90" s="337"/>
      <c r="Z90" s="195"/>
      <c r="AA90" s="446"/>
      <c r="AB90" s="337"/>
      <c r="AC90" s="195"/>
      <c r="AD90" s="446"/>
      <c r="AE90" s="337"/>
      <c r="AF90" s="195"/>
      <c r="AG90" s="446"/>
      <c r="AH90" s="337"/>
      <c r="AI90" s="195"/>
      <c r="AJ90" s="446"/>
      <c r="AK90" s="337"/>
      <c r="AL90" s="195"/>
      <c r="AM90" s="446"/>
      <c r="AN90" s="337"/>
      <c r="AO90" s="438"/>
      <c r="AP90" s="438"/>
      <c r="AQ90" s="337"/>
      <c r="AR90" s="438"/>
      <c r="AS90" s="438"/>
      <c r="AT90" s="447"/>
      <c r="AU90" s="493"/>
      <c r="AV90" s="493"/>
      <c r="AW90" s="497"/>
    </row>
    <row r="91" spans="1:49" s="501" customFormat="1" ht="20.100000000000001" customHeight="1" x14ac:dyDescent="0.3">
      <c r="A91" s="463" t="s">
        <v>253</v>
      </c>
      <c r="B91" s="198">
        <f>SUM(B68+B69+B71+B79+B85+B86+B87+B88+B89)</f>
        <v>20927.868999999999</v>
      </c>
      <c r="C91" s="452">
        <f>SUM(C68+C69+C71+C79+C85+C86+C87+C88+C89)</f>
        <v>23318.728999999996</v>
      </c>
      <c r="D91" s="453">
        <f>IF(B91=0, "    ---- ", IF(ABS(ROUND(100/B91*C91-100,1))&lt;999,ROUND(100/B91*C91-100,1),IF(ROUND(100/B91*C91-100,1)&gt;999,999,-999)))</f>
        <v>11.4</v>
      </c>
      <c r="E91" s="452">
        <v>324140.08</v>
      </c>
      <c r="F91" s="452">
        <f>SUM(F68+F69+F71+F79+F85+F86+F87+F88+F89)</f>
        <v>329264.33900000004</v>
      </c>
      <c r="G91" s="453">
        <f t="shared" si="19"/>
        <v>1.6</v>
      </c>
      <c r="H91" s="452"/>
      <c r="I91" s="452">
        <f>I79+I86+I87+I88+I89+I68+I69+I71</f>
        <v>9747.9841348399987</v>
      </c>
      <c r="J91" s="453" t="str">
        <f>IF(H91=0, "    ---- ", IF(ABS(ROUND(100/H91*I91-100,1))&lt;999,ROUND(100/H91*I91-100,1),IF(ROUND(100/H91*I91-100,1)&gt;999,999,-999)))</f>
        <v xml:space="preserve">    ---- </v>
      </c>
      <c r="K91" s="198">
        <f>SUM(K68+K69+K71+K79+K85+K86+K87+K88+K89)</f>
        <v>5604.2420000000002</v>
      </c>
      <c r="L91" s="452">
        <f>SUM(L68+L69+L71+L79+L85+L86+L87+L88+L89)</f>
        <v>6379.8240000000005</v>
      </c>
      <c r="M91" s="453">
        <f>IF(K91=0, "    ---- ", IF(ABS(ROUND(100/K91*L91-100,1))&lt;999,ROUND(100/K91*L91-100,1),IF(ROUND(100/K91*L91-100,1)&gt;999,999,-999)))</f>
        <v>13.8</v>
      </c>
      <c r="N91" s="198">
        <f>SUM(N68+N69+N71+N79+N85+N86+N87+N88+N89)</f>
        <v>35489.199999999997</v>
      </c>
      <c r="O91" s="452">
        <f>SUM(O68+O69+O71+O79+O85+O86+O87+O88+O89)</f>
        <v>38674.400000000001</v>
      </c>
      <c r="P91" s="453">
        <f>IF(N91=0, "    ---- ", IF(ABS(ROUND(100/N91*O91-100,1))&lt;999,ROUND(100/N91*O91-100,1),IF(ROUND(100/N91*O91-100,1)&gt;999,999,-999)))</f>
        <v>9</v>
      </c>
      <c r="Q91" s="198">
        <f>SUM(Q68+Q69+Q71+Q79+Q85+Q86+Q87+Q88+Q89)</f>
        <v>147.51286434000002</v>
      </c>
      <c r="R91" s="452">
        <f>SUM(R68+R69+R71+R79+R85+R86+R87+R88+R89)</f>
        <v>150.77480334999998</v>
      </c>
      <c r="S91" s="453">
        <f>IF(Q91=0, "    ---- ", IF(ABS(ROUND(100/Q91*R91-100,1))&lt;999,ROUND(100/Q91*R91-100,1),IF(ROUND(100/Q91*R91-100,1)&gt;999,999,-999)))</f>
        <v>2.2000000000000002</v>
      </c>
      <c r="T91" s="198">
        <f>SUM(T68+T69+T71+T79+T85+T86+T87+T88+T89)</f>
        <v>594584.44974732015</v>
      </c>
      <c r="U91" s="452">
        <f>SUM(U68+U69+U71+U79+U85+U86+U87+U88+U89)</f>
        <v>627257.88583405002</v>
      </c>
      <c r="V91" s="453">
        <f t="shared" si="45"/>
        <v>5.5</v>
      </c>
      <c r="W91" s="198">
        <f>SUM(W68+W69+W71+W79+W85+W86+W87+W88+W89)</f>
        <v>6510.3239999999996</v>
      </c>
      <c r="X91" s="452">
        <f>SUM(X68+X69+X71+X79+X85+X86+X87+X88+X89)</f>
        <v>7562.42</v>
      </c>
      <c r="Y91" s="453">
        <f>IF(W91=0, "    ---- ", IF(ABS(ROUND(100/W91*X91-100,1))&lt;999,ROUND(100/W91*X91-100,1),IF(ROUND(100/W91*X91-100,1)&gt;999,999,-999)))</f>
        <v>16.2</v>
      </c>
      <c r="Z91" s="198">
        <f>SUM(Z68+Z69+Z71+Z79+Z85+Z86+Z87+Z88+Z89)</f>
        <v>131027.68199999999</v>
      </c>
      <c r="AA91" s="452">
        <f>SUM(AA68+AA69+AA71+AA79+AA85+AA86+AA87+AA88+AA89)</f>
        <v>143478.80877127001</v>
      </c>
      <c r="AB91" s="453">
        <f t="shared" si="25"/>
        <v>9.5</v>
      </c>
      <c r="AC91" s="198">
        <f>SUM(AC68+AC69+AC71+AC79+AC85+AC86+AC87+AC88+AC89)</f>
        <v>100589</v>
      </c>
      <c r="AD91" s="452">
        <f>SUM(AD68+AD69+AD71+AD79+AD85+AD86+AD87+AD88+AD89)</f>
        <v>105635</v>
      </c>
      <c r="AE91" s="453">
        <f>IF(AC91=0, "    ---- ", IF(ABS(ROUND(100/AC91*AD91-100,1))&lt;999,ROUND(100/AC91*AD91-100,1),IF(ROUND(100/AC91*AD91-100,1)&gt;999,999,-999)))</f>
        <v>5</v>
      </c>
      <c r="AF91" s="198">
        <f>SUM(AF68+AF69+AF71+AF79+AF85+AF86+AF87+AF88+AF89)</f>
        <v>2378.6259091000002</v>
      </c>
      <c r="AG91" s="452">
        <f>SUM(AG68+AG69+AG71+AG79+AG85+AG86+AG87+AG88+AG89)</f>
        <v>2599.4112976800002</v>
      </c>
      <c r="AH91" s="453">
        <f>IF(AF91=0, "    ---- ", IF(ABS(ROUND(100/AF91*AG91-100,1))&lt;999,ROUND(100/AF91*AG91-100,1),IF(ROUND(100/AF91*AG91-100,1)&gt;999,999,-999)))</f>
        <v>9.3000000000000007</v>
      </c>
      <c r="AI91" s="198">
        <f>SUM(AI68+AI69+AI71+AI79+AI85+AI86+AI87+AI88+AI89)</f>
        <v>65261.601188040004</v>
      </c>
      <c r="AJ91" s="452">
        <f>SUM(AJ68+AJ69+AJ71+AJ79+AJ85+AJ86+AJ87+AJ88+AJ89)</f>
        <v>65483.330577810004</v>
      </c>
      <c r="AK91" s="453">
        <f t="shared" si="26"/>
        <v>0.3</v>
      </c>
      <c r="AL91" s="198">
        <f>SUM(AL68+AL69+AL71+AL79+AL85+AL86+AL87+AL88+AL89)</f>
        <v>333560.39999999997</v>
      </c>
      <c r="AM91" s="452">
        <f>SUM(AM68+AM69+AM71+AM79+AM85+AM86+AM87+AM88+AM89)</f>
        <v>361046</v>
      </c>
      <c r="AN91" s="453">
        <f t="shared" si="27"/>
        <v>8.1999999999999993</v>
      </c>
      <c r="AO91" s="604">
        <f>B91+E91+H91+K91+N91+T91+W91+Z91+AC91+AI91+AL91</f>
        <v>1617694.8479353602</v>
      </c>
      <c r="AP91" s="604">
        <f>C91+F91+I91+L91+O91+U91+X91+AA91+AD91+AJ91+AM91</f>
        <v>1717848.7213179702</v>
      </c>
      <c r="AQ91" s="453">
        <f t="shared" si="22"/>
        <v>6.2</v>
      </c>
      <c r="AR91" s="604">
        <f>B91+E91+H91+K91+N91+Q91+T91+W91+Z91+AC91+AF91+AI91+AL91</f>
        <v>1620220.9867088003</v>
      </c>
      <c r="AS91" s="604">
        <f>C91+F91+I91+L91+O91+R91+U91+X91+AA91+AD91+AG91+AJ91+AM91</f>
        <v>1720598.9074190003</v>
      </c>
      <c r="AT91" s="454">
        <f t="shared" si="24"/>
        <v>6.2</v>
      </c>
      <c r="AU91" s="499"/>
      <c r="AV91" s="493"/>
      <c r="AW91" s="497"/>
    </row>
    <row r="92" spans="1:49" ht="18.75" customHeight="1" x14ac:dyDescent="0.3">
      <c r="A92" s="464" t="s">
        <v>254</v>
      </c>
      <c r="B92" s="464"/>
      <c r="T92" s="464"/>
      <c r="U92" s="466"/>
      <c r="AA92" s="467"/>
      <c r="AB92" s="467"/>
      <c r="AC92" s="467"/>
      <c r="AD92" s="467"/>
      <c r="AE92" s="467"/>
      <c r="AF92" s="467"/>
      <c r="AG92" s="467"/>
      <c r="AH92" s="467"/>
      <c r="AI92" s="464"/>
      <c r="AL92" s="464"/>
      <c r="AP92" s="497"/>
    </row>
    <row r="93" spans="1:49" ht="18.75" customHeight="1" x14ac:dyDescent="0.3">
      <c r="A93" s="464" t="s">
        <v>255</v>
      </c>
      <c r="T93" s="464"/>
      <c r="U93" s="466"/>
      <c r="AA93" s="467"/>
      <c r="AB93" s="467"/>
      <c r="AC93" s="467"/>
      <c r="AD93" s="467"/>
      <c r="AE93" s="467"/>
      <c r="AF93" s="467"/>
      <c r="AG93" s="467"/>
      <c r="AH93" s="467"/>
      <c r="AI93" s="464"/>
      <c r="AL93" s="464"/>
      <c r="AP93" s="713"/>
    </row>
    <row r="94" spans="1:49" s="468" customFormat="1" ht="18.75" customHeight="1" x14ac:dyDescent="0.3">
      <c r="A94" s="464" t="s">
        <v>256</v>
      </c>
      <c r="T94" s="464"/>
      <c r="U94" s="464"/>
      <c r="AB94" s="469"/>
      <c r="AC94" s="469"/>
      <c r="AD94" s="469"/>
      <c r="AE94" s="469"/>
      <c r="AF94" s="469"/>
      <c r="AG94" s="469"/>
      <c r="AH94" s="469"/>
      <c r="AU94" s="502"/>
      <c r="AV94" s="502"/>
    </row>
    <row r="95" spans="1:49" s="468" customFormat="1" ht="18.75" x14ac:dyDescent="0.3">
      <c r="T95" s="464"/>
      <c r="U95" s="464"/>
    </row>
    <row r="96" spans="1:49" s="468" customFormat="1" ht="18.75" x14ac:dyDescent="0.3">
      <c r="T96" s="464"/>
      <c r="U96" s="464"/>
    </row>
    <row r="97" spans="20:21" s="468" customFormat="1" ht="18.75" x14ac:dyDescent="0.3">
      <c r="T97" s="464"/>
      <c r="U97" s="464"/>
    </row>
    <row r="98" spans="20:21" s="468" customFormat="1" ht="18.75" x14ac:dyDescent="0.3">
      <c r="T98" s="464"/>
      <c r="U98" s="464"/>
    </row>
    <row r="99" spans="20:21" s="468" customFormat="1" ht="18.75" x14ac:dyDescent="0.3">
      <c r="T99" s="464"/>
      <c r="U99" s="464"/>
    </row>
    <row r="100" spans="20:21" s="468" customFormat="1" ht="18.75" x14ac:dyDescent="0.3">
      <c r="T100" s="464"/>
      <c r="U100" s="464"/>
    </row>
    <row r="101" spans="20:21" s="468" customFormat="1" ht="18.75" x14ac:dyDescent="0.3">
      <c r="T101" s="464"/>
      <c r="U101" s="464"/>
    </row>
    <row r="102" spans="20:21" s="468" customFormat="1" ht="18.75" x14ac:dyDescent="0.3">
      <c r="T102" s="464"/>
      <c r="U102" s="464"/>
    </row>
    <row r="103" spans="20:21" s="468" customFormat="1" ht="18.75" x14ac:dyDescent="0.3">
      <c r="T103" s="464"/>
      <c r="U103" s="464"/>
    </row>
    <row r="104" spans="20:21" s="468" customFormat="1" ht="18.75" x14ac:dyDescent="0.3">
      <c r="T104" s="464"/>
      <c r="U104" s="464"/>
    </row>
    <row r="105" spans="20:21" s="468" customFormat="1" ht="18.75" x14ac:dyDescent="0.3">
      <c r="T105" s="464"/>
      <c r="U105" s="464"/>
    </row>
    <row r="106" spans="20:21" s="468" customFormat="1" ht="18.75" x14ac:dyDescent="0.3">
      <c r="T106" s="464"/>
      <c r="U106" s="464"/>
    </row>
    <row r="107" spans="20:21" s="468" customFormat="1" ht="18.75" x14ac:dyDescent="0.3">
      <c r="T107" s="464"/>
      <c r="U107" s="464"/>
    </row>
    <row r="108" spans="20:21" s="468" customFormat="1" ht="18.75" x14ac:dyDescent="0.3">
      <c r="T108" s="464"/>
      <c r="U108" s="464"/>
    </row>
    <row r="109" spans="20:21" s="468" customFormat="1" ht="18.75" x14ac:dyDescent="0.3">
      <c r="T109" s="464"/>
      <c r="U109" s="464"/>
    </row>
    <row r="110" spans="20:21" s="468" customFormat="1" ht="18.75" x14ac:dyDescent="0.3">
      <c r="T110" s="464"/>
      <c r="U110" s="464"/>
    </row>
    <row r="111" spans="20:21" s="504" customFormat="1" ht="15.75" x14ac:dyDescent="0.25">
      <c r="T111" s="503"/>
      <c r="U111" s="503"/>
    </row>
    <row r="112" spans="20:21" s="504" customFormat="1" ht="15.75" x14ac:dyDescent="0.25">
      <c r="T112" s="503"/>
      <c r="U112" s="503"/>
    </row>
    <row r="113" spans="20:21" x14ac:dyDescent="0.2">
      <c r="T113" s="466"/>
      <c r="U113" s="466"/>
    </row>
    <row r="114" spans="20:21" x14ac:dyDescent="0.2">
      <c r="T114" s="466"/>
      <c r="U114" s="466"/>
    </row>
    <row r="115" spans="20:21" x14ac:dyDescent="0.2">
      <c r="T115" s="466"/>
      <c r="U115" s="466"/>
    </row>
    <row r="116" spans="20:21" x14ac:dyDescent="0.2">
      <c r="T116" s="466"/>
      <c r="U116" s="466"/>
    </row>
    <row r="117" spans="20:21" x14ac:dyDescent="0.2">
      <c r="T117" s="466"/>
      <c r="U117" s="466"/>
    </row>
    <row r="118" spans="20:21" x14ac:dyDescent="0.2">
      <c r="T118" s="466"/>
      <c r="U118" s="466"/>
    </row>
    <row r="119" spans="20:21" x14ac:dyDescent="0.2">
      <c r="T119" s="466"/>
      <c r="U119" s="466"/>
    </row>
    <row r="120" spans="20:21" x14ac:dyDescent="0.2">
      <c r="T120" s="466"/>
      <c r="U120" s="466"/>
    </row>
    <row r="121" spans="20:21" x14ac:dyDescent="0.2">
      <c r="T121" s="466"/>
      <c r="U121" s="466"/>
    </row>
    <row r="122" spans="20:21" x14ac:dyDescent="0.2">
      <c r="T122" s="466"/>
      <c r="U122" s="466"/>
    </row>
    <row r="123" spans="20:21" x14ac:dyDescent="0.2">
      <c r="T123" s="466"/>
      <c r="U123" s="466"/>
    </row>
    <row r="124" spans="20:21" x14ac:dyDescent="0.2">
      <c r="T124" s="466"/>
      <c r="U124" s="466"/>
    </row>
    <row r="125" spans="20:21" x14ac:dyDescent="0.2">
      <c r="T125" s="466"/>
      <c r="U125" s="466"/>
    </row>
    <row r="126" spans="20:21" x14ac:dyDescent="0.2">
      <c r="T126" s="466"/>
      <c r="U126" s="466"/>
    </row>
    <row r="127" spans="20:21" x14ac:dyDescent="0.2">
      <c r="T127" s="466"/>
      <c r="U127" s="466"/>
    </row>
    <row r="128" spans="20:21" x14ac:dyDescent="0.2">
      <c r="T128" s="466"/>
      <c r="U128" s="466"/>
    </row>
    <row r="129" spans="20:21" x14ac:dyDescent="0.2">
      <c r="T129" s="466"/>
      <c r="U129" s="466"/>
    </row>
    <row r="130" spans="20:21" x14ac:dyDescent="0.2">
      <c r="T130" s="466"/>
      <c r="U130" s="466"/>
    </row>
  </sheetData>
  <mergeCells count="37">
    <mergeCell ref="H5:J5"/>
    <mergeCell ref="H6:J6"/>
    <mergeCell ref="W5:Y5"/>
    <mergeCell ref="BI5:BK5"/>
    <mergeCell ref="AC5:AE5"/>
    <mergeCell ref="AI5:AK5"/>
    <mergeCell ref="AL5:AN5"/>
    <mergeCell ref="AO5:AQ5"/>
    <mergeCell ref="AR5:AT5"/>
    <mergeCell ref="K6:M6"/>
    <mergeCell ref="N6:P6"/>
    <mergeCell ref="Q6:S6"/>
    <mergeCell ref="K5:M5"/>
    <mergeCell ref="N5:P5"/>
    <mergeCell ref="Q5:S5"/>
    <mergeCell ref="BI6:BK6"/>
    <mergeCell ref="B5:D5"/>
    <mergeCell ref="E5:G5"/>
    <mergeCell ref="BC5:BE5"/>
    <mergeCell ref="BF5:BH5"/>
    <mergeCell ref="T6:V6"/>
    <mergeCell ref="W6:Y6"/>
    <mergeCell ref="Z6:AB6"/>
    <mergeCell ref="AC6:AE6"/>
    <mergeCell ref="AF6:AH6"/>
    <mergeCell ref="BC6:BE6"/>
    <mergeCell ref="BF6:BH6"/>
    <mergeCell ref="AW5:AY5"/>
    <mergeCell ref="AZ5:BB5"/>
    <mergeCell ref="B6:D6"/>
    <mergeCell ref="E6:G6"/>
    <mergeCell ref="AI6:AK6"/>
    <mergeCell ref="AL6:AN6"/>
    <mergeCell ref="AO6:AQ6"/>
    <mergeCell ref="AR6:AT6"/>
    <mergeCell ref="AW6:AY6"/>
    <mergeCell ref="AZ6:BB6"/>
  </mergeCells>
  <conditionalFormatting sqref="AL64">
    <cfRule type="expression" dxfId="158" priority="280">
      <formula>#REF! ="64≠29+62"</formula>
    </cfRule>
  </conditionalFormatting>
  <conditionalFormatting sqref="AL91">
    <cfRule type="expression" dxfId="157" priority="281">
      <formula>#REF! = "64≠94"</formula>
    </cfRule>
  </conditionalFormatting>
  <conditionalFormatting sqref="AL91">
    <cfRule type="expression" dxfId="156" priority="282">
      <formula>#REF! = "94≠68+69+71+80+88+89+90+91+92"</formula>
    </cfRule>
  </conditionalFormatting>
  <conditionalFormatting sqref="AL35">
    <cfRule type="expression" dxfId="155" priority="283">
      <formula>#REF! ="35≠36+38"</formula>
    </cfRule>
  </conditionalFormatting>
  <conditionalFormatting sqref="AL39">
    <cfRule type="expression" dxfId="154" priority="284">
      <formula>#REF! ="39≠40+41+42+43+44"</formula>
    </cfRule>
  </conditionalFormatting>
  <conditionalFormatting sqref="AL45">
    <cfRule type="expression" dxfId="153" priority="285">
      <formula>#REF! ="45≠33+34+35+39"</formula>
    </cfRule>
  </conditionalFormatting>
  <conditionalFormatting sqref="AL50">
    <cfRule type="expression" dxfId="152" priority="286">
      <formula>#REF! ="50≠51+53"</formula>
    </cfRule>
  </conditionalFormatting>
  <conditionalFormatting sqref="AL54">
    <cfRule type="expression" dxfId="151" priority="287">
      <formula>#REF! ="54≠55+56+57+58+59"</formula>
    </cfRule>
  </conditionalFormatting>
  <conditionalFormatting sqref="AL60">
    <cfRule type="expression" dxfId="150" priority="288">
      <formula>#REF! ="60≠48+49+50+54"</formula>
    </cfRule>
  </conditionalFormatting>
  <conditionalFormatting sqref="AL62">
    <cfRule type="expression" dxfId="149" priority="289">
      <formula>#REF! ="62≠45+46+60+61"</formula>
    </cfRule>
  </conditionalFormatting>
  <conditionalFormatting sqref="AL79">
    <cfRule type="expression" dxfId="148" priority="290">
      <formula>#REF! ="80≠73+74+75+76+77+78+79"</formula>
    </cfRule>
  </conditionalFormatting>
  <conditionalFormatting sqref="AL85">
    <cfRule type="expression" dxfId="147" priority="291">
      <formula>#REF! ="88≠82+83+84+85+86+87"</formula>
    </cfRule>
  </conditionalFormatting>
  <conditionalFormatting sqref="AI64">
    <cfRule type="expression" dxfId="146" priority="256">
      <formula>#REF! ="64≠29+62"</formula>
    </cfRule>
  </conditionalFormatting>
  <conditionalFormatting sqref="AI91">
    <cfRule type="expression" dxfId="145" priority="257">
      <formula>#REF! = "64≠94"</formula>
    </cfRule>
  </conditionalFormatting>
  <conditionalFormatting sqref="AI91">
    <cfRule type="expression" dxfId="144" priority="258">
      <formula>#REF! = "94≠68+69+71+80+88+89+90+91+92"</formula>
    </cfRule>
  </conditionalFormatting>
  <conditionalFormatting sqref="AI35">
    <cfRule type="expression" dxfId="143" priority="259">
      <formula>#REF! ="35≠36+38"</formula>
    </cfRule>
  </conditionalFormatting>
  <conditionalFormatting sqref="AI39">
    <cfRule type="expression" dxfId="142" priority="260">
      <formula>#REF! ="39≠40+41+42+43+44"</formula>
    </cfRule>
  </conditionalFormatting>
  <conditionalFormatting sqref="AI45">
    <cfRule type="expression" dxfId="141" priority="261">
      <formula>#REF! ="45≠33+34+35+39"</formula>
    </cfRule>
  </conditionalFormatting>
  <conditionalFormatting sqref="AI50">
    <cfRule type="expression" dxfId="140" priority="262">
      <formula>#REF! ="50≠51+53"</formula>
    </cfRule>
  </conditionalFormatting>
  <conditionalFormatting sqref="AI54">
    <cfRule type="expression" dxfId="139" priority="263">
      <formula>#REF! ="54≠55+56+57+58+59"</formula>
    </cfRule>
  </conditionalFormatting>
  <conditionalFormatting sqref="AI60">
    <cfRule type="expression" dxfId="138" priority="264">
      <formula>#REF! ="60≠48+49+50+54"</formula>
    </cfRule>
  </conditionalFormatting>
  <conditionalFormatting sqref="AI62">
    <cfRule type="expression" dxfId="137" priority="265">
      <formula>#REF! ="62≠45+46+60+61"</formula>
    </cfRule>
  </conditionalFormatting>
  <conditionalFormatting sqref="AI79">
    <cfRule type="expression" dxfId="136" priority="266">
      <formula>#REF! ="80≠73+74+75+76+77+78+79"</formula>
    </cfRule>
  </conditionalFormatting>
  <conditionalFormatting sqref="AI85">
    <cfRule type="expression" dxfId="135" priority="267">
      <formula>#REF! ="88≠82+83+84+85+86+87"</formula>
    </cfRule>
  </conditionalFormatting>
  <conditionalFormatting sqref="Z64">
    <cfRule type="expression" dxfId="134" priority="232">
      <formula>#REF! ="64≠29+62"</formula>
    </cfRule>
  </conditionalFormatting>
  <conditionalFormatting sqref="Z91">
    <cfRule type="expression" dxfId="133" priority="233">
      <formula>#REF! = "64≠94"</formula>
    </cfRule>
  </conditionalFormatting>
  <conditionalFormatting sqref="Z91">
    <cfRule type="expression" dxfId="132" priority="234">
      <formula>#REF! = "94≠68+69+71+80+88+89+90+91+92"</formula>
    </cfRule>
  </conditionalFormatting>
  <conditionalFormatting sqref="Z35">
    <cfRule type="expression" dxfId="131" priority="235">
      <formula>#REF! ="35≠36+38"</formula>
    </cfRule>
  </conditionalFormatting>
  <conditionalFormatting sqref="Z39">
    <cfRule type="expression" dxfId="130" priority="236">
      <formula>#REF! ="39≠40+41+42+43+44"</formula>
    </cfRule>
  </conditionalFormatting>
  <conditionalFormatting sqref="Z45">
    <cfRule type="expression" dxfId="129" priority="237">
      <formula>#REF! ="45≠33+34+35+39"</formula>
    </cfRule>
  </conditionalFormatting>
  <conditionalFormatting sqref="Z50">
    <cfRule type="expression" dxfId="128" priority="238">
      <formula>#REF! ="50≠51+53"</formula>
    </cfRule>
  </conditionalFormatting>
  <conditionalFormatting sqref="Z54">
    <cfRule type="expression" dxfId="127" priority="239">
      <formula>#REF! ="54≠55+56+57+58+59"</formula>
    </cfRule>
  </conditionalFormatting>
  <conditionalFormatting sqref="Z60">
    <cfRule type="expression" dxfId="126" priority="240">
      <formula>#REF! ="60≠48+49+50+54"</formula>
    </cfRule>
  </conditionalFormatting>
  <conditionalFormatting sqref="Z62">
    <cfRule type="expression" dxfId="125" priority="241">
      <formula>#REF! ="62≠45+46+60+61"</formula>
    </cfRule>
  </conditionalFormatting>
  <conditionalFormatting sqref="Z79">
    <cfRule type="expression" dxfId="124" priority="242">
      <formula>#REF! ="80≠73+74+75+76+77+78+79"</formula>
    </cfRule>
  </conditionalFormatting>
  <conditionalFormatting sqref="Z85">
    <cfRule type="expression" dxfId="123" priority="243">
      <formula>#REF! ="88≠82+83+84+85+86+87"</formula>
    </cfRule>
  </conditionalFormatting>
  <conditionalFormatting sqref="I45">
    <cfRule type="expression" dxfId="122" priority="219">
      <formula>#REF! ="45≠33+34+35+39"</formula>
    </cfRule>
  </conditionalFormatting>
  <conditionalFormatting sqref="I62">
    <cfRule type="expression" dxfId="121" priority="218">
      <formula>#REF! ="62≠45+46+60+61"</formula>
    </cfRule>
  </conditionalFormatting>
  <conditionalFormatting sqref="I64">
    <cfRule type="expression" dxfId="120" priority="217">
      <formula>#REF! ="64≠29+62"</formula>
    </cfRule>
  </conditionalFormatting>
  <conditionalFormatting sqref="N64">
    <cfRule type="expression" dxfId="119" priority="193">
      <formula>#REF! ="64≠29+62"</formula>
    </cfRule>
  </conditionalFormatting>
  <conditionalFormatting sqref="N91">
    <cfRule type="expression" dxfId="118" priority="194">
      <formula>#REF! = "64≠94"</formula>
    </cfRule>
  </conditionalFormatting>
  <conditionalFormatting sqref="N91">
    <cfRule type="expression" dxfId="117" priority="195">
      <formula>#REF! = "94≠68+69+71+80+88+89+90+91+92"</formula>
    </cfRule>
  </conditionalFormatting>
  <conditionalFormatting sqref="N35">
    <cfRule type="expression" dxfId="116" priority="196">
      <formula>#REF! ="35≠36+38"</formula>
    </cfRule>
  </conditionalFormatting>
  <conditionalFormatting sqref="N39">
    <cfRule type="expression" dxfId="115" priority="197">
      <formula>#REF! ="39≠40+41+42+43+44"</formula>
    </cfRule>
  </conditionalFormatting>
  <conditionalFormatting sqref="N45">
    <cfRule type="expression" dxfId="114" priority="198">
      <formula>#REF! ="45≠33+34+35+39"</formula>
    </cfRule>
  </conditionalFormatting>
  <conditionalFormatting sqref="N50">
    <cfRule type="expression" dxfId="113" priority="199">
      <formula>#REF! ="50≠51+53"</formula>
    </cfRule>
  </conditionalFormatting>
  <conditionalFormatting sqref="N54">
    <cfRule type="expression" dxfId="112" priority="200">
      <formula>#REF! ="54≠55+56+57+58+59"</formula>
    </cfRule>
  </conditionalFormatting>
  <conditionalFormatting sqref="N60">
    <cfRule type="expression" dxfId="111" priority="201">
      <formula>#REF! ="60≠48+49+50+54"</formula>
    </cfRule>
  </conditionalFormatting>
  <conditionalFormatting sqref="N62">
    <cfRule type="expression" dxfId="110" priority="202">
      <formula>#REF! ="62≠45+46+60+61"</formula>
    </cfRule>
  </conditionalFormatting>
  <conditionalFormatting sqref="N79">
    <cfRule type="expression" dxfId="109" priority="203">
      <formula>#REF! ="80≠73+74+75+76+77+78+79"</formula>
    </cfRule>
  </conditionalFormatting>
  <conditionalFormatting sqref="N85">
    <cfRule type="expression" dxfId="108" priority="204">
      <formula>#REF! ="88≠82+83+84+85+86+87"</formula>
    </cfRule>
  </conditionalFormatting>
  <conditionalFormatting sqref="AC64">
    <cfRule type="expression" dxfId="107" priority="169">
      <formula>#REF! ="64≠29+62"</formula>
    </cfRule>
  </conditionalFormatting>
  <conditionalFormatting sqref="AC91">
    <cfRule type="expression" dxfId="106" priority="170">
      <formula>#REF! = "64≠94"</formula>
    </cfRule>
  </conditionalFormatting>
  <conditionalFormatting sqref="AC91">
    <cfRule type="expression" dxfId="105" priority="171">
      <formula>#REF! = "94≠68+69+71+80+88+89+90+91+92"</formula>
    </cfRule>
  </conditionalFormatting>
  <conditionalFormatting sqref="AC35">
    <cfRule type="expression" dxfId="104" priority="172">
      <formula>#REF! ="35≠36+38"</formula>
    </cfRule>
  </conditionalFormatting>
  <conditionalFormatting sqref="AC39">
    <cfRule type="expression" dxfId="103" priority="173">
      <formula>#REF! ="39≠40+41+42+43+44"</formula>
    </cfRule>
  </conditionalFormatting>
  <conditionalFormatting sqref="AC45">
    <cfRule type="expression" dxfId="102" priority="174">
      <formula>#REF! ="45≠33+34+35+39"</formula>
    </cfRule>
  </conditionalFormatting>
  <conditionalFormatting sqref="AC50">
    <cfRule type="expression" dxfId="101" priority="175">
      <formula>#REF! ="50≠51+53"</formula>
    </cfRule>
  </conditionalFormatting>
  <conditionalFormatting sqref="AC54">
    <cfRule type="expression" dxfId="100" priority="176">
      <formula>#REF! ="54≠55+56+57+58+59"</formula>
    </cfRule>
  </conditionalFormatting>
  <conditionalFormatting sqref="AC60">
    <cfRule type="expression" dxfId="99" priority="177">
      <formula>#REF! ="60≠48+49+50+54"</formula>
    </cfRule>
  </conditionalFormatting>
  <conditionalFormatting sqref="AC62">
    <cfRule type="expression" dxfId="98" priority="178">
      <formula>#REF! ="62≠45+46+60+61"</formula>
    </cfRule>
  </conditionalFormatting>
  <conditionalFormatting sqref="AC79">
    <cfRule type="expression" dxfId="97" priority="179">
      <formula>#REF! ="80≠73+74+75+76+77+78+79"</formula>
    </cfRule>
  </conditionalFormatting>
  <conditionalFormatting sqref="AC85">
    <cfRule type="expression" dxfId="96" priority="180">
      <formula>#REF! ="88≠82+83+84+85+86+87"</formula>
    </cfRule>
  </conditionalFormatting>
  <conditionalFormatting sqref="E64">
    <cfRule type="expression" dxfId="95" priority="145">
      <formula>#REF! ="64≠29+62"</formula>
    </cfRule>
  </conditionalFormatting>
  <conditionalFormatting sqref="E91">
    <cfRule type="expression" dxfId="94" priority="146">
      <formula>#REF! = "64≠94"</formula>
    </cfRule>
  </conditionalFormatting>
  <conditionalFormatting sqref="E91">
    <cfRule type="expression" dxfId="93" priority="147">
      <formula>#REF! = "94≠68+69+71+80+88+89+90+91+92"</formula>
    </cfRule>
  </conditionalFormatting>
  <conditionalFormatting sqref="E35">
    <cfRule type="expression" dxfId="92" priority="148">
      <formula>#REF! ="35≠36+38"</formula>
    </cfRule>
  </conditionalFormatting>
  <conditionalFormatting sqref="E39">
    <cfRule type="expression" dxfId="91" priority="149">
      <formula>#REF! ="39≠40+41+42+43+44"</formula>
    </cfRule>
  </conditionalFormatting>
  <conditionalFormatting sqref="E45">
    <cfRule type="expression" dxfId="90" priority="150">
      <formula>#REF! ="45≠33+34+35+39"</formula>
    </cfRule>
  </conditionalFormatting>
  <conditionalFormatting sqref="E50">
    <cfRule type="expression" dxfId="89" priority="151">
      <formula>#REF! ="50≠51+53"</formula>
    </cfRule>
  </conditionalFormatting>
  <conditionalFormatting sqref="E54">
    <cfRule type="expression" dxfId="88" priority="152">
      <formula>#REF! ="54≠55+56+57+58+59"</formula>
    </cfRule>
  </conditionalFormatting>
  <conditionalFormatting sqref="E60">
    <cfRule type="expression" dxfId="87" priority="153">
      <formula>#REF! ="60≠48+49+50+54"</formula>
    </cfRule>
  </conditionalFormatting>
  <conditionalFormatting sqref="E62">
    <cfRule type="expression" dxfId="86" priority="154">
      <formula>#REF! ="62≠45+46+60+61"</formula>
    </cfRule>
  </conditionalFormatting>
  <conditionalFormatting sqref="E79">
    <cfRule type="expression" dxfId="85" priority="155">
      <formula>#REF! ="80≠73+74+75+76+77+78+79"</formula>
    </cfRule>
  </conditionalFormatting>
  <conditionalFormatting sqref="E85">
    <cfRule type="expression" dxfId="84" priority="156">
      <formula>#REF! ="88≠82+83+84+85+86+87"</formula>
    </cfRule>
  </conditionalFormatting>
  <conditionalFormatting sqref="W64">
    <cfRule type="expression" dxfId="83" priority="121">
      <formula>#REF! ="64≠29+62"</formula>
    </cfRule>
  </conditionalFormatting>
  <conditionalFormatting sqref="W91">
    <cfRule type="expression" dxfId="82" priority="122">
      <formula>#REF! = "64≠94"</formula>
    </cfRule>
  </conditionalFormatting>
  <conditionalFormatting sqref="W91">
    <cfRule type="expression" dxfId="81" priority="123">
      <formula>#REF! = "94≠68+69+71+80+88+89+90+91+92"</formula>
    </cfRule>
  </conditionalFormatting>
  <conditionalFormatting sqref="W35">
    <cfRule type="expression" dxfId="80" priority="124">
      <formula>#REF! ="35≠36+38"</formula>
    </cfRule>
  </conditionalFormatting>
  <conditionalFormatting sqref="W39">
    <cfRule type="expression" dxfId="79" priority="125">
      <formula>#REF! ="39≠40+41+42+43+44"</formula>
    </cfRule>
  </conditionalFormatting>
  <conditionalFormatting sqref="W45">
    <cfRule type="expression" dxfId="78" priority="126">
      <formula>#REF! ="45≠33+34+35+39"</formula>
    </cfRule>
  </conditionalFormatting>
  <conditionalFormatting sqref="W50">
    <cfRule type="expression" dxfId="77" priority="127">
      <formula>#REF! ="50≠51+53"</formula>
    </cfRule>
  </conditionalFormatting>
  <conditionalFormatting sqref="W54">
    <cfRule type="expression" dxfId="76" priority="128">
      <formula>#REF! ="54≠55+56+57+58+59"</formula>
    </cfRule>
  </conditionalFormatting>
  <conditionalFormatting sqref="W60">
    <cfRule type="expression" dxfId="75" priority="129">
      <formula>#REF! ="60≠48+49+50+54"</formula>
    </cfRule>
  </conditionalFormatting>
  <conditionalFormatting sqref="W62">
    <cfRule type="expression" dxfId="74" priority="130">
      <formula>#REF! ="62≠45+46+60+61"</formula>
    </cfRule>
  </conditionalFormatting>
  <conditionalFormatting sqref="W79">
    <cfRule type="expression" dxfId="73" priority="131">
      <formula>#REF! ="80≠73+74+75+76+77+78+79"</formula>
    </cfRule>
  </conditionalFormatting>
  <conditionalFormatting sqref="W85">
    <cfRule type="expression" dxfId="72" priority="132">
      <formula>#REF! ="88≠82+83+84+85+86+87"</formula>
    </cfRule>
  </conditionalFormatting>
  <conditionalFormatting sqref="AF64">
    <cfRule type="expression" dxfId="71" priority="97">
      <formula>#REF! ="64≠29+62"</formula>
    </cfRule>
  </conditionalFormatting>
  <conditionalFormatting sqref="AF91">
    <cfRule type="expression" dxfId="70" priority="98">
      <formula>#REF! = "64≠94"</formula>
    </cfRule>
  </conditionalFormatting>
  <conditionalFormatting sqref="AF91">
    <cfRule type="expression" dxfId="69" priority="99">
      <formula>#REF! = "94≠68+69+71+80+88+89+90+91+92"</formula>
    </cfRule>
  </conditionalFormatting>
  <conditionalFormatting sqref="AF35">
    <cfRule type="expression" dxfId="68" priority="100">
      <formula>#REF! ="35≠36+38"</formula>
    </cfRule>
  </conditionalFormatting>
  <conditionalFormatting sqref="AF39">
    <cfRule type="expression" dxfId="67" priority="101">
      <formula>#REF! ="39≠40+41+42+43+44"</formula>
    </cfRule>
  </conditionalFormatting>
  <conditionalFormatting sqref="AF45">
    <cfRule type="expression" dxfId="66" priority="102">
      <formula>#REF! ="45≠33+34+35+39"</formula>
    </cfRule>
  </conditionalFormatting>
  <conditionalFormatting sqref="AF50">
    <cfRule type="expression" dxfId="65" priority="103">
      <formula>#REF! ="50≠51+53"</formula>
    </cfRule>
  </conditionalFormatting>
  <conditionalFormatting sqref="AF54">
    <cfRule type="expression" dxfId="64" priority="104">
      <formula>#REF! ="54≠55+56+57+58+59"</formula>
    </cfRule>
  </conditionalFormatting>
  <conditionalFormatting sqref="AF60">
    <cfRule type="expression" dxfId="63" priority="105">
      <formula>#REF! ="60≠48+49+50+54"</formula>
    </cfRule>
  </conditionalFormatting>
  <conditionalFormatting sqref="AF62">
    <cfRule type="expression" dxfId="62" priority="106">
      <formula>#REF! ="62≠45+46+60+61"</formula>
    </cfRule>
  </conditionalFormatting>
  <conditionalFormatting sqref="AF79">
    <cfRule type="expression" dxfId="61" priority="107">
      <formula>#REF! ="80≠73+74+75+76+77+78+79"</formula>
    </cfRule>
  </conditionalFormatting>
  <conditionalFormatting sqref="AF85">
    <cfRule type="expression" dxfId="60" priority="108">
      <formula>#REF! ="88≠82+83+84+85+86+87"</formula>
    </cfRule>
  </conditionalFormatting>
  <conditionalFormatting sqref="Q64">
    <cfRule type="expression" dxfId="59" priority="73">
      <formula>#REF! ="64≠29+62"</formula>
    </cfRule>
  </conditionalFormatting>
  <conditionalFormatting sqref="Q91">
    <cfRule type="expression" dxfId="58" priority="74">
      <formula>#REF! = "64≠94"</formula>
    </cfRule>
  </conditionalFormatting>
  <conditionalFormatting sqref="Q91">
    <cfRule type="expression" dxfId="57" priority="75">
      <formula>#REF! = "94≠68+69+71+80+88+89+90+91+92"</formula>
    </cfRule>
  </conditionalFormatting>
  <conditionalFormatting sqref="Q35">
    <cfRule type="expression" dxfId="56" priority="76">
      <formula>#REF! ="35≠36+38"</formula>
    </cfRule>
  </conditionalFormatting>
  <conditionalFormatting sqref="Q39">
    <cfRule type="expression" dxfId="55" priority="77">
      <formula>#REF! ="39≠40+41+42+43+44"</formula>
    </cfRule>
  </conditionalFormatting>
  <conditionalFormatting sqref="Q45">
    <cfRule type="expression" dxfId="54" priority="78">
      <formula>#REF! ="45≠33+34+35+39"</formula>
    </cfRule>
  </conditionalFormatting>
  <conditionalFormatting sqref="Q50">
    <cfRule type="expression" dxfId="53" priority="79">
      <formula>#REF! ="50≠51+53"</formula>
    </cfRule>
  </conditionalFormatting>
  <conditionalFormatting sqref="Q54">
    <cfRule type="expression" dxfId="52" priority="80">
      <formula>#REF! ="54≠55+56+57+58+59"</formula>
    </cfRule>
  </conditionalFormatting>
  <conditionalFormatting sqref="Q60">
    <cfRule type="expression" dxfId="51" priority="81">
      <formula>#REF! ="60≠48+49+50+54"</formula>
    </cfRule>
  </conditionalFormatting>
  <conditionalFormatting sqref="Q62">
    <cfRule type="expression" dxfId="50" priority="82">
      <formula>#REF! ="62≠45+46+60+61"</formula>
    </cfRule>
  </conditionalFormatting>
  <conditionalFormatting sqref="Q79">
    <cfRule type="expression" dxfId="49" priority="83">
      <formula>#REF! ="80≠73+74+75+76+77+78+79"</formula>
    </cfRule>
  </conditionalFormatting>
  <conditionalFormatting sqref="Q85">
    <cfRule type="expression" dxfId="48" priority="84">
      <formula>#REF! ="88≠82+83+84+85+86+87"</formula>
    </cfRule>
  </conditionalFormatting>
  <conditionalFormatting sqref="K64">
    <cfRule type="expression" dxfId="47" priority="49">
      <formula>#REF! ="64≠29+62"</formula>
    </cfRule>
  </conditionalFormatting>
  <conditionalFormatting sqref="K91">
    <cfRule type="expression" dxfId="46" priority="50">
      <formula>#REF! = "64≠94"</formula>
    </cfRule>
  </conditionalFormatting>
  <conditionalFormatting sqref="K91">
    <cfRule type="expression" dxfId="45" priority="51">
      <formula>#REF! = "94≠68+69+71+80+88+89+90+91+92"</formula>
    </cfRule>
  </conditionalFormatting>
  <conditionalFormatting sqref="K35">
    <cfRule type="expression" dxfId="44" priority="52">
      <formula>#REF! ="35≠36+38"</formula>
    </cfRule>
  </conditionalFormatting>
  <conditionalFormatting sqref="K39">
    <cfRule type="expression" dxfId="43" priority="53">
      <formula>#REF! ="39≠40+41+42+43+44"</formula>
    </cfRule>
  </conditionalFormatting>
  <conditionalFormatting sqref="K45">
    <cfRule type="expression" dxfId="42" priority="54">
      <formula>#REF! ="45≠33+34+35+39"</formula>
    </cfRule>
  </conditionalFormatting>
  <conditionalFormatting sqref="K50">
    <cfRule type="expression" dxfId="41" priority="55">
      <formula>#REF! ="50≠51+53"</formula>
    </cfRule>
  </conditionalFormatting>
  <conditionalFormatting sqref="K54">
    <cfRule type="expression" dxfId="40" priority="56">
      <formula>#REF! ="54≠55+56+57+58+59"</formula>
    </cfRule>
  </conditionalFormatting>
  <conditionalFormatting sqref="K60">
    <cfRule type="expression" dxfId="39" priority="57">
      <formula>#REF! ="60≠48+49+50+54"</formula>
    </cfRule>
  </conditionalFormatting>
  <conditionalFormatting sqref="K62">
    <cfRule type="expression" dxfId="38" priority="58">
      <formula>#REF! ="62≠45+46+60+61"</formula>
    </cfRule>
  </conditionalFormatting>
  <conditionalFormatting sqref="K79">
    <cfRule type="expression" dxfId="37" priority="59">
      <formula>#REF! ="80≠73+74+75+76+77+78+79"</formula>
    </cfRule>
  </conditionalFormatting>
  <conditionalFormatting sqref="K85">
    <cfRule type="expression" dxfId="36" priority="60">
      <formula>#REF! ="88≠82+83+84+85+86+87"</formula>
    </cfRule>
  </conditionalFormatting>
  <conditionalFormatting sqref="B64">
    <cfRule type="expression" dxfId="35" priority="25">
      <formula>#REF! ="64≠29+62"</formula>
    </cfRule>
  </conditionalFormatting>
  <conditionalFormatting sqref="B91">
    <cfRule type="expression" dxfId="34" priority="26">
      <formula>#REF! = "64≠94"</formula>
    </cfRule>
  </conditionalFormatting>
  <conditionalFormatting sqref="B91">
    <cfRule type="expression" dxfId="33" priority="27">
      <formula>#REF! = "94≠68+69+71+80+88+89+90+91+92"</formula>
    </cfRule>
  </conditionalFormatting>
  <conditionalFormatting sqref="B35">
    <cfRule type="expression" dxfId="32" priority="28">
      <formula>#REF! ="35≠36+38"</formula>
    </cfRule>
  </conditionalFormatting>
  <conditionalFormatting sqref="B39">
    <cfRule type="expression" dxfId="31" priority="29">
      <formula>#REF! ="39≠40+41+42+43+44"</formula>
    </cfRule>
  </conditionalFormatting>
  <conditionalFormatting sqref="B45">
    <cfRule type="expression" dxfId="30" priority="30">
      <formula>#REF! ="45≠33+34+35+39"</formula>
    </cfRule>
  </conditionalFormatting>
  <conditionalFormatting sqref="B50">
    <cfRule type="expression" dxfId="29" priority="31">
      <formula>#REF! ="50≠51+53"</formula>
    </cfRule>
  </conditionalFormatting>
  <conditionalFormatting sqref="B54">
    <cfRule type="expression" dxfId="28" priority="32">
      <formula>#REF! ="54≠55+56+57+58+59"</formula>
    </cfRule>
  </conditionalFormatting>
  <conditionalFormatting sqref="B60">
    <cfRule type="expression" dxfId="27" priority="33">
      <formula>#REF! ="60≠48+49+50+54"</formula>
    </cfRule>
  </conditionalFormatting>
  <conditionalFormatting sqref="B62">
    <cfRule type="expression" dxfId="26" priority="34">
      <formula>#REF! ="62≠45+46+60+61"</formula>
    </cfRule>
  </conditionalFormatting>
  <conditionalFormatting sqref="B79">
    <cfRule type="expression" dxfId="25" priority="35">
      <formula>#REF! ="80≠73+74+75+76+77+78+79"</formula>
    </cfRule>
  </conditionalFormatting>
  <conditionalFormatting sqref="B85">
    <cfRule type="expression" dxfId="24" priority="36">
      <formula>#REF! ="88≠82+83+84+85+86+87"</formula>
    </cfRule>
  </conditionalFormatting>
  <conditionalFormatting sqref="T64">
    <cfRule type="expression" dxfId="23" priority="1">
      <formula>#REF! ="64≠29+62"</formula>
    </cfRule>
  </conditionalFormatting>
  <conditionalFormatting sqref="T91">
    <cfRule type="expression" dxfId="22" priority="2">
      <formula>#REF! = "64≠94"</formula>
    </cfRule>
  </conditionalFormatting>
  <conditionalFormatting sqref="T91">
    <cfRule type="expression" dxfId="21" priority="3">
      <formula>#REF! = "94≠68+69+71+80+88+89+90+91+92"</formula>
    </cfRule>
  </conditionalFormatting>
  <conditionalFormatting sqref="T35">
    <cfRule type="expression" dxfId="20" priority="4">
      <formula>#REF! ="35≠36+38"</formula>
    </cfRule>
  </conditionalFormatting>
  <conditionalFormatting sqref="T39">
    <cfRule type="expression" dxfId="19" priority="5">
      <formula>#REF! ="39≠40+41+42+43+44"</formula>
    </cfRule>
  </conditionalFormatting>
  <conditionalFormatting sqref="T45">
    <cfRule type="expression" dxfId="18" priority="6">
      <formula>#REF! ="45≠33+34+35+39"</formula>
    </cfRule>
  </conditionalFormatting>
  <conditionalFormatting sqref="T50">
    <cfRule type="expression" dxfId="17" priority="7">
      <formula>#REF! ="50≠51+53"</formula>
    </cfRule>
  </conditionalFormatting>
  <conditionalFormatting sqref="T54">
    <cfRule type="expression" dxfId="16" priority="8">
      <formula>#REF! ="54≠55+56+57+58+59"</formula>
    </cfRule>
  </conditionalFormatting>
  <conditionalFormatting sqref="T60">
    <cfRule type="expression" dxfId="15" priority="9">
      <formula>#REF! ="60≠48+49+50+54"</formula>
    </cfRule>
  </conditionalFormatting>
  <conditionalFormatting sqref="T62">
    <cfRule type="expression" dxfId="14" priority="10">
      <formula>#REF! ="62≠45+46+60+61"</formula>
    </cfRule>
  </conditionalFormatting>
  <conditionalFormatting sqref="T79">
    <cfRule type="expression" dxfId="13" priority="11">
      <formula>#REF! ="80≠73+74+75+76+77+78+79"</formula>
    </cfRule>
  </conditionalFormatting>
  <conditionalFormatting sqref="T85">
    <cfRule type="expression" dxfId="12" priority="12">
      <formula>#REF! ="88≠82+83+84+85+86+87"</formula>
    </cfRule>
  </conditionalFormatting>
  <conditionalFormatting sqref="AM35 AJ35 AA35 H35:I35 O35 AD35 F35 X35 AG35 R35 L35 C35 U35">
    <cfRule type="expression" dxfId="11" priority="841">
      <formula>#REF! ="35≠36+38"</formula>
    </cfRule>
  </conditionalFormatting>
  <conditionalFormatting sqref="AM39 AJ39 AA39 H39:I39 O39 AD39 F39 X39 AG39 R39 L39 C39 U39">
    <cfRule type="expression" dxfId="10" priority="842">
      <formula>#REF! ="39≠40+41+42+43+44"</formula>
    </cfRule>
  </conditionalFormatting>
  <conditionalFormatting sqref="AM45 AJ45 AA45 H45 O45 AD45 F45 X45 AG45 R45 L45 C45 U45">
    <cfRule type="expression" dxfId="9" priority="843">
      <formula>#REF! ="45≠33+34+35+39"</formula>
    </cfRule>
  </conditionalFormatting>
  <conditionalFormatting sqref="AM50 AJ50 AA50 H50:I50 O50 AD50 F50 X50 AG50 R50 L50 C50 U50">
    <cfRule type="expression" dxfId="8" priority="844">
      <formula>#REF! ="50≠51+53"</formula>
    </cfRule>
  </conditionalFormatting>
  <conditionalFormatting sqref="AM54 AJ54 AA54 H54:I54 O54 AD54 F54 X54 AG54 R54 L54 C54 U54">
    <cfRule type="expression" dxfId="7" priority="845">
      <formula>#REF! ="54≠55+56+57+58+59"</formula>
    </cfRule>
  </conditionalFormatting>
  <conditionalFormatting sqref="AM60 AJ60 AA60 H60:I60 O60 AD60 F60 X60 AG60 R60 L60 C60 U60">
    <cfRule type="expression" dxfId="6" priority="846">
      <formula>#REF! ="60≠48+49+50+54"</formula>
    </cfRule>
  </conditionalFormatting>
  <conditionalFormatting sqref="AM62 AJ62 AA62 H62 O62 AD62 F62 X62 AG62 R62 L62 C62 U62">
    <cfRule type="expression" dxfId="5" priority="847">
      <formula>#REF! ="62≠45+46+60+61"</formula>
    </cfRule>
  </conditionalFormatting>
  <conditionalFormatting sqref="AM64 AJ64 AA64 H64 O64 AD64 F64 X64 AG64 R64 L64 C64 U64">
    <cfRule type="expression" dxfId="4" priority="848">
      <formula>#REF! ="64≠29+62"</formula>
    </cfRule>
  </conditionalFormatting>
  <conditionalFormatting sqref="AM79 AJ79 AA79 H79:I79 O79 AD79 F79 X79 AG79 R79 L79 C79 U79">
    <cfRule type="expression" dxfId="3" priority="849">
      <formula>#REF! ="80≠73+74+75+76+77+78+79"</formula>
    </cfRule>
  </conditionalFormatting>
  <conditionalFormatting sqref="AM85 AJ85 AA85 H85:I85 O85 AD85 F85 X85 AG85 R85 L85 C85 U85">
    <cfRule type="expression" dxfId="2" priority="850">
      <formula>#REF! ="88≠82+83+84+85+86+87"</formula>
    </cfRule>
  </conditionalFormatting>
  <conditionalFormatting sqref="AM91 AJ91 AA91 H91:I91 O91 AD91 F91 X91 AG91 R91 L91 C91 U91">
    <cfRule type="expression" dxfId="1" priority="851">
      <formula>#REF! = "64≠94"</formula>
    </cfRule>
  </conditionalFormatting>
  <conditionalFormatting sqref="AM91 AJ91 AA91 H91:I91 O91 AD91 F91 X91 AG91 R91 L91 C91 U91">
    <cfRule type="expression" dxfId="0" priority="852">
      <formula>#REF! = "94≠68+69+71+80+88+89+90+91+92"</formula>
    </cfRule>
  </conditionalFormatting>
  <hyperlinks>
    <hyperlink ref="B1" location="Innhold!A1" display="Tilbake" xr:uid="{00000000-0004-0000-22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49ECC-34D8-449C-A45F-BABDDACF2022}">
  <dimension ref="A1:BB18"/>
  <sheetViews>
    <sheetView showGridLines="0" zoomScale="70" zoomScaleNormal="70" workbookViewId="0">
      <pane xSplit="1" ySplit="8" topLeftCell="B9" activePane="bottomRight" state="frozen"/>
      <selection pane="topRight" activeCell="B1" sqref="B1"/>
      <selection pane="bottomLeft" activeCell="A9" sqref="A9"/>
      <selection pane="bottomRight" activeCell="A4" sqref="A4"/>
    </sheetView>
  </sheetViews>
  <sheetFormatPr baseColWidth="10" defaultColWidth="11.42578125" defaultRowHeight="12.75" x14ac:dyDescent="0.2"/>
  <cols>
    <col min="1" max="1" width="62" style="624" customWidth="1"/>
    <col min="2" max="37" width="11.7109375" style="624" customWidth="1"/>
    <col min="38" max="256" width="11.42578125" style="624"/>
    <col min="257" max="257" width="62" style="624" customWidth="1"/>
    <col min="258" max="293" width="11.7109375" style="624" customWidth="1"/>
    <col min="294" max="512" width="11.42578125" style="624"/>
    <col min="513" max="513" width="62" style="624" customWidth="1"/>
    <col min="514" max="549" width="11.7109375" style="624" customWidth="1"/>
    <col min="550" max="768" width="11.42578125" style="624"/>
    <col min="769" max="769" width="62" style="624" customWidth="1"/>
    <col min="770" max="805" width="11.7109375" style="624" customWidth="1"/>
    <col min="806" max="1024" width="11.42578125" style="624"/>
    <col min="1025" max="1025" width="62" style="624" customWidth="1"/>
    <col min="1026" max="1061" width="11.7109375" style="624" customWidth="1"/>
    <col min="1062" max="1280" width="11.42578125" style="624"/>
    <col min="1281" max="1281" width="62" style="624" customWidth="1"/>
    <col min="1282" max="1317" width="11.7109375" style="624" customWidth="1"/>
    <col min="1318" max="1536" width="11.42578125" style="624"/>
    <col min="1537" max="1537" width="62" style="624" customWidth="1"/>
    <col min="1538" max="1573" width="11.7109375" style="624" customWidth="1"/>
    <col min="1574" max="1792" width="11.42578125" style="624"/>
    <col min="1793" max="1793" width="62" style="624" customWidth="1"/>
    <col min="1794" max="1829" width="11.7109375" style="624" customWidth="1"/>
    <col min="1830" max="2048" width="11.42578125" style="624"/>
    <col min="2049" max="2049" width="62" style="624" customWidth="1"/>
    <col min="2050" max="2085" width="11.7109375" style="624" customWidth="1"/>
    <col min="2086" max="2304" width="11.42578125" style="624"/>
    <col min="2305" max="2305" width="62" style="624" customWidth="1"/>
    <col min="2306" max="2341" width="11.7109375" style="624" customWidth="1"/>
    <col min="2342" max="2560" width="11.42578125" style="624"/>
    <col min="2561" max="2561" width="62" style="624" customWidth="1"/>
    <col min="2562" max="2597" width="11.7109375" style="624" customWidth="1"/>
    <col min="2598" max="2816" width="11.42578125" style="624"/>
    <col min="2817" max="2817" width="62" style="624" customWidth="1"/>
    <col min="2818" max="2853" width="11.7109375" style="624" customWidth="1"/>
    <col min="2854" max="3072" width="11.42578125" style="624"/>
    <col min="3073" max="3073" width="62" style="624" customWidth="1"/>
    <col min="3074" max="3109" width="11.7109375" style="624" customWidth="1"/>
    <col min="3110" max="3328" width="11.42578125" style="624"/>
    <col min="3329" max="3329" width="62" style="624" customWidth="1"/>
    <col min="3330" max="3365" width="11.7109375" style="624" customWidth="1"/>
    <col min="3366" max="3584" width="11.42578125" style="624"/>
    <col min="3585" max="3585" width="62" style="624" customWidth="1"/>
    <col min="3586" max="3621" width="11.7109375" style="624" customWidth="1"/>
    <col min="3622" max="3840" width="11.42578125" style="624"/>
    <col min="3841" max="3841" width="62" style="624" customWidth="1"/>
    <col min="3842" max="3877" width="11.7109375" style="624" customWidth="1"/>
    <col min="3878" max="4096" width="11.42578125" style="624"/>
    <col min="4097" max="4097" width="62" style="624" customWidth="1"/>
    <col min="4098" max="4133" width="11.7109375" style="624" customWidth="1"/>
    <col min="4134" max="4352" width="11.42578125" style="624"/>
    <col min="4353" max="4353" width="62" style="624" customWidth="1"/>
    <col min="4354" max="4389" width="11.7109375" style="624" customWidth="1"/>
    <col min="4390" max="4608" width="11.42578125" style="624"/>
    <col min="4609" max="4609" width="62" style="624" customWidth="1"/>
    <col min="4610" max="4645" width="11.7109375" style="624" customWidth="1"/>
    <col min="4646" max="4864" width="11.42578125" style="624"/>
    <col min="4865" max="4865" width="62" style="624" customWidth="1"/>
    <col min="4866" max="4901" width="11.7109375" style="624" customWidth="1"/>
    <col min="4902" max="5120" width="11.42578125" style="624"/>
    <col min="5121" max="5121" width="62" style="624" customWidth="1"/>
    <col min="5122" max="5157" width="11.7109375" style="624" customWidth="1"/>
    <col min="5158" max="5376" width="11.42578125" style="624"/>
    <col min="5377" max="5377" width="62" style="624" customWidth="1"/>
    <col min="5378" max="5413" width="11.7109375" style="624" customWidth="1"/>
    <col min="5414" max="5632" width="11.42578125" style="624"/>
    <col min="5633" max="5633" width="62" style="624" customWidth="1"/>
    <col min="5634" max="5669" width="11.7109375" style="624" customWidth="1"/>
    <col min="5670" max="5888" width="11.42578125" style="624"/>
    <col min="5889" max="5889" width="62" style="624" customWidth="1"/>
    <col min="5890" max="5925" width="11.7109375" style="624" customWidth="1"/>
    <col min="5926" max="6144" width="11.42578125" style="624"/>
    <col min="6145" max="6145" width="62" style="624" customWidth="1"/>
    <col min="6146" max="6181" width="11.7109375" style="624" customWidth="1"/>
    <col min="6182" max="6400" width="11.42578125" style="624"/>
    <col min="6401" max="6401" width="62" style="624" customWidth="1"/>
    <col min="6402" max="6437" width="11.7109375" style="624" customWidth="1"/>
    <col min="6438" max="6656" width="11.42578125" style="624"/>
    <col min="6657" max="6657" width="62" style="624" customWidth="1"/>
    <col min="6658" max="6693" width="11.7109375" style="624" customWidth="1"/>
    <col min="6694" max="6912" width="11.42578125" style="624"/>
    <col min="6913" max="6913" width="62" style="624" customWidth="1"/>
    <col min="6914" max="6949" width="11.7109375" style="624" customWidth="1"/>
    <col min="6950" max="7168" width="11.42578125" style="624"/>
    <col min="7169" max="7169" width="62" style="624" customWidth="1"/>
    <col min="7170" max="7205" width="11.7109375" style="624" customWidth="1"/>
    <col min="7206" max="7424" width="11.42578125" style="624"/>
    <col min="7425" max="7425" width="62" style="624" customWidth="1"/>
    <col min="7426" max="7461" width="11.7109375" style="624" customWidth="1"/>
    <col min="7462" max="7680" width="11.42578125" style="624"/>
    <col min="7681" max="7681" width="62" style="624" customWidth="1"/>
    <col min="7682" max="7717" width="11.7109375" style="624" customWidth="1"/>
    <col min="7718" max="7936" width="11.42578125" style="624"/>
    <col min="7937" max="7937" width="62" style="624" customWidth="1"/>
    <col min="7938" max="7973" width="11.7109375" style="624" customWidth="1"/>
    <col min="7974" max="8192" width="11.42578125" style="624"/>
    <col min="8193" max="8193" width="62" style="624" customWidth="1"/>
    <col min="8194" max="8229" width="11.7109375" style="624" customWidth="1"/>
    <col min="8230" max="8448" width="11.42578125" style="624"/>
    <col min="8449" max="8449" width="62" style="624" customWidth="1"/>
    <col min="8450" max="8485" width="11.7109375" style="624" customWidth="1"/>
    <col min="8486" max="8704" width="11.42578125" style="624"/>
    <col min="8705" max="8705" width="62" style="624" customWidth="1"/>
    <col min="8706" max="8741" width="11.7109375" style="624" customWidth="1"/>
    <col min="8742" max="8960" width="11.42578125" style="624"/>
    <col min="8961" max="8961" width="62" style="624" customWidth="1"/>
    <col min="8962" max="8997" width="11.7109375" style="624" customWidth="1"/>
    <col min="8998" max="9216" width="11.42578125" style="624"/>
    <col min="9217" max="9217" width="62" style="624" customWidth="1"/>
    <col min="9218" max="9253" width="11.7109375" style="624" customWidth="1"/>
    <col min="9254" max="9472" width="11.42578125" style="624"/>
    <col min="9473" max="9473" width="62" style="624" customWidth="1"/>
    <col min="9474" max="9509" width="11.7109375" style="624" customWidth="1"/>
    <col min="9510" max="9728" width="11.42578125" style="624"/>
    <col min="9729" max="9729" width="62" style="624" customWidth="1"/>
    <col min="9730" max="9765" width="11.7109375" style="624" customWidth="1"/>
    <col min="9766" max="9984" width="11.42578125" style="624"/>
    <col min="9985" max="9985" width="62" style="624" customWidth="1"/>
    <col min="9986" max="10021" width="11.7109375" style="624" customWidth="1"/>
    <col min="10022" max="10240" width="11.42578125" style="624"/>
    <col min="10241" max="10241" width="62" style="624" customWidth="1"/>
    <col min="10242" max="10277" width="11.7109375" style="624" customWidth="1"/>
    <col min="10278" max="10496" width="11.42578125" style="624"/>
    <col min="10497" max="10497" width="62" style="624" customWidth="1"/>
    <col min="10498" max="10533" width="11.7109375" style="624" customWidth="1"/>
    <col min="10534" max="10752" width="11.42578125" style="624"/>
    <col min="10753" max="10753" width="62" style="624" customWidth="1"/>
    <col min="10754" max="10789" width="11.7109375" style="624" customWidth="1"/>
    <col min="10790" max="11008" width="11.42578125" style="624"/>
    <col min="11009" max="11009" width="62" style="624" customWidth="1"/>
    <col min="11010" max="11045" width="11.7109375" style="624" customWidth="1"/>
    <col min="11046" max="11264" width="11.42578125" style="624"/>
    <col min="11265" max="11265" width="62" style="624" customWidth="1"/>
    <col min="11266" max="11301" width="11.7109375" style="624" customWidth="1"/>
    <col min="11302" max="11520" width="11.42578125" style="624"/>
    <col min="11521" max="11521" width="62" style="624" customWidth="1"/>
    <col min="11522" max="11557" width="11.7109375" style="624" customWidth="1"/>
    <col min="11558" max="11776" width="11.42578125" style="624"/>
    <col min="11777" max="11777" width="62" style="624" customWidth="1"/>
    <col min="11778" max="11813" width="11.7109375" style="624" customWidth="1"/>
    <col min="11814" max="12032" width="11.42578125" style="624"/>
    <col min="12033" max="12033" width="62" style="624" customWidth="1"/>
    <col min="12034" max="12069" width="11.7109375" style="624" customWidth="1"/>
    <col min="12070" max="12288" width="11.42578125" style="624"/>
    <col min="12289" max="12289" width="62" style="624" customWidth="1"/>
    <col min="12290" max="12325" width="11.7109375" style="624" customWidth="1"/>
    <col min="12326" max="12544" width="11.42578125" style="624"/>
    <col min="12545" max="12545" width="62" style="624" customWidth="1"/>
    <col min="12546" max="12581" width="11.7109375" style="624" customWidth="1"/>
    <col min="12582" max="12800" width="11.42578125" style="624"/>
    <col min="12801" max="12801" width="62" style="624" customWidth="1"/>
    <col min="12802" max="12837" width="11.7109375" style="624" customWidth="1"/>
    <col min="12838" max="13056" width="11.42578125" style="624"/>
    <col min="13057" max="13057" width="62" style="624" customWidth="1"/>
    <col min="13058" max="13093" width="11.7109375" style="624" customWidth="1"/>
    <col min="13094" max="13312" width="11.42578125" style="624"/>
    <col min="13313" max="13313" width="62" style="624" customWidth="1"/>
    <col min="13314" max="13349" width="11.7109375" style="624" customWidth="1"/>
    <col min="13350" max="13568" width="11.42578125" style="624"/>
    <col min="13569" max="13569" width="62" style="624" customWidth="1"/>
    <col min="13570" max="13605" width="11.7109375" style="624" customWidth="1"/>
    <col min="13606" max="13824" width="11.42578125" style="624"/>
    <col min="13825" max="13825" width="62" style="624" customWidth="1"/>
    <col min="13826" max="13861" width="11.7109375" style="624" customWidth="1"/>
    <col min="13862" max="14080" width="11.42578125" style="624"/>
    <col min="14081" max="14081" width="62" style="624" customWidth="1"/>
    <col min="14082" max="14117" width="11.7109375" style="624" customWidth="1"/>
    <col min="14118" max="14336" width="11.42578125" style="624"/>
    <col min="14337" max="14337" width="62" style="624" customWidth="1"/>
    <col min="14338" max="14373" width="11.7109375" style="624" customWidth="1"/>
    <col min="14374" max="14592" width="11.42578125" style="624"/>
    <col min="14593" max="14593" width="62" style="624" customWidth="1"/>
    <col min="14594" max="14629" width="11.7109375" style="624" customWidth="1"/>
    <col min="14630" max="14848" width="11.42578125" style="624"/>
    <col min="14849" max="14849" width="62" style="624" customWidth="1"/>
    <col min="14850" max="14885" width="11.7109375" style="624" customWidth="1"/>
    <col min="14886" max="15104" width="11.42578125" style="624"/>
    <col min="15105" max="15105" width="62" style="624" customWidth="1"/>
    <col min="15106" max="15141" width="11.7109375" style="624" customWidth="1"/>
    <col min="15142" max="15360" width="11.42578125" style="624"/>
    <col min="15361" max="15361" width="62" style="624" customWidth="1"/>
    <col min="15362" max="15397" width="11.7109375" style="624" customWidth="1"/>
    <col min="15398" max="15616" width="11.42578125" style="624"/>
    <col min="15617" max="15617" width="62" style="624" customWidth="1"/>
    <col min="15618" max="15653" width="11.7109375" style="624" customWidth="1"/>
    <col min="15654" max="15872" width="11.42578125" style="624"/>
    <col min="15873" max="15873" width="62" style="624" customWidth="1"/>
    <col min="15874" max="15909" width="11.7109375" style="624" customWidth="1"/>
    <col min="15910" max="16128" width="11.42578125" style="624"/>
    <col min="16129" max="16129" width="62" style="624" customWidth="1"/>
    <col min="16130" max="16165" width="11.7109375" style="624" customWidth="1"/>
    <col min="16166" max="16384" width="11.42578125" style="624"/>
  </cols>
  <sheetData>
    <row r="1" spans="1:54" ht="20.25" x14ac:dyDescent="0.3">
      <c r="A1" s="622" t="s">
        <v>173</v>
      </c>
      <c r="B1" s="623" t="s">
        <v>52</v>
      </c>
      <c r="AL1" s="625"/>
    </row>
    <row r="2" spans="1:54" ht="20.25" x14ac:dyDescent="0.3">
      <c r="A2" s="622" t="s">
        <v>271</v>
      </c>
      <c r="AL2" s="625"/>
    </row>
    <row r="3" spans="1:54" ht="18.75" x14ac:dyDescent="0.3">
      <c r="A3" s="626" t="s">
        <v>339</v>
      </c>
      <c r="AL3" s="625"/>
    </row>
    <row r="4" spans="1:54" ht="18.75" x14ac:dyDescent="0.3">
      <c r="A4" s="627" t="s">
        <v>419</v>
      </c>
      <c r="B4" s="628"/>
      <c r="C4" s="629"/>
      <c r="D4" s="630"/>
      <c r="E4" s="628"/>
      <c r="F4" s="629"/>
      <c r="G4" s="630"/>
      <c r="H4" s="629"/>
      <c r="I4" s="629"/>
      <c r="J4" s="630"/>
      <c r="K4" s="629"/>
      <c r="L4" s="629"/>
      <c r="M4" s="630"/>
      <c r="N4" s="628"/>
      <c r="O4" s="629"/>
      <c r="P4" s="630"/>
      <c r="Q4" s="628"/>
      <c r="R4" s="629"/>
      <c r="S4" s="630"/>
      <c r="T4" s="628"/>
      <c r="U4" s="629"/>
      <c r="V4" s="630"/>
      <c r="W4" s="628"/>
      <c r="X4" s="629"/>
      <c r="Y4" s="630"/>
      <c r="Z4" s="628"/>
      <c r="AA4" s="629"/>
      <c r="AB4" s="630"/>
      <c r="AC4" s="628"/>
      <c r="AD4" s="629"/>
      <c r="AE4" s="630"/>
      <c r="AF4" s="628"/>
      <c r="AG4" s="629"/>
      <c r="AH4" s="630"/>
      <c r="AI4" s="628"/>
      <c r="AJ4" s="631"/>
      <c r="AK4" s="630"/>
      <c r="AL4" s="632"/>
      <c r="AM4" s="633"/>
      <c r="AN4" s="633"/>
      <c r="AO4" s="633"/>
      <c r="AP4" s="633"/>
      <c r="AQ4" s="633"/>
      <c r="AR4" s="633"/>
      <c r="AS4" s="633"/>
      <c r="AT4" s="633"/>
      <c r="AU4" s="633"/>
      <c r="AV4" s="633"/>
      <c r="AW4" s="633"/>
      <c r="AX4" s="633"/>
      <c r="AY4" s="633"/>
      <c r="AZ4" s="633"/>
      <c r="BA4" s="633"/>
      <c r="BB4" s="633"/>
    </row>
    <row r="5" spans="1:54" ht="18.75" x14ac:dyDescent="0.3">
      <c r="A5" s="634"/>
      <c r="B5" s="769" t="s">
        <v>176</v>
      </c>
      <c r="C5" s="770"/>
      <c r="D5" s="771"/>
      <c r="E5" s="769" t="s">
        <v>177</v>
      </c>
      <c r="F5" s="770"/>
      <c r="G5" s="771"/>
      <c r="H5" s="770"/>
      <c r="I5" s="770"/>
      <c r="J5" s="771"/>
      <c r="K5" s="770" t="s">
        <v>178</v>
      </c>
      <c r="L5" s="770"/>
      <c r="M5" s="771"/>
      <c r="N5" s="769" t="s">
        <v>179</v>
      </c>
      <c r="O5" s="770"/>
      <c r="P5" s="771"/>
      <c r="Q5" s="702" t="s">
        <v>180</v>
      </c>
      <c r="R5" s="703"/>
      <c r="S5" s="704"/>
      <c r="T5" s="769" t="s">
        <v>63</v>
      </c>
      <c r="U5" s="770"/>
      <c r="V5" s="771"/>
      <c r="W5" s="676"/>
      <c r="X5" s="677"/>
      <c r="Y5" s="678"/>
      <c r="Z5" s="769" t="s">
        <v>181</v>
      </c>
      <c r="AA5" s="770"/>
      <c r="AB5" s="771"/>
      <c r="AC5" s="769"/>
      <c r="AD5" s="770"/>
      <c r="AE5" s="771"/>
      <c r="AF5" s="769" t="s">
        <v>73</v>
      </c>
      <c r="AG5" s="770"/>
      <c r="AH5" s="771"/>
      <c r="AI5" s="772" t="s">
        <v>289</v>
      </c>
      <c r="AJ5" s="773"/>
      <c r="AK5" s="774"/>
      <c r="AM5" s="635"/>
      <c r="AN5" s="762"/>
      <c r="AO5" s="762"/>
      <c r="AP5" s="762"/>
      <c r="AQ5" s="762"/>
      <c r="AR5" s="762"/>
      <c r="AS5" s="762"/>
      <c r="AT5" s="762"/>
      <c r="AU5" s="762"/>
      <c r="AV5" s="762"/>
      <c r="AW5" s="762"/>
      <c r="AX5" s="762"/>
      <c r="AY5" s="762"/>
      <c r="AZ5" s="762"/>
      <c r="BA5" s="762"/>
      <c r="BB5" s="762"/>
    </row>
    <row r="6" spans="1:54" ht="18.75" x14ac:dyDescent="0.3">
      <c r="A6" s="636"/>
      <c r="B6" s="763" t="s">
        <v>182</v>
      </c>
      <c r="C6" s="764"/>
      <c r="D6" s="765"/>
      <c r="E6" s="763" t="s">
        <v>183</v>
      </c>
      <c r="F6" s="764"/>
      <c r="G6" s="765"/>
      <c r="H6" s="764" t="s">
        <v>410</v>
      </c>
      <c r="I6" s="764"/>
      <c r="J6" s="765"/>
      <c r="K6" s="764" t="s">
        <v>183</v>
      </c>
      <c r="L6" s="764"/>
      <c r="M6" s="765"/>
      <c r="N6" s="763" t="s">
        <v>184</v>
      </c>
      <c r="O6" s="764"/>
      <c r="P6" s="765"/>
      <c r="Q6" s="763" t="s">
        <v>63</v>
      </c>
      <c r="R6" s="764"/>
      <c r="S6" s="765"/>
      <c r="T6" s="763" t="s">
        <v>185</v>
      </c>
      <c r="U6" s="764"/>
      <c r="V6" s="765"/>
      <c r="W6" s="763" t="s">
        <v>66</v>
      </c>
      <c r="X6" s="764"/>
      <c r="Y6" s="765"/>
      <c r="Z6" s="763" t="s">
        <v>182</v>
      </c>
      <c r="AA6" s="764"/>
      <c r="AB6" s="765"/>
      <c r="AC6" s="763" t="s">
        <v>68</v>
      </c>
      <c r="AD6" s="764"/>
      <c r="AE6" s="765"/>
      <c r="AF6" s="763" t="s">
        <v>183</v>
      </c>
      <c r="AG6" s="764"/>
      <c r="AH6" s="765"/>
      <c r="AI6" s="766" t="s">
        <v>290</v>
      </c>
      <c r="AJ6" s="767"/>
      <c r="AK6" s="768"/>
      <c r="AM6" s="635"/>
      <c r="AN6" s="762"/>
      <c r="AO6" s="762"/>
      <c r="AP6" s="762"/>
      <c r="AQ6" s="762"/>
      <c r="AR6" s="762"/>
      <c r="AS6" s="762"/>
      <c r="AT6" s="762"/>
      <c r="AU6" s="762"/>
      <c r="AV6" s="762"/>
      <c r="AW6" s="762"/>
      <c r="AX6" s="762"/>
      <c r="AY6" s="762"/>
      <c r="AZ6" s="762"/>
      <c r="BA6" s="762"/>
      <c r="BB6" s="762"/>
    </row>
    <row r="7" spans="1:54" ht="18.75" x14ac:dyDescent="0.3">
      <c r="A7" s="636"/>
      <c r="B7" s="637"/>
      <c r="C7" s="637"/>
      <c r="D7" s="638" t="s">
        <v>81</v>
      </c>
      <c r="E7" s="637"/>
      <c r="F7" s="637"/>
      <c r="G7" s="638" t="s">
        <v>81</v>
      </c>
      <c r="H7" s="637"/>
      <c r="I7" s="637"/>
      <c r="J7" s="638" t="s">
        <v>81</v>
      </c>
      <c r="K7" s="637"/>
      <c r="L7" s="637"/>
      <c r="M7" s="638" t="s">
        <v>81</v>
      </c>
      <c r="N7" s="637"/>
      <c r="O7" s="637"/>
      <c r="P7" s="638" t="s">
        <v>81</v>
      </c>
      <c r="Q7" s="637"/>
      <c r="R7" s="637"/>
      <c r="S7" s="638" t="s">
        <v>81</v>
      </c>
      <c r="T7" s="637"/>
      <c r="U7" s="637"/>
      <c r="V7" s="638" t="s">
        <v>81</v>
      </c>
      <c r="W7" s="637"/>
      <c r="X7" s="637"/>
      <c r="Y7" s="638" t="s">
        <v>81</v>
      </c>
      <c r="Z7" s="637"/>
      <c r="AA7" s="637"/>
      <c r="AB7" s="638" t="s">
        <v>81</v>
      </c>
      <c r="AC7" s="637"/>
      <c r="AD7" s="637"/>
      <c r="AE7" s="638" t="s">
        <v>81</v>
      </c>
      <c r="AF7" s="637"/>
      <c r="AG7" s="637"/>
      <c r="AH7" s="638" t="s">
        <v>81</v>
      </c>
      <c r="AI7" s="637"/>
      <c r="AJ7" s="637"/>
      <c r="AK7" s="638" t="s">
        <v>81</v>
      </c>
      <c r="AM7" s="635"/>
      <c r="AN7" s="635"/>
      <c r="AO7" s="635"/>
      <c r="AP7" s="635"/>
      <c r="AQ7" s="635"/>
      <c r="AR7" s="635"/>
      <c r="AS7" s="635"/>
      <c r="AT7" s="635"/>
      <c r="AU7" s="635"/>
      <c r="AV7" s="635"/>
      <c r="AW7" s="635"/>
      <c r="AX7" s="635"/>
      <c r="AY7" s="635"/>
      <c r="AZ7" s="635"/>
      <c r="BA7" s="635"/>
      <c r="BB7" s="635"/>
    </row>
    <row r="8" spans="1:54" ht="15.75" x14ac:dyDescent="0.25">
      <c r="A8" s="639" t="s">
        <v>292</v>
      </c>
      <c r="B8" s="640">
        <v>2019</v>
      </c>
      <c r="C8" s="640">
        <v>2020</v>
      </c>
      <c r="D8" s="641" t="s">
        <v>83</v>
      </c>
      <c r="E8" s="640">
        <v>2019</v>
      </c>
      <c r="F8" s="640">
        <v>2020</v>
      </c>
      <c r="G8" s="641" t="s">
        <v>83</v>
      </c>
      <c r="H8" s="640">
        <v>2019</v>
      </c>
      <c r="I8" s="640">
        <v>2020</v>
      </c>
      <c r="J8" s="641" t="s">
        <v>83</v>
      </c>
      <c r="K8" s="640">
        <v>2019</v>
      </c>
      <c r="L8" s="640">
        <v>2020</v>
      </c>
      <c r="M8" s="641" t="s">
        <v>83</v>
      </c>
      <c r="N8" s="640">
        <v>2019</v>
      </c>
      <c r="O8" s="640">
        <v>2020</v>
      </c>
      <c r="P8" s="641" t="s">
        <v>83</v>
      </c>
      <c r="Q8" s="640">
        <v>2019</v>
      </c>
      <c r="R8" s="640">
        <v>2020</v>
      </c>
      <c r="S8" s="641" t="s">
        <v>83</v>
      </c>
      <c r="T8" s="640">
        <v>2019</v>
      </c>
      <c r="U8" s="640">
        <v>2020</v>
      </c>
      <c r="V8" s="641" t="s">
        <v>83</v>
      </c>
      <c r="W8" s="640">
        <v>2019</v>
      </c>
      <c r="X8" s="640">
        <v>2020</v>
      </c>
      <c r="Y8" s="641" t="s">
        <v>83</v>
      </c>
      <c r="Z8" s="640">
        <v>2019</v>
      </c>
      <c r="AA8" s="640">
        <v>2020</v>
      </c>
      <c r="AB8" s="641" t="s">
        <v>83</v>
      </c>
      <c r="AC8" s="640">
        <v>2019</v>
      </c>
      <c r="AD8" s="640">
        <v>2020</v>
      </c>
      <c r="AE8" s="641" t="s">
        <v>83</v>
      </c>
      <c r="AF8" s="640">
        <v>2019</v>
      </c>
      <c r="AG8" s="640">
        <v>2020</v>
      </c>
      <c r="AH8" s="641" t="s">
        <v>83</v>
      </c>
      <c r="AI8" s="640">
        <v>2019</v>
      </c>
      <c r="AJ8" s="640">
        <v>2020</v>
      </c>
      <c r="AK8" s="641" t="s">
        <v>83</v>
      </c>
      <c r="AM8" s="642"/>
      <c r="AN8" s="643"/>
      <c r="AO8" s="643"/>
      <c r="AP8" s="642"/>
      <c r="AQ8" s="643"/>
      <c r="AR8" s="643"/>
      <c r="AS8" s="642"/>
      <c r="AT8" s="643"/>
      <c r="AU8" s="643"/>
      <c r="AV8" s="642"/>
      <c r="AW8" s="643"/>
      <c r="AX8" s="643"/>
      <c r="AY8" s="642"/>
      <c r="AZ8" s="643"/>
      <c r="BA8" s="643"/>
      <c r="BB8" s="642"/>
    </row>
    <row r="9" spans="1:54" s="599" customFormat="1" ht="18.75" x14ac:dyDescent="0.3">
      <c r="A9" s="644"/>
      <c r="B9" s="645"/>
      <c r="C9" s="646"/>
      <c r="D9" s="646"/>
      <c r="E9" s="689"/>
      <c r="F9" s="690"/>
      <c r="G9" s="600"/>
      <c r="H9" s="647"/>
      <c r="I9" s="600"/>
      <c r="J9" s="600"/>
      <c r="K9" s="647"/>
      <c r="L9" s="690"/>
      <c r="M9" s="600"/>
      <c r="N9" s="648"/>
      <c r="O9" s="600"/>
      <c r="P9" s="600"/>
      <c r="Q9" s="647"/>
      <c r="R9" s="690"/>
      <c r="S9" s="600"/>
      <c r="T9" s="648"/>
      <c r="U9" s="690"/>
      <c r="V9" s="600"/>
      <c r="W9" s="648"/>
      <c r="X9" s="600"/>
      <c r="Y9" s="600"/>
      <c r="Z9" s="647"/>
      <c r="AA9" s="600"/>
      <c r="AB9" s="600"/>
      <c r="AC9" s="647"/>
      <c r="AD9" s="600"/>
      <c r="AE9" s="600"/>
      <c r="AF9" s="647"/>
      <c r="AG9" s="600"/>
      <c r="AH9" s="600"/>
      <c r="AI9" s="646"/>
      <c r="AJ9" s="646"/>
      <c r="AK9" s="646"/>
    </row>
    <row r="10" spans="1:54" s="599" customFormat="1" ht="18.75" x14ac:dyDescent="0.3">
      <c r="A10" s="649" t="s">
        <v>411</v>
      </c>
      <c r="B10" s="647"/>
      <c r="C10" s="690"/>
      <c r="D10" s="600"/>
      <c r="E10" s="689"/>
      <c r="F10" s="690"/>
      <c r="G10" s="600"/>
      <c r="H10" s="600"/>
      <c r="I10" s="600"/>
      <c r="J10" s="600"/>
      <c r="K10" s="647"/>
      <c r="L10" s="690"/>
      <c r="M10" s="600"/>
      <c r="N10" s="648"/>
      <c r="O10" s="600"/>
      <c r="P10" s="600"/>
      <c r="Q10" s="647"/>
      <c r="R10" s="690"/>
      <c r="S10" s="600"/>
      <c r="T10" s="648"/>
      <c r="U10" s="690"/>
      <c r="V10" s="600"/>
      <c r="W10" s="648"/>
      <c r="X10" s="600"/>
      <c r="Y10" s="600"/>
      <c r="Z10" s="648"/>
      <c r="AA10" s="600"/>
      <c r="AB10" s="600"/>
      <c r="AC10" s="648"/>
      <c r="AD10" s="600"/>
      <c r="AE10" s="600"/>
      <c r="AF10" s="648"/>
      <c r="AG10" s="600"/>
      <c r="AH10" s="600"/>
      <c r="AI10" s="600"/>
      <c r="AJ10" s="600"/>
      <c r="AK10" s="601"/>
    </row>
    <row r="11" spans="1:54" ht="22.5" x14ac:dyDescent="0.3">
      <c r="A11" s="649" t="s">
        <v>412</v>
      </c>
      <c r="B11" s="647">
        <v>0.66</v>
      </c>
      <c r="C11" s="690">
        <v>1</v>
      </c>
      <c r="D11" s="601">
        <f>IF(B11=0, "    ---- ", IF(ABS(ROUND(100/B11*C11-100,1))&lt;999,ROUND(100/B11*C11-100,1),IF(ROUND(100/B11*C11-100,1)&gt;999,999,-999)))</f>
        <v>51.5</v>
      </c>
      <c r="E11" s="689">
        <v>1.97</v>
      </c>
      <c r="F11" s="690">
        <v>-0.08</v>
      </c>
      <c r="G11" s="601">
        <f>IF(E11=0, "    ---- ", IF(ABS(ROUND(100/E11*F11-100,1))&lt;999,ROUND(100/E11*F11-100,1),IF(ROUND(100/E11*F11-100,1)&gt;999,999,-999)))</f>
        <v>-104.1</v>
      </c>
      <c r="H11" s="600"/>
      <c r="I11" s="600">
        <v>-0.82</v>
      </c>
      <c r="J11" s="600"/>
      <c r="K11" s="647"/>
      <c r="L11" s="690"/>
      <c r="M11" s="600"/>
      <c r="N11" s="648">
        <v>2.2999999999999998</v>
      </c>
      <c r="O11" s="600">
        <v>0.84799999999999998</v>
      </c>
      <c r="P11" s="600"/>
      <c r="Q11" s="647">
        <v>2.0299999999999998</v>
      </c>
      <c r="R11" s="690">
        <v>1.9319978069209931</v>
      </c>
      <c r="S11" s="600"/>
      <c r="T11" s="648">
        <v>1.62</v>
      </c>
      <c r="U11" s="690">
        <v>0.53</v>
      </c>
      <c r="V11" s="600"/>
      <c r="W11" s="648">
        <v>1.6</v>
      </c>
      <c r="X11" s="600">
        <v>0.9</v>
      </c>
      <c r="Y11" s="600"/>
      <c r="Z11" s="648">
        <v>0.9</v>
      </c>
      <c r="AA11" s="600">
        <v>1.8</v>
      </c>
      <c r="AB11" s="600"/>
      <c r="AC11" s="648">
        <v>5.1649486562380202</v>
      </c>
      <c r="AD11" s="600">
        <v>-0.68339795512937196</v>
      </c>
      <c r="AE11" s="600"/>
      <c r="AF11" s="648">
        <v>1.73</v>
      </c>
      <c r="AG11" s="600">
        <v>1.74</v>
      </c>
      <c r="AH11" s="600"/>
      <c r="AI11" s="601"/>
      <c r="AJ11" s="601"/>
      <c r="AK11" s="601"/>
    </row>
    <row r="12" spans="1:54" ht="18.75" x14ac:dyDescent="0.3">
      <c r="A12" s="649" t="s">
        <v>413</v>
      </c>
      <c r="B12" s="647">
        <v>3.02</v>
      </c>
      <c r="C12" s="690">
        <v>2.66</v>
      </c>
      <c r="D12" s="601">
        <f>IF(B12=0, "    ---- ", IF(ABS(ROUND(100/B12*C12-100,1))&lt;999,ROUND(100/B12*C12-100,1),IF(ROUND(100/B12*C12-100,1)&gt;999,999,-999)))</f>
        <v>-11.9</v>
      </c>
      <c r="E12" s="689">
        <v>3.33</v>
      </c>
      <c r="F12" s="690">
        <v>-1.04</v>
      </c>
      <c r="G12" s="601">
        <f>IF(E12=0, "    ---- ", IF(ABS(ROUND(100/E12*F12-100,1))&lt;999,ROUND(100/E12*F12-100,1),IF(ROUND(100/E12*F12-100,1)&gt;999,999,-999)))</f>
        <v>-131.19999999999999</v>
      </c>
      <c r="H12" s="600"/>
      <c r="I12" s="600">
        <v>0.96</v>
      </c>
      <c r="J12" s="600"/>
      <c r="K12" s="647"/>
      <c r="L12" s="690"/>
      <c r="M12" s="600"/>
      <c r="N12" s="648">
        <v>2.14</v>
      </c>
      <c r="O12" s="600">
        <v>0.55000000000000004</v>
      </c>
      <c r="P12" s="600"/>
      <c r="Q12" s="647">
        <v>4.76</v>
      </c>
      <c r="R12" s="690">
        <v>-0.47684714841355058</v>
      </c>
      <c r="S12" s="600"/>
      <c r="T12" s="648">
        <v>2</v>
      </c>
      <c r="U12" s="690">
        <v>0.35</v>
      </c>
      <c r="V12" s="600"/>
      <c r="W12" s="648">
        <v>2.9</v>
      </c>
      <c r="X12" s="600">
        <v>0.7</v>
      </c>
      <c r="Y12" s="600"/>
      <c r="Z12" s="648">
        <v>5.36</v>
      </c>
      <c r="AA12" s="600">
        <v>0.84</v>
      </c>
      <c r="AB12" s="600"/>
      <c r="AC12" s="648">
        <v>7.7457188450108703</v>
      </c>
      <c r="AD12" s="600">
        <v>-4.93844914931507</v>
      </c>
      <c r="AE12" s="600"/>
      <c r="AF12" s="648">
        <v>3.27</v>
      </c>
      <c r="AG12" s="600">
        <v>2.7</v>
      </c>
      <c r="AH12" s="600"/>
      <c r="AI12" s="601"/>
      <c r="AJ12" s="601"/>
      <c r="AK12" s="601"/>
    </row>
    <row r="13" spans="1:54" ht="18.75" x14ac:dyDescent="0.3">
      <c r="A13" s="649"/>
      <c r="B13" s="647"/>
      <c r="C13" s="690"/>
      <c r="D13" s="600"/>
      <c r="E13" s="689"/>
      <c r="F13" s="690"/>
      <c r="G13" s="600"/>
      <c r="H13" s="600"/>
      <c r="I13" s="600"/>
      <c r="J13" s="600"/>
      <c r="K13" s="647"/>
      <c r="L13" s="690"/>
      <c r="M13" s="600"/>
      <c r="N13" s="648"/>
      <c r="O13" s="600"/>
      <c r="P13" s="600"/>
      <c r="Q13" s="647"/>
      <c r="R13" s="690"/>
      <c r="S13" s="600"/>
      <c r="T13" s="648"/>
      <c r="U13" s="690"/>
      <c r="V13" s="600"/>
      <c r="W13" s="648"/>
      <c r="X13" s="600"/>
      <c r="Y13" s="600"/>
      <c r="Z13" s="648"/>
      <c r="AA13" s="600"/>
      <c r="AB13" s="600"/>
      <c r="AC13" s="648"/>
      <c r="AD13" s="600"/>
      <c r="AE13" s="600"/>
      <c r="AF13" s="648"/>
      <c r="AG13" s="600"/>
      <c r="AH13" s="600"/>
      <c r="AI13" s="600"/>
      <c r="AJ13" s="600"/>
      <c r="AK13" s="600"/>
    </row>
    <row r="14" spans="1:54" ht="18.75" x14ac:dyDescent="0.3">
      <c r="A14" s="649" t="s">
        <v>414</v>
      </c>
      <c r="B14" s="647"/>
      <c r="C14" s="690"/>
      <c r="D14" s="601"/>
      <c r="E14" s="689">
        <v>24.44</v>
      </c>
      <c r="F14" s="690">
        <v>24.78</v>
      </c>
      <c r="G14" s="601">
        <f>IF(E14=0, "    ---- ", IF(ABS(ROUND(100/E14*F14-100,1))&lt;999,ROUND(100/E14*F14-100,1),IF(ROUND(100/E14*F14-100,1)&gt;999,999,-999)))</f>
        <v>1.4</v>
      </c>
      <c r="H14" s="600"/>
      <c r="I14" s="600">
        <v>37.39</v>
      </c>
      <c r="J14" s="601" t="str">
        <f>IF(H14=0, "    ---- ", IF(ABS(ROUND(100/H14*I14-100,1))&lt;999,ROUND(100/H14*I14-100,1),IF(ROUND(100/H14*I14-100,1)&gt;999,999,-999)))</f>
        <v xml:space="preserve">    ---- </v>
      </c>
      <c r="K14" s="647">
        <v>32.4</v>
      </c>
      <c r="L14" s="690">
        <v>42.5</v>
      </c>
      <c r="M14" s="601">
        <f>IF(K14=0, "    ---- ", IF(ABS(ROUND(100/K14*L14-100,1))&lt;999,ROUND(100/K14*L14-100,1),IF(ROUND(100/K14*L14-100,1)&gt;999,999,-999)))</f>
        <v>31.2</v>
      </c>
      <c r="N14" s="648">
        <v>18.86</v>
      </c>
      <c r="O14" s="600">
        <v>22.53</v>
      </c>
      <c r="P14" s="601">
        <f>IF(N14=0, "    ---- ", IF(ABS(ROUND(100/N14*O14-100,1))&lt;999,ROUND(100/N14*O14-100,1),IF(ROUND(100/N14*O14-100,1)&gt;999,999,-999)))</f>
        <v>19.5</v>
      </c>
      <c r="Q14" s="647">
        <v>29.564652262635764</v>
      </c>
      <c r="R14" s="690">
        <v>25.47</v>
      </c>
      <c r="S14" s="601">
        <f>IF(Q14=0, "    ---- ", IF(ABS(ROUND(100/Q14*R14-100,1))&lt;999,ROUND(100/Q14*R14-100,1),IF(ROUND(100/Q14*R14-100,1)&gt;999,999,-999)))</f>
        <v>-13.8</v>
      </c>
      <c r="T14" s="648">
        <v>41.6</v>
      </c>
      <c r="U14" s="690">
        <v>49.5</v>
      </c>
      <c r="V14" s="601">
        <f>IF(T14=0, "    ---- ", IF(ABS(ROUND(100/T14*U14-100,1))&lt;999,ROUND(100/T14*U14-100,1),IF(ROUND(100/T14*U14-100,1)&gt;999,999,-999)))</f>
        <v>19</v>
      </c>
      <c r="W14" s="648">
        <v>34.299999999999997</v>
      </c>
      <c r="X14" s="600">
        <v>38.4</v>
      </c>
      <c r="Y14" s="601">
        <f>IF(W14=0, "    ---- ", IF(ABS(ROUND(100/W14*X14-100,1))&lt;999,ROUND(100/W14*X14-100,1),IF(ROUND(100/W14*X14-100,1)&gt;999,999,-999)))</f>
        <v>12</v>
      </c>
      <c r="Z14" s="647">
        <f>(1430+7548+1240+7503+13188+795)/(64648+2963)*100</f>
        <v>46.891777965124021</v>
      </c>
      <c r="AA14" s="600">
        <f>(1430+8340+1240+7228+16013+1454)/(67484+1460)*100</f>
        <v>51.788407983290782</v>
      </c>
      <c r="AB14" s="601">
        <f>IF(Z14=0, "    ---- ", IF(ABS(ROUND(100/Z14*AA14-100,1))&lt;999,ROUND(100/Z14*AA14-100,1),IF(ROUND(100/Z14*AA14-100,1)&gt;999,999,-999)))</f>
        <v>10.4</v>
      </c>
      <c r="AC14" s="648">
        <v>40.637601522813654</v>
      </c>
      <c r="AD14" s="600">
        <f>('[2]Tabell 6'!AJ68+'[2]Tabell 6'!AJ69+'[2]Tabell 6'!AJ71+'[2]Tabell 6'!AJ74+'[2]Tabell 6'!AJ75+'[2]Tabell 6'!AJ78+791.983)/('[2]Tabell 6'!AJ79)*100</f>
        <v>47.804045071193961</v>
      </c>
      <c r="AE14" s="601">
        <f>IF(AC14=0, "    ---- ", IF(ABS(ROUND(100/AC14*AD14-100,1))&lt;999,ROUND(100/AC14*AD14-100,1),IF(ROUND(100/AC14*AD14-100,1)&gt;999,999,-999)))</f>
        <v>17.600000000000001</v>
      </c>
      <c r="AF14" s="648">
        <v>24.1</v>
      </c>
      <c r="AG14" s="600">
        <v>26.1</v>
      </c>
      <c r="AH14" s="601">
        <f>IF(AF14=0, "    ---- ", IF(ABS(ROUND(100/AF14*AG14-100,1))&lt;999,ROUND(100/AF14*AG14-100,1),IF(ROUND(100/AF14*AG14-100,1)&gt;999,999,-999)))</f>
        <v>8.3000000000000007</v>
      </c>
      <c r="AI14" s="601"/>
      <c r="AJ14" s="601"/>
      <c r="AK14" s="601"/>
    </row>
    <row r="15" spans="1:54" ht="18.75" x14ac:dyDescent="0.3">
      <c r="A15" s="649"/>
      <c r="B15" s="647"/>
      <c r="C15" s="690"/>
      <c r="D15" s="600"/>
      <c r="E15" s="689"/>
      <c r="F15" s="690"/>
      <c r="G15" s="600"/>
      <c r="H15" s="600"/>
      <c r="I15" s="600"/>
      <c r="J15" s="600"/>
      <c r="K15" s="647"/>
      <c r="L15" s="690"/>
      <c r="M15" s="600"/>
      <c r="N15" s="648"/>
      <c r="O15" s="600"/>
      <c r="P15" s="600"/>
      <c r="Q15" s="647"/>
      <c r="R15" s="690"/>
      <c r="S15" s="600"/>
      <c r="T15" s="648"/>
      <c r="U15" s="690"/>
      <c r="V15" s="600"/>
      <c r="W15" s="648"/>
      <c r="X15" s="600"/>
      <c r="Y15" s="600"/>
      <c r="Z15" s="648"/>
      <c r="AA15" s="600"/>
      <c r="AB15" s="600"/>
      <c r="AC15" s="648"/>
      <c r="AD15" s="600"/>
      <c r="AE15" s="600"/>
      <c r="AF15" s="648"/>
      <c r="AG15" s="600"/>
      <c r="AH15" s="600"/>
      <c r="AI15" s="600"/>
      <c r="AJ15" s="600"/>
      <c r="AK15" s="600"/>
    </row>
    <row r="16" spans="1:54" ht="18.75" x14ac:dyDescent="0.3">
      <c r="A16" s="649" t="s">
        <v>348</v>
      </c>
      <c r="B16" s="650">
        <v>45.917000000000002</v>
      </c>
      <c r="C16" s="691">
        <v>58.487000000000002</v>
      </c>
      <c r="D16" s="601">
        <f>IF(B16=0, "    ---- ", IF(ABS(ROUND(100/B16*C16-100,1))&lt;999,ROUND(100/B16*C16-100,1),IF(ROUND(100/B16*C16-100,1)&gt;999,999,-999)))</f>
        <v>27.4</v>
      </c>
      <c r="E16" s="692">
        <v>4273</v>
      </c>
      <c r="F16" s="691">
        <v>3682.6489999999999</v>
      </c>
      <c r="G16" s="601">
        <f>IF(E16=0, "    ---- ", IF(ABS(ROUND(100/E16*F16-100,1))&lt;999,ROUND(100/E16*F16-100,1),IF(ROUND(100/E16*F16-100,1)&gt;999,999,-999)))</f>
        <v>-13.8</v>
      </c>
      <c r="H16" s="601"/>
      <c r="I16" s="601">
        <v>126</v>
      </c>
      <c r="J16" s="601"/>
      <c r="K16" s="650"/>
      <c r="L16" s="691"/>
      <c r="M16" s="601"/>
      <c r="N16" s="651">
        <v>19.399999999999999</v>
      </c>
      <c r="O16" s="601">
        <v>1.0629999999999999</v>
      </c>
      <c r="P16" s="601"/>
      <c r="Q16" s="650">
        <v>48089.418101249998</v>
      </c>
      <c r="R16" s="691">
        <v>43109.966547000004</v>
      </c>
      <c r="S16" s="601"/>
      <c r="T16" s="651">
        <v>14</v>
      </c>
      <c r="U16" s="691">
        <v>16</v>
      </c>
      <c r="V16" s="601"/>
      <c r="W16" s="651">
        <v>1663</v>
      </c>
      <c r="X16" s="601">
        <v>1518</v>
      </c>
      <c r="Y16" s="601"/>
      <c r="Z16" s="651">
        <v>13188</v>
      </c>
      <c r="AA16" s="601">
        <v>16013</v>
      </c>
      <c r="AB16" s="601"/>
      <c r="AC16" s="651">
        <v>2121.049</v>
      </c>
      <c r="AD16" s="601">
        <v>2366.6179999999999</v>
      </c>
      <c r="AE16" s="601"/>
      <c r="AF16" s="651">
        <v>5140</v>
      </c>
      <c r="AG16" s="601">
        <v>7403</v>
      </c>
      <c r="AH16" s="601"/>
      <c r="AI16" s="601">
        <f>B16+E16+H16+K16+N16+Q16+T16+W16+Z16+AC16+AF16</f>
        <v>74553.784101249999</v>
      </c>
      <c r="AJ16" s="601">
        <f>C16+F16+I16+L16+O16+R16+U16+X16+AA16+AD16+AG16</f>
        <v>74294.783546999999</v>
      </c>
      <c r="AK16" s="601">
        <f>IF(AI16=0, "    ---- ", IF(ABS(ROUND(100/AI16*AJ16-100,1))&lt;999,ROUND(100/AI16*AJ16-100,1),IF(ROUND(100/AI16*AJ16-100,1)&gt;999,999,-999)))</f>
        <v>-0.3</v>
      </c>
    </row>
    <row r="17" spans="1:37" ht="18.75" x14ac:dyDescent="0.3">
      <c r="A17" s="649"/>
      <c r="B17" s="650"/>
      <c r="C17" s="691"/>
      <c r="D17" s="601"/>
      <c r="E17" s="692"/>
      <c r="F17" s="691"/>
      <c r="G17" s="601"/>
      <c r="H17" s="601"/>
      <c r="I17" s="601"/>
      <c r="J17" s="601"/>
      <c r="K17" s="650"/>
      <c r="L17" s="691"/>
      <c r="M17" s="601"/>
      <c r="N17" s="651"/>
      <c r="O17" s="601"/>
      <c r="P17" s="601"/>
      <c r="Q17" s="650"/>
      <c r="R17" s="691"/>
      <c r="S17" s="601"/>
      <c r="T17" s="651"/>
      <c r="U17" s="691"/>
      <c r="V17" s="601"/>
      <c r="W17" s="651"/>
      <c r="X17" s="601"/>
      <c r="Y17" s="601"/>
      <c r="Z17" s="651"/>
      <c r="AA17" s="601"/>
      <c r="AB17" s="601"/>
      <c r="AC17" s="651"/>
      <c r="AD17" s="601"/>
      <c r="AE17" s="601"/>
      <c r="AF17" s="651"/>
      <c r="AG17" s="601"/>
      <c r="AH17" s="601"/>
      <c r="AI17" s="601"/>
      <c r="AJ17" s="601"/>
      <c r="AK17" s="601"/>
    </row>
    <row r="18" spans="1:37" ht="18.75" x14ac:dyDescent="0.3">
      <c r="A18" s="652" t="s">
        <v>415</v>
      </c>
      <c r="B18" s="653"/>
      <c r="C18" s="694"/>
      <c r="D18" s="602"/>
      <c r="E18" s="693">
        <v>6583</v>
      </c>
      <c r="F18" s="694">
        <v>8844.4609999999993</v>
      </c>
      <c r="G18" s="602">
        <f>IF(E18=0, "    ---- ", IF(ABS(ROUND(100/E18*F18-100,1))&lt;999,ROUND(100/E18*F18-100,1),IF(ROUND(100/E18*F18-100,1)&gt;999,999,-999)))</f>
        <v>34.4</v>
      </c>
      <c r="H18" s="602"/>
      <c r="I18" s="602">
        <v>-1.9</v>
      </c>
      <c r="J18" s="602"/>
      <c r="K18" s="653"/>
      <c r="L18" s="694"/>
      <c r="M18" s="602"/>
      <c r="N18" s="654"/>
      <c r="O18" s="602">
        <v>12.393000000000001</v>
      </c>
      <c r="P18" s="602"/>
      <c r="Q18" s="653">
        <v>691.26632307353998</v>
      </c>
      <c r="R18" s="579">
        <v>1340</v>
      </c>
      <c r="S18" s="602"/>
      <c r="T18" s="655">
        <v>58</v>
      </c>
      <c r="U18" s="694">
        <v>144</v>
      </c>
      <c r="V18" s="602"/>
      <c r="W18" s="655">
        <v>1819</v>
      </c>
      <c r="X18" s="602">
        <v>3239</v>
      </c>
      <c r="Y18" s="602"/>
      <c r="Z18" s="655">
        <v>795</v>
      </c>
      <c r="AA18" s="602">
        <v>1454</v>
      </c>
      <c r="AB18" s="602"/>
      <c r="AC18" s="655">
        <v>46.665999999999997</v>
      </c>
      <c r="AD18" s="602">
        <v>108.247</v>
      </c>
      <c r="AE18" s="602"/>
      <c r="AF18" s="655">
        <v>6076</v>
      </c>
      <c r="AG18" s="602">
        <v>9414</v>
      </c>
      <c r="AH18" s="602"/>
      <c r="AI18" s="602">
        <f t="shared" ref="AI18:AJ18" si="0">B18+E18+H18+K18+N18+Q18+T18+W18+Z18+AC18+AF18</f>
        <v>16068.932323073539</v>
      </c>
      <c r="AJ18" s="602">
        <f t="shared" si="0"/>
        <v>24554.201000000001</v>
      </c>
      <c r="AK18" s="602">
        <f>IF(AI18=0, "    ---- ", IF(ABS(ROUND(100/AI18*AJ18-100,1))&lt;999,ROUND(100/AI18*AJ18-100,1),IF(ROUND(100/AI18*AJ18-100,1)&gt;999,999,-999)))</f>
        <v>52.8</v>
      </c>
    </row>
  </sheetData>
  <protectedRanges>
    <protectedRange sqref="E9:F10" name="Område1_8_1"/>
    <protectedRange sqref="E11:F18" name="Område1_2_2_1"/>
    <protectedRange sqref="AG9:AG13 AG15:AG18" name="Område1_9_9"/>
    <protectedRange sqref="AG14" name="Område1_4_2_9"/>
    <protectedRange sqref="AF9:AF10" name="Område1_10_1"/>
    <protectedRange sqref="AF11:AF18" name="Område1_8_1_1"/>
    <protectedRange sqref="AD15:AD18 AD9:AD13" name="Område1_9_1"/>
    <protectedRange sqref="AD14" name="Område1_4_2_2"/>
    <protectedRange sqref="AC9:AC18" name="Område1_11_1"/>
    <protectedRange sqref="X9:X13 X15:X18" name="Område1_9_2"/>
    <protectedRange sqref="X14" name="Område1_4_2_1"/>
    <protectedRange sqref="W9:W10" name="Område1_13_3"/>
    <protectedRange sqref="W11:W18" name="Område1_5_1"/>
    <protectedRange sqref="H9:I13 H15:I18" name="Område1_9_3"/>
    <protectedRange sqref="H14:I14" name="Område1_4_2_3"/>
    <protectedRange sqref="O9:O13 O15:O18" name="Område1_9_6"/>
    <protectedRange sqref="O14" name="Område1_4_2_6"/>
    <protectedRange sqref="N9:N10" name="Område1_9_1_1"/>
    <protectedRange sqref="N11:N18" name="Område1_7_1_1"/>
    <protectedRange sqref="AA9:AA13 AA15:AA18" name="Område1_9"/>
    <protectedRange sqref="AA14" name="Område1_4_2"/>
    <protectedRange sqref="Z9:Z10" name="Område1_13_4"/>
    <protectedRange sqref="Z11:Z18" name="Område1_6_1"/>
    <protectedRange sqref="U9:U13 U15:U18" name="Område1_9_5"/>
    <protectedRange sqref="U14" name="Område1_4_2_5"/>
    <protectedRange sqref="L9:L13 L15:L18" name="Område1_9_10"/>
    <protectedRange sqref="L14" name="Område1_4_2_10"/>
    <protectedRange sqref="K9:K13 K15:K18" name="Område1_13_1"/>
    <protectedRange sqref="K14" name="Område1_4_1"/>
    <protectedRange sqref="C9:C10 C17:C18" name="Område1"/>
    <protectedRange sqref="C11:C16" name="Område1_1"/>
    <protectedRange sqref="B9:B10 B17:B18" name="Område1_12_1"/>
    <protectedRange sqref="B11:B16" name="Område1_1_1_1"/>
    <protectedRange sqref="R9:R13 R15:R18" name="Område1_9_7"/>
    <protectedRange sqref="R14" name="Område1_4_2_7"/>
    <protectedRange sqref="Q9:Q10" name="Område1_13_2"/>
    <protectedRange sqref="Q11:Q18" name="Område1_3_1"/>
  </protectedRanges>
  <mergeCells count="32">
    <mergeCell ref="T5:V5"/>
    <mergeCell ref="B5:D5"/>
    <mergeCell ref="E5:G5"/>
    <mergeCell ref="H5:J5"/>
    <mergeCell ref="K5:M5"/>
    <mergeCell ref="N5:P5"/>
    <mergeCell ref="AT5:AV5"/>
    <mergeCell ref="AW5:AY5"/>
    <mergeCell ref="AZ5:BB5"/>
    <mergeCell ref="B6:D6"/>
    <mergeCell ref="E6:G6"/>
    <mergeCell ref="H6:J6"/>
    <mergeCell ref="K6:M6"/>
    <mergeCell ref="N6:P6"/>
    <mergeCell ref="Q6:S6"/>
    <mergeCell ref="T6:V6"/>
    <mergeCell ref="Z5:AB5"/>
    <mergeCell ref="AC5:AE5"/>
    <mergeCell ref="AF5:AH5"/>
    <mergeCell ref="AI5:AK5"/>
    <mergeCell ref="AN5:AP5"/>
    <mergeCell ref="AQ5:AS5"/>
    <mergeCell ref="AQ6:AS6"/>
    <mergeCell ref="AT6:AV6"/>
    <mergeCell ref="AW6:AY6"/>
    <mergeCell ref="AZ6:BB6"/>
    <mergeCell ref="W6:Y6"/>
    <mergeCell ref="Z6:AB6"/>
    <mergeCell ref="AC6:AE6"/>
    <mergeCell ref="AF6:AH6"/>
    <mergeCell ref="AI6:AK6"/>
    <mergeCell ref="AN6:AP6"/>
  </mergeCells>
  <hyperlinks>
    <hyperlink ref="B1" location="Innhold!A1" display="Tilbake" xr:uid="{10497701-2AA6-4565-8F01-4AFD14AEF8BE}"/>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zoomScale="90" zoomScaleNormal="90" workbookViewId="0">
      <selection activeCell="A3" sqref="A3"/>
    </sheetView>
  </sheetViews>
  <sheetFormatPr baseColWidth="10" defaultColWidth="11.42578125" defaultRowHeight="12.75" x14ac:dyDescent="0.2"/>
  <cols>
    <col min="1" max="1" width="66.28515625" style="1" customWidth="1"/>
    <col min="2" max="2" width="4.28515625" style="50"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29"/>
      <c r="D2" s="329"/>
      <c r="E2" s="329"/>
    </row>
    <row r="3" spans="1:17" x14ac:dyDescent="0.2">
      <c r="A3" s="43" t="s">
        <v>51</v>
      </c>
    </row>
    <row r="4" spans="1:17" x14ac:dyDescent="0.2">
      <c r="C4" s="329"/>
      <c r="D4" s="329"/>
      <c r="E4" s="329"/>
      <c r="F4" s="329"/>
      <c r="G4" s="329"/>
      <c r="H4" s="329"/>
      <c r="I4" s="329"/>
      <c r="J4" s="329"/>
      <c r="K4" s="329"/>
    </row>
    <row r="6" spans="1:17" ht="15.75" x14ac:dyDescent="0.25">
      <c r="C6" s="336" t="s">
        <v>16</v>
      </c>
      <c r="D6" s="3"/>
      <c r="E6" s="336"/>
    </row>
    <row r="7" spans="1:17" ht="18.75" customHeight="1" x14ac:dyDescent="0.2">
      <c r="C7" s="3"/>
      <c r="D7" s="3"/>
      <c r="E7" s="50"/>
    </row>
    <row r="8" spans="1:17" ht="15.75" x14ac:dyDescent="0.25">
      <c r="B8" s="330">
        <v>1</v>
      </c>
      <c r="C8" s="331" t="s">
        <v>353</v>
      </c>
      <c r="E8" s="340"/>
    </row>
    <row r="9" spans="1:17" ht="31.5" x14ac:dyDescent="0.2">
      <c r="B9" s="330">
        <v>2</v>
      </c>
      <c r="C9" s="333" t="s">
        <v>279</v>
      </c>
      <c r="E9" s="8"/>
      <c r="Q9" s="3"/>
    </row>
    <row r="10" spans="1:17" ht="47.25" x14ac:dyDescent="0.2">
      <c r="B10" s="330">
        <v>3</v>
      </c>
      <c r="C10" s="331" t="s">
        <v>280</v>
      </c>
      <c r="E10" s="8"/>
    </row>
    <row r="11" spans="1:17" ht="47.25" x14ac:dyDescent="0.2">
      <c r="B11" s="330">
        <v>4</v>
      </c>
      <c r="C11" s="333" t="s">
        <v>281</v>
      </c>
      <c r="E11" s="8"/>
    </row>
    <row r="12" spans="1:17" ht="31.5" x14ac:dyDescent="0.2">
      <c r="B12" s="330">
        <v>5</v>
      </c>
      <c r="C12" s="331" t="s">
        <v>21</v>
      </c>
      <c r="E12" s="3"/>
    </row>
    <row r="13" spans="1:17" ht="15.75" x14ac:dyDescent="0.2">
      <c r="B13" s="330">
        <v>6</v>
      </c>
      <c r="C13" s="331" t="s">
        <v>354</v>
      </c>
      <c r="E13" s="3"/>
    </row>
    <row r="14" spans="1:17" ht="15.75" x14ac:dyDescent="0.2">
      <c r="B14" s="330">
        <v>7</v>
      </c>
      <c r="C14" s="331" t="s">
        <v>17</v>
      </c>
    </row>
    <row r="15" spans="1:17" ht="18.75" customHeight="1" x14ac:dyDescent="0.2">
      <c r="B15" s="330">
        <v>8</v>
      </c>
      <c r="C15" s="331" t="s">
        <v>18</v>
      </c>
    </row>
    <row r="16" spans="1:17" ht="18.75" customHeight="1" x14ac:dyDescent="0.2">
      <c r="B16" s="330">
        <v>9</v>
      </c>
      <c r="C16" s="331" t="s">
        <v>22</v>
      </c>
    </row>
    <row r="17" spans="2:9" ht="63" x14ac:dyDescent="0.25">
      <c r="B17" s="330">
        <v>10</v>
      </c>
      <c r="C17" s="331" t="s">
        <v>363</v>
      </c>
      <c r="E17" s="336"/>
    </row>
    <row r="18" spans="2:9" ht="15.75" x14ac:dyDescent="0.2">
      <c r="B18" s="330">
        <v>11</v>
      </c>
      <c r="C18" s="331" t="s">
        <v>19</v>
      </c>
      <c r="E18" s="8"/>
    </row>
    <row r="19" spans="2:9" ht="15.75" x14ac:dyDescent="0.2">
      <c r="B19" s="330">
        <v>12</v>
      </c>
      <c r="C19" s="331" t="s">
        <v>283</v>
      </c>
      <c r="E19" s="8"/>
    </row>
    <row r="20" spans="2:9" ht="15.75" x14ac:dyDescent="0.2">
      <c r="B20" s="330">
        <v>13</v>
      </c>
      <c r="C20" s="331" t="s">
        <v>20</v>
      </c>
      <c r="E20" s="3"/>
    </row>
    <row r="21" spans="2:9" ht="47.25" x14ac:dyDescent="0.2">
      <c r="B21" s="330">
        <v>14</v>
      </c>
      <c r="C21" s="331" t="s">
        <v>284</v>
      </c>
      <c r="E21" s="341"/>
    </row>
    <row r="22" spans="2:9" ht="31.5" x14ac:dyDescent="0.2">
      <c r="B22" s="330">
        <v>15</v>
      </c>
      <c r="C22" s="333" t="s">
        <v>342</v>
      </c>
      <c r="E22" s="3"/>
    </row>
    <row r="23" spans="2:9" ht="15.75" x14ac:dyDescent="0.25">
      <c r="B23" s="330">
        <v>16</v>
      </c>
      <c r="C23" s="335" t="s">
        <v>282</v>
      </c>
      <c r="D23" s="334"/>
      <c r="E23" s="329"/>
      <c r="F23" s="334"/>
      <c r="G23" s="2"/>
      <c r="H23" s="2"/>
      <c r="I23" s="2"/>
    </row>
    <row r="24" spans="2:9" ht="18.75" customHeight="1" x14ac:dyDescent="0.25">
      <c r="B24" s="332">
        <v>17</v>
      </c>
      <c r="C24" s="335" t="s">
        <v>285</v>
      </c>
    </row>
    <row r="25" spans="2:9" ht="18.75" customHeight="1" x14ac:dyDescent="0.25">
      <c r="B25" s="332"/>
      <c r="C25" s="338"/>
    </row>
    <row r="26" spans="2:9" ht="18.75" customHeight="1" x14ac:dyDescent="0.25">
      <c r="B26" s="332"/>
      <c r="C26" s="353"/>
    </row>
    <row r="27" spans="2:9" ht="18.75" customHeight="1" x14ac:dyDescent="0.2">
      <c r="C27" s="338"/>
    </row>
    <row r="28" spans="2:9" ht="18.75" customHeight="1" x14ac:dyDescent="0.2">
      <c r="C28" s="338"/>
    </row>
    <row r="29" spans="2:9" ht="18.75" customHeight="1" x14ac:dyDescent="0.2">
      <c r="C29" s="338"/>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39"/>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29"/>
      <c r="E50" s="329"/>
      <c r="F50" s="329"/>
      <c r="G50" s="329"/>
      <c r="H50" s="329"/>
      <c r="I50" s="329"/>
      <c r="J50" s="329"/>
      <c r="K50" s="329"/>
      <c r="L50" s="329"/>
      <c r="M50" s="329"/>
      <c r="N50" s="329"/>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xmlns:xlrd2="http://schemas.microsoft.com/office/spreadsheetml/2017/richdata2"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3"/>
  <sheetViews>
    <sheetView showGridLines="0" showZeros="0" zoomScale="90" zoomScaleNormal="90" workbookViewId="0">
      <pane ySplit="7" topLeftCell="A8" activePane="bottomLeft" state="frozen"/>
      <selection activeCell="J44" sqref="J44"/>
      <selection pane="bottomLeft"/>
    </sheetView>
  </sheetViews>
  <sheetFormatPr baseColWidth="10" defaultColWidth="11.42578125" defaultRowHeight="12.75" x14ac:dyDescent="0.2"/>
  <cols>
    <col min="1" max="1" width="49" style="87" customWidth="1"/>
    <col min="2" max="3" width="15.7109375" style="87" customWidth="1"/>
    <col min="4" max="4" width="8.7109375" style="87" customWidth="1"/>
    <col min="5" max="5" width="9" style="87" bestFit="1" customWidth="1"/>
    <col min="6" max="6" width="4.7109375" style="87" customWidth="1"/>
    <col min="7" max="7" width="18.42578125" style="87" customWidth="1"/>
    <col min="8" max="8" width="17.85546875" style="87" customWidth="1"/>
    <col min="9" max="9" width="8.7109375" style="87" customWidth="1"/>
    <col min="10" max="10" width="9" style="87" bestFit="1" customWidth="1"/>
    <col min="11" max="11" width="13.42578125" style="87" hidden="1" customWidth="1"/>
    <col min="12" max="12" width="14.85546875" style="187" hidden="1" customWidth="1"/>
    <col min="13" max="13" width="13.85546875" style="187" hidden="1" customWidth="1"/>
    <col min="14" max="15" width="15.7109375" style="187" hidden="1" customWidth="1"/>
    <col min="16" max="16" width="11.42578125" style="87" hidden="1" customWidth="1"/>
    <col min="17" max="19" width="11.42578125" style="87" customWidth="1"/>
    <col min="20" max="16384" width="11.42578125" style="87"/>
  </cols>
  <sheetData>
    <row r="1" spans="1:16" ht="20.25" x14ac:dyDescent="0.3">
      <c r="A1" s="80" t="s">
        <v>77</v>
      </c>
      <c r="B1" s="73" t="s">
        <v>52</v>
      </c>
      <c r="C1" s="74"/>
      <c r="D1" s="74"/>
      <c r="E1" s="74"/>
      <c r="F1" s="74"/>
      <c r="G1" s="74"/>
      <c r="H1" s="74"/>
      <c r="I1" s="74"/>
      <c r="J1" s="74"/>
      <c r="K1" s="74"/>
    </row>
    <row r="2" spans="1:16" ht="20.25" x14ac:dyDescent="0.3">
      <c r="A2" s="80" t="s">
        <v>78</v>
      </c>
      <c r="B2" s="74"/>
      <c r="C2" s="74"/>
      <c r="D2" s="74"/>
      <c r="E2" s="74"/>
      <c r="F2" s="74"/>
      <c r="G2" s="74"/>
      <c r="H2" s="74"/>
      <c r="I2" s="74"/>
      <c r="J2" s="74"/>
      <c r="K2" s="74"/>
    </row>
    <row r="3" spans="1:16" ht="18.75" x14ac:dyDescent="0.3">
      <c r="A3" s="717" t="s">
        <v>79</v>
      </c>
      <c r="B3" s="717"/>
      <c r="C3" s="74"/>
      <c r="D3" s="74"/>
      <c r="E3" s="74"/>
      <c r="F3" s="74"/>
      <c r="G3" s="74"/>
      <c r="H3" s="74"/>
      <c r="I3" s="74"/>
      <c r="J3" s="74"/>
      <c r="K3" s="74"/>
    </row>
    <row r="4" spans="1:16" ht="18.75" x14ac:dyDescent="0.3">
      <c r="A4" s="82" t="s">
        <v>419</v>
      </c>
      <c r="B4" s="83"/>
      <c r="C4" s="84"/>
      <c r="D4" s="84"/>
      <c r="E4" s="85"/>
      <c r="F4" s="86"/>
      <c r="G4" s="83"/>
      <c r="H4" s="84"/>
      <c r="I4" s="84"/>
      <c r="J4" s="85"/>
      <c r="K4" s="112"/>
      <c r="L4" s="210"/>
      <c r="M4" s="211"/>
      <c r="N4" s="212"/>
      <c r="O4" s="211"/>
    </row>
    <row r="5" spans="1:16" ht="22.5" x14ac:dyDescent="0.3">
      <c r="A5" s="88"/>
      <c r="B5" s="718" t="s">
        <v>80</v>
      </c>
      <c r="C5" s="719"/>
      <c r="D5" s="719"/>
      <c r="E5" s="720"/>
      <c r="F5" s="90"/>
      <c r="G5" s="718" t="s">
        <v>397</v>
      </c>
      <c r="H5" s="719"/>
      <c r="I5" s="719"/>
      <c r="J5" s="720"/>
      <c r="K5" s="89"/>
      <c r="L5" s="721" t="s">
        <v>137</v>
      </c>
      <c r="M5" s="716"/>
      <c r="N5" s="715" t="s">
        <v>138</v>
      </c>
      <c r="O5" s="716"/>
    </row>
    <row r="6" spans="1:16" ht="18.75" x14ac:dyDescent="0.3">
      <c r="A6" s="91"/>
      <c r="B6" s="92"/>
      <c r="C6" s="93"/>
      <c r="D6" s="93" t="s">
        <v>81</v>
      </c>
      <c r="E6" s="94" t="s">
        <v>29</v>
      </c>
      <c r="F6" s="95"/>
      <c r="G6" s="92"/>
      <c r="H6" s="93"/>
      <c r="I6" s="93" t="s">
        <v>81</v>
      </c>
      <c r="J6" s="94" t="s">
        <v>29</v>
      </c>
      <c r="K6" s="100"/>
      <c r="L6" s="213"/>
      <c r="M6" s="214"/>
      <c r="N6" s="215"/>
      <c r="O6" s="214"/>
    </row>
    <row r="7" spans="1:16" ht="15.75" x14ac:dyDescent="0.25">
      <c r="A7" s="96" t="s">
        <v>82</v>
      </c>
      <c r="B7" s="97">
        <v>2019</v>
      </c>
      <c r="C7" s="97">
        <v>2020</v>
      </c>
      <c r="D7" s="98" t="s">
        <v>83</v>
      </c>
      <c r="E7" s="99" t="s">
        <v>30</v>
      </c>
      <c r="F7" s="95"/>
      <c r="G7" s="97">
        <v>2019</v>
      </c>
      <c r="H7" s="97">
        <v>2020</v>
      </c>
      <c r="I7" s="98" t="s">
        <v>83</v>
      </c>
      <c r="J7" s="99" t="s">
        <v>30</v>
      </c>
      <c r="K7" s="100"/>
      <c r="L7" s="216">
        <v>2015</v>
      </c>
      <c r="M7" s="217">
        <v>2016</v>
      </c>
      <c r="N7" s="218">
        <v>2015</v>
      </c>
      <c r="O7" s="217">
        <v>2016</v>
      </c>
      <c r="P7" s="87" t="s">
        <v>141</v>
      </c>
    </row>
    <row r="8" spans="1:16" ht="18.75" x14ac:dyDescent="0.3">
      <c r="A8" s="101" t="s">
        <v>0</v>
      </c>
      <c r="B8" s="129"/>
      <c r="C8" s="103"/>
      <c r="D8" s="104"/>
      <c r="E8" s="408"/>
      <c r="F8" s="176"/>
      <c r="G8" s="129"/>
      <c r="H8" s="129"/>
      <c r="I8" s="103"/>
      <c r="J8" s="408"/>
      <c r="K8" s="139"/>
      <c r="L8" s="219" t="s">
        <v>0</v>
      </c>
      <c r="M8" s="220"/>
      <c r="N8" s="221"/>
      <c r="O8" s="220"/>
      <c r="P8" s="87" t="s">
        <v>149</v>
      </c>
    </row>
    <row r="9" spans="1:16" ht="18.75" x14ac:dyDescent="0.3">
      <c r="A9" s="192" t="s">
        <v>84</v>
      </c>
      <c r="B9" s="176">
        <f>'Danica Pensjonsforsikring'!B7+'Danica Pensjonsforsikring'!B22+'Danica Pensjonsforsikring'!B36+'Danica Pensjonsforsikring'!B47+'Danica Pensjonsforsikring'!B66+'Danica Pensjonsforsikring'!B134</f>
        <v>211735.83299999998</v>
      </c>
      <c r="C9" s="176">
        <f>'Danica Pensjonsforsikring'!C7+'Danica Pensjonsforsikring'!C22+'Danica Pensjonsforsikring'!C36+'Danica Pensjonsforsikring'!C47+'Danica Pensjonsforsikring'!C66+'Danica Pensjonsforsikring'!C134</f>
        <v>216417.99</v>
      </c>
      <c r="D9" s="104">
        <f t="shared" ref="D9:D30" si="0">IF(B9=0, "    ---- ", IF(ABS(ROUND(100/B9*C9-100,1))&lt;999,ROUND(100/B9*C9-100,1),IF(ROUND(100/B9*C9-100,1)&gt;999,999,-999)))</f>
        <v>2.2000000000000002</v>
      </c>
      <c r="E9" s="408">
        <f t="shared" ref="E9:E30" si="1">100/C$32*C9</f>
        <v>0.77333572256131744</v>
      </c>
      <c r="F9" s="103"/>
      <c r="G9" s="176">
        <f>'Danica Pensjonsforsikring'!B10+'Danica Pensjonsforsikring'!B29+'Danica Pensjonsforsikring'!B37+'Danica Pensjonsforsikring'!B87+'Danica Pensjonsforsikring'!B135</f>
        <v>1199454.547</v>
      </c>
      <c r="H9" s="176">
        <f>'Danica Pensjonsforsikring'!C10+'Danica Pensjonsforsikring'!C29+'Danica Pensjonsforsikring'!C37+'Danica Pensjonsforsikring'!C87+'Danica Pensjonsforsikring'!C135</f>
        <v>1259550.713</v>
      </c>
      <c r="I9" s="104">
        <f t="shared" ref="I9:I28" si="2">IF(G9=0, "    ---- ", IF(ABS(ROUND(100/G9*H9-100,1))&lt;999,ROUND(100/G9*H9-100,1),IF(ROUND(100/G9*H9-100,1)&gt;999,999,-999)))</f>
        <v>5</v>
      </c>
      <c r="J9" s="408">
        <f>100/H$32*H9</f>
        <v>0.11901587770913774</v>
      </c>
      <c r="K9" s="206" t="s">
        <v>145</v>
      </c>
      <c r="L9" s="222" t="e">
        <f ca="1">INDIRECT("'" &amp;#REF! &amp; "'!" &amp; $P$7)</f>
        <v>#REF!</v>
      </c>
      <c r="M9" s="220" t="e">
        <f ca="1">INDIRECT("'" &amp;#REF! &amp; "'!" &amp; $P$8)</f>
        <v>#REF!</v>
      </c>
      <c r="N9" s="222" t="e">
        <f ca="1">INDIRECT("'" &amp;#REF! &amp; "'!" &amp; $P$9)</f>
        <v>#REF!</v>
      </c>
      <c r="O9" s="220" t="e">
        <f ca="1">INDIRECT("'" &amp;#REF! &amp; "'!" &amp; $P$10)</f>
        <v>#REF!</v>
      </c>
      <c r="P9" s="87" t="s">
        <v>153</v>
      </c>
    </row>
    <row r="10" spans="1:16" ht="18.75" x14ac:dyDescent="0.3">
      <c r="A10" s="192" t="s">
        <v>85</v>
      </c>
      <c r="B10" s="176">
        <f>'DNB Livsforsikring'!B7+'DNB Livsforsikring'!B22+'DNB Livsforsikring'!B36+'DNB Livsforsikring'!B47+'DNB Livsforsikring'!B66+'DNB Livsforsikring'!B134</f>
        <v>2712593.4569999999</v>
      </c>
      <c r="C10" s="176">
        <f>'DNB Livsforsikring'!C7+'DNB Livsforsikring'!C22+'DNB Livsforsikring'!C36+'DNB Livsforsikring'!C47+'DNB Livsforsikring'!C66+'DNB Livsforsikring'!C134</f>
        <v>2034045.9950000001</v>
      </c>
      <c r="D10" s="104">
        <f t="shared" si="0"/>
        <v>-25</v>
      </c>
      <c r="E10" s="408">
        <f t="shared" si="1"/>
        <v>7.2683441393494093</v>
      </c>
      <c r="F10" s="103"/>
      <c r="G10" s="176">
        <f>'DNB Livsforsikring'!B10+'DNB Livsforsikring'!B29+'DNB Livsforsikring'!B37+'DNB Livsforsikring'!B87+'DNB Livsforsikring'!B135</f>
        <v>199601126.12900001</v>
      </c>
      <c r="H10" s="176">
        <f>'DNB Livsforsikring'!C10+'DNB Livsforsikring'!C29+'DNB Livsforsikring'!C37+'DNB Livsforsikring'!C87+'DNB Livsforsikring'!C135</f>
        <v>195862400</v>
      </c>
      <c r="I10" s="104">
        <f t="shared" si="2"/>
        <v>-1.9</v>
      </c>
      <c r="J10" s="408">
        <f>100/H$32*H10</f>
        <v>18.507182922946129</v>
      </c>
      <c r="K10" s="207" t="s">
        <v>146</v>
      </c>
      <c r="L10" s="222">
        <f ca="1">INDIRECT("'" &amp; $A9 &amp; "'!" &amp; $P$7)</f>
        <v>0</v>
      </c>
      <c r="M10" s="220">
        <f ca="1">INDIRECT("'" &amp; $A9 &amp; "'!" &amp; $P$8)</f>
        <v>0</v>
      </c>
      <c r="N10" s="222">
        <f ca="1">INDIRECT("'" &amp; $A9 &amp; "'!" &amp; $P$9)</f>
        <v>0</v>
      </c>
      <c r="O10" s="220">
        <f ca="1">INDIRECT("'" &amp; $A9 &amp; "'!" &amp; $P$10)</f>
        <v>0</v>
      </c>
      <c r="P10" s="87" t="s">
        <v>158</v>
      </c>
    </row>
    <row r="11" spans="1:16" ht="18.75" x14ac:dyDescent="0.3">
      <c r="A11" s="192" t="s">
        <v>86</v>
      </c>
      <c r="B11" s="176">
        <f>'Eika Forsikring AS'!B7+'Eika Forsikring AS'!B22+'Eika Forsikring AS'!B36+'Eika Forsikring AS'!B47+'Eika Forsikring AS'!B66+'Eika Forsikring AS'!B134</f>
        <v>185587</v>
      </c>
      <c r="C11" s="176">
        <f>'Eika Forsikring AS'!C7+'Eika Forsikring AS'!C22+'Eika Forsikring AS'!C36+'Eika Forsikring AS'!C47+'Eika Forsikring AS'!C66+'Eika Forsikring AS'!C134</f>
        <v>196946</v>
      </c>
      <c r="D11" s="104">
        <f t="shared" si="0"/>
        <v>6.1</v>
      </c>
      <c r="E11" s="408">
        <f t="shared" si="1"/>
        <v>0.70375562223621624</v>
      </c>
      <c r="F11" s="103"/>
      <c r="G11" s="176">
        <f>'Eika Forsikring AS'!B10+'Eika Forsikring AS'!B29+'Eika Forsikring AS'!B37+'Eika Forsikring AS'!B87+'Eika Forsikring AS'!B135</f>
        <v>0</v>
      </c>
      <c r="H11" s="176">
        <f>'Eika Forsikring AS'!C10+'Eika Forsikring AS'!C29+'Eika Forsikring AS'!C37+'Eika Forsikring AS'!C87+'Eika Forsikring AS'!C135</f>
        <v>0</v>
      </c>
      <c r="I11" s="104"/>
      <c r="J11" s="408">
        <f t="shared" ref="J11:J31" si="3">100/H$32*H11</f>
        <v>0</v>
      </c>
      <c r="K11" s="87" t="s">
        <v>139</v>
      </c>
      <c r="L11" s="222">
        <f ca="1">INDIRECT("'" &amp; $A10 &amp; "'!" &amp; $P$7)</f>
        <v>0</v>
      </c>
      <c r="M11" s="220">
        <f ca="1">INDIRECT("'" &amp; $A10 &amp; "'!" &amp; $P$8)</f>
        <v>0</v>
      </c>
      <c r="N11" s="222">
        <f ca="1">INDIRECT("'" &amp; $A10 &amp; "'!" &amp; $P$9)</f>
        <v>0</v>
      </c>
      <c r="O11" s="220">
        <f ca="1">INDIRECT("'" &amp; $A10 &amp; "'!" &amp; $P$10)</f>
        <v>0</v>
      </c>
    </row>
    <row r="12" spans="1:16" ht="18.75" x14ac:dyDescent="0.3">
      <c r="A12" s="108" t="s">
        <v>404</v>
      </c>
      <c r="B12" s="176">
        <f>'Fremtind Livsforsikring'!B7+'Fremtind Livsforsikring'!B22+'Fremtind Livsforsikring'!B36+'Fremtind Livsforsikring'!B47+'Fremtind Livsforsikring'!B66+'Fremtind Livsforsikring'!B134</f>
        <v>0</v>
      </c>
      <c r="C12" s="176">
        <f>'Fremtind Livsforsikring'!C7+'Fremtind Livsforsikring'!C22+'Fremtind Livsforsikring'!C36+'Fremtind Livsforsikring'!C47+'Fremtind Livsforsikring'!C66+'Fremtind Livsforsikring'!C134</f>
        <v>1494137.5873699998</v>
      </c>
      <c r="D12" s="104" t="str">
        <f t="shared" si="0"/>
        <v xml:space="preserve">    ---- </v>
      </c>
      <c r="E12" s="408">
        <f t="shared" si="1"/>
        <v>5.3390661780695892</v>
      </c>
      <c r="F12" s="103"/>
      <c r="G12" s="176">
        <f>'Fremtind Livsforsikring'!B10+'Fremtind Livsforsikring'!B29+'Fremtind Livsforsikring'!B37+'Fremtind Livsforsikring'!B87+'Fremtind Livsforsikring'!B135</f>
        <v>0</v>
      </c>
      <c r="H12" s="176">
        <f>'Fremtind Livsforsikring'!C10+'Fremtind Livsforsikring'!C29+'Fremtind Livsforsikring'!C37+'Fremtind Livsforsikring'!C87+'Fremtind Livsforsikring'!C135</f>
        <v>3587824.3847499997</v>
      </c>
      <c r="I12" s="104" t="str">
        <f t="shared" si="2"/>
        <v xml:space="preserve">    ---- </v>
      </c>
      <c r="J12" s="408">
        <f t="shared" si="3"/>
        <v>0.33901617760210684</v>
      </c>
      <c r="K12" s="87" t="s">
        <v>147</v>
      </c>
      <c r="L12" s="222">
        <f ca="1">INDIRECT("'" &amp; $A11 &amp; "'!" &amp; $P$7)</f>
        <v>0</v>
      </c>
      <c r="M12" s="220">
        <f ca="1">INDIRECT("'" &amp; $A11 &amp; "'!" &amp; $P$8)</f>
        <v>0</v>
      </c>
      <c r="N12" s="222">
        <f ca="1">INDIRECT("'" &amp; $A11 &amp; "'!" &amp; $P$9)</f>
        <v>0</v>
      </c>
      <c r="O12" s="220">
        <f ca="1">INDIRECT("'" &amp; $A11 &amp; "'!" &amp; $P$10)</f>
        <v>0</v>
      </c>
    </row>
    <row r="13" spans="1:16" ht="18.75" x14ac:dyDescent="0.3">
      <c r="A13" s="192" t="s">
        <v>87</v>
      </c>
      <c r="B13" s="177">
        <f>'Frende Livsforsikring'!B7+'Frende Livsforsikring'!B22+'Frende Livsforsikring'!B36+'Frende Livsforsikring'!B47+'Frende Livsforsikring'!B66+'Frende Livsforsikring'!B134</f>
        <v>491921</v>
      </c>
      <c r="C13" s="177">
        <f>'Frende Livsforsikring'!C7+'Frende Livsforsikring'!C22+'Frende Livsforsikring'!C36+'Frende Livsforsikring'!C47+'Frende Livsforsikring'!C66+'Frende Livsforsikring'!C134</f>
        <v>505403</v>
      </c>
      <c r="D13" s="104">
        <f t="shared" si="0"/>
        <v>2.7</v>
      </c>
      <c r="E13" s="408">
        <f t="shared" si="1"/>
        <v>1.805978302402945</v>
      </c>
      <c r="F13" s="103"/>
      <c r="G13" s="176">
        <f>'Frende Livsforsikring'!B10+'Frende Livsforsikring'!B29+'Frende Livsforsikring'!B37+'Frende Livsforsikring'!B87+'Frende Livsforsikring'!B135</f>
        <v>1044889</v>
      </c>
      <c r="H13" s="176">
        <f>'Frende Livsforsikring'!C10+'Frende Livsforsikring'!C29+'Frende Livsforsikring'!C37+'Frende Livsforsikring'!C87+'Frende Livsforsikring'!C135</f>
        <v>1132352</v>
      </c>
      <c r="I13" s="104">
        <f t="shared" si="2"/>
        <v>8.4</v>
      </c>
      <c r="J13" s="408">
        <f t="shared" si="3"/>
        <v>0.10699677731491034</v>
      </c>
      <c r="L13" s="222"/>
      <c r="M13" s="220"/>
      <c r="N13" s="222"/>
      <c r="O13" s="220"/>
    </row>
    <row r="14" spans="1:16" ht="18.75" x14ac:dyDescent="0.3">
      <c r="A14" s="192" t="s">
        <v>88</v>
      </c>
      <c r="B14" s="176">
        <f>'Frende Skadeforsikring'!B7+'Frende Skadeforsikring'!B22+'Frende Skadeforsikring'!B36+'Frende Skadeforsikring'!B47+'Frende Skadeforsikring'!B66+'Frende Skadeforsikring'!B134</f>
        <v>1977</v>
      </c>
      <c r="C14" s="176">
        <f>'Frende Skadeforsikring'!C7+'Frende Skadeforsikring'!C22+'Frende Skadeforsikring'!C36+'Frende Skadeforsikring'!C47+'Frende Skadeforsikring'!C66+'Frende Skadeforsikring'!C134</f>
        <v>622.01300000000003</v>
      </c>
      <c r="D14" s="104">
        <f t="shared" si="0"/>
        <v>-68.5</v>
      </c>
      <c r="E14" s="408">
        <f t="shared" si="1"/>
        <v>2.2226658365948819E-3</v>
      </c>
      <c r="F14" s="103"/>
      <c r="G14" s="176">
        <f>'Frende Skadeforsikring'!B10+'Frende Skadeforsikring'!B29+'Frende Skadeforsikring'!B37+'Frende Skadeforsikring'!B87+'Frende Skadeforsikring'!B135</f>
        <v>0</v>
      </c>
      <c r="H14" s="176">
        <f>'Frende Skadeforsikring'!C10+'Frende Skadeforsikring'!C29+'Frende Skadeforsikring'!C37+'Frende Skadeforsikring'!C87+'Frende Skadeforsikring'!C135</f>
        <v>0</v>
      </c>
      <c r="I14" s="104"/>
      <c r="J14" s="408">
        <f t="shared" si="3"/>
        <v>0</v>
      </c>
      <c r="K14" s="87" t="s">
        <v>140</v>
      </c>
      <c r="L14" s="222">
        <f t="shared" ref="L14:L31" ca="1" si="4">INDIRECT("'" &amp; $A13 &amp; "'!" &amp; $P$7)</f>
        <v>0</v>
      </c>
      <c r="M14" s="220">
        <f t="shared" ref="M14:M31" ca="1" si="5">INDIRECT("'" &amp; $A13 &amp; "'!" &amp; $P$8)</f>
        <v>0</v>
      </c>
      <c r="N14" s="222">
        <f t="shared" ref="N14:N31" ca="1" si="6">INDIRECT("'" &amp; $A13 &amp; "'!" &amp; $P$9)</f>
        <v>0</v>
      </c>
      <c r="O14" s="220">
        <f t="shared" ref="O14:O31" ca="1" si="7">INDIRECT("'" &amp; $A13 &amp; "'!" &amp; $P$10)</f>
        <v>0</v>
      </c>
    </row>
    <row r="15" spans="1:16" ht="18.75" x14ac:dyDescent="0.3">
      <c r="A15" s="192" t="s">
        <v>89</v>
      </c>
      <c r="B15" s="176">
        <f>'Gjensidige Forsikring'!B7+'Gjensidige Forsikring'!B22+'Gjensidige Forsikring'!B36+'Gjensidige Forsikring'!B47+'Gjensidige Forsikring'!B66+'Gjensidige Forsikring'!B134</f>
        <v>1200340</v>
      </c>
      <c r="C15" s="176">
        <f>'Gjensidige Forsikring'!C7+'Gjensidige Forsikring'!C22+'Gjensidige Forsikring'!C36+'Gjensidige Forsikring'!C47+'Gjensidige Forsikring'!C66+'Gjensidige Forsikring'!C134</f>
        <v>1264393</v>
      </c>
      <c r="D15" s="104">
        <f t="shared" si="0"/>
        <v>5.3</v>
      </c>
      <c r="E15" s="408">
        <f t="shared" si="1"/>
        <v>4.5181099512867293</v>
      </c>
      <c r="F15" s="103"/>
      <c r="G15" s="176">
        <f>'Gjensidige Forsikring'!B10+'Gjensidige Forsikring'!B29+'Gjensidige Forsikring'!B37+'Gjensidige Forsikring'!B87+'Gjensidige Forsikring'!B135</f>
        <v>0</v>
      </c>
      <c r="H15" s="176">
        <f>'Gjensidige Forsikring'!C10+'Gjensidige Forsikring'!C29+'Gjensidige Forsikring'!C37+'Gjensidige Forsikring'!C87+'Gjensidige Forsikring'!C135</f>
        <v>0</v>
      </c>
      <c r="I15" s="104"/>
      <c r="J15" s="408">
        <f t="shared" si="3"/>
        <v>0</v>
      </c>
      <c r="K15" s="87" t="s">
        <v>148</v>
      </c>
      <c r="L15" s="222">
        <f t="shared" ca="1" si="4"/>
        <v>0</v>
      </c>
      <c r="M15" s="220">
        <f t="shared" ca="1" si="5"/>
        <v>0</v>
      </c>
      <c r="N15" s="222">
        <f t="shared" ca="1" si="6"/>
        <v>0</v>
      </c>
      <c r="O15" s="220">
        <f t="shared" ca="1" si="7"/>
        <v>0</v>
      </c>
    </row>
    <row r="16" spans="1:16" ht="18.75" x14ac:dyDescent="0.3">
      <c r="A16" s="192" t="s">
        <v>90</v>
      </c>
      <c r="B16" s="176">
        <f>'Gjensidige Pensjon'!B7+'Gjensidige Pensjon'!B22+'Gjensidige Pensjon'!B36+'Gjensidige Pensjon'!B47+'Gjensidige Pensjon'!B66+'Gjensidige Pensjon'!B134</f>
        <v>350587.6</v>
      </c>
      <c r="C16" s="176">
        <f>'Gjensidige Pensjon'!C7+'Gjensidige Pensjon'!C22+'Gjensidige Pensjon'!C36+'Gjensidige Pensjon'!C47+'Gjensidige Pensjon'!C66+'Gjensidige Pensjon'!C134</f>
        <v>362148.4</v>
      </c>
      <c r="D16" s="104">
        <f t="shared" si="0"/>
        <v>3.3</v>
      </c>
      <c r="E16" s="408">
        <f t="shared" si="1"/>
        <v>1.2940804717224528</v>
      </c>
      <c r="F16" s="103"/>
      <c r="G16" s="176">
        <f>'Gjensidige Pensjon'!B10+'Gjensidige Pensjon'!B29+'Gjensidige Pensjon'!B37+'Gjensidige Pensjon'!B87+'Gjensidige Pensjon'!B135</f>
        <v>6946187</v>
      </c>
      <c r="H16" s="176">
        <f>'Gjensidige Pensjon'!C10+'Gjensidige Pensjon'!C29+'Gjensidige Pensjon'!C37+'Gjensidige Pensjon'!C87+'Gjensidige Pensjon'!C135</f>
        <v>7375058.7999999998</v>
      </c>
      <c r="I16" s="104">
        <f t="shared" si="2"/>
        <v>6.2</v>
      </c>
      <c r="J16" s="408">
        <f t="shared" si="3"/>
        <v>0.69687475635488771</v>
      </c>
      <c r="K16" s="87" t="s">
        <v>141</v>
      </c>
      <c r="L16" s="222">
        <f t="shared" ca="1" si="4"/>
        <v>0</v>
      </c>
      <c r="M16" s="220">
        <f t="shared" ca="1" si="5"/>
        <v>0</v>
      </c>
      <c r="N16" s="222">
        <f t="shared" ca="1" si="6"/>
        <v>0</v>
      </c>
      <c r="O16" s="220">
        <f t="shared" ca="1" si="7"/>
        <v>0</v>
      </c>
    </row>
    <row r="17" spans="1:21" ht="18.75" x14ac:dyDescent="0.3">
      <c r="A17" s="192" t="s">
        <v>91</v>
      </c>
      <c r="B17" s="176">
        <f>'Handelsbanken Liv'!B7+'Handelsbanken Liv'!B22+'Handelsbanken Liv'!B36+'Handelsbanken Liv'!B47+'Handelsbanken Liv'!B66+'Handelsbanken Liv'!B134</f>
        <v>18102</v>
      </c>
      <c r="C17" s="176">
        <f>'Handelsbanken Liv'!C7+'Handelsbanken Liv'!C22+'Handelsbanken Liv'!C36+'Handelsbanken Liv'!C47+'Handelsbanken Liv'!C66+'Handelsbanken Liv'!C134</f>
        <v>17644.029899999998</v>
      </c>
      <c r="D17" s="104">
        <f t="shared" si="0"/>
        <v>-2.5</v>
      </c>
      <c r="E17" s="408">
        <f t="shared" si="1"/>
        <v>6.3048171788352661E-2</v>
      </c>
      <c r="F17" s="103"/>
      <c r="G17" s="176">
        <f>'Handelsbanken Liv'!B10+'Handelsbanken Liv'!B29+'Handelsbanken Liv'!B37+'Handelsbanken Liv'!B87+'Handelsbanken Liv'!B135</f>
        <v>16959.64603199068</v>
      </c>
      <c r="H17" s="176">
        <f>'Handelsbanken Liv'!C10+'Handelsbanken Liv'!C29+'Handelsbanken Liv'!C37+'Handelsbanken Liv'!C87+'Handelsbanken Liv'!C135</f>
        <v>24707.77272555888</v>
      </c>
      <c r="I17" s="104">
        <f t="shared" si="2"/>
        <v>45.7</v>
      </c>
      <c r="J17" s="408">
        <f t="shared" si="3"/>
        <v>2.3346557044664896E-3</v>
      </c>
      <c r="K17" s="87" t="s">
        <v>149</v>
      </c>
      <c r="L17" s="222">
        <f t="shared" ca="1" si="4"/>
        <v>0</v>
      </c>
      <c r="M17" s="220">
        <f t="shared" ca="1" si="5"/>
        <v>0</v>
      </c>
      <c r="N17" s="222">
        <f t="shared" ca="1" si="6"/>
        <v>0</v>
      </c>
      <c r="O17" s="220">
        <f t="shared" ca="1" si="7"/>
        <v>0</v>
      </c>
    </row>
    <row r="18" spans="1:21" ht="18.75" x14ac:dyDescent="0.3">
      <c r="A18" s="192" t="s">
        <v>92</v>
      </c>
      <c r="B18" s="176">
        <f>'If Skadeforsikring NUF'!B7+'If Skadeforsikring NUF'!B22+'If Skadeforsikring NUF'!B36+'If Skadeforsikring NUF'!B47+'If Skadeforsikring NUF'!B66+'If Skadeforsikring NUF'!B134</f>
        <v>278836.821</v>
      </c>
      <c r="C18" s="176">
        <f>'If Skadeforsikring NUF'!C7+'If Skadeforsikring NUF'!C22+'If Skadeforsikring NUF'!C36+'If Skadeforsikring NUF'!C47+'If Skadeforsikring NUF'!C66+'If Skadeforsikring NUF'!C134</f>
        <v>301902.74099999998</v>
      </c>
      <c r="D18" s="104">
        <f t="shared" si="0"/>
        <v>8.3000000000000007</v>
      </c>
      <c r="E18" s="408">
        <f t="shared" si="1"/>
        <v>1.0788020642575844</v>
      </c>
      <c r="F18" s="103"/>
      <c r="G18" s="176">
        <f>'If Skadeforsikring NUF'!B10+'If Skadeforsikring NUF'!B29+'If Skadeforsikring NUF'!B37+'If Skadeforsikring NUF'!B87+'If Skadeforsikring NUF'!B135</f>
        <v>0</v>
      </c>
      <c r="H18" s="176">
        <f>'If Skadeforsikring NUF'!C10+'If Skadeforsikring NUF'!C29+'If Skadeforsikring NUF'!C37+'If Skadeforsikring NUF'!C87+'If Skadeforsikring NUF'!C135</f>
        <v>0</v>
      </c>
      <c r="I18" s="104"/>
      <c r="J18" s="408">
        <f t="shared" si="3"/>
        <v>0</v>
      </c>
      <c r="K18" s="139"/>
      <c r="L18" s="222">
        <f t="shared" ca="1" si="4"/>
        <v>0</v>
      </c>
      <c r="M18" s="220">
        <f t="shared" ca="1" si="5"/>
        <v>0</v>
      </c>
      <c r="N18" s="222">
        <f t="shared" ca="1" si="6"/>
        <v>0</v>
      </c>
      <c r="O18" s="220">
        <f t="shared" ca="1" si="7"/>
        <v>0</v>
      </c>
    </row>
    <row r="19" spans="1:21" ht="18.75" x14ac:dyDescent="0.3">
      <c r="A19" s="192" t="s">
        <v>409</v>
      </c>
      <c r="B19" s="176">
        <f>Insr!B7+Insr!B22+Insr!B36+Insr!B47+Insr!B66+Insr!B134</f>
        <v>9667.0010000000002</v>
      </c>
      <c r="C19" s="176">
        <f>Insr!C7+Insr!C22+Insr!C36+Insr!C47+Insr!C66+Insr!C134</f>
        <v>8168</v>
      </c>
      <c r="D19" s="104">
        <f t="shared" si="0"/>
        <v>-15.5</v>
      </c>
      <c r="E19" s="408">
        <f t="shared" si="1"/>
        <v>2.9187066111651998E-2</v>
      </c>
      <c r="F19" s="103"/>
      <c r="G19" s="176">
        <f>Insr!B10+Insr!B29+Insr!B37+Insr!B87+Insr!B135</f>
        <v>2349.1471643053901</v>
      </c>
      <c r="H19" s="176">
        <f>Insr!C10+Insr!C29+Insr!C37+Insr!C87+Insr!C135</f>
        <v>0</v>
      </c>
      <c r="I19" s="104">
        <f t="shared" si="2"/>
        <v>-100</v>
      </c>
      <c r="J19" s="408">
        <f t="shared" si="3"/>
        <v>0</v>
      </c>
      <c r="K19" s="139"/>
      <c r="L19" s="222">
        <f t="shared" ca="1" si="4"/>
        <v>0</v>
      </c>
      <c r="M19" s="220">
        <f t="shared" ca="1" si="5"/>
        <v>0</v>
      </c>
      <c r="N19" s="222">
        <f t="shared" ca="1" si="6"/>
        <v>0</v>
      </c>
      <c r="O19" s="220">
        <f t="shared" ca="1" si="7"/>
        <v>0</v>
      </c>
    </row>
    <row r="20" spans="1:21" ht="18.75" x14ac:dyDescent="0.3">
      <c r="A20" s="192" t="s">
        <v>63</v>
      </c>
      <c r="B20" s="176">
        <f>KLP!B7+KLP!B22+KLP!B36+KLP!B47+KLP!B66+KLP!B134</f>
        <v>21744313.454720002</v>
      </c>
      <c r="C20" s="176">
        <f>KLP!C7+KLP!C22+KLP!C36+KLP!C47+KLP!C66+KLP!C134</f>
        <v>14225527.382959999</v>
      </c>
      <c r="D20" s="104">
        <f t="shared" si="0"/>
        <v>-34.6</v>
      </c>
      <c r="E20" s="408">
        <f t="shared" si="1"/>
        <v>50.832689544511432</v>
      </c>
      <c r="F20" s="103"/>
      <c r="G20" s="176">
        <f>KLP!B10+KLP!B29+KLP!B37+KLP!B87+KLP!B135</f>
        <v>491892859.81856</v>
      </c>
      <c r="H20" s="176">
        <f>KLP!C10+KLP!C29+KLP!C37+KLP!C87+KLP!C135</f>
        <v>516931786.69641</v>
      </c>
      <c r="I20" s="104">
        <f t="shared" si="2"/>
        <v>5.0999999999999996</v>
      </c>
      <c r="J20" s="408">
        <f t="shared" si="3"/>
        <v>48.845266549760595</v>
      </c>
      <c r="K20" s="139"/>
      <c r="L20" s="222">
        <f t="shared" ca="1" si="4"/>
        <v>0</v>
      </c>
      <c r="M20" s="220">
        <f t="shared" ca="1" si="5"/>
        <v>0</v>
      </c>
      <c r="N20" s="222">
        <f t="shared" ca="1" si="6"/>
        <v>0</v>
      </c>
      <c r="O20" s="220">
        <f t="shared" ca="1" si="7"/>
        <v>0</v>
      </c>
    </row>
    <row r="21" spans="1:21" ht="18.75" x14ac:dyDescent="0.3">
      <c r="A21" s="108" t="s">
        <v>93</v>
      </c>
      <c r="B21" s="176">
        <f>'KLP Bedriftspensjon AS'!B7+'KLP Bedriftspensjon AS'!B22+'KLP Bedriftspensjon AS'!B36+'KLP Bedriftspensjon AS'!B47+'KLP Bedriftspensjon AS'!B66+'KLP Bedriftspensjon AS'!B134</f>
        <v>47990</v>
      </c>
      <c r="C21" s="176">
        <f>'KLP Bedriftspensjon AS'!C7+'KLP Bedriftspensjon AS'!C22+'KLP Bedriftspensjon AS'!C36+'KLP Bedriftspensjon AS'!C47+'KLP Bedriftspensjon AS'!C66+'KLP Bedriftspensjon AS'!C134</f>
        <v>50104</v>
      </c>
      <c r="D21" s="104">
        <f t="shared" si="0"/>
        <v>4.4000000000000004</v>
      </c>
      <c r="E21" s="408">
        <f t="shared" si="1"/>
        <v>0.17903878066334619</v>
      </c>
      <c r="F21" s="103"/>
      <c r="G21" s="176">
        <f>'KLP Bedriftspensjon AS'!B10+'KLP Bedriftspensjon AS'!B29+'KLP Bedriftspensjon AS'!B37+'KLP Bedriftspensjon AS'!B87+'KLP Bedriftspensjon AS'!B135</f>
        <v>1731438</v>
      </c>
      <c r="H21" s="176">
        <f>'KLP Bedriftspensjon AS'!C10+'KLP Bedriftspensjon AS'!C29+'KLP Bedriftspensjon AS'!C37+'KLP Bedriftspensjon AS'!C87+'KLP Bedriftspensjon AS'!C135</f>
        <v>1786281</v>
      </c>
      <c r="I21" s="104">
        <f t="shared" si="2"/>
        <v>3.2</v>
      </c>
      <c r="J21" s="408">
        <f t="shared" si="3"/>
        <v>0.16878701179390804</v>
      </c>
      <c r="K21" s="139"/>
      <c r="L21" s="222">
        <f t="shared" ca="1" si="4"/>
        <v>0</v>
      </c>
      <c r="M21" s="220">
        <f t="shared" ca="1" si="5"/>
        <v>0</v>
      </c>
      <c r="N21" s="222">
        <f t="shared" ca="1" si="6"/>
        <v>0</v>
      </c>
      <c r="O21" s="220">
        <f t="shared" ca="1" si="7"/>
        <v>0</v>
      </c>
    </row>
    <row r="22" spans="1:21" ht="18.75" x14ac:dyDescent="0.3">
      <c r="A22" s="108" t="s">
        <v>94</v>
      </c>
      <c r="B22" s="176">
        <f>'KLP Skadeforsikring AS'!B7+'KLP Skadeforsikring AS'!B22+'KLP Skadeforsikring AS'!B36+'KLP Skadeforsikring AS'!B47+'KLP Skadeforsikring AS'!B66+'KLP Skadeforsikring AS'!B134</f>
        <v>154391</v>
      </c>
      <c r="C22" s="176">
        <f>'KLP Skadeforsikring AS'!C7+'KLP Skadeforsikring AS'!C22+'KLP Skadeforsikring AS'!C36+'KLP Skadeforsikring AS'!C47+'KLP Skadeforsikring AS'!C66+'KLP Skadeforsikring AS'!C134</f>
        <v>173861.997</v>
      </c>
      <c r="D22" s="104">
        <f t="shared" si="0"/>
        <v>12.6</v>
      </c>
      <c r="E22" s="408">
        <f t="shared" si="1"/>
        <v>0.62126856032600897</v>
      </c>
      <c r="F22" s="103"/>
      <c r="G22" s="176">
        <f>'KLP Skadeforsikring AS'!B10+'KLP Skadeforsikring AS'!B29+'KLP Skadeforsikring AS'!B37+'KLP Skadeforsikring AS'!B87+'KLP Skadeforsikring AS'!B135</f>
        <v>30106</v>
      </c>
      <c r="H22" s="176">
        <f>'KLP Skadeforsikring AS'!C10+'KLP Skadeforsikring AS'!C29+'KLP Skadeforsikring AS'!C37+'KLP Skadeforsikring AS'!C87+'KLP Skadeforsikring AS'!C135</f>
        <v>45976.864999999998</v>
      </c>
      <c r="I22" s="104">
        <f t="shared" si="2"/>
        <v>52.7</v>
      </c>
      <c r="J22" s="408">
        <f t="shared" si="3"/>
        <v>4.3443879518406774E-3</v>
      </c>
      <c r="K22" s="139"/>
      <c r="L22" s="222">
        <f t="shared" ca="1" si="4"/>
        <v>0</v>
      </c>
      <c r="M22" s="220">
        <f t="shared" ca="1" si="5"/>
        <v>0</v>
      </c>
      <c r="N22" s="222">
        <f t="shared" ca="1" si="6"/>
        <v>0</v>
      </c>
      <c r="O22" s="220">
        <f t="shared" ca="1" si="7"/>
        <v>0</v>
      </c>
    </row>
    <row r="23" spans="1:21" ht="18.75" x14ac:dyDescent="0.3">
      <c r="A23" s="108" t="s">
        <v>416</v>
      </c>
      <c r="B23" s="176">
        <f>'Landkreditt Forsikring'!B7+'Landkreditt Forsikring'!B22+'Landkreditt Forsikring'!B36+'Landkreditt Forsikring'!B47+'Landkreditt Forsikring'!B66+'Landkreditt Forsikring'!B134</f>
        <v>26907</v>
      </c>
      <c r="C23" s="176">
        <f>'Landkreditt Forsikring'!C7+'Landkreditt Forsikring'!C22+'Landkreditt Forsikring'!C36+'Landkreditt Forsikring'!C47+'Landkreditt Forsikring'!C66+'Landkreditt Forsikring'!C134</f>
        <v>36699</v>
      </c>
      <c r="D23" s="104">
        <f t="shared" si="0"/>
        <v>36.4</v>
      </c>
      <c r="E23" s="408">
        <f t="shared" si="1"/>
        <v>0.13113811694803093</v>
      </c>
      <c r="F23" s="103"/>
      <c r="G23" s="176">
        <f>'Landkreditt Forsikring'!B10+'Landkreditt Forsikring'!B29+'Landkreditt Forsikring'!B37+'Landkreditt Forsikring'!B87+'Landkreditt Forsikring'!B135</f>
        <v>0</v>
      </c>
      <c r="H23" s="176">
        <f>'Landkreditt Forsikring'!C10+'Landkreditt Forsikring'!C29+'Landkreditt Forsikring'!C37+'Landkreditt Forsikring'!C87+'Landkreditt Forsikring'!C135</f>
        <v>0</v>
      </c>
      <c r="I23" s="104"/>
      <c r="J23" s="408">
        <f t="shared" si="3"/>
        <v>0</v>
      </c>
      <c r="K23" s="139"/>
      <c r="L23" s="222">
        <f t="shared" ca="1" si="4"/>
        <v>0</v>
      </c>
      <c r="M23" s="220">
        <f t="shared" ca="1" si="5"/>
        <v>0</v>
      </c>
      <c r="N23" s="222">
        <f t="shared" ca="1" si="6"/>
        <v>0</v>
      </c>
      <c r="O23" s="220">
        <f t="shared" ca="1" si="7"/>
        <v>0</v>
      </c>
    </row>
    <row r="24" spans="1:21" ht="18.75" x14ac:dyDescent="0.3">
      <c r="A24" s="108" t="s">
        <v>95</v>
      </c>
      <c r="B24" s="176">
        <f>'Nordea Liv '!B7+'Nordea Liv '!B22+'Nordea Liv '!B36+'Nordea Liv '!B47+'Nordea Liv '!B66+'Nordea Liv '!B134</f>
        <v>924775.23482409364</v>
      </c>
      <c r="C24" s="176">
        <f>'Nordea Liv '!C7+'Nordea Liv '!C22+'Nordea Liv '!C36+'Nordea Liv '!C47+'Nordea Liv '!C66+'Nordea Liv '!C134</f>
        <v>903440.00756638078</v>
      </c>
      <c r="D24" s="104">
        <f t="shared" si="0"/>
        <v>-2.2999999999999998</v>
      </c>
      <c r="E24" s="408">
        <f t="shared" si="1"/>
        <v>3.2283010808951196</v>
      </c>
      <c r="F24" s="103"/>
      <c r="G24" s="177">
        <f>'Nordea Liv '!B10+'Nordea Liv '!B29+'Nordea Liv '!B37+'Nordea Liv '!B87+'Nordea Liv '!B135</f>
        <v>51019701.999889746</v>
      </c>
      <c r="H24" s="177">
        <f>'Nordea Liv '!C10+'Nordea Liv '!C29+'Nordea Liv '!C37+'Nordea Liv '!C87+'Nordea Liv '!C135</f>
        <v>51856098.771231338</v>
      </c>
      <c r="I24" s="104">
        <f t="shared" si="2"/>
        <v>1.6</v>
      </c>
      <c r="J24" s="408">
        <f t="shared" si="3"/>
        <v>4.8999210957771391</v>
      </c>
      <c r="K24" s="139"/>
      <c r="L24" s="222">
        <f t="shared" ca="1" si="4"/>
        <v>0</v>
      </c>
      <c r="M24" s="220">
        <f t="shared" ca="1" si="5"/>
        <v>0</v>
      </c>
      <c r="N24" s="222">
        <f t="shared" ca="1" si="6"/>
        <v>0</v>
      </c>
      <c r="O24" s="220">
        <f t="shared" ca="1" si="7"/>
        <v>0</v>
      </c>
    </row>
    <row r="25" spans="1:21" ht="18.75" x14ac:dyDescent="0.3">
      <c r="A25" s="108" t="s">
        <v>96</v>
      </c>
      <c r="B25" s="176">
        <f>'Oslo Pensjonsforsikring'!B7+'Oslo Pensjonsforsikring'!B22+'Oslo Pensjonsforsikring'!B36+'Oslo Pensjonsforsikring'!B47+'Oslo Pensjonsforsikring'!B66+'Oslo Pensjonsforsikring'!B134</f>
        <v>1806904</v>
      </c>
      <c r="C25" s="176">
        <f>'Oslo Pensjonsforsikring'!C7+'Oslo Pensjonsforsikring'!C22+'Oslo Pensjonsforsikring'!C36+'Oslo Pensjonsforsikring'!C47+'Oslo Pensjonsforsikring'!C66+'Oslo Pensjonsforsikring'!C134</f>
        <v>1571000</v>
      </c>
      <c r="D25" s="104">
        <f t="shared" si="0"/>
        <v>-13.1</v>
      </c>
      <c r="E25" s="408">
        <f t="shared" si="1"/>
        <v>5.6137219467930084</v>
      </c>
      <c r="F25" s="103"/>
      <c r="G25" s="176">
        <f>'Oslo Pensjonsforsikring'!B10+'Oslo Pensjonsforsikring'!B29+'Oslo Pensjonsforsikring'!B37+'Oslo Pensjonsforsikring'!B87+'Oslo Pensjonsforsikring'!B135</f>
        <v>75627238.392739996</v>
      </c>
      <c r="H25" s="176">
        <f>'Oslo Pensjonsforsikring'!C10+'Oslo Pensjonsforsikring'!C29+'Oslo Pensjonsforsikring'!C37+'Oslo Pensjonsforsikring'!C87+'Oslo Pensjonsforsikring'!C135</f>
        <v>77112000</v>
      </c>
      <c r="I25" s="104">
        <f t="shared" si="2"/>
        <v>2</v>
      </c>
      <c r="J25" s="408">
        <f t="shared" si="3"/>
        <v>7.2863698675918496</v>
      </c>
      <c r="K25" s="139"/>
      <c r="L25" s="222">
        <f t="shared" ca="1" si="4"/>
        <v>0</v>
      </c>
      <c r="M25" s="220">
        <f t="shared" ca="1" si="5"/>
        <v>0</v>
      </c>
      <c r="N25" s="222">
        <f t="shared" ca="1" si="6"/>
        <v>0</v>
      </c>
      <c r="O25" s="220">
        <f t="shared" ca="1" si="7"/>
        <v>0</v>
      </c>
    </row>
    <row r="26" spans="1:21" ht="18.75" x14ac:dyDescent="0.3">
      <c r="A26" s="108" t="s">
        <v>366</v>
      </c>
      <c r="B26" s="176">
        <f>'Protector Forsikring'!B7+'Protector Forsikring'!B22+'Protector Forsikring'!B36+'Protector Forsikring'!B47+'Protector Forsikring'!B66+'Protector Forsikring'!B134</f>
        <v>254608.63609938539</v>
      </c>
      <c r="C26" s="176">
        <f>'Protector Forsikring'!C7+'Protector Forsikring'!C22+'Protector Forsikring'!C36+'Protector Forsikring'!C47+'Protector Forsikring'!C66+'Protector Forsikring'!C134</f>
        <v>263606.18193381856</v>
      </c>
      <c r="D26" s="104">
        <f t="shared" si="0"/>
        <v>3.5</v>
      </c>
      <c r="E26" s="408">
        <f t="shared" si="1"/>
        <v>0.94195532070794896</v>
      </c>
      <c r="F26" s="103"/>
      <c r="G26" s="176">
        <f>'Protector Forsikring'!B10+'Protector Forsikring'!B29+'Protector Forsikring'!B37+'Protector Forsikring'!B87+'Protector Forsikring'!B135</f>
        <v>0</v>
      </c>
      <c r="H26" s="176">
        <f>'Protector Forsikring'!C10+'Protector Forsikring'!C29+'Protector Forsikring'!C37+'Protector Forsikring'!C87+'Protector Forsikring'!C135</f>
        <v>0</v>
      </c>
      <c r="I26" s="104"/>
      <c r="J26" s="408">
        <f t="shared" si="3"/>
        <v>0</v>
      </c>
      <c r="K26" s="139"/>
      <c r="L26" s="222">
        <f t="shared" ca="1" si="4"/>
        <v>0</v>
      </c>
      <c r="M26" s="220">
        <f t="shared" ca="1" si="5"/>
        <v>0</v>
      </c>
      <c r="N26" s="222">
        <f t="shared" ca="1" si="6"/>
        <v>0</v>
      </c>
      <c r="O26" s="220">
        <f t="shared" ca="1" si="7"/>
        <v>0</v>
      </c>
    </row>
    <row r="27" spans="1:21" ht="18.75" x14ac:dyDescent="0.3">
      <c r="A27" s="192" t="s">
        <v>68</v>
      </c>
      <c r="B27" s="176">
        <f>'Sparebank 1'!B7+'Sparebank 1'!B22+'Sparebank 1'!B36+'Sparebank 1'!B47+'Sparebank 1'!B66+'Sparebank 1'!B134</f>
        <v>1574350.09069</v>
      </c>
      <c r="C27" s="176">
        <f>'Sparebank 1'!C7+'Sparebank 1'!C22+'Sparebank 1'!C36+'Sparebank 1'!C47+'Sparebank 1'!C66+'Sparebank 1'!C134</f>
        <v>405824.04193999991</v>
      </c>
      <c r="D27" s="104">
        <f t="shared" si="0"/>
        <v>-74.2</v>
      </c>
      <c r="E27" s="408">
        <f t="shared" si="1"/>
        <v>1.4501485237268132</v>
      </c>
      <c r="F27" s="103"/>
      <c r="G27" s="176">
        <f>'Sparebank 1'!B10+'Sparebank 1'!B29+'Sparebank 1'!B37+'Sparebank 1'!B87+'Sparebank 1'!B135</f>
        <v>20684132.106460001</v>
      </c>
      <c r="H27" s="176">
        <f>'Sparebank 1'!C10+'Sparebank 1'!C29+'Sparebank 1'!C37+'Sparebank 1'!C87+'Sparebank 1'!C135</f>
        <v>19251355.335700002</v>
      </c>
      <c r="I27" s="104">
        <f t="shared" si="2"/>
        <v>-6.9</v>
      </c>
      <c r="J27" s="408">
        <f t="shared" si="3"/>
        <v>1.8190747928772184</v>
      </c>
      <c r="K27" s="139"/>
      <c r="L27" s="222">
        <f t="shared" ca="1" si="4"/>
        <v>0</v>
      </c>
      <c r="M27" s="220">
        <f t="shared" ca="1" si="5"/>
        <v>0</v>
      </c>
      <c r="N27" s="222">
        <f t="shared" ca="1" si="6"/>
        <v>0</v>
      </c>
      <c r="O27" s="220">
        <f t="shared" ca="1" si="7"/>
        <v>0</v>
      </c>
    </row>
    <row r="28" spans="1:21" ht="18.75" x14ac:dyDescent="0.3">
      <c r="A28" s="108" t="s">
        <v>97</v>
      </c>
      <c r="B28" s="176">
        <f>'Storebrand Livsforsikring'!B7+'Storebrand Livsforsikring'!B22+'Storebrand Livsforsikring'!B36+'Storebrand Livsforsikring'!B47+'Storebrand Livsforsikring'!B66+'Storebrand Livsforsikring'!B134</f>
        <v>3421913.84</v>
      </c>
      <c r="C28" s="176">
        <f>'Storebrand Livsforsikring'!C7+'Storebrand Livsforsikring'!C22+'Storebrand Livsforsikring'!C36+'Storebrand Livsforsikring'!C47+'Storebrand Livsforsikring'!C66+'Storebrand Livsforsikring'!C134</f>
        <v>3394274.7289999998</v>
      </c>
      <c r="D28" s="104">
        <f t="shared" si="0"/>
        <v>-0.8</v>
      </c>
      <c r="E28" s="408">
        <f t="shared" si="1"/>
        <v>12.128908045596557</v>
      </c>
      <c r="F28" s="103"/>
      <c r="G28" s="176">
        <f>'Storebrand Livsforsikring'!B10+'Storebrand Livsforsikring'!B29+'Storebrand Livsforsikring'!B37+'Storebrand Livsforsikring'!B87+'Storebrand Livsforsikring'!B135</f>
        <v>181337324.64900002</v>
      </c>
      <c r="H28" s="176">
        <f>'Storebrand Livsforsikring'!C10+'Storebrand Livsforsikring'!C29+'Storebrand Livsforsikring'!C37+'Storebrand Livsforsikring'!C87+'Storebrand Livsforsikring'!C135</f>
        <v>182079379.46500003</v>
      </c>
      <c r="I28" s="104">
        <f t="shared" si="2"/>
        <v>0.4</v>
      </c>
      <c r="J28" s="408">
        <f t="shared" si="3"/>
        <v>17.204815126615809</v>
      </c>
      <c r="K28" s="139"/>
      <c r="L28" s="222">
        <f t="shared" ca="1" si="4"/>
        <v>0</v>
      </c>
      <c r="M28" s="220">
        <f t="shared" ca="1" si="5"/>
        <v>0</v>
      </c>
      <c r="N28" s="222">
        <f t="shared" ca="1" si="6"/>
        <v>0</v>
      </c>
      <c r="O28" s="220">
        <f t="shared" ca="1" si="7"/>
        <v>0</v>
      </c>
    </row>
    <row r="29" spans="1:21" ht="18.75" x14ac:dyDescent="0.3">
      <c r="A29" s="108" t="s">
        <v>98</v>
      </c>
      <c r="B29" s="176">
        <f>'Telenor Forsikring'!B7+'Telenor Forsikring'!B22+'Telenor Forsikring'!B36+'Telenor Forsikring'!B47+'Telenor Forsikring'!B66+'Telenor Forsikring'!B134</f>
        <v>0</v>
      </c>
      <c r="C29" s="176">
        <f>'Telenor Forsikring'!C7+'Telenor Forsikring'!C22+'Telenor Forsikring'!C36+'Telenor Forsikring'!C47+'Telenor Forsikring'!C66+'Telenor Forsikring'!C134</f>
        <v>0</v>
      </c>
      <c r="D29" s="104"/>
      <c r="E29" s="408">
        <f t="shared" si="1"/>
        <v>0</v>
      </c>
      <c r="F29" s="103"/>
      <c r="G29" s="176">
        <f>'Telenor Forsikring'!B10+'Telenor Forsikring'!B29+'Telenor Forsikring'!B37+'Telenor Forsikring'!B87+'Telenor Forsikring'!B135</f>
        <v>0</v>
      </c>
      <c r="H29" s="176">
        <f>'Telenor Forsikring'!C10+'Telenor Forsikring'!C29+'Telenor Forsikring'!C37+'Telenor Forsikring'!C87+'Telenor Forsikring'!C135</f>
        <v>0</v>
      </c>
      <c r="I29" s="106"/>
      <c r="J29" s="408">
        <f t="shared" si="3"/>
        <v>0</v>
      </c>
      <c r="K29" s="139"/>
      <c r="L29" s="222">
        <f t="shared" ca="1" si="4"/>
        <v>0</v>
      </c>
      <c r="M29" s="220">
        <f t="shared" ca="1" si="5"/>
        <v>0</v>
      </c>
      <c r="N29" s="222">
        <f t="shared" ca="1" si="6"/>
        <v>0</v>
      </c>
      <c r="O29" s="220">
        <f t="shared" ca="1" si="7"/>
        <v>0</v>
      </c>
      <c r="R29" s="705"/>
    </row>
    <row r="30" spans="1:21" ht="18.75" x14ac:dyDescent="0.3">
      <c r="A30" s="108" t="s">
        <v>99</v>
      </c>
      <c r="B30" s="176">
        <f>'Tryg Forsikring'!B7+'Tryg Forsikring'!B22+'Tryg Forsikring'!B36+'Tryg Forsikring'!B47+'Tryg Forsikring'!B66+'Tryg Forsikring'!B134</f>
        <v>543064</v>
      </c>
      <c r="C30" s="176">
        <f>'Tryg Forsikring'!C7+'Tryg Forsikring'!C22+'Tryg Forsikring'!C36+'Tryg Forsikring'!C47+'Tryg Forsikring'!C66+'Tryg Forsikring'!C134</f>
        <v>558832.35693999997</v>
      </c>
      <c r="D30" s="104">
        <f t="shared" si="0"/>
        <v>2.9</v>
      </c>
      <c r="E30" s="408">
        <f t="shared" si="1"/>
        <v>1.9968997242088746</v>
      </c>
      <c r="F30" s="105"/>
      <c r="G30" s="177">
        <f>'Tryg Forsikring'!B10+'Tryg Forsikring'!B29+'Tryg Forsikring'!B37+'Tryg Forsikring'!B87+'Tryg Forsikring'!B135</f>
        <v>0</v>
      </c>
      <c r="H30" s="177">
        <f>'Tryg Forsikring'!C10+'Tryg Forsikring'!C29+'Tryg Forsikring'!C37+'Tryg Forsikring'!C87+'Tryg Forsikring'!C135</f>
        <v>0</v>
      </c>
      <c r="I30" s="108"/>
      <c r="J30" s="408">
        <f t="shared" si="3"/>
        <v>0</v>
      </c>
      <c r="K30" s="206"/>
      <c r="L30" s="222">
        <f t="shared" ca="1" si="4"/>
        <v>0</v>
      </c>
      <c r="M30" s="220">
        <f t="shared" ca="1" si="5"/>
        <v>0</v>
      </c>
      <c r="N30" s="222">
        <f t="shared" ca="1" si="6"/>
        <v>0</v>
      </c>
      <c r="O30" s="220">
        <f t="shared" ca="1" si="7"/>
        <v>0</v>
      </c>
    </row>
    <row r="31" spans="1:21" ht="18.75" x14ac:dyDescent="0.3">
      <c r="A31" s="108" t="s">
        <v>420</v>
      </c>
      <c r="B31" s="176">
        <f>'WaterCircle F'!B7+'WaterCircle F'!B22+'WaterCircle F'!B36+'WaterCircle F'!B47+'WaterCircle F'!B66+'WaterCircle F'!B136</f>
        <v>0</v>
      </c>
      <c r="C31" s="176">
        <f>'WaterCircle F'!C7+'WaterCircle F'!C22+'WaterCircle F'!C36+'WaterCircle F'!C47+'WaterCircle F'!C66+'WaterCircle F'!C136</f>
        <v>1120</v>
      </c>
      <c r="D31" s="104" t="str">
        <f t="shared" ref="D31" si="8">IF(B31=0, "    ---- ", IF(ABS(ROUND(100/B31*C31-100,1))&lt;999,ROUND(100/B31*C31-100,1),IF(ROUND(100/B31*C31-100,1)&gt;999,999,-999)))</f>
        <v xml:space="preserve">    ---- </v>
      </c>
      <c r="E31" s="408">
        <f t="shared" ref="E31" si="9">100/C$32*C31</f>
        <v>4.0021442268670712E-3</v>
      </c>
      <c r="F31" s="108"/>
      <c r="G31" s="105">
        <f>'WaterCircle F'!B10+'WaterCircle F'!B29+'WaterCircle F'!B37+'WaterCircle F'!B87+'WaterCircle F'!B135</f>
        <v>0</v>
      </c>
      <c r="H31" s="105">
        <f>'WaterCircle F'!C10+'WaterCircle F'!C29+'WaterCircle F'!C37+'WaterCircle F'!C87+'WaterCircle F'!C135</f>
        <v>0</v>
      </c>
      <c r="I31" s="108"/>
      <c r="J31" s="408">
        <f t="shared" si="3"/>
        <v>0</v>
      </c>
      <c r="K31" s="206"/>
      <c r="L31" s="222">
        <f t="shared" ca="1" si="4"/>
        <v>0</v>
      </c>
      <c r="M31" s="220">
        <f t="shared" ca="1" si="5"/>
        <v>0</v>
      </c>
      <c r="N31" s="222">
        <f t="shared" ca="1" si="6"/>
        <v>0</v>
      </c>
      <c r="O31" s="220">
        <f t="shared" ca="1" si="7"/>
        <v>0</v>
      </c>
    </row>
    <row r="32" spans="1:21" s="111" customFormat="1" ht="18.75" x14ac:dyDescent="0.3">
      <c r="A32" s="137" t="s">
        <v>100</v>
      </c>
      <c r="B32" s="178">
        <f>SUM(B9:B30)</f>
        <v>35960564.968333483</v>
      </c>
      <c r="C32" s="241">
        <f>SUM(C9:C30)</f>
        <v>27984998.453610204</v>
      </c>
      <c r="D32" s="110">
        <f t="shared" ref="D32" si="10">IF(B32=0, "    ---- ", IF(ABS(ROUND(100/B32*C32-100,1))&lt;999,ROUND(100/B32*C32-100,1),IF(ROUND(100/B32*C32-100,1)&gt;999,999,-999)))</f>
        <v>-22.2</v>
      </c>
      <c r="E32" s="409">
        <f>SUM(E9:E30)</f>
        <v>99.999999999999986</v>
      </c>
      <c r="F32" s="109"/>
      <c r="G32" s="178">
        <f>SUM(G9:G31)</f>
        <v>1031133766.4358461</v>
      </c>
      <c r="H32" s="178">
        <f>SUM(H9:H31)</f>
        <v>1058304771.8038169</v>
      </c>
      <c r="I32" s="110">
        <f t="shared" ref="I32" si="11">IF(G32=0, "    ---- ", IF(ABS(ROUND(100/G32*H32-100,1))&lt;999,ROUND(100/G32*H32-100,1),IF(ROUND(100/G32*H32-100,1)&gt;999,999,-999)))</f>
        <v>2.6</v>
      </c>
      <c r="J32" s="409">
        <f>SUM(J9:J31)</f>
        <v>100.00000000000001</v>
      </c>
      <c r="K32" s="208"/>
      <c r="L32" s="222" t="e">
        <f ca="1">SUM(L9:L31)</f>
        <v>#REF!</v>
      </c>
      <c r="M32" s="220" t="e">
        <f ca="1">SUM(M9:M31)</f>
        <v>#REF!</v>
      </c>
      <c r="N32" s="222" t="e">
        <f ca="1">SUM(N9:N31)</f>
        <v>#REF!</v>
      </c>
      <c r="O32" s="220" t="e">
        <f ca="1">SUM(O9:O31)</f>
        <v>#REF!</v>
      </c>
      <c r="U32" s="204"/>
    </row>
    <row r="33" spans="1:20" ht="18.75" x14ac:dyDescent="0.3">
      <c r="A33" s="86"/>
      <c r="B33" s="176"/>
      <c r="C33" s="139"/>
      <c r="D33" s="104"/>
      <c r="E33" s="408"/>
      <c r="F33" s="103"/>
      <c r="G33" s="176"/>
      <c r="H33" s="103"/>
      <c r="I33" s="104"/>
      <c r="J33" s="408"/>
      <c r="K33" s="206"/>
      <c r="L33" s="219" t="s">
        <v>1</v>
      </c>
      <c r="M33" s="220"/>
      <c r="N33" s="222"/>
      <c r="O33" s="220"/>
    </row>
    <row r="34" spans="1:20" ht="18.75" x14ac:dyDescent="0.3">
      <c r="A34" s="101" t="s">
        <v>1</v>
      </c>
      <c r="B34" s="176"/>
      <c r="C34" s="139"/>
      <c r="D34" s="104"/>
      <c r="E34" s="408"/>
      <c r="F34" s="103"/>
      <c r="G34" s="176"/>
      <c r="H34" s="103"/>
      <c r="I34" s="104"/>
      <c r="J34" s="408"/>
      <c r="K34" s="206"/>
      <c r="L34" s="223">
        <v>2015</v>
      </c>
      <c r="M34" s="224">
        <v>2016</v>
      </c>
      <c r="N34" s="223">
        <v>2015</v>
      </c>
      <c r="O34" s="224">
        <v>2016</v>
      </c>
      <c r="P34" s="87" t="s">
        <v>154</v>
      </c>
    </row>
    <row r="35" spans="1:20" ht="18.75" x14ac:dyDescent="0.3">
      <c r="A35" s="107" t="s">
        <v>84</v>
      </c>
      <c r="B35" s="130">
        <f>'Danica Pensjonsforsikring'!F7+'Danica Pensjonsforsikring'!F22+'Danica Pensjonsforsikring'!F66+'Danica Pensjonsforsikring'!F134</f>
        <v>974428.50600000005</v>
      </c>
      <c r="C35" s="130">
        <f>'Danica Pensjonsforsikring'!G7+'Danica Pensjonsforsikring'!G22+'Danica Pensjonsforsikring'!G66+'Danica Pensjonsforsikring'!G134</f>
        <v>1049553.1030000001</v>
      </c>
      <c r="D35" s="104">
        <f t="shared" ref="D35:D45" si="12">IF(B35=0, "    ---- ", IF(ABS(ROUND(100/B35*C35-100,1))&lt;999,ROUND(100/B35*C35-100,1),IF(ROUND(100/B35*C35-100,1)&gt;999,999,-999)))</f>
        <v>7.7</v>
      </c>
      <c r="E35" s="408">
        <f t="shared" ref="E35:E44" si="13">100/C$45*C35</f>
        <v>4.6166988605079231</v>
      </c>
      <c r="F35" s="103"/>
      <c r="G35" s="176">
        <f>'Danica Pensjonsforsikring'!F10+'Danica Pensjonsforsikring'!F29+'Danica Pensjonsforsikring'!F87+'Danica Pensjonsforsikring'!F135</f>
        <v>19030607.528999999</v>
      </c>
      <c r="H35" s="176">
        <f>'Danica Pensjonsforsikring'!G10+'Danica Pensjonsforsikring'!G29+'Danica Pensjonsforsikring'!G87+'Danica Pensjonsforsikring'!G135</f>
        <v>20948913.260000002</v>
      </c>
      <c r="I35" s="104">
        <f t="shared" ref="I35:I45" si="14">IF(G35=0, "    ---- ", IF(ABS(ROUND(100/G35*H35-100,1))&lt;999,ROUND(100/G35*H35-100,1),IF(ROUND(100/G35*H35-100,1)&gt;999,999,-999)))</f>
        <v>10.1</v>
      </c>
      <c r="J35" s="408">
        <f t="shared" ref="J35:J44" si="15">100/H$45*H35</f>
        <v>5.3264067974617229</v>
      </c>
      <c r="K35" s="206" t="s">
        <v>142</v>
      </c>
      <c r="L35" s="222">
        <f t="shared" ref="L35:L44" ca="1" si="16">INDIRECT("'" &amp; $A35 &amp; "'!" &amp; $P$34)</f>
        <v>0</v>
      </c>
      <c r="M35" s="220">
        <f t="shared" ref="M35:M44" ca="1" si="17">INDIRECT("'" &amp; $A35 &amp; "'!" &amp; $P$35)</f>
        <v>0</v>
      </c>
      <c r="N35" s="222">
        <f t="shared" ref="N35:N44" ca="1" si="18">INDIRECT("'" &amp; $A35 &amp; "'!" &amp; $P$36)</f>
        <v>0</v>
      </c>
      <c r="O35" s="220">
        <f ca="1">INDIRECT("'"&amp;$A35&amp;"'!"&amp;$P$37)</f>
        <v>0</v>
      </c>
      <c r="P35" s="87" t="s">
        <v>156</v>
      </c>
    </row>
    <row r="36" spans="1:20" ht="18.75" x14ac:dyDescent="0.3">
      <c r="A36" s="86" t="s">
        <v>85</v>
      </c>
      <c r="B36" s="130">
        <f>'DNB Livsforsikring'!F7+'DNB Livsforsikring'!F22+'DNB Livsforsikring'!F66+'DNB Livsforsikring'!F134</f>
        <v>4802393.8430000003</v>
      </c>
      <c r="C36" s="130">
        <f>'DNB Livsforsikring'!G7+'DNB Livsforsikring'!G22+'DNB Livsforsikring'!G66+'DNB Livsforsikring'!G134</f>
        <v>4882926.4189999998</v>
      </c>
      <c r="D36" s="104">
        <f t="shared" si="12"/>
        <v>1.7</v>
      </c>
      <c r="E36" s="408">
        <f t="shared" si="13"/>
        <v>21.47866627244046</v>
      </c>
      <c r="F36" s="103"/>
      <c r="G36" s="176">
        <f>'DNB Livsforsikring'!F10+'DNB Livsforsikring'!F29+'DNB Livsforsikring'!F87+'DNB Livsforsikring'!F135</f>
        <v>89715002.026999995</v>
      </c>
      <c r="H36" s="176">
        <f>'DNB Livsforsikring'!G10+'DNB Livsforsikring'!G29+'DNB Livsforsikring'!G87+'DNB Livsforsikring'!G135</f>
        <v>95193910.070999995</v>
      </c>
      <c r="I36" s="104">
        <f t="shared" si="14"/>
        <v>6.1</v>
      </c>
      <c r="J36" s="408">
        <f t="shared" si="15"/>
        <v>24.203713261216407</v>
      </c>
      <c r="K36" s="87" t="s">
        <v>150</v>
      </c>
      <c r="L36" s="222">
        <f t="shared" ca="1" si="16"/>
        <v>0</v>
      </c>
      <c r="M36" s="220">
        <f t="shared" ca="1" si="17"/>
        <v>0</v>
      </c>
      <c r="N36" s="222">
        <f t="shared" ca="1" si="18"/>
        <v>0</v>
      </c>
      <c r="O36" s="220">
        <f ca="1">INDIRECT("'"&amp;$A36&amp;"'!"&amp;$P$37)</f>
        <v>0</v>
      </c>
      <c r="P36" s="87" t="s">
        <v>155</v>
      </c>
    </row>
    <row r="37" spans="1:20" ht="18.75" x14ac:dyDescent="0.3">
      <c r="A37" s="107" t="s">
        <v>87</v>
      </c>
      <c r="B37" s="130">
        <f>'Frende Livsforsikring'!F7+'Frende Livsforsikring'!F22+'Frende Livsforsikring'!F66+'Frende Livsforsikring'!F134</f>
        <v>196043</v>
      </c>
      <c r="C37" s="130">
        <f>'Frende Livsforsikring'!G7+'Frende Livsforsikring'!G22+'Frende Livsforsikring'!G66+'Frende Livsforsikring'!G134</f>
        <v>211959</v>
      </c>
      <c r="D37" s="104">
        <f t="shared" si="12"/>
        <v>8.1</v>
      </c>
      <c r="E37" s="408">
        <f t="shared" si="13"/>
        <v>0.93235003638915326</v>
      </c>
      <c r="F37" s="103"/>
      <c r="G37" s="176">
        <f>'Frende Livsforsikring'!F10+'Frende Livsforsikring'!F29+'Frende Livsforsikring'!F87+'Frende Livsforsikring'!F135</f>
        <v>3826787</v>
      </c>
      <c r="H37" s="176">
        <f>'Frende Livsforsikring'!G10+'Frende Livsforsikring'!G29+'Frende Livsforsikring'!G87+'Frende Livsforsikring'!G135</f>
        <v>4269268</v>
      </c>
      <c r="I37" s="104">
        <f t="shared" si="14"/>
        <v>11.6</v>
      </c>
      <c r="J37" s="408">
        <f t="shared" si="15"/>
        <v>1.0854910616678839</v>
      </c>
      <c r="K37" s="87" t="s">
        <v>143</v>
      </c>
      <c r="L37" s="222">
        <f t="shared" ca="1" si="16"/>
        <v>0</v>
      </c>
      <c r="M37" s="220">
        <f t="shared" ca="1" si="17"/>
        <v>0</v>
      </c>
      <c r="N37" s="222">
        <f t="shared" ca="1" si="18"/>
        <v>0</v>
      </c>
      <c r="O37" s="220">
        <f t="shared" ref="O37:O44" ca="1" si="19">INDIRECT("'"&amp;$A37&amp;"'!"&amp;$P$37)</f>
        <v>0</v>
      </c>
      <c r="P37" s="87" t="s">
        <v>157</v>
      </c>
    </row>
    <row r="38" spans="1:20" ht="18.75" x14ac:dyDescent="0.3">
      <c r="A38" s="107" t="s">
        <v>90</v>
      </c>
      <c r="B38" s="130">
        <f>'Gjensidige Pensjon'!F7+'Gjensidige Pensjon'!F22+'Gjensidige Pensjon'!F66+'Gjensidige Pensjon'!F134</f>
        <v>1561713.2</v>
      </c>
      <c r="C38" s="130">
        <f>'Gjensidige Pensjon'!G7+'Gjensidige Pensjon'!G22+'Gjensidige Pensjon'!G66+'Gjensidige Pensjon'!G134</f>
        <v>1579911</v>
      </c>
      <c r="D38" s="104">
        <f t="shared" si="12"/>
        <v>1.2</v>
      </c>
      <c r="E38" s="408">
        <f t="shared" si="13"/>
        <v>6.9495991127605974</v>
      </c>
      <c r="F38" s="103"/>
      <c r="G38" s="176">
        <f>'Gjensidige Pensjon'!F10+'Gjensidige Pensjon'!F29+'Gjensidige Pensjon'!F87+'Gjensidige Pensjon'!F135</f>
        <v>27221258.799999997</v>
      </c>
      <c r="H38" s="176">
        <f>'Gjensidige Pensjon'!G10+'Gjensidige Pensjon'!G29+'Gjensidige Pensjon'!G87+'Gjensidige Pensjon'!G135</f>
        <v>29754862.800000001</v>
      </c>
      <c r="I38" s="104">
        <f t="shared" si="14"/>
        <v>9.3000000000000007</v>
      </c>
      <c r="J38" s="408">
        <f t="shared" si="15"/>
        <v>7.5653806719452197</v>
      </c>
      <c r="K38" s="87" t="s">
        <v>151</v>
      </c>
      <c r="L38" s="222">
        <f t="shared" ca="1" si="16"/>
        <v>0</v>
      </c>
      <c r="M38" s="220">
        <f t="shared" ca="1" si="17"/>
        <v>0</v>
      </c>
      <c r="N38" s="222">
        <f t="shared" ca="1" si="18"/>
        <v>0</v>
      </c>
      <c r="O38" s="220">
        <f t="shared" ca="1" si="19"/>
        <v>0</v>
      </c>
    </row>
    <row r="39" spans="1:20" ht="18.75" x14ac:dyDescent="0.3">
      <c r="A39" s="107" t="s">
        <v>63</v>
      </c>
      <c r="B39" s="130">
        <f>KLP!F7+KLP!F22+KLP!F66+KLP!F134</f>
        <v>89130.341</v>
      </c>
      <c r="C39" s="130">
        <f>KLP!G7+KLP!G22+KLP!G66+KLP!G134</f>
        <v>32970.711000000003</v>
      </c>
      <c r="D39" s="104">
        <f t="shared" si="12"/>
        <v>-63</v>
      </c>
      <c r="E39" s="408">
        <f t="shared" si="13"/>
        <v>0.14502919715900839</v>
      </c>
      <c r="F39" s="103"/>
      <c r="G39" s="176">
        <f>KLP!F10+KLP!F29+KLP!F87+KLP!F135</f>
        <v>2587219.1831499999</v>
      </c>
      <c r="H39" s="176">
        <f>KLP!G10+KLP!G29+KLP!G87+KLP!G135</f>
        <v>1933154.62115</v>
      </c>
      <c r="I39" s="104">
        <f t="shared" si="14"/>
        <v>-25.3</v>
      </c>
      <c r="J39" s="408">
        <f t="shared" si="15"/>
        <v>0.49151799842040589</v>
      </c>
      <c r="K39" s="87" t="s">
        <v>144</v>
      </c>
      <c r="L39" s="222">
        <f t="shared" ca="1" si="16"/>
        <v>0</v>
      </c>
      <c r="M39" s="220">
        <f t="shared" ca="1" si="17"/>
        <v>0</v>
      </c>
      <c r="N39" s="222">
        <f t="shared" ca="1" si="18"/>
        <v>0</v>
      </c>
      <c r="O39" s="220">
        <f t="shared" ca="1" si="19"/>
        <v>0</v>
      </c>
    </row>
    <row r="40" spans="1:20" ht="18.75" x14ac:dyDescent="0.3">
      <c r="A40" s="107" t="s">
        <v>93</v>
      </c>
      <c r="B40" s="130">
        <f>'KLP Bedriftspensjon AS'!F7+'KLP Bedriftspensjon AS'!F22+'KLP Bedriftspensjon AS'!F66+'KLP Bedriftspensjon AS'!F134</f>
        <v>267105</v>
      </c>
      <c r="C40" s="130">
        <f>'KLP Bedriftspensjon AS'!G7+'KLP Bedriftspensjon AS'!G22+'KLP Bedriftspensjon AS'!G66+'KLP Bedriftspensjon AS'!G134</f>
        <v>310599</v>
      </c>
      <c r="D40" s="104">
        <f t="shared" si="12"/>
        <v>16.3</v>
      </c>
      <c r="E40" s="408">
        <f t="shared" si="13"/>
        <v>1.3662405887574229</v>
      </c>
      <c r="F40" s="103"/>
      <c r="G40" s="176">
        <f>'KLP Bedriftspensjon AS'!F10+'KLP Bedriftspensjon AS'!F29+'KLP Bedriftspensjon AS'!F87+'KLP Bedriftspensjon AS'!F135</f>
        <v>4242225</v>
      </c>
      <c r="H40" s="176">
        <f>'KLP Bedriftspensjon AS'!G10+'KLP Bedriftspensjon AS'!G29+'KLP Bedriftspensjon AS'!G87+'KLP Bedriftspensjon AS'!G135</f>
        <v>5167910</v>
      </c>
      <c r="I40" s="104">
        <f t="shared" si="14"/>
        <v>21.8</v>
      </c>
      <c r="J40" s="408">
        <f t="shared" si="15"/>
        <v>1.3139770359940097</v>
      </c>
      <c r="K40" s="87" t="s">
        <v>152</v>
      </c>
      <c r="L40" s="222">
        <f t="shared" ca="1" si="16"/>
        <v>0</v>
      </c>
      <c r="M40" s="220">
        <f t="shared" ca="1" si="17"/>
        <v>0</v>
      </c>
      <c r="N40" s="222">
        <f t="shared" ca="1" si="18"/>
        <v>0</v>
      </c>
      <c r="O40" s="220">
        <f t="shared" ca="1" si="19"/>
        <v>0</v>
      </c>
    </row>
    <row r="41" spans="1:20" ht="18.75" x14ac:dyDescent="0.3">
      <c r="A41" s="107" t="s">
        <v>95</v>
      </c>
      <c r="B41" s="130">
        <f>'Nordea Liv '!F7+'Nordea Liv '!F22+'Nordea Liv '!F66+'Nordea Liv '!F134</f>
        <v>5841396.8032999998</v>
      </c>
      <c r="C41" s="130">
        <f>'Nordea Liv '!G7+'Nordea Liv '!G22+'Nordea Liv '!G66+'Nordea Liv '!G134</f>
        <v>5863550.9649199992</v>
      </c>
      <c r="D41" s="104">
        <f t="shared" si="12"/>
        <v>0.4</v>
      </c>
      <c r="E41" s="408">
        <f t="shared" si="13"/>
        <v>25.79216714323438</v>
      </c>
      <c r="F41" s="103"/>
      <c r="G41" s="176">
        <f>'Nordea Liv '!F10+'Nordea Liv '!F29+'Nordea Liv '!F87+'Nordea Liv '!F135</f>
        <v>68352090.000000089</v>
      </c>
      <c r="H41" s="176">
        <f>'Nordea Liv '!G10+'Nordea Liv '!G29+'Nordea Liv '!G87+'Nordea Liv '!G135</f>
        <v>79687040</v>
      </c>
      <c r="I41" s="104">
        <f t="shared" si="14"/>
        <v>16.600000000000001</v>
      </c>
      <c r="J41" s="408">
        <f t="shared" si="15"/>
        <v>20.260983768358212</v>
      </c>
      <c r="K41" s="206"/>
      <c r="L41" s="222">
        <f t="shared" ca="1" si="16"/>
        <v>0</v>
      </c>
      <c r="M41" s="220">
        <f t="shared" ca="1" si="17"/>
        <v>0</v>
      </c>
      <c r="N41" s="222">
        <f t="shared" ca="1" si="18"/>
        <v>0</v>
      </c>
      <c r="O41" s="220">
        <f t="shared" ca="1" si="19"/>
        <v>0</v>
      </c>
    </row>
    <row r="42" spans="1:20" ht="18.75" x14ac:dyDescent="0.3">
      <c r="A42" s="107" t="s">
        <v>72</v>
      </c>
      <c r="B42" s="130">
        <f>'SHB Liv'!F7+'SHB Liv'!F22+'SHB Liv'!F66+'SHB Liv'!F134</f>
        <v>69806.938299999994</v>
      </c>
      <c r="C42" s="130">
        <f>'SHB Liv'!G7+'SHB Liv'!G22+'SHB Liv'!G66+'SHB Liv'!G134</f>
        <v>67197.383550000013</v>
      </c>
      <c r="D42" s="104">
        <f t="shared" si="12"/>
        <v>-3.7</v>
      </c>
      <c r="E42" s="408">
        <f t="shared" si="13"/>
        <v>0.29558302784075408</v>
      </c>
      <c r="F42" s="103"/>
      <c r="G42" s="176">
        <f>'SHB Liv'!F10+'SHB Liv'!F29+'SHB Liv'!F87+'SHB Liv'!F135</f>
        <v>2307693.03969</v>
      </c>
      <c r="H42" s="176">
        <f>'SHB Liv'!G10+'SHB Liv'!G29+'SHB Liv'!G87+'SHB Liv'!G135</f>
        <v>2514066.6801399998</v>
      </c>
      <c r="I42" s="104">
        <f t="shared" si="14"/>
        <v>8.9</v>
      </c>
      <c r="J42" s="408">
        <f t="shared" si="15"/>
        <v>0.63921892692822768</v>
      </c>
      <c r="K42" s="206"/>
      <c r="L42" s="222">
        <f t="shared" ca="1" si="16"/>
        <v>0</v>
      </c>
      <c r="M42" s="220">
        <f t="shared" ca="1" si="17"/>
        <v>0</v>
      </c>
      <c r="N42" s="222">
        <f t="shared" ca="1" si="18"/>
        <v>0</v>
      </c>
      <c r="O42" s="220">
        <f t="shared" ca="1" si="19"/>
        <v>0</v>
      </c>
    </row>
    <row r="43" spans="1:20" ht="18.75" x14ac:dyDescent="0.3">
      <c r="A43" s="86" t="s">
        <v>68</v>
      </c>
      <c r="B43" s="130">
        <f>'Sparebank 1'!F7+'Sparebank 1'!F22+'Sparebank 1'!F66+'Sparebank 1'!F134</f>
        <v>2141160.6392800002</v>
      </c>
      <c r="C43" s="130">
        <f>'Sparebank 1'!G7+'Sparebank 1'!G22+'Sparebank 1'!G66+'Sparebank 1'!G134</f>
        <v>2338484.3714999999</v>
      </c>
      <c r="D43" s="104">
        <f t="shared" si="12"/>
        <v>9.1999999999999993</v>
      </c>
      <c r="E43" s="408">
        <f t="shared" si="13"/>
        <v>10.286357214666474</v>
      </c>
      <c r="F43" s="103"/>
      <c r="G43" s="176">
        <f>'Sparebank 1'!F10+'Sparebank 1'!F29+'Sparebank 1'!F87+'Sparebank 1'!F135</f>
        <v>32200221.129759997</v>
      </c>
      <c r="H43" s="176">
        <f>'Sparebank 1'!G10+'Sparebank 1'!G29+'Sparebank 1'!G87+'Sparebank 1'!G135</f>
        <v>36536483.392659999</v>
      </c>
      <c r="I43" s="104">
        <f t="shared" si="14"/>
        <v>13.5</v>
      </c>
      <c r="J43" s="408">
        <f t="shared" si="15"/>
        <v>9.2896548418861293</v>
      </c>
      <c r="K43" s="139"/>
      <c r="L43" s="222">
        <f t="shared" ca="1" si="16"/>
        <v>0</v>
      </c>
      <c r="M43" s="220">
        <f t="shared" ca="1" si="17"/>
        <v>0</v>
      </c>
      <c r="N43" s="222">
        <f t="shared" ca="1" si="18"/>
        <v>0</v>
      </c>
      <c r="O43" s="220">
        <f t="shared" ca="1" si="19"/>
        <v>0</v>
      </c>
    </row>
    <row r="44" spans="1:20" ht="18.75" x14ac:dyDescent="0.3">
      <c r="A44" s="86" t="s">
        <v>97</v>
      </c>
      <c r="B44" s="130">
        <f>'Storebrand Livsforsikring'!F7+'Storebrand Livsforsikring'!F22+'Storebrand Livsforsikring'!F66+'Storebrand Livsforsikring'!F134</f>
        <v>5450501.3129999992</v>
      </c>
      <c r="C44" s="130">
        <f>'Storebrand Livsforsikring'!G7+'Storebrand Livsforsikring'!G22+'Storebrand Livsforsikring'!G66+'Storebrand Livsforsikring'!G134</f>
        <v>6396691.7459999993</v>
      </c>
      <c r="D44" s="104">
        <f t="shared" si="12"/>
        <v>17.399999999999999</v>
      </c>
      <c r="E44" s="408">
        <f t="shared" si="13"/>
        <v>28.137308546243826</v>
      </c>
      <c r="F44" s="103"/>
      <c r="G44" s="176">
        <f>'Storebrand Livsforsikring'!F10+'Storebrand Livsforsikring'!F29+'Storebrand Livsforsikring'!F87+'Storebrand Livsforsikring'!F135</f>
        <v>103774197.524</v>
      </c>
      <c r="H44" s="176">
        <f>'Storebrand Livsforsikring'!G10+'Storebrand Livsforsikring'!G29+'Storebrand Livsforsikring'!G87+'Storebrand Livsforsikring'!G135</f>
        <v>117297307.31699999</v>
      </c>
      <c r="I44" s="104">
        <f t="shared" si="14"/>
        <v>13</v>
      </c>
      <c r="J44" s="408">
        <f t="shared" si="15"/>
        <v>29.823655636121781</v>
      </c>
      <c r="K44" s="139"/>
      <c r="L44" s="222">
        <f t="shared" ca="1" si="16"/>
        <v>0</v>
      </c>
      <c r="M44" s="220">
        <f t="shared" ca="1" si="17"/>
        <v>0</v>
      </c>
      <c r="N44" s="222">
        <f t="shared" ca="1" si="18"/>
        <v>0</v>
      </c>
      <c r="O44" s="220">
        <f t="shared" ca="1" si="19"/>
        <v>0</v>
      </c>
    </row>
    <row r="45" spans="1:20" s="111" customFormat="1" ht="18.75" x14ac:dyDescent="0.3">
      <c r="A45" s="101" t="s">
        <v>101</v>
      </c>
      <c r="B45" s="241">
        <f>SUM(B35:B44)</f>
        <v>21393679.58388</v>
      </c>
      <c r="C45" s="241">
        <f>SUM(C35:C44)</f>
        <v>22733843.698969997</v>
      </c>
      <c r="D45" s="104">
        <f t="shared" si="12"/>
        <v>6.3</v>
      </c>
      <c r="E45" s="409">
        <f>SUM(E35:E44)</f>
        <v>100.00000000000001</v>
      </c>
      <c r="F45" s="109"/>
      <c r="G45" s="178">
        <f>SUM(G35:G44)</f>
        <v>353257301.23260009</v>
      </c>
      <c r="H45" s="178">
        <f>SUM(H35:H44)</f>
        <v>393302916.14194995</v>
      </c>
      <c r="I45" s="104">
        <f t="shared" si="14"/>
        <v>11.3</v>
      </c>
      <c r="J45" s="409">
        <f>SUM(J35:J44)</f>
        <v>100</v>
      </c>
      <c r="K45" s="139"/>
      <c r="L45" s="222">
        <f ca="1">SUM(L35:L44)</f>
        <v>0</v>
      </c>
      <c r="M45" s="220">
        <f ca="1">SUM(M35:M44)</f>
        <v>0</v>
      </c>
      <c r="N45" s="222">
        <f ca="1">SUM(N35:N44)</f>
        <v>0</v>
      </c>
      <c r="O45" s="220">
        <f ca="1">SUM(O35:O44)</f>
        <v>0</v>
      </c>
    </row>
    <row r="46" spans="1:20" ht="18.75" x14ac:dyDescent="0.3">
      <c r="A46" s="101"/>
      <c r="B46" s="130"/>
      <c r="C46" s="109"/>
      <c r="D46" s="110"/>
      <c r="E46" s="408"/>
      <c r="F46" s="109"/>
      <c r="G46" s="178"/>
      <c r="H46" s="109"/>
      <c r="I46" s="110"/>
      <c r="J46" s="409"/>
      <c r="K46" s="139"/>
      <c r="L46" s="219" t="s">
        <v>102</v>
      </c>
      <c r="M46" s="225"/>
      <c r="N46" s="226"/>
      <c r="O46" s="225"/>
    </row>
    <row r="47" spans="1:20" ht="18.75" x14ac:dyDescent="0.3">
      <c r="A47" s="86"/>
      <c r="B47" s="130"/>
      <c r="C47" s="103"/>
      <c r="D47" s="104"/>
      <c r="E47" s="408"/>
      <c r="F47" s="103"/>
      <c r="G47" s="176"/>
      <c r="H47" s="103"/>
      <c r="I47" s="104"/>
      <c r="J47" s="408"/>
      <c r="K47" s="139"/>
      <c r="L47" s="223">
        <v>2015</v>
      </c>
      <c r="M47" s="224">
        <v>2016</v>
      </c>
      <c r="N47" s="223">
        <v>2015</v>
      </c>
      <c r="O47" s="224">
        <v>2016</v>
      </c>
    </row>
    <row r="48" spans="1:20" ht="18.75" x14ac:dyDescent="0.3">
      <c r="A48" s="101" t="s">
        <v>102</v>
      </c>
      <c r="B48" s="130"/>
      <c r="C48" s="103"/>
      <c r="D48" s="104"/>
      <c r="E48" s="408"/>
      <c r="F48" s="103"/>
      <c r="G48" s="176"/>
      <c r="H48" s="103"/>
      <c r="I48" s="104"/>
      <c r="J48" s="408"/>
      <c r="K48" s="139"/>
      <c r="L48" s="222"/>
      <c r="M48" s="220"/>
      <c r="N48" s="222"/>
      <c r="O48" s="220"/>
      <c r="P48" s="206"/>
      <c r="Q48" s="206"/>
      <c r="R48" s="206"/>
      <c r="S48" s="182"/>
      <c r="T48" s="139"/>
    </row>
    <row r="49" spans="1:20" ht="18.75" x14ac:dyDescent="0.3">
      <c r="A49" s="86"/>
      <c r="B49" s="130"/>
      <c r="C49" s="180"/>
      <c r="D49" s="104"/>
      <c r="E49" s="408"/>
      <c r="F49" s="103"/>
      <c r="G49" s="176"/>
      <c r="H49" s="176"/>
      <c r="I49" s="104"/>
      <c r="J49" s="408"/>
      <c r="K49" s="139"/>
      <c r="L49" s="222" t="e">
        <f ca="1">L9</f>
        <v>#REF!</v>
      </c>
      <c r="M49" s="227" t="e">
        <f ca="1">M9</f>
        <v>#REF!</v>
      </c>
      <c r="N49" s="222" t="e">
        <f ca="1">N9</f>
        <v>#REF!</v>
      </c>
      <c r="O49" s="227" t="e">
        <f ca="1">O9</f>
        <v>#REF!</v>
      </c>
      <c r="P49" s="206"/>
      <c r="Q49" s="206"/>
      <c r="R49" s="206"/>
      <c r="S49" s="182"/>
      <c r="T49" s="139"/>
    </row>
    <row r="50" spans="1:20" ht="18.75" x14ac:dyDescent="0.3">
      <c r="A50" s="107" t="s">
        <v>84</v>
      </c>
      <c r="B50" s="130">
        <f>B9+B35</f>
        <v>1186164.3390000002</v>
      </c>
      <c r="C50" s="103">
        <f>C9+C35</f>
        <v>1265971.0930000001</v>
      </c>
      <c r="D50" s="104">
        <f t="shared" ref="D50:D72" si="20">IF(B50=0, "    ---- ", IF(ABS(ROUND(100/B50*C50-100,1))&lt;999,ROUND(100/B50*C50-100,1),IF(ROUND(100/B50*C50-100,1)&gt;999,999,-999)))</f>
        <v>6.7</v>
      </c>
      <c r="E50" s="408">
        <f t="shared" ref="E50:E72" si="21">100/C$74*C50</f>
        <v>2.4960567695759135</v>
      </c>
      <c r="F50" s="103"/>
      <c r="G50" s="176">
        <f>G9+G35</f>
        <v>20230062.075999998</v>
      </c>
      <c r="H50" s="176">
        <f>H9+H35</f>
        <v>22208463.973000001</v>
      </c>
      <c r="I50" s="104">
        <f t="shared" ref="I50:I70" si="22">IF(G50=0, "    ---- ", IF(ABS(ROUND(100/G50*H50-100,1))&lt;999,ROUND(100/G50*H50-100,1),IF(ROUND(100/G50*H50-100,1)&gt;999,999,-999)))</f>
        <v>9.8000000000000007</v>
      </c>
      <c r="J50" s="408">
        <f t="shared" ref="J50:J72" si="23">100/H$74*H50</f>
        <v>1.5299219036534701</v>
      </c>
      <c r="K50" s="139"/>
      <c r="L50" s="222">
        <f ca="1">L10+L35</f>
        <v>0</v>
      </c>
      <c r="M50" s="220">
        <f ca="1">M10+M35</f>
        <v>0</v>
      </c>
      <c r="N50" s="222">
        <f ca="1">N10+N35</f>
        <v>0</v>
      </c>
      <c r="O50" s="220">
        <f ca="1">O10+O35</f>
        <v>0</v>
      </c>
      <c r="P50" s="206"/>
      <c r="Q50" s="206"/>
      <c r="R50" s="206"/>
      <c r="S50" s="182"/>
      <c r="T50" s="139"/>
    </row>
    <row r="51" spans="1:20" ht="18.75" x14ac:dyDescent="0.3">
      <c r="A51" s="86" t="s">
        <v>85</v>
      </c>
      <c r="B51" s="130">
        <f>B10+B36</f>
        <v>7514987.3000000007</v>
      </c>
      <c r="C51" s="103">
        <f>+C10+C36</f>
        <v>6916972.4139999999</v>
      </c>
      <c r="D51" s="104">
        <f t="shared" si="20"/>
        <v>-8</v>
      </c>
      <c r="E51" s="408">
        <f t="shared" si="21"/>
        <v>13.637875236172194</v>
      </c>
      <c r="F51" s="103"/>
      <c r="G51" s="176">
        <f>+G10+G36</f>
        <v>289316128.15600002</v>
      </c>
      <c r="H51" s="176">
        <f>+H10+H36</f>
        <v>291056310.07099998</v>
      </c>
      <c r="I51" s="104">
        <f t="shared" si="22"/>
        <v>0.6</v>
      </c>
      <c r="J51" s="408">
        <f t="shared" si="23"/>
        <v>20.050617841717717</v>
      </c>
      <c r="K51" s="139"/>
      <c r="L51" s="222">
        <f ca="1">L11+L36</f>
        <v>0</v>
      </c>
      <c r="M51" s="220">
        <f ca="1">+M11+M36</f>
        <v>0</v>
      </c>
      <c r="N51" s="222">
        <f ca="1">+N11+N36</f>
        <v>0</v>
      </c>
      <c r="O51" s="220">
        <f ca="1">+O11+O36</f>
        <v>0</v>
      </c>
      <c r="P51" s="206"/>
      <c r="Q51" s="206"/>
      <c r="R51" s="206"/>
      <c r="S51" s="182"/>
      <c r="T51" s="139"/>
    </row>
    <row r="52" spans="1:20" ht="18.75" x14ac:dyDescent="0.3">
      <c r="A52" s="86" t="s">
        <v>86</v>
      </c>
      <c r="B52" s="130">
        <f>B11</f>
        <v>185587</v>
      </c>
      <c r="C52" s="103">
        <f>C11</f>
        <v>196946</v>
      </c>
      <c r="D52" s="104">
        <f t="shared" si="20"/>
        <v>6.1</v>
      </c>
      <c r="E52" s="408">
        <f t="shared" si="21"/>
        <v>0.38830933759788289</v>
      </c>
      <c r="F52" s="103"/>
      <c r="G52" s="176">
        <f>G11</f>
        <v>0</v>
      </c>
      <c r="H52" s="176">
        <f>H11</f>
        <v>0</v>
      </c>
      <c r="I52" s="104"/>
      <c r="J52" s="408">
        <f t="shared" si="23"/>
        <v>0</v>
      </c>
      <c r="K52" s="139"/>
      <c r="L52" s="222">
        <f ca="1">L12</f>
        <v>0</v>
      </c>
      <c r="M52" s="220">
        <f ca="1">M12</f>
        <v>0</v>
      </c>
      <c r="N52" s="222">
        <f ca="1">N12</f>
        <v>0</v>
      </c>
      <c r="O52" s="220">
        <f ca="1">+O12+O37</f>
        <v>0</v>
      </c>
      <c r="P52" s="206"/>
      <c r="Q52" s="206"/>
      <c r="R52" s="206"/>
      <c r="S52" s="182"/>
      <c r="T52" s="139"/>
    </row>
    <row r="53" spans="1:20" ht="18.75" x14ac:dyDescent="0.3">
      <c r="A53" s="107" t="s">
        <v>404</v>
      </c>
      <c r="B53" s="130">
        <f>B12</f>
        <v>0</v>
      </c>
      <c r="C53" s="130">
        <f>C12</f>
        <v>1494137.5873699998</v>
      </c>
      <c r="D53" s="104" t="str">
        <f t="shared" ref="D53" si="24">IF(B53=0, "    ---- ", IF(ABS(ROUND(100/B53*C53-100,1))&lt;999,ROUND(100/B53*C53-100,1),IF(ROUND(100/B53*C53-100,1)&gt;999,999,-999)))</f>
        <v xml:space="preserve">    ---- </v>
      </c>
      <c r="E53" s="408">
        <f t="shared" si="21"/>
        <v>2.9459221148525154</v>
      </c>
      <c r="F53" s="103"/>
      <c r="G53" s="176">
        <f>G12</f>
        <v>0</v>
      </c>
      <c r="H53" s="176">
        <f>H12</f>
        <v>3587824.3847499997</v>
      </c>
      <c r="I53" s="104" t="str">
        <f t="shared" ref="I53" si="25">IF(G53=0, "    ---- ", IF(ABS(ROUND(100/G53*H53-100,1))&lt;999,ROUND(100/G53*H53-100,1),IF(ROUND(100/G53*H53-100,1)&gt;999,999,-999)))</f>
        <v xml:space="preserve">    ---- </v>
      </c>
      <c r="J53" s="408">
        <f t="shared" si="23"/>
        <v>0.24716212338522994</v>
      </c>
      <c r="K53" s="139"/>
      <c r="L53" s="222"/>
      <c r="M53" s="220"/>
      <c r="N53" s="222"/>
      <c r="O53" s="220"/>
      <c r="P53" s="206"/>
      <c r="Q53" s="206"/>
      <c r="R53" s="206"/>
      <c r="S53" s="182"/>
      <c r="T53" s="139"/>
    </row>
    <row r="54" spans="1:20" ht="18.75" x14ac:dyDescent="0.3">
      <c r="A54" s="107" t="s">
        <v>87</v>
      </c>
      <c r="B54" s="130">
        <f>B13+B37</f>
        <v>687964</v>
      </c>
      <c r="C54" s="105">
        <f>C13+C37</f>
        <v>717362</v>
      </c>
      <c r="D54" s="106">
        <f t="shared" si="20"/>
        <v>4.3</v>
      </c>
      <c r="E54" s="410">
        <f t="shared" si="21"/>
        <v>1.4143895435189975</v>
      </c>
      <c r="F54" s="105"/>
      <c r="G54" s="177">
        <f>G13+G37</f>
        <v>4871676</v>
      </c>
      <c r="H54" s="177">
        <f>H13+H37</f>
        <v>5401620</v>
      </c>
      <c r="I54" s="104">
        <f t="shared" si="22"/>
        <v>10.9</v>
      </c>
      <c r="J54" s="408">
        <f t="shared" si="23"/>
        <v>0.37211293690818542</v>
      </c>
      <c r="K54" s="139"/>
      <c r="L54" s="222">
        <f ca="1">L14+L37</f>
        <v>0</v>
      </c>
      <c r="M54" s="220">
        <f ca="1">M14+M37</f>
        <v>0</v>
      </c>
      <c r="N54" s="222">
        <f ca="1">N14+N37</f>
        <v>0</v>
      </c>
      <c r="O54" s="220">
        <f ca="1">O14+O37</f>
        <v>0</v>
      </c>
      <c r="P54" s="209"/>
      <c r="Q54" s="209"/>
      <c r="R54" s="209"/>
      <c r="S54" s="182"/>
      <c r="T54" s="139"/>
    </row>
    <row r="55" spans="1:20" ht="18.75" x14ac:dyDescent="0.3">
      <c r="A55" s="107" t="s">
        <v>88</v>
      </c>
      <c r="B55" s="130">
        <f>B14</f>
        <v>1977</v>
      </c>
      <c r="C55" s="105">
        <f>C14</f>
        <v>622.01300000000003</v>
      </c>
      <c r="D55" s="106">
        <f t="shared" si="20"/>
        <v>-68.5</v>
      </c>
      <c r="E55" s="410">
        <f t="shared" si="21"/>
        <v>1.2263943213229613E-3</v>
      </c>
      <c r="F55" s="105"/>
      <c r="G55" s="177">
        <f>G14</f>
        <v>0</v>
      </c>
      <c r="H55" s="177">
        <f>H14</f>
        <v>0</v>
      </c>
      <c r="I55" s="104"/>
      <c r="J55" s="408">
        <f t="shared" si="23"/>
        <v>0</v>
      </c>
      <c r="K55" s="139"/>
      <c r="L55" s="222">
        <f ca="1">L15</f>
        <v>0</v>
      </c>
      <c r="M55" s="220">
        <f ca="1">M15</f>
        <v>0</v>
      </c>
      <c r="N55" s="222">
        <f ca="1">N15</f>
        <v>0</v>
      </c>
      <c r="O55" s="220">
        <f ca="1">O15</f>
        <v>0</v>
      </c>
      <c r="P55" s="209"/>
      <c r="Q55" s="209"/>
      <c r="R55" s="209"/>
      <c r="S55" s="182"/>
      <c r="T55" s="139"/>
    </row>
    <row r="56" spans="1:20" ht="18.75" x14ac:dyDescent="0.3">
      <c r="A56" s="86" t="s">
        <v>89</v>
      </c>
      <c r="B56" s="103">
        <f>B15</f>
        <v>1200340</v>
      </c>
      <c r="C56" s="103">
        <f>+C15</f>
        <v>1264393</v>
      </c>
      <c r="D56" s="104">
        <f t="shared" si="20"/>
        <v>5.3</v>
      </c>
      <c r="E56" s="408">
        <f t="shared" si="21"/>
        <v>2.4929453164491786</v>
      </c>
      <c r="F56" s="103"/>
      <c r="G56" s="176">
        <f>+G15</f>
        <v>0</v>
      </c>
      <c r="H56" s="176">
        <f>+H15</f>
        <v>0</v>
      </c>
      <c r="I56" s="104"/>
      <c r="J56" s="408">
        <f t="shared" si="23"/>
        <v>0</v>
      </c>
      <c r="K56" s="139"/>
      <c r="L56" s="222">
        <f ca="1">L16</f>
        <v>0</v>
      </c>
      <c r="M56" s="220">
        <f ca="1">+M16</f>
        <v>0</v>
      </c>
      <c r="N56" s="222">
        <f ca="1">+N16</f>
        <v>0</v>
      </c>
      <c r="O56" s="220">
        <f ca="1">+O16</f>
        <v>0</v>
      </c>
      <c r="P56" s="206"/>
      <c r="Q56" s="206"/>
      <c r="R56" s="206"/>
      <c r="S56" s="182"/>
      <c r="T56" s="139"/>
    </row>
    <row r="57" spans="1:20" ht="18.75" x14ac:dyDescent="0.3">
      <c r="A57" s="86" t="s">
        <v>90</v>
      </c>
      <c r="B57" s="103">
        <f>B16+B38</f>
        <v>1912300.7999999998</v>
      </c>
      <c r="C57" s="103">
        <f>C16+C38</f>
        <v>1942059.4</v>
      </c>
      <c r="D57" s="104">
        <f t="shared" si="20"/>
        <v>1.6</v>
      </c>
      <c r="E57" s="408">
        <f t="shared" si="21"/>
        <v>3.8290688777113617</v>
      </c>
      <c r="F57" s="103"/>
      <c r="G57" s="176">
        <f>G16+G38</f>
        <v>34167445.799999997</v>
      </c>
      <c r="H57" s="176">
        <f>H16+H38</f>
        <v>37129921.600000001</v>
      </c>
      <c r="I57" s="104">
        <f t="shared" si="22"/>
        <v>8.6999999999999993</v>
      </c>
      <c r="J57" s="408">
        <f t="shared" si="23"/>
        <v>2.5578482332608865</v>
      </c>
      <c r="K57" s="139"/>
      <c r="L57" s="222">
        <f ca="1">L17+L38</f>
        <v>0</v>
      </c>
      <c r="M57" s="220">
        <f ca="1">M17+M38</f>
        <v>0</v>
      </c>
      <c r="N57" s="222">
        <f ca="1">N17+N38</f>
        <v>0</v>
      </c>
      <c r="O57" s="220">
        <f ca="1">O17+O38</f>
        <v>0</v>
      </c>
      <c r="P57" s="206"/>
      <c r="Q57" s="206"/>
      <c r="R57" s="206"/>
      <c r="S57" s="182"/>
      <c r="T57" s="139"/>
    </row>
    <row r="58" spans="1:20" ht="18.75" x14ac:dyDescent="0.3">
      <c r="A58" s="86" t="s">
        <v>91</v>
      </c>
      <c r="B58" s="103">
        <f>B17</f>
        <v>18102</v>
      </c>
      <c r="C58" s="103">
        <f>+C17</f>
        <v>17644.029899999998</v>
      </c>
      <c r="D58" s="104">
        <f t="shared" si="20"/>
        <v>-2.5</v>
      </c>
      <c r="E58" s="408">
        <f t="shared" si="21"/>
        <v>3.4787919343506536E-2</v>
      </c>
      <c r="F58" s="103"/>
      <c r="G58" s="176">
        <f>+G17</f>
        <v>16959.64603199068</v>
      </c>
      <c r="H58" s="176">
        <f>+H17</f>
        <v>24707.77272555888</v>
      </c>
      <c r="I58" s="104">
        <f t="shared" si="22"/>
        <v>45.7</v>
      </c>
      <c r="J58" s="408">
        <f t="shared" si="23"/>
        <v>1.7020971251897905E-3</v>
      </c>
      <c r="K58" s="139"/>
      <c r="L58" s="222">
        <f ca="1">L18</f>
        <v>0</v>
      </c>
      <c r="M58" s="220">
        <f t="shared" ref="M58:O59" ca="1" si="26">+M18</f>
        <v>0</v>
      </c>
      <c r="N58" s="222">
        <f t="shared" ca="1" si="26"/>
        <v>0</v>
      </c>
      <c r="O58" s="220">
        <f t="shared" ca="1" si="26"/>
        <v>0</v>
      </c>
      <c r="P58" s="206"/>
      <c r="Q58" s="206"/>
      <c r="R58" s="206"/>
      <c r="S58" s="182"/>
      <c r="T58" s="139"/>
    </row>
    <row r="59" spans="1:20" ht="18.75" x14ac:dyDescent="0.3">
      <c r="A59" s="86" t="s">
        <v>92</v>
      </c>
      <c r="B59" s="103">
        <f>B18</f>
        <v>278836.821</v>
      </c>
      <c r="C59" s="103">
        <f>+C18</f>
        <v>301902.74099999998</v>
      </c>
      <c r="D59" s="104">
        <f t="shared" si="20"/>
        <v>8.3000000000000007</v>
      </c>
      <c r="E59" s="408">
        <f t="shared" si="21"/>
        <v>0.59524769925103937</v>
      </c>
      <c r="F59" s="103"/>
      <c r="G59" s="176">
        <f>+G18</f>
        <v>0</v>
      </c>
      <c r="H59" s="176">
        <f>+H18</f>
        <v>0</v>
      </c>
      <c r="I59" s="104"/>
      <c r="J59" s="408">
        <f t="shared" si="23"/>
        <v>0</v>
      </c>
      <c r="K59" s="139"/>
      <c r="L59" s="222">
        <f ca="1">L19</f>
        <v>0</v>
      </c>
      <c r="M59" s="220">
        <f t="shared" ca="1" si="26"/>
        <v>0</v>
      </c>
      <c r="N59" s="222">
        <f t="shared" ca="1" si="26"/>
        <v>0</v>
      </c>
      <c r="O59" s="220">
        <f t="shared" ca="1" si="26"/>
        <v>0</v>
      </c>
      <c r="P59" s="206"/>
      <c r="Q59" s="206"/>
      <c r="R59" s="206"/>
      <c r="S59" s="182"/>
      <c r="T59" s="139"/>
    </row>
    <row r="60" spans="1:20" ht="18.75" x14ac:dyDescent="0.3">
      <c r="A60" s="86" t="s">
        <v>409</v>
      </c>
      <c r="B60" s="103">
        <f>B19</f>
        <v>9667.0010000000002</v>
      </c>
      <c r="C60" s="103">
        <f>C19</f>
        <v>8168</v>
      </c>
      <c r="D60" s="104">
        <f>IF(B60=0, "    ---- ", IF(ABS(ROUND(100/B60*C60-100,1))&lt;999,ROUND(100/B60*C60-100,1),IF(ROUND(100/B60*C60-100,1)&gt;999,999,-999)))</f>
        <v>-15.5</v>
      </c>
      <c r="E60" s="408">
        <f t="shared" si="21"/>
        <v>1.6104468582756225E-2</v>
      </c>
      <c r="F60" s="103"/>
      <c r="G60" s="176">
        <f>G19</f>
        <v>2349.1471643053901</v>
      </c>
      <c r="H60" s="176">
        <f>H19</f>
        <v>0</v>
      </c>
      <c r="I60" s="104">
        <f>IF(G60=0, "    ---- ", IF(ABS(ROUND(100/G60*H60-100,1))&lt;999,ROUND(100/G60*H60-100,1),IF(ROUND(100/G60*H60-100,1)&gt;999,999,-999)))</f>
        <v>-100</v>
      </c>
      <c r="J60" s="711">
        <f t="shared" si="23"/>
        <v>0</v>
      </c>
      <c r="K60" s="139"/>
      <c r="L60" s="222">
        <f ca="1">L20</f>
        <v>0</v>
      </c>
      <c r="M60" s="220">
        <f ca="1">M20</f>
        <v>0</v>
      </c>
      <c r="N60" s="222">
        <f ca="1">N20</f>
        <v>0</v>
      </c>
      <c r="O60" s="220">
        <f ca="1">O20</f>
        <v>0</v>
      </c>
      <c r="P60" s="206"/>
      <c r="Q60" s="206"/>
      <c r="R60" s="206"/>
      <c r="S60" s="182"/>
      <c r="T60" s="139"/>
    </row>
    <row r="61" spans="1:20" ht="18.75" x14ac:dyDescent="0.3">
      <c r="A61" s="86" t="s">
        <v>63</v>
      </c>
      <c r="B61" s="105">
        <f>B20+B39</f>
        <v>21833443.79572</v>
      </c>
      <c r="C61" s="105">
        <f>C20+C39</f>
        <v>14258498.093959998</v>
      </c>
      <c r="D61" s="106">
        <f t="shared" si="20"/>
        <v>-34.700000000000003</v>
      </c>
      <c r="E61" s="410">
        <f t="shared" si="21"/>
        <v>28.11282255037565</v>
      </c>
      <c r="F61" s="105"/>
      <c r="G61" s="177">
        <f>G20+G39</f>
        <v>494480079.00171</v>
      </c>
      <c r="H61" s="177">
        <f>H20+H39</f>
        <v>518864941.31756002</v>
      </c>
      <c r="I61" s="104">
        <f t="shared" si="22"/>
        <v>4.9000000000000004</v>
      </c>
      <c r="J61" s="408">
        <f t="shared" si="23"/>
        <v>35.744157710533237</v>
      </c>
      <c r="K61" s="139"/>
      <c r="L61" s="222">
        <f ca="1">L21+L39</f>
        <v>0</v>
      </c>
      <c r="M61" s="220">
        <f ca="1">M21+M39</f>
        <v>0</v>
      </c>
      <c r="N61" s="222">
        <f ca="1">N21+N39</f>
        <v>0</v>
      </c>
      <c r="O61" s="220">
        <f ca="1">O21+O39</f>
        <v>0</v>
      </c>
      <c r="P61" s="209"/>
      <c r="Q61" s="209"/>
      <c r="R61" s="209"/>
      <c r="S61" s="182"/>
      <c r="T61" s="139"/>
    </row>
    <row r="62" spans="1:20" ht="18.75" x14ac:dyDescent="0.3">
      <c r="A62" s="86" t="s">
        <v>93</v>
      </c>
      <c r="B62" s="103">
        <f>B21+B40</f>
        <v>315095</v>
      </c>
      <c r="C62" s="103">
        <f>+C21+C40</f>
        <v>360703</v>
      </c>
      <c r="D62" s="104">
        <f t="shared" si="20"/>
        <v>14.5</v>
      </c>
      <c r="E62" s="408">
        <f t="shared" si="21"/>
        <v>0.71118145582834458</v>
      </c>
      <c r="F62" s="103"/>
      <c r="G62" s="176">
        <f>G21+G40</f>
        <v>5973663</v>
      </c>
      <c r="H62" s="176">
        <f>H21+H40</f>
        <v>6954191</v>
      </c>
      <c r="I62" s="104">
        <f t="shared" si="22"/>
        <v>16.399999999999999</v>
      </c>
      <c r="J62" s="408">
        <f t="shared" si="23"/>
        <v>0.47906821228269864</v>
      </c>
      <c r="K62" s="139"/>
      <c r="L62" s="222">
        <f ca="1">L22+L40</f>
        <v>0</v>
      </c>
      <c r="M62" s="220">
        <f ca="1">+M22+M40</f>
        <v>0</v>
      </c>
      <c r="N62" s="222">
        <f ca="1">N22+N40</f>
        <v>0</v>
      </c>
      <c r="O62" s="220">
        <f ca="1">O22+O40</f>
        <v>0</v>
      </c>
      <c r="P62" s="206"/>
      <c r="Q62" s="206"/>
      <c r="R62" s="206"/>
      <c r="S62" s="182"/>
      <c r="T62" s="139"/>
    </row>
    <row r="63" spans="1:20" ht="18.75" x14ac:dyDescent="0.3">
      <c r="A63" s="86" t="s">
        <v>94</v>
      </c>
      <c r="B63" s="103">
        <f>B22</f>
        <v>154391</v>
      </c>
      <c r="C63" s="103">
        <f>C22</f>
        <v>173861.997</v>
      </c>
      <c r="D63" s="104">
        <f t="shared" si="20"/>
        <v>12.6</v>
      </c>
      <c r="E63" s="408">
        <f t="shared" si="21"/>
        <v>0.34279567439051872</v>
      </c>
      <c r="F63" s="103"/>
      <c r="G63" s="176">
        <f>G22</f>
        <v>30106</v>
      </c>
      <c r="H63" s="176">
        <f>H22</f>
        <v>45976.864999999998</v>
      </c>
      <c r="I63" s="104">
        <f t="shared" si="22"/>
        <v>52.7</v>
      </c>
      <c r="J63" s="408">
        <f t="shared" si="23"/>
        <v>3.1673065237801173E-3</v>
      </c>
      <c r="K63" s="139"/>
      <c r="L63" s="222">
        <f t="shared" ref="L63:O64" ca="1" si="27">L23</f>
        <v>0</v>
      </c>
      <c r="M63" s="220">
        <f t="shared" ca="1" si="27"/>
        <v>0</v>
      </c>
      <c r="N63" s="222">
        <f t="shared" ca="1" si="27"/>
        <v>0</v>
      </c>
      <c r="O63" s="220">
        <f t="shared" ca="1" si="27"/>
        <v>0</v>
      </c>
      <c r="P63" s="206"/>
      <c r="Q63" s="206"/>
      <c r="R63" s="206"/>
      <c r="S63" s="182"/>
      <c r="T63" s="139"/>
    </row>
    <row r="64" spans="1:20" ht="18.75" x14ac:dyDescent="0.3">
      <c r="A64" s="108" t="s">
        <v>416</v>
      </c>
      <c r="B64" s="103">
        <f>B23</f>
        <v>26907</v>
      </c>
      <c r="C64" s="103">
        <f>C23</f>
        <v>36699</v>
      </c>
      <c r="D64" s="104">
        <f t="shared" si="20"/>
        <v>36.4</v>
      </c>
      <c r="E64" s="408">
        <f t="shared" si="21"/>
        <v>7.2357724353399933E-2</v>
      </c>
      <c r="F64" s="103"/>
      <c r="G64" s="176">
        <f>G23</f>
        <v>0</v>
      </c>
      <c r="H64" s="176">
        <f>H23</f>
        <v>0</v>
      </c>
      <c r="I64" s="104"/>
      <c r="J64" s="408">
        <f t="shared" si="23"/>
        <v>0</v>
      </c>
      <c r="K64" s="139"/>
      <c r="L64" s="222">
        <f t="shared" ca="1" si="27"/>
        <v>0</v>
      </c>
      <c r="M64" s="220">
        <f t="shared" ca="1" si="27"/>
        <v>0</v>
      </c>
      <c r="N64" s="222">
        <f t="shared" ca="1" si="27"/>
        <v>0</v>
      </c>
      <c r="O64" s="220">
        <f t="shared" ca="1" si="27"/>
        <v>0</v>
      </c>
      <c r="P64" s="206"/>
      <c r="Q64" s="206"/>
      <c r="R64" s="206"/>
      <c r="S64" s="182"/>
      <c r="T64" s="139"/>
    </row>
    <row r="65" spans="1:240" ht="18.75" x14ac:dyDescent="0.3">
      <c r="A65" s="107" t="s">
        <v>66</v>
      </c>
      <c r="B65" s="103">
        <f>B24+B41</f>
        <v>6766172.0381240938</v>
      </c>
      <c r="C65" s="103">
        <f>+C24+C41</f>
        <v>6766990.9724863805</v>
      </c>
      <c r="D65" s="104">
        <f t="shared" si="20"/>
        <v>0</v>
      </c>
      <c r="E65" s="408">
        <f t="shared" si="21"/>
        <v>13.342163750759292</v>
      </c>
      <c r="F65" s="103"/>
      <c r="G65" s="176">
        <f>+G24+G41</f>
        <v>119371791.99988984</v>
      </c>
      <c r="H65" s="176">
        <f>+H24+H41</f>
        <v>131543138.77123134</v>
      </c>
      <c r="I65" s="104">
        <f t="shared" si="22"/>
        <v>10.199999999999999</v>
      </c>
      <c r="J65" s="408">
        <f t="shared" si="23"/>
        <v>9.0618932280100939</v>
      </c>
      <c r="K65" s="139"/>
      <c r="L65" s="222">
        <f ca="1">L25+L41</f>
        <v>0</v>
      </c>
      <c r="M65" s="220">
        <f ca="1">+M25+M41</f>
        <v>0</v>
      </c>
      <c r="N65" s="222">
        <f ca="1">+N25+N41</f>
        <v>0</v>
      </c>
      <c r="O65" s="220">
        <f ca="1">+O25+O41</f>
        <v>0</v>
      </c>
      <c r="P65" s="206"/>
      <c r="Q65" s="206"/>
      <c r="R65" s="206"/>
      <c r="S65" s="182"/>
      <c r="T65" s="139"/>
    </row>
    <row r="66" spans="1:240" ht="18.75" customHeight="1" x14ac:dyDescent="0.3">
      <c r="A66" s="107" t="s">
        <v>96</v>
      </c>
      <c r="B66" s="103">
        <f>B25</f>
        <v>1806904</v>
      </c>
      <c r="C66" s="103">
        <f>C25</f>
        <v>1571000</v>
      </c>
      <c r="D66" s="104">
        <f t="shared" si="20"/>
        <v>-13.1</v>
      </c>
      <c r="E66" s="408">
        <f t="shared" si="21"/>
        <v>3.0974681860320801</v>
      </c>
      <c r="F66" s="103"/>
      <c r="G66" s="176">
        <f>G25</f>
        <v>75627238.392739996</v>
      </c>
      <c r="H66" s="176">
        <f>H25</f>
        <v>77112000</v>
      </c>
      <c r="I66" s="104">
        <f t="shared" si="22"/>
        <v>2</v>
      </c>
      <c r="J66" s="408">
        <f t="shared" si="23"/>
        <v>5.3121790853232902</v>
      </c>
      <c r="K66" s="139"/>
      <c r="L66" s="222">
        <f ca="1">L26</f>
        <v>0</v>
      </c>
      <c r="M66" s="220">
        <f ca="1">M26</f>
        <v>0</v>
      </c>
      <c r="N66" s="222">
        <f ca="1">N26</f>
        <v>0</v>
      </c>
      <c r="O66" s="220">
        <f ca="1">O26</f>
        <v>0</v>
      </c>
      <c r="P66" s="206"/>
      <c r="Q66" s="206"/>
      <c r="R66" s="206"/>
      <c r="S66" s="182"/>
      <c r="T66" s="139"/>
    </row>
    <row r="67" spans="1:240" ht="18.75" customHeight="1" x14ac:dyDescent="0.3">
      <c r="A67" s="107" t="s">
        <v>366</v>
      </c>
      <c r="B67" s="103">
        <f>B26</f>
        <v>254608.63609938539</v>
      </c>
      <c r="C67" s="103">
        <f>C26</f>
        <v>263606.18193381856</v>
      </c>
      <c r="D67" s="104">
        <f t="shared" ref="D67" si="28">IF(B67=0, "    ---- ", IF(ABS(ROUND(100/B67*C67-100,1))&lt;999,ROUND(100/B67*C67-100,1),IF(ROUND(100/B67*C67-100,1)&gt;999,999,-999)))</f>
        <v>3.5</v>
      </c>
      <c r="E67" s="408">
        <f t="shared" si="21"/>
        <v>0.51974014142672653</v>
      </c>
      <c r="F67" s="103"/>
      <c r="G67" s="176">
        <f>G26</f>
        <v>0</v>
      </c>
      <c r="H67" s="176">
        <f>H26</f>
        <v>0</v>
      </c>
      <c r="I67" s="104"/>
      <c r="J67" s="408">
        <f t="shared" si="23"/>
        <v>0</v>
      </c>
      <c r="K67" s="139"/>
      <c r="L67" s="222"/>
      <c r="M67" s="220"/>
      <c r="N67" s="222"/>
      <c r="O67" s="220"/>
      <c r="P67" s="206"/>
      <c r="Q67" s="206"/>
      <c r="R67" s="206"/>
      <c r="S67" s="182"/>
      <c r="T67" s="139"/>
    </row>
    <row r="68" spans="1:240" ht="18.75" customHeight="1" x14ac:dyDescent="0.3">
      <c r="A68" s="107" t="s">
        <v>72</v>
      </c>
      <c r="B68" s="103">
        <f>B42</f>
        <v>69806.938299999994</v>
      </c>
      <c r="C68" s="103">
        <f>C42</f>
        <v>67197.383550000013</v>
      </c>
      <c r="D68" s="104">
        <f t="shared" si="20"/>
        <v>-3.7</v>
      </c>
      <c r="E68" s="408">
        <f t="shared" si="21"/>
        <v>0.13248997945940194</v>
      </c>
      <c r="F68" s="103"/>
      <c r="G68" s="176">
        <f>G42</f>
        <v>2307693.03969</v>
      </c>
      <c r="H68" s="176">
        <f>H42</f>
        <v>2514066.6801399998</v>
      </c>
      <c r="I68" s="104">
        <f t="shared" si="22"/>
        <v>8.9</v>
      </c>
      <c r="J68" s="408">
        <f t="shared" si="23"/>
        <v>0.17319188242229311</v>
      </c>
      <c r="K68" s="139"/>
      <c r="L68" s="222">
        <f ca="1">L42</f>
        <v>0</v>
      </c>
      <c r="M68" s="220">
        <f ca="1">M42</f>
        <v>0</v>
      </c>
      <c r="N68" s="222">
        <f ca="1">N42</f>
        <v>0</v>
      </c>
      <c r="O68" s="220">
        <f ca="1">O42</f>
        <v>0</v>
      </c>
      <c r="P68" s="206"/>
      <c r="Q68" s="206"/>
      <c r="R68" s="206"/>
      <c r="S68" s="182"/>
      <c r="T68" s="139"/>
    </row>
    <row r="69" spans="1:240" ht="18.75" customHeight="1" x14ac:dyDescent="0.3">
      <c r="A69" s="86" t="s">
        <v>68</v>
      </c>
      <c r="B69" s="103">
        <f>B27+B43</f>
        <v>3715510.7299700002</v>
      </c>
      <c r="C69" s="103">
        <f>+C27+C43</f>
        <v>2744308.4134399998</v>
      </c>
      <c r="D69" s="104">
        <f t="shared" si="20"/>
        <v>-26.1</v>
      </c>
      <c r="E69" s="408">
        <f t="shared" si="21"/>
        <v>5.4108262274287533</v>
      </c>
      <c r="F69" s="103"/>
      <c r="G69" s="176">
        <f>+G27+G43</f>
        <v>52884353.236220002</v>
      </c>
      <c r="H69" s="176">
        <f>+H27+H43</f>
        <v>55787838.728359997</v>
      </c>
      <c r="I69" s="104">
        <f t="shared" si="22"/>
        <v>5.5</v>
      </c>
      <c r="J69" s="408">
        <f t="shared" si="23"/>
        <v>3.8431760310740568</v>
      </c>
      <c r="K69" s="139"/>
      <c r="L69" s="222">
        <f ca="1">L28+L43</f>
        <v>0</v>
      </c>
      <c r="M69" s="220">
        <f t="shared" ref="M69:O70" ca="1" si="29">+M28+M43</f>
        <v>0</v>
      </c>
      <c r="N69" s="222">
        <f t="shared" ca="1" si="29"/>
        <v>0</v>
      </c>
      <c r="O69" s="220">
        <f t="shared" ca="1" si="29"/>
        <v>0</v>
      </c>
      <c r="P69" s="206"/>
      <c r="Q69" s="206"/>
      <c r="R69" s="206"/>
      <c r="S69" s="182"/>
      <c r="T69" s="139"/>
    </row>
    <row r="70" spans="1:240" ht="18.75" customHeight="1" x14ac:dyDescent="0.3">
      <c r="A70" s="107" t="s">
        <v>97</v>
      </c>
      <c r="B70" s="103">
        <f>B44+B28</f>
        <v>8872415.152999999</v>
      </c>
      <c r="C70" s="103">
        <f>+C28+C44</f>
        <v>9790966.4749999996</v>
      </c>
      <c r="D70" s="104">
        <f t="shared" si="20"/>
        <v>10.4</v>
      </c>
      <c r="E70" s="408">
        <f t="shared" si="21"/>
        <v>19.304396668885524</v>
      </c>
      <c r="F70" s="103"/>
      <c r="G70" s="176">
        <f>+G28+G44</f>
        <v>285111522.17300004</v>
      </c>
      <c r="H70" s="176">
        <f>+H28+H44</f>
        <v>299376686.78200001</v>
      </c>
      <c r="I70" s="104">
        <f t="shared" si="22"/>
        <v>5</v>
      </c>
      <c r="J70" s="408">
        <f t="shared" si="23"/>
        <v>20.623801407779879</v>
      </c>
      <c r="K70" s="139"/>
      <c r="L70" s="222">
        <f ca="1">L44+L29</f>
        <v>0</v>
      </c>
      <c r="M70" s="220">
        <f t="shared" ca="1" si="29"/>
        <v>0</v>
      </c>
      <c r="N70" s="222">
        <f t="shared" ca="1" si="29"/>
        <v>0</v>
      </c>
      <c r="O70" s="220">
        <f t="shared" ca="1" si="29"/>
        <v>0</v>
      </c>
      <c r="P70" s="206"/>
      <c r="Q70" s="206"/>
      <c r="R70" s="206"/>
      <c r="S70" s="182"/>
      <c r="T70" s="139"/>
    </row>
    <row r="71" spans="1:240" ht="18.75" customHeight="1" x14ac:dyDescent="0.3">
      <c r="A71" s="107" t="s">
        <v>98</v>
      </c>
      <c r="B71" s="103">
        <f>B29</f>
        <v>0</v>
      </c>
      <c r="C71" s="103">
        <f>+C29</f>
        <v>0</v>
      </c>
      <c r="D71" s="104"/>
      <c r="E71" s="408">
        <f t="shared" si="21"/>
        <v>0</v>
      </c>
      <c r="F71" s="103"/>
      <c r="G71" s="176">
        <f t="shared" ref="G71:H73" si="30">+G29</f>
        <v>0</v>
      </c>
      <c r="H71" s="176">
        <f t="shared" si="30"/>
        <v>0</v>
      </c>
      <c r="I71" s="104"/>
      <c r="J71" s="408">
        <f t="shared" si="23"/>
        <v>0</v>
      </c>
      <c r="K71" s="139"/>
      <c r="L71" s="222">
        <f ca="1">L30</f>
        <v>0</v>
      </c>
      <c r="M71" s="220">
        <f t="shared" ref="M71:O72" ca="1" si="31">+M30</f>
        <v>0</v>
      </c>
      <c r="N71" s="222">
        <f t="shared" ca="1" si="31"/>
        <v>0</v>
      </c>
      <c r="O71" s="220">
        <f t="shared" ca="1" si="31"/>
        <v>0</v>
      </c>
      <c r="P71" s="206"/>
      <c r="Q71" s="206"/>
      <c r="R71" s="206"/>
      <c r="S71" s="182"/>
      <c r="T71" s="139"/>
    </row>
    <row r="72" spans="1:240" ht="18.75" customHeight="1" x14ac:dyDescent="0.3">
      <c r="A72" s="107" t="s">
        <v>99</v>
      </c>
      <c r="B72" s="103">
        <f>B30</f>
        <v>543064</v>
      </c>
      <c r="C72" s="103">
        <f>+C30</f>
        <v>558832.35693999997</v>
      </c>
      <c r="D72" s="104">
        <f t="shared" si="20"/>
        <v>2.9</v>
      </c>
      <c r="E72" s="408">
        <f t="shared" si="21"/>
        <v>1.1018239636836242</v>
      </c>
      <c r="F72" s="103"/>
      <c r="G72" s="176">
        <f t="shared" si="30"/>
        <v>0</v>
      </c>
      <c r="H72" s="176">
        <f t="shared" si="30"/>
        <v>0</v>
      </c>
      <c r="I72" s="104"/>
      <c r="J72" s="408">
        <f t="shared" si="23"/>
        <v>0</v>
      </c>
      <c r="K72" s="139"/>
      <c r="L72" s="222">
        <f ca="1">L31</f>
        <v>0</v>
      </c>
      <c r="M72" s="220">
        <f t="shared" ca="1" si="31"/>
        <v>0</v>
      </c>
      <c r="N72" s="222">
        <f t="shared" ca="1" si="31"/>
        <v>0</v>
      </c>
      <c r="O72" s="220">
        <f t="shared" ca="1" si="31"/>
        <v>0</v>
      </c>
      <c r="P72" s="206"/>
      <c r="Q72" s="206"/>
      <c r="R72" s="206"/>
      <c r="S72" s="182"/>
      <c r="T72" s="139"/>
    </row>
    <row r="73" spans="1:240" ht="18.75" customHeight="1" x14ac:dyDescent="0.3">
      <c r="A73" s="107" t="s">
        <v>420</v>
      </c>
      <c r="B73" s="103">
        <f>B31</f>
        <v>0</v>
      </c>
      <c r="C73" s="103">
        <f>C31</f>
        <v>1120</v>
      </c>
      <c r="D73" s="104"/>
      <c r="E73" s="408"/>
      <c r="F73" s="103"/>
      <c r="G73" s="176">
        <f t="shared" si="30"/>
        <v>0</v>
      </c>
      <c r="H73" s="176">
        <f t="shared" si="30"/>
        <v>0</v>
      </c>
      <c r="I73" s="104"/>
      <c r="J73" s="408"/>
      <c r="K73" s="139"/>
      <c r="L73" s="222"/>
      <c r="M73" s="220"/>
      <c r="N73" s="222"/>
      <c r="O73" s="220"/>
      <c r="P73" s="206"/>
      <c r="Q73" s="206"/>
      <c r="R73" s="206"/>
      <c r="S73" s="182"/>
      <c r="T73" s="139"/>
    </row>
    <row r="74" spans="1:240" s="111" customFormat="1" ht="18.75" customHeight="1" x14ac:dyDescent="0.3">
      <c r="A74" s="113" t="s">
        <v>2</v>
      </c>
      <c r="B74" s="114">
        <f>SUM(B49:B72)</f>
        <v>57354244.552213475</v>
      </c>
      <c r="C74" s="114">
        <f>SUM(C49:C72)</f>
        <v>50718842.152580202</v>
      </c>
      <c r="D74" s="115">
        <f>IF(B74=0, "    ---- ", IF(ABS(ROUND(100/B74*C74-100,1))&lt;999,ROUND(100/B74*C74-100,1),IF(ROUND(100/B74*C74-100,1)&gt;999,999,-999)))</f>
        <v>-11.6</v>
      </c>
      <c r="E74" s="411">
        <f>SUM(E49:E72)</f>
        <v>99.999999999999986</v>
      </c>
      <c r="F74" s="109"/>
      <c r="G74" s="181">
        <f>SUM(G49:G72)</f>
        <v>1384391067.6684463</v>
      </c>
      <c r="H74" s="181">
        <f>SUM(H49:H72)</f>
        <v>1451607687.9457669</v>
      </c>
      <c r="I74" s="115">
        <f>IF(G74=0, "    ---- ", IF(ABS(ROUND(100/G74*H74-100,1))&lt;999,ROUND(100/G74*H74-100,1),IF(ROUND(100/G74*H74-100,1)&gt;999,999,-999)))</f>
        <v>4.9000000000000004</v>
      </c>
      <c r="J74" s="411">
        <f>SUM(J49:J72)</f>
        <v>100</v>
      </c>
      <c r="K74" s="179"/>
      <c r="L74" s="228" t="e">
        <f ca="1">SUM(L49:L72)</f>
        <v>#REF!</v>
      </c>
      <c r="M74" s="229" t="e">
        <f ca="1">SUM(M49:M72)</f>
        <v>#REF!</v>
      </c>
      <c r="N74" s="228" t="e">
        <f ca="1">SUM(N49:N72)</f>
        <v>#REF!</v>
      </c>
      <c r="O74" s="229" t="e">
        <f ca="1">SUM(O49:O72)</f>
        <v>#REF!</v>
      </c>
      <c r="P74" s="208"/>
      <c r="Q74" s="208"/>
      <c r="R74" s="208"/>
      <c r="S74" s="138"/>
      <c r="T74" s="179"/>
    </row>
    <row r="75" spans="1:240" ht="18.75" customHeight="1" x14ac:dyDescent="0.3">
      <c r="A75" s="112" t="s">
        <v>103</v>
      </c>
      <c r="B75" s="112"/>
      <c r="C75" s="112"/>
      <c r="D75" s="112"/>
      <c r="E75" s="112"/>
      <c r="F75" s="112"/>
      <c r="G75" s="112"/>
      <c r="H75" s="112"/>
      <c r="I75" s="112"/>
      <c r="J75" s="112"/>
      <c r="K75" s="112"/>
      <c r="L75" s="185"/>
      <c r="M75" s="185"/>
      <c r="N75" s="185"/>
      <c r="O75" s="185"/>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c r="CG75" s="112"/>
      <c r="CH75" s="112"/>
      <c r="CI75" s="112"/>
      <c r="CJ75" s="112"/>
      <c r="CK75" s="112"/>
      <c r="CL75" s="112"/>
      <c r="CM75" s="112"/>
      <c r="CN75" s="112"/>
      <c r="CO75" s="112"/>
      <c r="CP75" s="112"/>
      <c r="CQ75" s="112"/>
      <c r="CR75" s="112"/>
      <c r="CS75" s="112"/>
      <c r="CT75" s="112"/>
      <c r="CU75" s="11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112"/>
      <c r="DT75" s="112"/>
      <c r="DU75" s="112"/>
      <c r="DV75" s="112"/>
      <c r="DW75" s="112"/>
      <c r="DX75" s="112"/>
      <c r="DY75" s="112"/>
      <c r="DZ75" s="112"/>
      <c r="EA75" s="112"/>
      <c r="EB75" s="112"/>
      <c r="EC75" s="112"/>
      <c r="ED75" s="112"/>
      <c r="EE75" s="112"/>
      <c r="EF75" s="112"/>
      <c r="EG75" s="112"/>
      <c r="EH75" s="112"/>
      <c r="EI75" s="112"/>
      <c r="EJ75" s="112"/>
      <c r="EK75" s="112"/>
      <c r="EL75" s="112"/>
      <c r="EM75" s="112"/>
      <c r="EN75" s="112"/>
      <c r="EO75" s="112"/>
      <c r="EP75" s="112"/>
      <c r="EQ75" s="112"/>
      <c r="ER75" s="112"/>
      <c r="ES75" s="112"/>
      <c r="ET75" s="112"/>
      <c r="EU75" s="112"/>
      <c r="EV75" s="112"/>
      <c r="EW75" s="112"/>
      <c r="EX75" s="112"/>
      <c r="EY75" s="112"/>
      <c r="EZ75" s="112"/>
      <c r="FA75" s="112"/>
      <c r="FB75" s="112"/>
      <c r="FC75" s="112"/>
      <c r="FD75" s="112"/>
      <c r="FE75" s="112"/>
      <c r="FF75" s="112"/>
      <c r="FG75" s="112"/>
      <c r="FH75" s="112"/>
      <c r="FI75" s="112"/>
      <c r="FJ75" s="112"/>
      <c r="FK75" s="112"/>
      <c r="FL75" s="112"/>
      <c r="FM75" s="112"/>
      <c r="FN75" s="112"/>
      <c r="FO75" s="112"/>
      <c r="FP75" s="112"/>
      <c r="FQ75" s="112"/>
      <c r="FR75" s="112"/>
      <c r="FS75" s="112"/>
      <c r="FT75" s="112"/>
      <c r="FU75" s="112"/>
      <c r="FV75" s="112"/>
      <c r="FW75" s="112"/>
      <c r="FX75" s="112"/>
      <c r="FY75" s="112"/>
      <c r="FZ75" s="112"/>
      <c r="GA75" s="112"/>
      <c r="GB75" s="112"/>
      <c r="GC75" s="112"/>
      <c r="GD75" s="112"/>
      <c r="GE75" s="112"/>
      <c r="GF75" s="112"/>
      <c r="GG75" s="112"/>
      <c r="GH75" s="112"/>
      <c r="GI75" s="112"/>
      <c r="GJ75" s="112"/>
      <c r="GK75" s="112"/>
      <c r="GL75" s="112"/>
      <c r="GM75" s="112"/>
      <c r="GN75" s="112"/>
      <c r="GO75" s="112"/>
      <c r="GP75" s="112"/>
      <c r="GQ75" s="112"/>
      <c r="GR75" s="112"/>
      <c r="GS75" s="112"/>
      <c r="GT75" s="112"/>
      <c r="GU75" s="112"/>
      <c r="GV75" s="112"/>
      <c r="GW75" s="112"/>
      <c r="GX75" s="112"/>
      <c r="GY75" s="112"/>
      <c r="GZ75" s="112"/>
      <c r="HA75" s="112"/>
      <c r="HB75" s="112"/>
      <c r="HC75" s="112"/>
      <c r="HD75" s="112"/>
      <c r="HE75" s="112"/>
      <c r="HF75" s="112"/>
      <c r="HG75" s="112"/>
      <c r="HH75" s="112"/>
      <c r="HI75" s="112"/>
      <c r="HJ75" s="112"/>
      <c r="HK75" s="112"/>
      <c r="HL75" s="112"/>
      <c r="HM75" s="112"/>
      <c r="HN75" s="112"/>
      <c r="HO75" s="112"/>
      <c r="HP75" s="112"/>
      <c r="HQ75" s="112"/>
      <c r="HR75" s="112"/>
      <c r="HS75" s="112"/>
      <c r="HT75" s="112"/>
      <c r="HU75" s="112"/>
      <c r="HV75" s="112"/>
      <c r="HW75" s="112"/>
      <c r="HX75" s="112"/>
      <c r="HY75" s="112"/>
      <c r="HZ75" s="112"/>
      <c r="IA75" s="112"/>
      <c r="IB75" s="112"/>
      <c r="IC75" s="112"/>
      <c r="ID75" s="112"/>
      <c r="IE75" s="112"/>
      <c r="IF75" s="112"/>
    </row>
    <row r="76" spans="1:240" ht="18.75" customHeight="1" x14ac:dyDescent="0.3">
      <c r="A76" s="74"/>
      <c r="B76" s="74"/>
      <c r="C76" s="74"/>
      <c r="D76" s="74"/>
      <c r="E76" s="74"/>
      <c r="F76" s="74"/>
      <c r="G76" s="74"/>
      <c r="H76" s="74"/>
      <c r="I76" s="74"/>
      <c r="J76" s="74"/>
      <c r="K76" s="74"/>
    </row>
    <row r="77" spans="1:240" ht="18.75" customHeight="1" x14ac:dyDescent="0.3">
      <c r="A77" s="74"/>
      <c r="B77" s="74"/>
      <c r="C77" s="74"/>
      <c r="D77" s="74"/>
      <c r="E77" s="74"/>
      <c r="F77" s="74"/>
      <c r="G77" s="74"/>
      <c r="H77" s="74"/>
      <c r="I77" s="74"/>
      <c r="J77" s="74"/>
      <c r="K77" s="74"/>
    </row>
    <row r="78" spans="1:240" ht="18.75" customHeight="1" x14ac:dyDescent="0.3">
      <c r="A78" s="74"/>
      <c r="B78" s="77"/>
      <c r="C78" s="77"/>
      <c r="D78" s="74"/>
      <c r="E78" s="74"/>
      <c r="F78" s="74"/>
      <c r="G78" s="77"/>
      <c r="H78" s="77"/>
      <c r="I78" s="74"/>
      <c r="J78" s="74"/>
      <c r="K78" s="74"/>
    </row>
    <row r="79" spans="1:240" ht="18.75" customHeight="1" x14ac:dyDescent="0.3">
      <c r="A79" s="74"/>
      <c r="B79" s="74"/>
      <c r="C79" s="74"/>
      <c r="D79" s="74"/>
      <c r="E79" s="74"/>
      <c r="F79" s="74"/>
      <c r="G79" s="74"/>
      <c r="H79" s="74"/>
      <c r="I79" s="74"/>
      <c r="J79" s="74"/>
      <c r="K79" s="74"/>
    </row>
    <row r="80" spans="1:240" ht="18.75" customHeight="1" x14ac:dyDescent="0.3">
      <c r="A80" s="74"/>
      <c r="B80" s="74"/>
      <c r="C80" s="74"/>
      <c r="D80" s="74"/>
      <c r="E80" s="74"/>
      <c r="F80" s="74"/>
      <c r="G80" s="74"/>
      <c r="H80" s="74"/>
      <c r="I80" s="74"/>
      <c r="J80" s="74"/>
      <c r="K80" s="74"/>
    </row>
    <row r="81" spans="1:11" ht="18.75" customHeight="1" x14ac:dyDescent="0.3">
      <c r="A81" s="74"/>
      <c r="B81" s="74"/>
      <c r="C81" s="74"/>
      <c r="D81" s="74"/>
      <c r="E81" s="74"/>
      <c r="F81" s="74"/>
      <c r="G81" s="74"/>
      <c r="H81" s="74"/>
      <c r="I81" s="74"/>
      <c r="J81" s="74"/>
      <c r="K81" s="74"/>
    </row>
    <row r="82" spans="1:11" ht="18.75" customHeight="1" x14ac:dyDescent="0.3">
      <c r="A82" s="74"/>
      <c r="B82" s="74"/>
      <c r="C82" s="74"/>
      <c r="D82" s="74"/>
      <c r="E82" s="74"/>
      <c r="F82" s="74"/>
      <c r="G82" s="74"/>
      <c r="H82" s="74"/>
      <c r="I82" s="74"/>
      <c r="J82" s="74"/>
      <c r="K82" s="74"/>
    </row>
    <row r="83" spans="1:11" ht="18.75" x14ac:dyDescent="0.3">
      <c r="A83" s="74"/>
      <c r="B83" s="74"/>
      <c r="C83" s="74"/>
      <c r="D83" s="74"/>
      <c r="E83" s="74"/>
      <c r="F83" s="74"/>
      <c r="G83" s="74"/>
      <c r="H83" s="74"/>
      <c r="I83" s="74"/>
      <c r="J83" s="74"/>
      <c r="K83" s="74"/>
    </row>
    <row r="84" spans="1:11" ht="18.75" x14ac:dyDescent="0.3">
      <c r="A84" s="74"/>
      <c r="B84" s="74"/>
      <c r="C84" s="74"/>
      <c r="D84" s="74"/>
      <c r="E84" s="74"/>
      <c r="F84" s="74"/>
      <c r="G84" s="74"/>
      <c r="H84" s="74"/>
      <c r="I84" s="74"/>
      <c r="J84" s="74"/>
      <c r="K84" s="74"/>
    </row>
    <row r="85" spans="1:11" ht="18.75" x14ac:dyDescent="0.3">
      <c r="A85" s="74"/>
      <c r="B85" s="74"/>
      <c r="C85" s="74"/>
      <c r="D85" s="74"/>
      <c r="E85" s="74"/>
      <c r="F85" s="74"/>
      <c r="G85" s="74"/>
      <c r="H85" s="74"/>
      <c r="I85" s="74"/>
      <c r="J85" s="74"/>
      <c r="K85" s="74"/>
    </row>
    <row r="86" spans="1:11" ht="18.75" x14ac:dyDescent="0.3">
      <c r="A86" s="74"/>
      <c r="B86" s="74"/>
      <c r="C86" s="74"/>
      <c r="D86" s="74"/>
      <c r="E86" s="74"/>
      <c r="F86" s="74"/>
      <c r="G86" s="74"/>
      <c r="H86" s="74"/>
      <c r="I86" s="74"/>
      <c r="J86" s="74"/>
      <c r="K86" s="74"/>
    </row>
    <row r="87" spans="1:11" ht="18.75" x14ac:dyDescent="0.3">
      <c r="A87" s="74"/>
      <c r="B87" s="74"/>
      <c r="C87" s="74"/>
      <c r="D87" s="74"/>
      <c r="E87" s="74"/>
      <c r="F87" s="74"/>
      <c r="G87" s="74"/>
      <c r="H87" s="74"/>
      <c r="I87" s="74"/>
      <c r="J87" s="74"/>
      <c r="K87" s="74"/>
    </row>
    <row r="88" spans="1:11" ht="18.75" x14ac:dyDescent="0.3">
      <c r="A88" s="74"/>
      <c r="B88" s="74"/>
      <c r="C88" s="74"/>
      <c r="D88" s="74"/>
      <c r="E88" s="74"/>
      <c r="F88" s="74"/>
      <c r="G88" s="74"/>
      <c r="H88" s="74"/>
      <c r="I88" s="74"/>
      <c r="J88" s="74"/>
      <c r="K88" s="74"/>
    </row>
    <row r="89" spans="1:11" ht="18.75" x14ac:dyDescent="0.3">
      <c r="A89" s="74"/>
      <c r="B89" s="74"/>
      <c r="C89" s="74"/>
      <c r="D89" s="74"/>
      <c r="E89" s="74"/>
      <c r="F89" s="74"/>
      <c r="G89" s="74"/>
      <c r="H89" s="74"/>
      <c r="I89" s="74"/>
      <c r="J89" s="74"/>
      <c r="K89" s="74"/>
    </row>
    <row r="90" spans="1:11" ht="18.75" x14ac:dyDescent="0.3">
      <c r="A90" s="74"/>
      <c r="B90" s="74"/>
      <c r="C90" s="74"/>
      <c r="D90" s="74"/>
      <c r="E90" s="74"/>
      <c r="F90" s="74"/>
      <c r="G90" s="74"/>
      <c r="H90" s="74"/>
      <c r="I90" s="74"/>
      <c r="J90" s="74"/>
      <c r="K90" s="74"/>
    </row>
    <row r="91" spans="1:11" ht="18.75" x14ac:dyDescent="0.3">
      <c r="A91" s="74"/>
      <c r="B91" s="74"/>
      <c r="C91" s="74"/>
      <c r="D91" s="74"/>
      <c r="E91" s="74"/>
      <c r="F91" s="74"/>
      <c r="G91" s="74"/>
      <c r="H91" s="74"/>
      <c r="I91" s="74"/>
      <c r="J91" s="74"/>
      <c r="K91" s="74"/>
    </row>
    <row r="92" spans="1:11" ht="18.75" x14ac:dyDescent="0.3">
      <c r="A92" s="74"/>
      <c r="B92" s="74"/>
      <c r="C92" s="74"/>
      <c r="D92" s="74"/>
      <c r="E92" s="74"/>
      <c r="F92" s="74"/>
      <c r="G92" s="74"/>
      <c r="H92" s="74"/>
      <c r="I92" s="74"/>
      <c r="J92" s="74"/>
      <c r="K92" s="74"/>
    </row>
    <row r="93" spans="1:11" ht="18.75" x14ac:dyDescent="0.3">
      <c r="A93" s="74"/>
      <c r="B93" s="74"/>
      <c r="C93" s="74"/>
      <c r="D93" s="74"/>
      <c r="E93" s="74"/>
      <c r="F93" s="74"/>
      <c r="G93" s="74"/>
      <c r="H93" s="74"/>
      <c r="I93" s="74"/>
      <c r="J93" s="74"/>
      <c r="K93" s="74"/>
    </row>
    <row r="94" spans="1:11" ht="18.75" x14ac:dyDescent="0.3">
      <c r="A94" s="74"/>
      <c r="B94" s="74"/>
      <c r="C94" s="74"/>
      <c r="D94" s="74"/>
      <c r="E94" s="74"/>
      <c r="F94" s="74"/>
      <c r="G94" s="74"/>
      <c r="H94" s="74"/>
      <c r="I94" s="74"/>
      <c r="J94" s="74"/>
      <c r="K94" s="74"/>
    </row>
    <row r="95" spans="1:11" ht="18.75" x14ac:dyDescent="0.3">
      <c r="A95" s="74"/>
      <c r="B95" s="74"/>
      <c r="C95" s="74"/>
      <c r="D95" s="74"/>
      <c r="E95" s="74"/>
      <c r="F95" s="74"/>
      <c r="G95" s="74"/>
      <c r="H95" s="74"/>
      <c r="I95" s="74"/>
      <c r="J95" s="74"/>
      <c r="K95" s="74"/>
    </row>
    <row r="96" spans="1:11" ht="18.75" x14ac:dyDescent="0.3">
      <c r="A96" s="74"/>
      <c r="B96" s="74"/>
      <c r="C96" s="74"/>
      <c r="D96" s="74"/>
      <c r="E96" s="74"/>
      <c r="F96" s="74"/>
      <c r="G96" s="74"/>
      <c r="H96" s="74"/>
      <c r="I96" s="74"/>
      <c r="J96" s="74"/>
      <c r="K96" s="74"/>
    </row>
    <row r="97" spans="1:11" ht="18.75" x14ac:dyDescent="0.3">
      <c r="A97" s="74"/>
      <c r="B97" s="74"/>
      <c r="C97" s="74"/>
      <c r="D97" s="74"/>
      <c r="E97" s="74"/>
      <c r="F97" s="74"/>
      <c r="G97" s="74"/>
      <c r="H97" s="74"/>
      <c r="I97" s="74"/>
      <c r="J97" s="74"/>
      <c r="K97" s="74"/>
    </row>
    <row r="98" spans="1:11" ht="18.75" x14ac:dyDescent="0.3">
      <c r="A98" s="74"/>
      <c r="B98" s="74"/>
      <c r="C98" s="74"/>
      <c r="D98" s="74"/>
      <c r="E98" s="74"/>
      <c r="F98" s="74"/>
      <c r="G98" s="74"/>
      <c r="H98" s="74"/>
      <c r="I98" s="74"/>
      <c r="J98" s="74"/>
      <c r="K98" s="74"/>
    </row>
    <row r="99" spans="1:11" ht="18.75" x14ac:dyDescent="0.3">
      <c r="A99" s="74"/>
      <c r="B99" s="74"/>
      <c r="C99" s="74"/>
      <c r="D99" s="74"/>
      <c r="E99" s="74"/>
      <c r="F99" s="74"/>
      <c r="G99" s="74"/>
      <c r="H99" s="74"/>
      <c r="I99" s="74"/>
      <c r="J99" s="74"/>
      <c r="K99" s="74"/>
    </row>
    <row r="100" spans="1:11" ht="18.75" x14ac:dyDescent="0.3">
      <c r="A100" s="112"/>
      <c r="B100" s="112"/>
      <c r="C100" s="112"/>
      <c r="D100" s="112"/>
      <c r="E100" s="112"/>
      <c r="F100" s="112"/>
      <c r="G100" s="112"/>
      <c r="H100" s="112"/>
      <c r="I100" s="112"/>
      <c r="J100" s="112"/>
      <c r="K100" s="112"/>
    </row>
    <row r="101" spans="1:11" ht="18.75" x14ac:dyDescent="0.3">
      <c r="A101" s="116"/>
      <c r="B101" s="117"/>
      <c r="C101" s="117"/>
      <c r="D101" s="117"/>
      <c r="E101" s="74"/>
      <c r="F101" s="74"/>
      <c r="G101" s="74"/>
      <c r="H101" s="74"/>
      <c r="I101" s="74"/>
      <c r="J101" s="75"/>
      <c r="K101" s="75"/>
    </row>
    <row r="102" spans="1:11" ht="18.75" x14ac:dyDescent="0.3">
      <c r="A102" s="74"/>
      <c r="B102" s="74"/>
      <c r="C102" s="74"/>
      <c r="D102" s="74"/>
      <c r="E102" s="74"/>
      <c r="F102" s="74"/>
      <c r="G102" s="74"/>
      <c r="H102" s="74"/>
      <c r="I102" s="74"/>
      <c r="J102" s="74"/>
      <c r="K102" s="74"/>
    </row>
    <row r="103" spans="1:11" ht="18.75" x14ac:dyDescent="0.3">
      <c r="A103" s="74"/>
      <c r="B103" s="74"/>
      <c r="C103" s="74"/>
      <c r="D103" s="74"/>
      <c r="E103" s="74"/>
      <c r="F103" s="74"/>
      <c r="G103" s="74"/>
      <c r="H103" s="74"/>
      <c r="I103" s="74"/>
      <c r="J103" s="74"/>
      <c r="K103" s="74"/>
    </row>
    <row r="104" spans="1:11" ht="18.75" x14ac:dyDescent="0.3">
      <c r="A104" s="74"/>
      <c r="B104" s="74"/>
      <c r="C104" s="74"/>
      <c r="D104" s="74"/>
      <c r="E104" s="74"/>
      <c r="F104" s="74"/>
      <c r="G104" s="74"/>
      <c r="H104" s="74"/>
      <c r="I104" s="74"/>
      <c r="J104" s="74"/>
      <c r="K104" s="74"/>
    </row>
    <row r="105" spans="1:11" ht="18.75" x14ac:dyDescent="0.3">
      <c r="A105" s="74"/>
      <c r="B105" s="74"/>
      <c r="C105" s="74"/>
      <c r="D105" s="74"/>
      <c r="E105" s="74"/>
      <c r="F105" s="74"/>
      <c r="G105" s="74"/>
      <c r="H105" s="74"/>
      <c r="I105" s="74"/>
      <c r="J105" s="74"/>
      <c r="K105" s="74"/>
    </row>
    <row r="106" spans="1:11" ht="18.75" x14ac:dyDescent="0.3">
      <c r="A106" s="74"/>
      <c r="B106" s="74"/>
      <c r="C106" s="74"/>
      <c r="D106" s="74"/>
      <c r="E106" s="74"/>
      <c r="F106" s="74"/>
      <c r="G106" s="74"/>
      <c r="H106" s="74"/>
      <c r="I106" s="74"/>
      <c r="J106" s="74"/>
      <c r="K106" s="74"/>
    </row>
    <row r="107" spans="1:11" ht="18.75" x14ac:dyDescent="0.3">
      <c r="A107" s="74"/>
      <c r="B107" s="74"/>
      <c r="C107" s="74"/>
      <c r="D107" s="74"/>
      <c r="E107" s="74"/>
      <c r="F107" s="74"/>
      <c r="G107" s="74"/>
      <c r="H107" s="74"/>
      <c r="I107" s="74"/>
      <c r="J107" s="74"/>
      <c r="K107" s="74"/>
    </row>
    <row r="108" spans="1:11" ht="18.75" x14ac:dyDescent="0.3">
      <c r="A108" s="74"/>
      <c r="B108" s="74"/>
      <c r="C108" s="74"/>
      <c r="D108" s="74"/>
      <c r="E108" s="74"/>
      <c r="F108" s="74"/>
      <c r="G108" s="74"/>
      <c r="H108" s="74"/>
      <c r="I108" s="74"/>
      <c r="J108" s="74"/>
      <c r="K108" s="74"/>
    </row>
    <row r="109" spans="1:11" ht="18.75" x14ac:dyDescent="0.3">
      <c r="A109" s="74"/>
      <c r="B109" s="74"/>
      <c r="C109" s="74"/>
      <c r="D109" s="74"/>
      <c r="E109" s="74"/>
      <c r="F109" s="74"/>
      <c r="G109" s="74"/>
      <c r="H109" s="74"/>
      <c r="I109" s="74"/>
      <c r="J109" s="74"/>
      <c r="K109" s="74"/>
    </row>
    <row r="110" spans="1:11" ht="18.75" x14ac:dyDescent="0.3">
      <c r="A110" s="74"/>
      <c r="B110" s="74"/>
      <c r="C110" s="74"/>
      <c r="D110" s="74"/>
      <c r="E110" s="74"/>
      <c r="F110" s="74"/>
      <c r="G110" s="74"/>
      <c r="H110" s="74"/>
      <c r="I110" s="74"/>
      <c r="J110" s="74"/>
      <c r="K110" s="74"/>
    </row>
    <row r="111" spans="1:11" ht="18.75" x14ac:dyDescent="0.3">
      <c r="A111" s="74"/>
      <c r="B111" s="74"/>
      <c r="C111" s="74"/>
      <c r="D111" s="74"/>
      <c r="E111" s="74"/>
      <c r="F111" s="74"/>
      <c r="G111" s="74"/>
      <c r="H111" s="74"/>
      <c r="I111" s="74"/>
      <c r="J111" s="74"/>
      <c r="K111" s="74"/>
    </row>
    <row r="112" spans="1:11" ht="18.75" x14ac:dyDescent="0.3">
      <c r="A112" s="74"/>
      <c r="B112" s="74"/>
      <c r="C112" s="74"/>
      <c r="D112" s="74"/>
      <c r="E112" s="74"/>
      <c r="F112" s="74"/>
      <c r="G112" s="74"/>
      <c r="H112" s="74"/>
      <c r="I112" s="74"/>
      <c r="J112" s="74"/>
      <c r="K112" s="74"/>
    </row>
    <row r="113" spans="1:11" ht="18.75" x14ac:dyDescent="0.3">
      <c r="A113" s="74"/>
      <c r="B113" s="74"/>
      <c r="C113" s="74"/>
      <c r="D113" s="74"/>
      <c r="E113" s="74"/>
      <c r="F113" s="74"/>
      <c r="G113" s="74"/>
      <c r="H113" s="74"/>
      <c r="I113" s="74"/>
      <c r="J113" s="74"/>
      <c r="K113" s="74"/>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81" customWidth="1"/>
    <col min="2" max="3" width="17.85546875" style="81" bestFit="1" customWidth="1"/>
    <col min="4" max="4" width="9.28515625" style="81" bestFit="1" customWidth="1"/>
    <col min="5" max="5" width="4.7109375" style="81" customWidth="1"/>
    <col min="6" max="7" width="16.7109375" style="81" customWidth="1"/>
    <col min="8" max="8" width="9.28515625" style="81" bestFit="1" customWidth="1"/>
    <col min="9" max="9" width="4.7109375" style="81" customWidth="1"/>
    <col min="10" max="10" width="18.85546875" style="81" customWidth="1"/>
    <col min="11" max="11" width="18" style="81" bestFit="1" customWidth="1"/>
    <col min="12" max="12" width="9.28515625" style="81" bestFit="1" customWidth="1"/>
    <col min="13" max="13" width="11.42578125" style="81"/>
    <col min="14" max="15" width="17.140625" style="81" bestFit="1" customWidth="1"/>
    <col min="16" max="16384" width="11.42578125" style="81"/>
  </cols>
  <sheetData>
    <row r="1" spans="1:13" ht="20.25" x14ac:dyDescent="0.3">
      <c r="A1" s="80" t="s">
        <v>77</v>
      </c>
      <c r="B1" s="73" t="s">
        <v>52</v>
      </c>
      <c r="C1" s="74"/>
      <c r="D1" s="74"/>
      <c r="E1" s="74"/>
      <c r="F1" s="74"/>
      <c r="G1" s="74"/>
      <c r="H1" s="74"/>
      <c r="I1" s="74"/>
      <c r="J1" s="74"/>
      <c r="K1" s="74"/>
      <c r="L1" s="74"/>
      <c r="M1" s="74"/>
    </row>
    <row r="2" spans="1:13" ht="20.25" x14ac:dyDescent="0.3">
      <c r="A2" s="80" t="s">
        <v>104</v>
      </c>
      <c r="B2" s="73"/>
      <c r="C2" s="74"/>
      <c r="D2" s="74"/>
      <c r="E2" s="74"/>
      <c r="F2" s="74"/>
      <c r="G2" s="74"/>
      <c r="H2" s="74"/>
      <c r="I2" s="74"/>
      <c r="J2" s="74"/>
      <c r="K2" s="74"/>
      <c r="L2" s="74"/>
      <c r="M2" s="74"/>
    </row>
    <row r="3" spans="1:13" ht="18.75" x14ac:dyDescent="0.3">
      <c r="A3" s="75" t="s">
        <v>105</v>
      </c>
      <c r="B3" s="74"/>
      <c r="C3" s="74"/>
      <c r="D3" s="74"/>
      <c r="E3" s="74"/>
      <c r="F3" s="74"/>
      <c r="G3" s="74"/>
      <c r="H3" s="74"/>
      <c r="I3" s="74"/>
      <c r="J3" s="74"/>
      <c r="K3" s="74"/>
      <c r="L3" s="74"/>
      <c r="M3" s="74"/>
    </row>
    <row r="4" spans="1:13" ht="18.75" x14ac:dyDescent="0.3">
      <c r="A4" s="82" t="s">
        <v>419</v>
      </c>
      <c r="B4" s="102"/>
      <c r="C4" s="118"/>
      <c r="D4" s="119"/>
      <c r="E4" s="112"/>
      <c r="F4" s="83"/>
      <c r="G4" s="84"/>
      <c r="H4" s="85"/>
      <c r="I4" s="112"/>
      <c r="J4" s="83"/>
      <c r="K4" s="84"/>
      <c r="L4" s="85"/>
      <c r="M4" s="74"/>
    </row>
    <row r="5" spans="1:13" ht="18.75" x14ac:dyDescent="0.3">
      <c r="A5" s="120"/>
      <c r="B5" s="718" t="s">
        <v>0</v>
      </c>
      <c r="C5" s="719"/>
      <c r="D5" s="720"/>
      <c r="E5" s="89"/>
      <c r="F5" s="718" t="s">
        <v>1</v>
      </c>
      <c r="G5" s="719"/>
      <c r="H5" s="720"/>
      <c r="I5" s="121"/>
      <c r="J5" s="718" t="s">
        <v>106</v>
      </c>
      <c r="K5" s="719"/>
      <c r="L5" s="720"/>
      <c r="M5" s="74"/>
    </row>
    <row r="6" spans="1:13" ht="18.75" x14ac:dyDescent="0.3">
      <c r="A6" s="122"/>
      <c r="B6" s="123"/>
      <c r="C6" s="124"/>
      <c r="D6" s="94" t="s">
        <v>107</v>
      </c>
      <c r="E6" s="100"/>
      <c r="F6" s="123"/>
      <c r="G6" s="124"/>
      <c r="H6" s="94" t="s">
        <v>107</v>
      </c>
      <c r="I6" s="125"/>
      <c r="J6" s="123"/>
      <c r="K6" s="124"/>
      <c r="L6" s="94" t="s">
        <v>107</v>
      </c>
      <c r="M6" s="74"/>
    </row>
    <row r="7" spans="1:13" ht="18.75" x14ac:dyDescent="0.3">
      <c r="A7" s="126" t="s">
        <v>108</v>
      </c>
      <c r="B7" s="127">
        <v>2019</v>
      </c>
      <c r="C7" s="184">
        <v>2020</v>
      </c>
      <c r="D7" s="99" t="s">
        <v>83</v>
      </c>
      <c r="E7" s="100"/>
      <c r="F7" s="127">
        <v>2019</v>
      </c>
      <c r="G7" s="184">
        <v>2020</v>
      </c>
      <c r="H7" s="99" t="s">
        <v>83</v>
      </c>
      <c r="I7" s="128"/>
      <c r="J7" s="127">
        <v>2019</v>
      </c>
      <c r="K7" s="184">
        <v>2020</v>
      </c>
      <c r="L7" s="99" t="s">
        <v>83</v>
      </c>
      <c r="M7" s="74"/>
    </row>
    <row r="8" spans="1:13" ht="22.5" x14ac:dyDescent="0.3">
      <c r="A8" s="191" t="s">
        <v>109</v>
      </c>
      <c r="B8" s="231"/>
      <c r="C8" s="200"/>
      <c r="D8" s="200"/>
      <c r="E8" s="182"/>
      <c r="F8" s="200"/>
      <c r="G8" s="200"/>
      <c r="H8" s="200"/>
      <c r="I8" s="201"/>
      <c r="J8" s="200"/>
      <c r="K8" s="200"/>
      <c r="L8" s="200"/>
      <c r="M8" s="74"/>
    </row>
    <row r="9" spans="1:13" ht="18.75" x14ac:dyDescent="0.3">
      <c r="A9" s="192" t="s">
        <v>110</v>
      </c>
      <c r="B9" s="104">
        <f>'Skjema total MA'!B7</f>
        <v>2648755.8684923854</v>
      </c>
      <c r="C9" s="104">
        <f>'Skjema total MA'!C7</f>
        <v>2687293.8206622265</v>
      </c>
      <c r="D9" s="232">
        <f>IF(B9=0, "    ---- ", IF(ABS(ROUND(100/B9*C9-100,1))&lt;999,ROUND(100/B9*C9-100,1),IF(ROUND(100/B9*C9-100,1)&gt;999,999,-999)))</f>
        <v>1.5</v>
      </c>
      <c r="E9" s="182"/>
      <c r="F9" s="195">
        <f>'Skjema total MA'!E7</f>
        <v>5027290.4678600002</v>
      </c>
      <c r="G9" s="195">
        <f>'Skjema total MA'!F7</f>
        <v>4722775.0113899997</v>
      </c>
      <c r="H9" s="232">
        <f>IF(F9=0, "    ---- ", IF(ABS(ROUND(100/F9*G9-100,1))&lt;999,ROUND(100/F9*G9-100,1),IF(ROUND(100/F9*G9-100,1)&gt;999,999,-999)))</f>
        <v>-6.1</v>
      </c>
      <c r="I9" s="182"/>
      <c r="J9" s="195">
        <f t="shared" ref="J9:K60" si="0">SUM(B9+F9)</f>
        <v>7676046.3363523856</v>
      </c>
      <c r="K9" s="195">
        <f t="shared" si="0"/>
        <v>7410068.8320522262</v>
      </c>
      <c r="L9" s="230">
        <f>IF(J9=0, "    ---- ", IF(ABS(ROUND(100/J9*K9-100,1))&lt;999,ROUND(100/J9*K9-100,1),IF(ROUND(100/J9*K9-100,1)&gt;999,999,-999)))</f>
        <v>-3.5</v>
      </c>
      <c r="M9" s="74"/>
    </row>
    <row r="10" spans="1:13" ht="18.75" x14ac:dyDescent="0.3">
      <c r="A10" s="192" t="s">
        <v>111</v>
      </c>
      <c r="B10" s="104">
        <f>'Skjema total MA'!B22</f>
        <v>1034087.1083524066</v>
      </c>
      <c r="C10" s="104">
        <f>'Skjema total MA'!C22</f>
        <v>987633.37332152703</v>
      </c>
      <c r="D10" s="232">
        <f t="shared" ref="D10:D17" si="1">IF(B10=0, "    ---- ", IF(ABS(ROUND(100/B10*C10-100,1))&lt;999,ROUND(100/B10*C10-100,1),IF(ROUND(100/B10*C10-100,1)&gt;999,999,-999)))</f>
        <v>-4.5</v>
      </c>
      <c r="E10" s="182"/>
      <c r="F10" s="195">
        <f>'Skjema total MA'!E22</f>
        <v>553554.9885199999</v>
      </c>
      <c r="G10" s="195">
        <f>'Skjema total MA'!F22</f>
        <v>642171.47821999993</v>
      </c>
      <c r="H10" s="232">
        <f t="shared" ref="H10:H57" si="2">IF(F10=0, "    ---- ", IF(ABS(ROUND(100/F10*G10-100,1))&lt;999,ROUND(100/F10*G10-100,1),IF(ROUND(100/F10*G10-100,1)&gt;999,999,-999)))</f>
        <v>16</v>
      </c>
      <c r="I10" s="182"/>
      <c r="J10" s="195">
        <f t="shared" si="0"/>
        <v>1587642.0968724065</v>
      </c>
      <c r="K10" s="195">
        <f t="shared" si="0"/>
        <v>1629804.8515415271</v>
      </c>
      <c r="L10" s="230">
        <f t="shared" ref="L10:L60" si="3">IF(J10=0, "    ---- ", IF(ABS(ROUND(100/J10*K10-100,1))&lt;999,ROUND(100/J10*K10-100,1),IF(ROUND(100/J10*K10-100,1)&gt;999,999,-999)))</f>
        <v>2.7</v>
      </c>
      <c r="M10" s="74"/>
    </row>
    <row r="11" spans="1:13" ht="18.75" x14ac:dyDescent="0.3">
      <c r="A11" s="192" t="s">
        <v>112</v>
      </c>
      <c r="B11" s="104">
        <f>'Skjema total MA'!B47</f>
        <v>3228505.0265786871</v>
      </c>
      <c r="C11" s="104">
        <f>'Skjema total MA'!C47</f>
        <v>3652256.7442264454</v>
      </c>
      <c r="D11" s="232">
        <f t="shared" si="1"/>
        <v>13.1</v>
      </c>
      <c r="E11" s="182"/>
      <c r="F11" s="195"/>
      <c r="G11" s="195"/>
      <c r="H11" s="232"/>
      <c r="I11" s="182"/>
      <c r="J11" s="195">
        <f t="shared" si="0"/>
        <v>3228505.0265786871</v>
      </c>
      <c r="K11" s="195">
        <f t="shared" si="0"/>
        <v>3652256.7442264454</v>
      </c>
      <c r="L11" s="230">
        <f t="shared" si="3"/>
        <v>13.1</v>
      </c>
      <c r="M11" s="74"/>
    </row>
    <row r="12" spans="1:13" ht="18.75" x14ac:dyDescent="0.3">
      <c r="A12" s="192" t="s">
        <v>113</v>
      </c>
      <c r="B12" s="104">
        <f>'Skjema total MA'!B66</f>
        <v>5371394.3328399993</v>
      </c>
      <c r="C12" s="104">
        <f>'Skjema total MA'!C66</f>
        <v>4701885.101259999</v>
      </c>
      <c r="D12" s="232">
        <f t="shared" si="1"/>
        <v>-12.5</v>
      </c>
      <c r="E12" s="182"/>
      <c r="F12" s="195">
        <f>'Skjema total MA'!E66</f>
        <v>15723703.786499999</v>
      </c>
      <c r="G12" s="195">
        <f>'Skjema total MA'!F66</f>
        <v>17335926.498360001</v>
      </c>
      <c r="H12" s="232">
        <f t="shared" si="2"/>
        <v>10.3</v>
      </c>
      <c r="I12" s="182"/>
      <c r="J12" s="195">
        <f t="shared" si="0"/>
        <v>21095098.119339999</v>
      </c>
      <c r="K12" s="195">
        <f t="shared" si="0"/>
        <v>22037811.59962</v>
      </c>
      <c r="L12" s="230">
        <f t="shared" si="3"/>
        <v>4.5</v>
      </c>
      <c r="M12" s="74"/>
    </row>
    <row r="13" spans="1:13" ht="18.75" x14ac:dyDescent="0.3">
      <c r="A13" s="192" t="s">
        <v>114</v>
      </c>
      <c r="B13" s="104">
        <f>'Skjema total MA'!B68</f>
        <v>113458.54446999999</v>
      </c>
      <c r="C13" s="104">
        <f>'Skjema total MA'!C68</f>
        <v>105589.40124000001</v>
      </c>
      <c r="D13" s="232">
        <f t="shared" si="1"/>
        <v>-6.9</v>
      </c>
      <c r="E13" s="182"/>
      <c r="F13" s="195">
        <f>'Skjema total MA'!E68</f>
        <v>15515185.414980002</v>
      </c>
      <c r="G13" s="195">
        <f>'Skjema total MA'!F68</f>
        <v>16653441.134599999</v>
      </c>
      <c r="H13" s="232">
        <f t="shared" si="2"/>
        <v>7.3</v>
      </c>
      <c r="I13" s="182"/>
      <c r="J13" s="195">
        <f t="shared" si="0"/>
        <v>15628643.959450001</v>
      </c>
      <c r="K13" s="195">
        <f t="shared" si="0"/>
        <v>16759030.535839999</v>
      </c>
      <c r="L13" s="230">
        <f t="shared" si="3"/>
        <v>7.2</v>
      </c>
      <c r="M13" s="74"/>
    </row>
    <row r="14" spans="1:13" s="133" customFormat="1" ht="18.75" x14ac:dyDescent="0.3">
      <c r="A14" s="193" t="s">
        <v>115</v>
      </c>
      <c r="B14" s="131">
        <f>'Skjema total MA'!B75</f>
        <v>203073.50758</v>
      </c>
      <c r="C14" s="131">
        <f>'Skjema total MA'!C75</f>
        <v>228334.05906</v>
      </c>
      <c r="D14" s="232">
        <f t="shared" si="1"/>
        <v>12.4</v>
      </c>
      <c r="E14" s="183"/>
      <c r="F14" s="196">
        <f>'Skjema total MA'!E75</f>
        <v>208518.37151999999</v>
      </c>
      <c r="G14" s="196">
        <f>'Skjema total MA'!F75</f>
        <v>682485.36375999998</v>
      </c>
      <c r="H14" s="232">
        <f t="shared" si="2"/>
        <v>227.3</v>
      </c>
      <c r="I14" s="183"/>
      <c r="J14" s="195">
        <f t="shared" si="0"/>
        <v>411591.87910000002</v>
      </c>
      <c r="K14" s="195">
        <f t="shared" si="0"/>
        <v>910819.42281999998</v>
      </c>
      <c r="L14" s="230">
        <f t="shared" si="3"/>
        <v>121.3</v>
      </c>
      <c r="M14" s="132"/>
    </row>
    <row r="15" spans="1:13" ht="22.5" x14ac:dyDescent="0.3">
      <c r="A15" s="192" t="s">
        <v>355</v>
      </c>
      <c r="B15" s="104">
        <f>'Skjema total MA'!B134</f>
        <v>23675675.884070002</v>
      </c>
      <c r="C15" s="104">
        <f>'Skjema total MA'!C134</f>
        <v>15955095.80614</v>
      </c>
      <c r="D15" s="232">
        <f t="shared" si="1"/>
        <v>-32.6</v>
      </c>
      <c r="E15" s="182"/>
      <c r="F15" s="195">
        <f>'Skjema total MA'!E134</f>
        <v>89130.341</v>
      </c>
      <c r="G15" s="195">
        <f>'Skjema total MA'!F134</f>
        <v>32970.711000000003</v>
      </c>
      <c r="H15" s="232">
        <f t="shared" si="2"/>
        <v>-63</v>
      </c>
      <c r="I15" s="182"/>
      <c r="J15" s="195">
        <f t="shared" si="0"/>
        <v>23764806.22507</v>
      </c>
      <c r="K15" s="195">
        <f t="shared" si="0"/>
        <v>15988066.517139999</v>
      </c>
      <c r="L15" s="230">
        <f t="shared" si="3"/>
        <v>-32.700000000000003</v>
      </c>
      <c r="M15" s="74"/>
    </row>
    <row r="16" spans="1:13" ht="18.75" x14ac:dyDescent="0.3">
      <c r="A16" s="192" t="s">
        <v>116</v>
      </c>
      <c r="B16" s="104">
        <f>'Skjema total MA'!B36</f>
        <v>2146.748</v>
      </c>
      <c r="C16" s="104">
        <f>'Skjema total MA'!C36</f>
        <v>1953.6079999999999</v>
      </c>
      <c r="D16" s="232">
        <f t="shared" si="1"/>
        <v>-9</v>
      </c>
      <c r="E16" s="182"/>
      <c r="F16" s="195">
        <f>'Skjema total MA'!E36</f>
        <v>0</v>
      </c>
      <c r="G16" s="195">
        <f>'Skjema total MA'!F36</f>
        <v>0</v>
      </c>
      <c r="H16" s="232"/>
      <c r="I16" s="182"/>
      <c r="J16" s="195">
        <f t="shared" si="0"/>
        <v>2146.748</v>
      </c>
      <c r="K16" s="195">
        <f t="shared" si="0"/>
        <v>1953.6079999999999</v>
      </c>
      <c r="L16" s="230">
        <f t="shared" si="3"/>
        <v>-9</v>
      </c>
      <c r="M16" s="74"/>
    </row>
    <row r="17" spans="1:23" s="135" customFormat="1" ht="18.75" customHeight="1" x14ac:dyDescent="0.3">
      <c r="A17" s="137" t="s">
        <v>117</v>
      </c>
      <c r="B17" s="110">
        <f>'Tabel 1.1'!B32</f>
        <v>35960564.968333483</v>
      </c>
      <c r="C17" s="197">
        <f>'Tabel 1.1'!C32</f>
        <v>27984998.453610204</v>
      </c>
      <c r="D17" s="232">
        <f t="shared" si="1"/>
        <v>-22.2</v>
      </c>
      <c r="E17" s="138"/>
      <c r="F17" s="197">
        <f>'Tabel 1.1'!B45</f>
        <v>21393679.58388</v>
      </c>
      <c r="G17" s="197">
        <f>'Tabel 1.1'!C45</f>
        <v>22733843.698969997</v>
      </c>
      <c r="H17" s="232">
        <f t="shared" si="2"/>
        <v>6.3</v>
      </c>
      <c r="I17" s="138"/>
      <c r="J17" s="197">
        <f t="shared" si="0"/>
        <v>57354244.552213483</v>
      </c>
      <c r="K17" s="197">
        <f>SUM(C17+G17)</f>
        <v>50718842.152580202</v>
      </c>
      <c r="L17" s="230">
        <f t="shared" si="3"/>
        <v>-11.6</v>
      </c>
      <c r="M17" s="75"/>
      <c r="N17" s="134"/>
      <c r="O17" s="134"/>
      <c r="Q17" s="136"/>
      <c r="R17" s="136"/>
      <c r="S17" s="136"/>
      <c r="T17" s="136"/>
      <c r="U17" s="136"/>
      <c r="V17" s="136"/>
      <c r="W17" s="136"/>
    </row>
    <row r="18" spans="1:23" ht="18.75" customHeight="1" x14ac:dyDescent="0.3">
      <c r="A18" s="137"/>
      <c r="B18" s="104"/>
      <c r="C18" s="195"/>
      <c r="D18" s="195"/>
      <c r="E18" s="182"/>
      <c r="F18" s="195"/>
      <c r="G18" s="195"/>
      <c r="H18" s="232"/>
      <c r="I18" s="182"/>
      <c r="J18" s="195"/>
      <c r="K18" s="195"/>
      <c r="L18" s="230"/>
      <c r="M18" s="74"/>
    </row>
    <row r="19" spans="1:23" ht="18.75" customHeight="1" x14ac:dyDescent="0.3">
      <c r="A19" s="191" t="s">
        <v>356</v>
      </c>
      <c r="B19" s="199"/>
      <c r="C19" s="202"/>
      <c r="D19" s="195"/>
      <c r="E19" s="182"/>
      <c r="F19" s="202"/>
      <c r="G19" s="202"/>
      <c r="H19" s="232"/>
      <c r="I19" s="182"/>
      <c r="J19" s="195"/>
      <c r="K19" s="195"/>
      <c r="L19" s="230"/>
      <c r="M19" s="74"/>
    </row>
    <row r="20" spans="1:23" ht="18.75" customHeight="1" x14ac:dyDescent="0.3">
      <c r="A20" s="192" t="s">
        <v>110</v>
      </c>
      <c r="B20" s="104">
        <f>'Skjema total MA'!B10</f>
        <v>19695305.131564621</v>
      </c>
      <c r="C20" s="104">
        <f>'Skjema total MA'!C10</f>
        <v>18393837.607795853</v>
      </c>
      <c r="D20" s="232">
        <f>IF(B20=0, "    ---- ", IF(ABS(ROUND(100/B20*C20-100,1))&lt;999,ROUND(100/B20*C20-100,1),IF(ROUND(100/B20*C20-100,1)&gt;999,999,-999)))</f>
        <v>-6.6</v>
      </c>
      <c r="E20" s="182"/>
      <c r="F20" s="195">
        <f>'Skjema total MA'!E10</f>
        <v>46403857.422623903</v>
      </c>
      <c r="G20" s="195">
        <f>'Skjema total MA'!F10</f>
        <v>51880506.836899996</v>
      </c>
      <c r="H20" s="232">
        <f t="shared" si="2"/>
        <v>11.8</v>
      </c>
      <c r="I20" s="182"/>
      <c r="J20" s="195">
        <f t="shared" si="0"/>
        <v>66099162.55418852</v>
      </c>
      <c r="K20" s="195">
        <f t="shared" si="0"/>
        <v>70274344.444695845</v>
      </c>
      <c r="L20" s="230">
        <f t="shared" si="3"/>
        <v>6.3</v>
      </c>
      <c r="M20" s="74"/>
    </row>
    <row r="21" spans="1:23" ht="18.75" customHeight="1" x14ac:dyDescent="0.3">
      <c r="A21" s="192" t="s">
        <v>111</v>
      </c>
      <c r="B21" s="104">
        <f>'Skjema total MA'!B29</f>
        <v>47456724.740865126</v>
      </c>
      <c r="C21" s="104">
        <f>'Skjema total MA'!C29</f>
        <v>46391774.486234337</v>
      </c>
      <c r="D21" s="232">
        <f t="shared" ref="D21:D27" si="4">IF(B21=0, "    ---- ", IF(ABS(ROUND(100/B21*C21-100,1))&lt;999,ROUND(100/B21*C21-100,1),IF(ROUND(100/B21*C21-100,1)&gt;999,999,-999)))</f>
        <v>-2.2000000000000002</v>
      </c>
      <c r="E21" s="182"/>
      <c r="F21" s="195">
        <f>'Skjema total MA'!E29</f>
        <v>20431887.880460002</v>
      </c>
      <c r="G21" s="195">
        <f>'Skjema total MA'!F29</f>
        <v>21902385.500539999</v>
      </c>
      <c r="H21" s="232">
        <f t="shared" si="2"/>
        <v>7.2</v>
      </c>
      <c r="I21" s="182"/>
      <c r="J21" s="195">
        <f t="shared" si="0"/>
        <v>67888612.621325135</v>
      </c>
      <c r="K21" s="195">
        <f t="shared" si="0"/>
        <v>68294159.98677434</v>
      </c>
      <c r="L21" s="230">
        <f t="shared" si="3"/>
        <v>0.6</v>
      </c>
      <c r="M21" s="74"/>
    </row>
    <row r="22" spans="1:23" ht="18.75" x14ac:dyDescent="0.3">
      <c r="A22" s="192" t="s">
        <v>113</v>
      </c>
      <c r="B22" s="104">
        <f>'Skjema total MA'!B87</f>
        <v>389885695.19011629</v>
      </c>
      <c r="C22" s="104">
        <f>'Skjema total MA'!C87</f>
        <v>392962991.43437672</v>
      </c>
      <c r="D22" s="232">
        <f t="shared" si="4"/>
        <v>0.8</v>
      </c>
      <c r="E22" s="182"/>
      <c r="F22" s="195">
        <f>'Skjema total MA'!E87</f>
        <v>283834336.74636626</v>
      </c>
      <c r="G22" s="195">
        <f>'Skjema total MA'!F87</f>
        <v>317586869.18335998</v>
      </c>
      <c r="H22" s="232">
        <f t="shared" si="2"/>
        <v>11.9</v>
      </c>
      <c r="I22" s="182"/>
      <c r="J22" s="195">
        <f t="shared" si="0"/>
        <v>673720031.93648255</v>
      </c>
      <c r="K22" s="195">
        <f t="shared" si="0"/>
        <v>710549860.6177367</v>
      </c>
      <c r="L22" s="230">
        <f t="shared" si="3"/>
        <v>5.5</v>
      </c>
      <c r="M22" s="74"/>
    </row>
    <row r="23" spans="1:23" ht="22.5" x14ac:dyDescent="0.3">
      <c r="A23" s="192" t="s">
        <v>118</v>
      </c>
      <c r="B23" s="104">
        <f>'Skjema total MA'!B89</f>
        <v>2922228.1409006999</v>
      </c>
      <c r="C23" s="104">
        <f>'Skjema total MA'!C89</f>
        <v>3174025.9301235098</v>
      </c>
      <c r="D23" s="232">
        <f t="shared" si="4"/>
        <v>8.6</v>
      </c>
      <c r="E23" s="182"/>
      <c r="F23" s="195">
        <f>'Skjema total MA'!E89</f>
        <v>282533539.23976624</v>
      </c>
      <c r="G23" s="195">
        <f>'Skjema total MA'!F89</f>
        <v>315390839.35684997</v>
      </c>
      <c r="H23" s="232">
        <f t="shared" si="2"/>
        <v>11.6</v>
      </c>
      <c r="I23" s="182"/>
      <c r="J23" s="195">
        <f t="shared" si="0"/>
        <v>285455767.38066691</v>
      </c>
      <c r="K23" s="195">
        <f t="shared" si="0"/>
        <v>318564865.28697348</v>
      </c>
      <c r="L23" s="230">
        <f t="shared" si="3"/>
        <v>11.6</v>
      </c>
      <c r="M23" s="74"/>
    </row>
    <row r="24" spans="1:23" ht="18.75" x14ac:dyDescent="0.3">
      <c r="A24" s="193" t="s">
        <v>115</v>
      </c>
      <c r="B24" s="104">
        <f>'Skjema total MA'!B96</f>
        <v>1120597.0015499999</v>
      </c>
      <c r="C24" s="104">
        <f>'Skjema total MA'!C96</f>
        <v>1683130.4755699998</v>
      </c>
      <c r="D24" s="232">
        <f t="shared" si="4"/>
        <v>50.2</v>
      </c>
      <c r="E24" s="182"/>
      <c r="F24" s="195">
        <f>'Skjema total MA'!E96</f>
        <v>1300797.5066</v>
      </c>
      <c r="G24" s="195">
        <f>'Skjema total MA'!F96</f>
        <v>2196029.82651</v>
      </c>
      <c r="H24" s="232">
        <f t="shared" si="2"/>
        <v>68.8</v>
      </c>
      <c r="I24" s="182"/>
      <c r="J24" s="195">
        <f t="shared" si="0"/>
        <v>2421394.5081500001</v>
      </c>
      <c r="K24" s="195">
        <f t="shared" si="0"/>
        <v>3879160.3020799998</v>
      </c>
      <c r="L24" s="230">
        <f t="shared" si="3"/>
        <v>60.2</v>
      </c>
      <c r="M24" s="74"/>
    </row>
    <row r="25" spans="1:23" ht="22.5" x14ac:dyDescent="0.3">
      <c r="A25" s="192" t="s">
        <v>355</v>
      </c>
      <c r="B25" s="104">
        <f>'Skjema total MA'!B135</f>
        <v>570346836.1523</v>
      </c>
      <c r="C25" s="104">
        <f>'Skjema total MA'!C135</f>
        <v>596977629.90140998</v>
      </c>
      <c r="D25" s="232">
        <f t="shared" si="4"/>
        <v>4.7</v>
      </c>
      <c r="E25" s="182"/>
      <c r="F25" s="195">
        <f>'Skjema total MA'!E135</f>
        <v>2587219.1831499999</v>
      </c>
      <c r="G25" s="195">
        <f>'Skjema total MA'!F135</f>
        <v>1933154.62115</v>
      </c>
      <c r="H25" s="232">
        <f t="shared" si="2"/>
        <v>-25.3</v>
      </c>
      <c r="I25" s="182"/>
      <c r="J25" s="195">
        <f t="shared" si="0"/>
        <v>572934055.33545005</v>
      </c>
      <c r="K25" s="195">
        <f t="shared" si="0"/>
        <v>598910784.52256</v>
      </c>
      <c r="L25" s="230">
        <f t="shared" si="3"/>
        <v>4.5</v>
      </c>
      <c r="M25" s="74"/>
    </row>
    <row r="26" spans="1:23" ht="18.75" x14ac:dyDescent="0.3">
      <c r="A26" s="192" t="s">
        <v>116</v>
      </c>
      <c r="B26" s="104">
        <f>'Skjema total MA'!B37</f>
        <v>3749205.2209999999</v>
      </c>
      <c r="C26" s="104">
        <f>'Skjema total MA'!C37</f>
        <v>3578538.3739999998</v>
      </c>
      <c r="D26" s="232">
        <f t="shared" si="4"/>
        <v>-4.5999999999999996</v>
      </c>
      <c r="E26" s="182"/>
      <c r="F26" s="195">
        <f>'Skjema total MA'!E37</f>
        <v>0</v>
      </c>
      <c r="G26" s="195">
        <f>'Skjema total MA'!F37</f>
        <v>0</v>
      </c>
      <c r="H26" s="232"/>
      <c r="I26" s="182"/>
      <c r="J26" s="195">
        <f t="shared" si="0"/>
        <v>3749205.2209999999</v>
      </c>
      <c r="K26" s="195">
        <f t="shared" si="0"/>
        <v>3578538.3739999998</v>
      </c>
      <c r="L26" s="230">
        <f t="shared" si="3"/>
        <v>-4.5999999999999996</v>
      </c>
      <c r="M26" s="74"/>
    </row>
    <row r="27" spans="1:23" s="135" customFormat="1" ht="18.75" x14ac:dyDescent="0.3">
      <c r="A27" s="137" t="s">
        <v>119</v>
      </c>
      <c r="B27" s="110">
        <f>'Tabel 1.1'!G32</f>
        <v>1031133766.4358461</v>
      </c>
      <c r="C27" s="197">
        <f>'Tabel 1.1'!H32</f>
        <v>1058304771.8038169</v>
      </c>
      <c r="D27" s="232">
        <f t="shared" si="4"/>
        <v>2.6</v>
      </c>
      <c r="E27" s="138"/>
      <c r="F27" s="197">
        <f>'Tabel 1.1'!G45</f>
        <v>353257301.23260009</v>
      </c>
      <c r="G27" s="197">
        <f>'Tabel 1.1'!H45</f>
        <v>393302916.14194995</v>
      </c>
      <c r="H27" s="232">
        <f t="shared" si="2"/>
        <v>11.3</v>
      </c>
      <c r="I27" s="138"/>
      <c r="J27" s="197">
        <f t="shared" si="0"/>
        <v>1384391067.6684461</v>
      </c>
      <c r="K27" s="197">
        <f t="shared" si="0"/>
        <v>1451607687.9457669</v>
      </c>
      <c r="L27" s="230">
        <f t="shared" si="3"/>
        <v>4.9000000000000004</v>
      </c>
      <c r="M27" s="75"/>
      <c r="N27" s="134"/>
      <c r="O27" s="134"/>
    </row>
    <row r="28" spans="1:23" ht="18.75" x14ac:dyDescent="0.3">
      <c r="A28" s="137"/>
      <c r="B28" s="104"/>
      <c r="C28" s="195"/>
      <c r="D28" s="232"/>
      <c r="E28" s="182"/>
      <c r="F28" s="195"/>
      <c r="G28" s="195"/>
      <c r="H28" s="232"/>
      <c r="I28" s="182"/>
      <c r="J28" s="195">
        <f t="shared" si="0"/>
        <v>0</v>
      </c>
      <c r="K28" s="195">
        <f t="shared" si="0"/>
        <v>0</v>
      </c>
      <c r="L28" s="230"/>
      <c r="M28" s="74"/>
    </row>
    <row r="29" spans="1:23" ht="22.5" x14ac:dyDescent="0.3">
      <c r="A29" s="191" t="s">
        <v>357</v>
      </c>
      <c r="B29" s="199"/>
      <c r="C29" s="202"/>
      <c r="D29" s="195"/>
      <c r="E29" s="182"/>
      <c r="F29" s="195"/>
      <c r="G29" s="195"/>
      <c r="H29" s="232"/>
      <c r="I29" s="182"/>
      <c r="J29" s="195"/>
      <c r="K29" s="195"/>
      <c r="L29" s="230"/>
      <c r="M29" s="74"/>
    </row>
    <row r="30" spans="1:23" ht="18.75" x14ac:dyDescent="0.3">
      <c r="A30" s="192" t="s">
        <v>110</v>
      </c>
      <c r="B30" s="104">
        <f>'Skjema total MA'!B11</f>
        <v>25094</v>
      </c>
      <c r="C30" s="104">
        <f>'Skjema total MA'!C11</f>
        <v>18520</v>
      </c>
      <c r="D30" s="232">
        <f>IF(B30=0, "    ---- ", IF(ABS(ROUND(100/B30*C30-100,1))&lt;999,ROUND(100/B30*C30-100,1),IF(ROUND(100/B30*C30-100,1)&gt;999,999,-999)))</f>
        <v>-26.2</v>
      </c>
      <c r="E30" s="182"/>
      <c r="F30" s="195">
        <f>'Skjema total MA'!E11</f>
        <v>167899.82689000003</v>
      </c>
      <c r="G30" s="195">
        <f>'Skjema total MA'!F11</f>
        <v>217462.92000999997</v>
      </c>
      <c r="H30" s="232">
        <f t="shared" si="2"/>
        <v>29.5</v>
      </c>
      <c r="I30" s="182"/>
      <c r="J30" s="195">
        <f t="shared" si="0"/>
        <v>192993.82689000003</v>
      </c>
      <c r="K30" s="195">
        <f t="shared" si="0"/>
        <v>235982.92000999997</v>
      </c>
      <c r="L30" s="230">
        <f t="shared" si="3"/>
        <v>22.3</v>
      </c>
      <c r="M30" s="74"/>
    </row>
    <row r="31" spans="1:23" ht="18.75" x14ac:dyDescent="0.3">
      <c r="A31" s="192" t="s">
        <v>111</v>
      </c>
      <c r="B31" s="104">
        <f>'Skjema total MA'!B34</f>
        <v>12913.531999999999</v>
      </c>
      <c r="C31" s="104">
        <f>'Skjema total MA'!C34</f>
        <v>11540.130000000001</v>
      </c>
      <c r="D31" s="232">
        <f t="shared" ref="D31:D38" si="5">IF(B31=0, "    ---- ", IF(ABS(ROUND(100/B31*C31-100,1))&lt;999,ROUND(100/B31*C31-100,1),IF(ROUND(100/B31*C31-100,1)&gt;999,999,-999)))</f>
        <v>-10.6</v>
      </c>
      <c r="E31" s="182"/>
      <c r="F31" s="195">
        <f>'Skjema total MA'!E34</f>
        <v>38931.135770000001</v>
      </c>
      <c r="G31" s="195">
        <f>'Skjema total MA'!F34</f>
        <v>-1928.1106399999953</v>
      </c>
      <c r="H31" s="232">
        <f t="shared" si="2"/>
        <v>-105</v>
      </c>
      <c r="I31" s="182"/>
      <c r="J31" s="195">
        <f t="shared" si="0"/>
        <v>51844.66777</v>
      </c>
      <c r="K31" s="195">
        <f t="shared" si="0"/>
        <v>9612.0193600000057</v>
      </c>
      <c r="L31" s="230">
        <f t="shared" si="3"/>
        <v>-81.5</v>
      </c>
      <c r="M31" s="74"/>
    </row>
    <row r="32" spans="1:23" ht="18.75" x14ac:dyDescent="0.3">
      <c r="A32" s="192" t="s">
        <v>113</v>
      </c>
      <c r="B32" s="104">
        <f>'Skjema total MA'!B111</f>
        <v>263561.81909</v>
      </c>
      <c r="C32" s="104">
        <f>'Skjema total MA'!C111</f>
        <v>532961.16861000005</v>
      </c>
      <c r="D32" s="232">
        <f t="shared" si="5"/>
        <v>102.2</v>
      </c>
      <c r="E32" s="182"/>
      <c r="F32" s="195">
        <f>'Skjema total MA'!E111</f>
        <v>8159840.7861800008</v>
      </c>
      <c r="G32" s="195">
        <f>'Skjema total MA'!F111</f>
        <v>11816895.368489999</v>
      </c>
      <c r="H32" s="232">
        <f t="shared" si="2"/>
        <v>44.8</v>
      </c>
      <c r="I32" s="182"/>
      <c r="J32" s="195">
        <f t="shared" si="0"/>
        <v>8423402.6052700002</v>
      </c>
      <c r="K32" s="195">
        <f t="shared" si="0"/>
        <v>12349856.537099998</v>
      </c>
      <c r="L32" s="230">
        <f t="shared" si="3"/>
        <v>46.6</v>
      </c>
      <c r="M32" s="74"/>
    </row>
    <row r="33" spans="1:15" ht="22.5" x14ac:dyDescent="0.3">
      <c r="A33" s="192" t="s">
        <v>355</v>
      </c>
      <c r="B33" s="104">
        <f>'Skjema total MA'!B136</f>
        <v>106107.522</v>
      </c>
      <c r="C33" s="104">
        <f>'Skjema total MA'!C136</f>
        <v>3328031.82</v>
      </c>
      <c r="D33" s="232">
        <f t="shared" si="5"/>
        <v>999</v>
      </c>
      <c r="E33" s="182"/>
      <c r="F33" s="195">
        <f>'Skjema total MA'!E136</f>
        <v>0</v>
      </c>
      <c r="G33" s="195">
        <f>'Skjema total MA'!F136</f>
        <v>-462823.85</v>
      </c>
      <c r="H33" s="232" t="str">
        <f t="shared" si="2"/>
        <v xml:space="preserve">    ---- </v>
      </c>
      <c r="I33" s="182"/>
      <c r="J33" s="195">
        <f t="shared" si="0"/>
        <v>106107.522</v>
      </c>
      <c r="K33" s="195">
        <f t="shared" si="0"/>
        <v>2865207.9699999997</v>
      </c>
      <c r="L33" s="230">
        <f t="shared" si="3"/>
        <v>999</v>
      </c>
      <c r="M33" s="74"/>
    </row>
    <row r="34" spans="1:15" ht="18.75" x14ac:dyDescent="0.3">
      <c r="A34" s="192" t="s">
        <v>116</v>
      </c>
      <c r="B34" s="104">
        <f>'Skjema total MA'!B38</f>
        <v>0</v>
      </c>
      <c r="C34" s="104">
        <f>'Skjema total MA'!C38</f>
        <v>0</v>
      </c>
      <c r="D34" s="232"/>
      <c r="E34" s="182"/>
      <c r="F34" s="195">
        <f>'Skjema total MA'!E38</f>
        <v>0</v>
      </c>
      <c r="G34" s="195">
        <f>'Skjema total MA'!F38</f>
        <v>0</v>
      </c>
      <c r="H34" s="232"/>
      <c r="I34" s="182"/>
      <c r="J34" s="195">
        <f t="shared" si="0"/>
        <v>0</v>
      </c>
      <c r="K34" s="195">
        <f t="shared" si="0"/>
        <v>0</v>
      </c>
      <c r="L34" s="230"/>
      <c r="M34" s="74"/>
    </row>
    <row r="35" spans="1:15" s="135" customFormat="1" ht="18.75" x14ac:dyDescent="0.3">
      <c r="A35" s="137" t="s">
        <v>120</v>
      </c>
      <c r="B35" s="110">
        <f>SUM(B30:B34)</f>
        <v>407676.87309000001</v>
      </c>
      <c r="C35" s="197">
        <f>SUM(C30:C34)</f>
        <v>3891053.1186099998</v>
      </c>
      <c r="D35" s="232">
        <f t="shared" si="5"/>
        <v>854.4</v>
      </c>
      <c r="E35" s="138"/>
      <c r="F35" s="197">
        <f>SUM(F30:F34)</f>
        <v>8366671.7488400005</v>
      </c>
      <c r="G35" s="197">
        <f>SUM(G30:G34)</f>
        <v>11569606.32786</v>
      </c>
      <c r="H35" s="232">
        <f t="shared" si="2"/>
        <v>38.299999999999997</v>
      </c>
      <c r="I35" s="138"/>
      <c r="J35" s="197">
        <f t="shared" si="0"/>
        <v>8774348.6219300013</v>
      </c>
      <c r="K35" s="197">
        <f t="shared" si="0"/>
        <v>15460659.44647</v>
      </c>
      <c r="L35" s="230">
        <f t="shared" si="3"/>
        <v>76.2</v>
      </c>
      <c r="M35" s="75"/>
    </row>
    <row r="36" spans="1:15" ht="18.75" x14ac:dyDescent="0.3">
      <c r="A36" s="137"/>
      <c r="B36" s="110"/>
      <c r="C36" s="197"/>
      <c r="D36" s="232"/>
      <c r="E36" s="138"/>
      <c r="F36" s="197"/>
      <c r="G36" s="197"/>
      <c r="H36" s="232"/>
      <c r="I36" s="138"/>
      <c r="J36" s="195"/>
      <c r="K36" s="195"/>
      <c r="L36" s="230"/>
      <c r="M36" s="74"/>
    </row>
    <row r="37" spans="1:15" ht="22.5" x14ac:dyDescent="0.3">
      <c r="A37" s="137" t="s">
        <v>358</v>
      </c>
      <c r="B37" s="110"/>
      <c r="C37" s="197"/>
      <c r="D37" s="195"/>
      <c r="E37" s="138"/>
      <c r="F37" s="197"/>
      <c r="G37" s="197"/>
      <c r="H37" s="232"/>
      <c r="I37" s="138"/>
      <c r="J37" s="195"/>
      <c r="K37" s="195"/>
      <c r="L37" s="230"/>
      <c r="M37" s="74"/>
    </row>
    <row r="38" spans="1:15" s="135" customFormat="1" ht="18.75" x14ac:dyDescent="0.3">
      <c r="A38" s="137" t="s">
        <v>112</v>
      </c>
      <c r="B38" s="110">
        <f>'Skjema total MA'!B53</f>
        <v>190740.902</v>
      </c>
      <c r="C38" s="110">
        <f>'Skjema total MA'!C53</f>
        <v>131019.867</v>
      </c>
      <c r="D38" s="232">
        <f t="shared" si="5"/>
        <v>-31.3</v>
      </c>
      <c r="E38" s="138"/>
      <c r="F38" s="197"/>
      <c r="G38" s="197"/>
      <c r="H38" s="232"/>
      <c r="I38" s="138"/>
      <c r="J38" s="197">
        <f t="shared" si="0"/>
        <v>190740.902</v>
      </c>
      <c r="K38" s="197">
        <f t="shared" si="0"/>
        <v>131019.867</v>
      </c>
      <c r="L38" s="230">
        <f t="shared" si="3"/>
        <v>-31.3</v>
      </c>
      <c r="M38" s="75"/>
    </row>
    <row r="39" spans="1:15" ht="18.75" x14ac:dyDescent="0.3">
      <c r="A39" s="137"/>
      <c r="B39" s="110"/>
      <c r="C39" s="197"/>
      <c r="D39" s="195"/>
      <c r="E39" s="138"/>
      <c r="F39" s="197"/>
      <c r="G39" s="197"/>
      <c r="H39" s="232"/>
      <c r="I39" s="138"/>
      <c r="J39" s="195"/>
      <c r="K39" s="195"/>
      <c r="L39" s="230"/>
      <c r="M39" s="74"/>
    </row>
    <row r="40" spans="1:15" ht="22.5" x14ac:dyDescent="0.3">
      <c r="A40" s="191" t="s">
        <v>359</v>
      </c>
      <c r="B40" s="199"/>
      <c r="C40" s="202"/>
      <c r="D40" s="195"/>
      <c r="E40" s="182"/>
      <c r="F40" s="195"/>
      <c r="G40" s="195"/>
      <c r="H40" s="232"/>
      <c r="I40" s="182"/>
      <c r="J40" s="195"/>
      <c r="K40" s="195"/>
      <c r="L40" s="230"/>
      <c r="M40" s="74"/>
    </row>
    <row r="41" spans="1:15" ht="18.75" x14ac:dyDescent="0.3">
      <c r="A41" s="192" t="s">
        <v>110</v>
      </c>
      <c r="B41" s="104">
        <f>'Skjema total MA'!B12</f>
        <v>4345</v>
      </c>
      <c r="C41" s="104">
        <f>'Skjema total MA'!C12</f>
        <v>2399</v>
      </c>
      <c r="D41" s="232">
        <f>IF(B41=0, "    ---- ", IF(ABS(ROUND(100/B41*C41-100,1))&lt;999,ROUND(100/B41*C41-100,1),IF(ROUND(100/B41*C41-100,1)&gt;999,999,-999)))</f>
        <v>-44.8</v>
      </c>
      <c r="E41" s="182"/>
      <c r="F41" s="195">
        <f>'Skjema total MA'!E12</f>
        <v>113325.11262000001</v>
      </c>
      <c r="G41" s="195">
        <f>'Skjema total MA'!F12</f>
        <v>154005.36911</v>
      </c>
      <c r="H41" s="232">
        <f t="shared" si="2"/>
        <v>35.9</v>
      </c>
      <c r="I41" s="182"/>
      <c r="J41" s="195">
        <f t="shared" si="0"/>
        <v>117670.11262000001</v>
      </c>
      <c r="K41" s="195">
        <f t="shared" si="0"/>
        <v>156404.36911</v>
      </c>
      <c r="L41" s="230">
        <f t="shared" si="3"/>
        <v>32.9</v>
      </c>
      <c r="M41" s="74"/>
    </row>
    <row r="42" spans="1:15" ht="18.75" x14ac:dyDescent="0.3">
      <c r="A42" s="192" t="s">
        <v>111</v>
      </c>
      <c r="B42" s="104">
        <f>'Skjema total MA'!B35</f>
        <v>-11935.315350000001</v>
      </c>
      <c r="C42" s="104">
        <f>'Skjema total MA'!C35</f>
        <v>-61191.684910000004</v>
      </c>
      <c r="D42" s="232">
        <f t="shared" ref="D42:D46" si="6">IF(B42=0, "    ---- ", IF(ABS(ROUND(100/B42*C42-100,1))&lt;999,ROUND(100/B42*C42-100,1),IF(ROUND(100/B42*C42-100,1)&gt;999,999,-999)))</f>
        <v>412.7</v>
      </c>
      <c r="E42" s="182"/>
      <c r="F42" s="195">
        <f>'Skjema total MA'!E35</f>
        <v>63915.847379999999</v>
      </c>
      <c r="G42" s="195">
        <f>'Skjema total MA'!F35</f>
        <v>76445.871169999999</v>
      </c>
      <c r="H42" s="232">
        <f t="shared" si="2"/>
        <v>19.600000000000001</v>
      </c>
      <c r="I42" s="182"/>
      <c r="J42" s="195">
        <f t="shared" si="0"/>
        <v>51980.532030000002</v>
      </c>
      <c r="K42" s="195">
        <f t="shared" si="0"/>
        <v>15254.186259999995</v>
      </c>
      <c r="L42" s="230">
        <f t="shared" si="3"/>
        <v>-70.7</v>
      </c>
      <c r="M42" s="74"/>
    </row>
    <row r="43" spans="1:15" ht="18.75" x14ac:dyDescent="0.3">
      <c r="A43" s="192" t="s">
        <v>113</v>
      </c>
      <c r="B43" s="104">
        <f>'Skjema total MA'!B119</f>
        <v>279928.84003999998</v>
      </c>
      <c r="C43" s="104">
        <f>'Skjema total MA'!C119</f>
        <v>594965.51118999999</v>
      </c>
      <c r="D43" s="232">
        <f t="shared" si="6"/>
        <v>112.5</v>
      </c>
      <c r="E43" s="182"/>
      <c r="F43" s="195">
        <f>'Skjema total MA'!E119</f>
        <v>8098020.3008900005</v>
      </c>
      <c r="G43" s="195">
        <f>'Skjema total MA'!F119</f>
        <v>11565070.293479998</v>
      </c>
      <c r="H43" s="232">
        <f t="shared" si="2"/>
        <v>42.8</v>
      </c>
      <c r="I43" s="182"/>
      <c r="J43" s="195">
        <f t="shared" si="0"/>
        <v>8377949.1409300007</v>
      </c>
      <c r="K43" s="195">
        <f t="shared" si="0"/>
        <v>12160035.804669999</v>
      </c>
      <c r="L43" s="230">
        <f t="shared" si="3"/>
        <v>45.1</v>
      </c>
      <c r="M43" s="74"/>
    </row>
    <row r="44" spans="1:15" ht="22.5" x14ac:dyDescent="0.3">
      <c r="A44" s="192" t="s">
        <v>355</v>
      </c>
      <c r="B44" s="104">
        <f>'Skjema total MA'!B137</f>
        <v>248299.76699999999</v>
      </c>
      <c r="C44" s="104">
        <f>'Skjema total MA'!C137</f>
        <v>7696459.3569999998</v>
      </c>
      <c r="D44" s="232">
        <f t="shared" si="6"/>
        <v>999</v>
      </c>
      <c r="E44" s="182"/>
      <c r="F44" s="195">
        <f>'Skjema total MA'!E137</f>
        <v>0</v>
      </c>
      <c r="G44" s="195">
        <f>'Skjema total MA'!F137</f>
        <v>0</v>
      </c>
      <c r="H44" s="232"/>
      <c r="I44" s="182"/>
      <c r="J44" s="195">
        <f t="shared" si="0"/>
        <v>248299.76699999999</v>
      </c>
      <c r="K44" s="195">
        <f t="shared" si="0"/>
        <v>7696459.3569999998</v>
      </c>
      <c r="L44" s="230">
        <f t="shared" si="3"/>
        <v>999</v>
      </c>
      <c r="M44" s="74"/>
    </row>
    <row r="45" spans="1:15" ht="18.75" x14ac:dyDescent="0.3">
      <c r="A45" s="192" t="s">
        <v>116</v>
      </c>
      <c r="B45" s="104">
        <f>'Skjema total MA'!B39</f>
        <v>2</v>
      </c>
      <c r="C45" s="104">
        <f>'Skjema total MA'!C39</f>
        <v>0</v>
      </c>
      <c r="D45" s="232">
        <f t="shared" si="6"/>
        <v>-100</v>
      </c>
      <c r="E45" s="182"/>
      <c r="F45" s="195"/>
      <c r="G45" s="195"/>
      <c r="H45" s="232"/>
      <c r="I45" s="182"/>
      <c r="J45" s="195">
        <f t="shared" si="0"/>
        <v>2</v>
      </c>
      <c r="K45" s="195">
        <f t="shared" si="0"/>
        <v>0</v>
      </c>
      <c r="L45" s="230">
        <f t="shared" si="3"/>
        <v>-100</v>
      </c>
      <c r="M45" s="74"/>
    </row>
    <row r="46" spans="1:15" s="135" customFormat="1" ht="18.75" x14ac:dyDescent="0.3">
      <c r="A46" s="137" t="s">
        <v>121</v>
      </c>
      <c r="B46" s="110">
        <f>SUM(B41:B45)</f>
        <v>520640.29168999998</v>
      </c>
      <c r="C46" s="197">
        <f>SUM(C41:C45)</f>
        <v>8232632.1832799995</v>
      </c>
      <c r="D46" s="232">
        <f t="shared" si="6"/>
        <v>999</v>
      </c>
      <c r="E46" s="138"/>
      <c r="F46" s="197">
        <f>SUM(F41:F45)</f>
        <v>8275261.2608900005</v>
      </c>
      <c r="G46" s="271">
        <f>SUM(G41:G45)</f>
        <v>11795521.533759998</v>
      </c>
      <c r="H46" s="232">
        <f t="shared" si="2"/>
        <v>42.5</v>
      </c>
      <c r="I46" s="138"/>
      <c r="J46" s="197">
        <f t="shared" si="0"/>
        <v>8795901.5525800008</v>
      </c>
      <c r="K46" s="197">
        <f t="shared" si="0"/>
        <v>20028153.717039999</v>
      </c>
      <c r="L46" s="230">
        <f t="shared" si="3"/>
        <v>127.7</v>
      </c>
      <c r="M46" s="75"/>
      <c r="N46" s="134"/>
      <c r="O46" s="134"/>
    </row>
    <row r="47" spans="1:15" ht="18.75" x14ac:dyDescent="0.3">
      <c r="A47" s="137"/>
      <c r="B47" s="110"/>
      <c r="C47" s="197"/>
      <c r="D47" s="195"/>
      <c r="E47" s="138"/>
      <c r="F47" s="197"/>
      <c r="G47" s="197"/>
      <c r="H47" s="232"/>
      <c r="I47" s="138"/>
      <c r="J47" s="195"/>
      <c r="K47" s="195"/>
      <c r="L47" s="230"/>
      <c r="M47" s="74"/>
    </row>
    <row r="48" spans="1:15" ht="22.5" x14ac:dyDescent="0.3">
      <c r="A48" s="137" t="s">
        <v>360</v>
      </c>
      <c r="B48" s="110"/>
      <c r="C48" s="197"/>
      <c r="D48" s="195"/>
      <c r="E48" s="138"/>
      <c r="F48" s="197"/>
      <c r="G48" s="197"/>
      <c r="H48" s="232"/>
      <c r="I48" s="138"/>
      <c r="J48" s="195"/>
      <c r="K48" s="195"/>
      <c r="L48" s="230"/>
      <c r="M48" s="74"/>
    </row>
    <row r="49" spans="1:15" s="135" customFormat="1" ht="18.75" x14ac:dyDescent="0.3">
      <c r="A49" s="137" t="s">
        <v>112</v>
      </c>
      <c r="B49" s="110">
        <f>'Skjema total MA'!B56</f>
        <v>155583.511</v>
      </c>
      <c r="C49" s="110">
        <f>'Skjema total MA'!C56</f>
        <v>111355.41099999999</v>
      </c>
      <c r="D49" s="232">
        <f t="shared" ref="D49" si="7">IF(B49=0, "    ---- ", IF(ABS(ROUND(100/B49*C49-100,1))&lt;999,ROUND(100/B49*C49-100,1),IF(ROUND(100/B49*C49-100,1)&gt;999,999,-999)))</f>
        <v>-28.4</v>
      </c>
      <c r="E49" s="138"/>
      <c r="F49" s="197"/>
      <c r="G49" s="197"/>
      <c r="H49" s="232"/>
      <c r="I49" s="138"/>
      <c r="J49" s="197">
        <f>SUM(B49+F49)</f>
        <v>155583.511</v>
      </c>
      <c r="K49" s="197">
        <f>SUM(C49+G49)</f>
        <v>111355.41099999999</v>
      </c>
      <c r="L49" s="230">
        <f t="shared" si="3"/>
        <v>-28.4</v>
      </c>
      <c r="M49" s="75"/>
    </row>
    <row r="50" spans="1:15" ht="18.75" x14ac:dyDescent="0.3">
      <c r="A50" s="137"/>
      <c r="B50" s="104"/>
      <c r="C50" s="195"/>
      <c r="D50" s="195"/>
      <c r="E50" s="182"/>
      <c r="F50" s="195"/>
      <c r="G50" s="195"/>
      <c r="H50" s="232"/>
      <c r="I50" s="182"/>
      <c r="J50" s="195"/>
      <c r="K50" s="195"/>
      <c r="L50" s="230"/>
      <c r="M50" s="74"/>
    </row>
    <row r="51" spans="1:15" ht="21.75" x14ac:dyDescent="0.3">
      <c r="A51" s="191" t="s">
        <v>361</v>
      </c>
      <c r="B51" s="104"/>
      <c r="C51" s="195"/>
      <c r="D51" s="195"/>
      <c r="E51" s="182"/>
      <c r="F51" s="195"/>
      <c r="G51" s="195"/>
      <c r="H51" s="232"/>
      <c r="I51" s="182"/>
      <c r="J51" s="195"/>
      <c r="K51" s="195"/>
      <c r="L51" s="230"/>
      <c r="M51" s="74"/>
    </row>
    <row r="52" spans="1:15" ht="18.75" x14ac:dyDescent="0.3">
      <c r="A52" s="192" t="s">
        <v>110</v>
      </c>
      <c r="B52" s="104">
        <f>B30-B41</f>
        <v>20749</v>
      </c>
      <c r="C52" s="195">
        <f>C30-C41</f>
        <v>16121</v>
      </c>
      <c r="D52" s="232">
        <f>IF(B52=0, "    ---- ", IF(ABS(ROUND(100/B52*C52-100,1))&lt;999,ROUND(100/B52*C52-100,1),IF(ROUND(100/B52*C52-100,1)&gt;999,999,-999)))</f>
        <v>-22.3</v>
      </c>
      <c r="E52" s="182"/>
      <c r="F52" s="195">
        <f>F30-F41</f>
        <v>54574.714270000011</v>
      </c>
      <c r="G52" s="195">
        <f>G30-G41</f>
        <v>63457.550899999973</v>
      </c>
      <c r="H52" s="232">
        <f t="shared" si="2"/>
        <v>16.3</v>
      </c>
      <c r="I52" s="182"/>
      <c r="J52" s="195">
        <f t="shared" si="0"/>
        <v>75323.714270000011</v>
      </c>
      <c r="K52" s="195">
        <f t="shared" si="0"/>
        <v>79578.550899999973</v>
      </c>
      <c r="L52" s="230">
        <f t="shared" si="3"/>
        <v>5.6</v>
      </c>
      <c r="M52" s="74"/>
    </row>
    <row r="53" spans="1:15" ht="18.75" x14ac:dyDescent="0.3">
      <c r="A53" s="192" t="s">
        <v>111</v>
      </c>
      <c r="B53" s="104">
        <f t="shared" ref="B53:C56" si="8">B31-B42</f>
        <v>24848.84735</v>
      </c>
      <c r="C53" s="195">
        <f t="shared" si="8"/>
        <v>72731.814910000001</v>
      </c>
      <c r="D53" s="232">
        <f t="shared" ref="D53:D60" si="9">IF(B53=0, "    ---- ", IF(ABS(ROUND(100/B53*C53-100,1))&lt;999,ROUND(100/B53*C53-100,1),IF(ROUND(100/B53*C53-100,1)&gt;999,999,-999)))</f>
        <v>192.7</v>
      </c>
      <c r="E53" s="182"/>
      <c r="F53" s="195">
        <f t="shared" ref="F53:G56" si="10">F31-F42</f>
        <v>-24984.711609999998</v>
      </c>
      <c r="G53" s="195">
        <f t="shared" si="10"/>
        <v>-78373.981809999997</v>
      </c>
      <c r="H53" s="232">
        <f t="shared" si="2"/>
        <v>213.7</v>
      </c>
      <c r="I53" s="182"/>
      <c r="J53" s="195">
        <f t="shared" si="0"/>
        <v>-135.86425999999847</v>
      </c>
      <c r="K53" s="195">
        <f t="shared" si="0"/>
        <v>-5642.1668999999965</v>
      </c>
      <c r="L53" s="230">
        <f t="shared" si="3"/>
        <v>999</v>
      </c>
      <c r="M53" s="74"/>
    </row>
    <row r="54" spans="1:15" ht="18.75" x14ac:dyDescent="0.3">
      <c r="A54" s="192" t="s">
        <v>113</v>
      </c>
      <c r="B54" s="104">
        <f t="shared" si="8"/>
        <v>-16367.020949999976</v>
      </c>
      <c r="C54" s="195">
        <f t="shared" si="8"/>
        <v>-62004.342579999939</v>
      </c>
      <c r="D54" s="232">
        <f t="shared" si="9"/>
        <v>278.8</v>
      </c>
      <c r="E54" s="182"/>
      <c r="F54" s="195">
        <f t="shared" si="10"/>
        <v>61820.485290000215</v>
      </c>
      <c r="G54" s="195">
        <f t="shared" si="10"/>
        <v>251825.07501000166</v>
      </c>
      <c r="H54" s="232">
        <f t="shared" si="2"/>
        <v>307.3</v>
      </c>
      <c r="I54" s="182"/>
      <c r="J54" s="195">
        <f t="shared" si="0"/>
        <v>45453.464340000239</v>
      </c>
      <c r="K54" s="195">
        <f t="shared" si="0"/>
        <v>189820.73243000172</v>
      </c>
      <c r="L54" s="230">
        <f t="shared" si="3"/>
        <v>317.60000000000002</v>
      </c>
      <c r="M54" s="74"/>
    </row>
    <row r="55" spans="1:15" ht="22.5" x14ac:dyDescent="0.3">
      <c r="A55" s="192" t="s">
        <v>355</v>
      </c>
      <c r="B55" s="104">
        <f t="shared" si="8"/>
        <v>-142192.245</v>
      </c>
      <c r="C55" s="195">
        <f t="shared" si="8"/>
        <v>-4368427.5370000005</v>
      </c>
      <c r="D55" s="232">
        <f t="shared" si="9"/>
        <v>999</v>
      </c>
      <c r="E55" s="182"/>
      <c r="F55" s="195">
        <f t="shared" si="10"/>
        <v>0</v>
      </c>
      <c r="G55" s="195">
        <f t="shared" si="10"/>
        <v>-462823.85</v>
      </c>
      <c r="H55" s="232" t="str">
        <f t="shared" si="2"/>
        <v xml:space="preserve">    ---- </v>
      </c>
      <c r="I55" s="182"/>
      <c r="J55" s="195">
        <f t="shared" si="0"/>
        <v>-142192.245</v>
      </c>
      <c r="K55" s="195">
        <f t="shared" si="0"/>
        <v>-4831251.3870000001</v>
      </c>
      <c r="L55" s="230">
        <f t="shared" si="3"/>
        <v>999</v>
      </c>
      <c r="M55" s="74"/>
    </row>
    <row r="56" spans="1:15" ht="18.75" x14ac:dyDescent="0.3">
      <c r="A56" s="192" t="s">
        <v>116</v>
      </c>
      <c r="B56" s="104">
        <f t="shared" si="8"/>
        <v>-2</v>
      </c>
      <c r="C56" s="195">
        <f t="shared" si="8"/>
        <v>0</v>
      </c>
      <c r="D56" s="232">
        <f t="shared" si="9"/>
        <v>-100</v>
      </c>
      <c r="E56" s="182"/>
      <c r="F56" s="195">
        <f t="shared" si="10"/>
        <v>0</v>
      </c>
      <c r="G56" s="195">
        <f t="shared" si="10"/>
        <v>0</v>
      </c>
      <c r="H56" s="232"/>
      <c r="I56" s="182"/>
      <c r="J56" s="195">
        <f t="shared" si="0"/>
        <v>-2</v>
      </c>
      <c r="K56" s="195">
        <f t="shared" si="0"/>
        <v>0</v>
      </c>
      <c r="L56" s="230">
        <f t="shared" si="3"/>
        <v>-100</v>
      </c>
      <c r="M56" s="74"/>
    </row>
    <row r="57" spans="1:15" s="135" customFormat="1" ht="18.75" x14ac:dyDescent="0.3">
      <c r="A57" s="137" t="s">
        <v>122</v>
      </c>
      <c r="B57" s="110">
        <f>SUM(B52:B56)</f>
        <v>-112963.41859999998</v>
      </c>
      <c r="C57" s="197">
        <f>SUM(C52:C56)</f>
        <v>-4341579.0646700002</v>
      </c>
      <c r="D57" s="232">
        <f>IF(B57=0, "    ---- ", IF(ABS(ROUND(100/B57*C57-100,1))&lt;999,ROUND(100/B57*C57-100,1),IF(ROUND(100/B57*C57-100,1)&gt;999,999,-999)))</f>
        <v>999</v>
      </c>
      <c r="E57" s="138"/>
      <c r="F57" s="197">
        <f>SUM(F52:F56)</f>
        <v>91410.487950000228</v>
      </c>
      <c r="G57" s="271">
        <f>SUM(G52:G56)</f>
        <v>-225915.20589999834</v>
      </c>
      <c r="H57" s="232">
        <f t="shared" si="2"/>
        <v>-347.1</v>
      </c>
      <c r="I57" s="138"/>
      <c r="J57" s="197">
        <f t="shared" si="0"/>
        <v>-21552.930649999747</v>
      </c>
      <c r="K57" s="195">
        <f t="shared" si="0"/>
        <v>-4567494.2705699988</v>
      </c>
      <c r="L57" s="230">
        <f t="shared" si="3"/>
        <v>999</v>
      </c>
      <c r="M57" s="75"/>
      <c r="N57" s="134"/>
      <c r="O57" s="134"/>
    </row>
    <row r="58" spans="1:15" ht="18.75" x14ac:dyDescent="0.3">
      <c r="A58" s="137"/>
      <c r="B58" s="110"/>
      <c r="C58" s="197"/>
      <c r="D58" s="232"/>
      <c r="E58" s="138"/>
      <c r="F58" s="197"/>
      <c r="G58" s="197"/>
      <c r="H58" s="232"/>
      <c r="I58" s="138"/>
      <c r="J58" s="197"/>
      <c r="K58" s="195"/>
      <c r="L58" s="230"/>
      <c r="M58" s="74"/>
    </row>
    <row r="59" spans="1:15" ht="22.5" x14ac:dyDescent="0.3">
      <c r="A59" s="137" t="s">
        <v>362</v>
      </c>
      <c r="B59" s="110"/>
      <c r="C59" s="197"/>
      <c r="D59" s="232"/>
      <c r="E59" s="138"/>
      <c r="F59" s="197"/>
      <c r="G59" s="197"/>
      <c r="H59" s="232"/>
      <c r="I59" s="138"/>
      <c r="J59" s="197"/>
      <c r="K59" s="195"/>
      <c r="L59" s="230"/>
      <c r="M59" s="74"/>
    </row>
    <row r="60" spans="1:15" s="135" customFormat="1" ht="18.75" x14ac:dyDescent="0.3">
      <c r="A60" s="137" t="s">
        <v>112</v>
      </c>
      <c r="B60" s="110">
        <f>B38-B49</f>
        <v>35157.391000000003</v>
      </c>
      <c r="C60" s="197">
        <f>C38-C49</f>
        <v>19664.456000000006</v>
      </c>
      <c r="D60" s="232">
        <f t="shared" si="9"/>
        <v>-44.1</v>
      </c>
      <c r="E60" s="138"/>
      <c r="F60" s="197">
        <f>F38-F49</f>
        <v>0</v>
      </c>
      <c r="G60" s="197">
        <f>G38-G49</f>
        <v>0</v>
      </c>
      <c r="H60" s="232"/>
      <c r="I60" s="138"/>
      <c r="J60" s="197">
        <f t="shared" si="0"/>
        <v>35157.391000000003</v>
      </c>
      <c r="K60" s="195">
        <f t="shared" si="0"/>
        <v>19664.456000000006</v>
      </c>
      <c r="L60" s="230">
        <f t="shared" si="3"/>
        <v>-44.1</v>
      </c>
      <c r="M60" s="75"/>
    </row>
    <row r="61" spans="1:15" s="135" customFormat="1" ht="18.75" x14ac:dyDescent="0.3">
      <c r="A61" s="194"/>
      <c r="B61" s="115"/>
      <c r="C61" s="198"/>
      <c r="D61" s="203"/>
      <c r="E61" s="138"/>
      <c r="F61" s="198"/>
      <c r="G61" s="198"/>
      <c r="H61" s="203"/>
      <c r="I61" s="138"/>
      <c r="J61" s="203"/>
      <c r="K61" s="203"/>
      <c r="L61" s="203"/>
      <c r="M61" s="75"/>
    </row>
    <row r="62" spans="1:15" ht="18.75" x14ac:dyDescent="0.3">
      <c r="A62" s="112" t="s">
        <v>123</v>
      </c>
      <c r="C62" s="139"/>
      <c r="D62" s="139"/>
      <c r="E62" s="139"/>
      <c r="F62" s="139"/>
      <c r="G62" s="112"/>
      <c r="H62" s="74"/>
      <c r="I62" s="112"/>
      <c r="J62" s="112"/>
      <c r="K62" s="112"/>
      <c r="L62" s="74"/>
      <c r="M62" s="74"/>
    </row>
    <row r="63" spans="1:15" ht="18.75" x14ac:dyDescent="0.3">
      <c r="A63" s="112" t="s">
        <v>124</v>
      </c>
      <c r="C63" s="139"/>
      <c r="D63" s="139"/>
      <c r="E63" s="139"/>
      <c r="F63" s="139"/>
      <c r="G63" s="74"/>
      <c r="H63" s="74"/>
      <c r="I63" s="74"/>
      <c r="J63" s="74"/>
      <c r="K63" s="74"/>
      <c r="L63" s="74"/>
      <c r="M63" s="74"/>
    </row>
    <row r="64" spans="1:15" ht="18.75" x14ac:dyDescent="0.3">
      <c r="A64" s="112" t="s">
        <v>103</v>
      </c>
      <c r="B64" s="74"/>
      <c r="C64" s="74"/>
      <c r="D64" s="74"/>
      <c r="E64" s="74"/>
      <c r="F64" s="74"/>
      <c r="G64" s="74"/>
      <c r="H64" s="74"/>
      <c r="I64" s="74"/>
      <c r="J64" s="74"/>
      <c r="K64" s="74"/>
      <c r="L64" s="74"/>
      <c r="M64" s="74"/>
    </row>
    <row r="65" spans="1:13" ht="18.75" x14ac:dyDescent="0.3">
      <c r="A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row r="115" spans="1:13" ht="18.75" x14ac:dyDescent="0.3">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90" zoomScaleNormal="90" workbookViewId="0">
      <pane xSplit="1" ySplit="7" topLeftCell="B8" activePane="bottomRight" state="frozen"/>
      <selection pane="topRight" activeCell="B1" sqref="B1"/>
      <selection pane="bottomLeft" activeCell="A8" sqref="A8"/>
      <selection pane="bottomRight" activeCell="A5" sqref="A5"/>
    </sheetView>
  </sheetViews>
  <sheetFormatPr baseColWidth="10" defaultColWidth="11.42578125" defaultRowHeight="18" x14ac:dyDescent="0.25"/>
  <cols>
    <col min="1" max="1" width="35.85546875" style="81" customWidth="1"/>
    <col min="2" max="2" width="18.140625" style="81" customWidth="1"/>
    <col min="3" max="3" width="17.85546875" style="81" customWidth="1"/>
    <col min="4" max="4" width="11.7109375" style="81" customWidth="1"/>
    <col min="5" max="5" width="4.7109375" style="81" customWidth="1"/>
    <col min="6" max="7" width="13" style="81" customWidth="1"/>
    <col min="8" max="8" width="11.7109375" style="81" customWidth="1"/>
    <col min="9" max="9" width="12.42578125" style="81" customWidth="1"/>
    <col min="10" max="10" width="11.42578125" style="81"/>
    <col min="11" max="12" width="17.140625" style="81" bestFit="1" customWidth="1"/>
    <col min="13" max="16384" width="11.42578125" style="81"/>
  </cols>
  <sheetData>
    <row r="1" spans="1:10" ht="18.75" customHeight="1" x14ac:dyDescent="0.3">
      <c r="A1" s="80" t="s">
        <v>77</v>
      </c>
      <c r="B1" s="73" t="s">
        <v>52</v>
      </c>
      <c r="C1" s="80"/>
      <c r="D1" s="80"/>
      <c r="E1" s="80"/>
      <c r="F1" s="74"/>
      <c r="G1" s="74"/>
      <c r="H1" s="74"/>
      <c r="I1" s="74"/>
      <c r="J1" s="74"/>
    </row>
    <row r="2" spans="1:10" ht="20.100000000000001" customHeight="1" x14ac:dyDescent="0.3">
      <c r="A2" s="80" t="s">
        <v>159</v>
      </c>
      <c r="B2" s="80"/>
      <c r="C2" s="80"/>
      <c r="D2" s="80"/>
      <c r="E2" s="80"/>
      <c r="F2" s="74"/>
      <c r="G2" s="74"/>
      <c r="H2" s="74"/>
      <c r="I2" s="74"/>
      <c r="J2" s="74"/>
    </row>
    <row r="3" spans="1:10" ht="20.100000000000001" customHeight="1" x14ac:dyDescent="0.3">
      <c r="A3" s="75"/>
      <c r="B3" s="75"/>
      <c r="C3" s="75"/>
      <c r="D3" s="75"/>
      <c r="E3" s="255"/>
      <c r="F3" s="74"/>
      <c r="G3" s="74"/>
      <c r="H3" s="74"/>
      <c r="I3" s="74"/>
      <c r="J3" s="74"/>
    </row>
    <row r="4" spans="1:10" ht="20.100000000000001" customHeight="1" x14ac:dyDescent="0.3">
      <c r="A4" s="256"/>
      <c r="B4" s="722" t="s">
        <v>160</v>
      </c>
      <c r="C4" s="722"/>
      <c r="D4" s="723"/>
      <c r="E4" s="89"/>
      <c r="F4" s="724" t="s">
        <v>160</v>
      </c>
      <c r="G4" s="722"/>
      <c r="H4" s="723"/>
      <c r="I4" s="74"/>
      <c r="J4" s="74"/>
    </row>
    <row r="5" spans="1:10" ht="18.75" customHeight="1" x14ac:dyDescent="0.3">
      <c r="A5" s="257" t="s">
        <v>419</v>
      </c>
      <c r="B5" s="725" t="s">
        <v>161</v>
      </c>
      <c r="C5" s="726"/>
      <c r="D5" s="727"/>
      <c r="E5" s="258"/>
      <c r="F5" s="728" t="s">
        <v>162</v>
      </c>
      <c r="G5" s="729"/>
      <c r="H5" s="730"/>
      <c r="I5" s="112"/>
      <c r="J5" s="74"/>
    </row>
    <row r="6" spans="1:10" ht="18.75" customHeight="1" x14ac:dyDescent="0.3">
      <c r="A6" s="122"/>
      <c r="B6" s="120"/>
      <c r="C6" s="191"/>
      <c r="D6" s="259" t="s">
        <v>81</v>
      </c>
      <c r="E6" s="259"/>
      <c r="F6" s="123"/>
      <c r="G6" s="124"/>
      <c r="H6" s="94" t="s">
        <v>81</v>
      </c>
      <c r="I6" s="100"/>
      <c r="J6" s="74"/>
    </row>
    <row r="7" spans="1:10" ht="18.75" customHeight="1" x14ac:dyDescent="0.3">
      <c r="A7" s="126"/>
      <c r="B7" s="97">
        <v>2019</v>
      </c>
      <c r="C7" s="97">
        <v>2020</v>
      </c>
      <c r="D7" s="260" t="s">
        <v>83</v>
      </c>
      <c r="E7" s="259"/>
      <c r="F7" s="97">
        <v>2019</v>
      </c>
      <c r="G7" s="127">
        <v>2020</v>
      </c>
      <c r="H7" s="261" t="s">
        <v>83</v>
      </c>
      <c r="I7" s="100"/>
      <c r="J7" s="74"/>
    </row>
    <row r="8" spans="1:10" ht="18.75" customHeight="1" x14ac:dyDescent="0.3">
      <c r="A8" s="101" t="s">
        <v>163</v>
      </c>
      <c r="B8" s="109">
        <f>SUM(B9:B14)</f>
        <v>152726.28372517999</v>
      </c>
      <c r="C8" s="109">
        <f>SUM(C9:C14)</f>
        <v>160026.82253926</v>
      </c>
      <c r="D8" s="262">
        <f t="shared" ref="D8:D38" si="0">IF(B8=0, "    ---- ", IF(ABS(ROUND(100/B8*C8-100,1))&lt;999,ROUND(100/B8*C8-100,1),IF(ROUND(100/B8*C8-100,1)&gt;999,999,-999)))</f>
        <v>4.8</v>
      </c>
      <c r="E8" s="263"/>
      <c r="F8" s="262">
        <f>SUM(F9:F14)</f>
        <v>99.999999999999986</v>
      </c>
      <c r="G8" s="262">
        <f>SUM(G9:G14)</f>
        <v>100</v>
      </c>
      <c r="H8" s="263">
        <f t="shared" ref="H8:H38" si="1">IF(F8=0, "    ---- ", IF(ABS(ROUND(100/F8*G8-100,1))&lt;999,ROUND(100/F8*G8-100,1),IF(ROUND(100/F8*G8-100,1)&gt;999,999,-999)))</f>
        <v>0</v>
      </c>
      <c r="I8" s="104"/>
      <c r="J8" s="74"/>
    </row>
    <row r="9" spans="1:10" ht="18.75" customHeight="1" x14ac:dyDescent="0.3">
      <c r="A9" s="86" t="s">
        <v>164</v>
      </c>
      <c r="B9" s="106">
        <f>'Tabell 6'!AR21</f>
        <v>3711.0708084499997</v>
      </c>
      <c r="C9" s="106">
        <f>'Tabell 6'!AS21</f>
        <v>3049.8225584500001</v>
      </c>
      <c r="D9" s="264">
        <f t="shared" si="0"/>
        <v>-17.8</v>
      </c>
      <c r="E9" s="264"/>
      <c r="F9" s="264">
        <f>'Tabell 6'!AR21/'Tabell 6'!AR29*100</f>
        <v>2.4298835262225102</v>
      </c>
      <c r="G9" s="264">
        <f>'Tabell 6'!AS21/'Tabell 6'!AS29*100</f>
        <v>1.90581960577376</v>
      </c>
      <c r="H9" s="265">
        <f t="shared" si="1"/>
        <v>-21.6</v>
      </c>
      <c r="I9" s="104"/>
      <c r="J9" s="77"/>
    </row>
    <row r="10" spans="1:10" ht="18.75" customHeight="1" x14ac:dyDescent="0.3">
      <c r="A10" s="86" t="s">
        <v>165</v>
      </c>
      <c r="B10" s="105">
        <f>'Tabell 6'!AR18+'Tabell 6'!AR22</f>
        <v>70651.572433680005</v>
      </c>
      <c r="C10" s="105">
        <f>'Tabell 6'!AS18+'Tabell 6'!AS22</f>
        <v>74467.230220330006</v>
      </c>
      <c r="D10" s="264">
        <f t="shared" si="0"/>
        <v>5.4</v>
      </c>
      <c r="E10" s="264"/>
      <c r="F10" s="264">
        <f>('Tabell 6'!AR18+'Tabell 6'!AR22)/'Tabell 6'!AR29*100</f>
        <v>46.260257704438374</v>
      </c>
      <c r="G10" s="264">
        <f>('Tabell 6'!AS18+'Tabell 6'!AS22)/'Tabell 6'!AS29*100</f>
        <v>46.534217850923497</v>
      </c>
      <c r="H10" s="265">
        <f t="shared" si="1"/>
        <v>0.6</v>
      </c>
      <c r="I10" s="104"/>
      <c r="J10" s="74"/>
    </row>
    <row r="11" spans="1:10" ht="18.75" customHeight="1" x14ac:dyDescent="0.3">
      <c r="A11" s="86" t="s">
        <v>166</v>
      </c>
      <c r="B11" s="105">
        <f>'Tabell 6'!AR14</f>
        <v>984.2618487499999</v>
      </c>
      <c r="C11" s="105">
        <f>'Tabell 6'!AS14</f>
        <v>979.70500874999993</v>
      </c>
      <c r="D11" s="264">
        <f t="shared" si="0"/>
        <v>-0.5</v>
      </c>
      <c r="E11" s="264"/>
      <c r="F11" s="264">
        <f>'Tabell 6'!AR14/'Tabell 6'!AR29*100</f>
        <v>0.64446133615161383</v>
      </c>
      <c r="G11" s="264">
        <f>'Tabell 6'!AS14/'Tabell 6'!AS29*100</f>
        <v>0.61221299854881817</v>
      </c>
      <c r="H11" s="265">
        <f t="shared" si="1"/>
        <v>-5</v>
      </c>
      <c r="I11" s="104"/>
      <c r="J11" s="74"/>
    </row>
    <row r="12" spans="1:10" ht="18.75" customHeight="1" x14ac:dyDescent="0.3">
      <c r="A12" s="108" t="s">
        <v>167</v>
      </c>
      <c r="B12" s="105">
        <f>'Tabell 6'!AR15</f>
        <v>24193.726205819999</v>
      </c>
      <c r="C12" s="105">
        <f>'Tabell 6'!AS15</f>
        <v>25747.487063680001</v>
      </c>
      <c r="D12" s="266">
        <f t="shared" si="0"/>
        <v>6.4</v>
      </c>
      <c r="E12" s="266"/>
      <c r="F12" s="264">
        <f>'Tabell 6'!AR15/'Tabell 6'!AR29*100</f>
        <v>15.841232835439689</v>
      </c>
      <c r="G12" s="264">
        <f>'Tabell 6'!AS15/'Tabell 6'!AS29*100</f>
        <v>16.08948216000681</v>
      </c>
      <c r="H12" s="265">
        <f t="shared" si="1"/>
        <v>1.6</v>
      </c>
      <c r="I12" s="104"/>
      <c r="J12" s="74"/>
    </row>
    <row r="13" spans="1:10" ht="18.75" customHeight="1" x14ac:dyDescent="0.3">
      <c r="A13" s="86" t="s">
        <v>168</v>
      </c>
      <c r="B13" s="105">
        <f>'Tabell 6'!AR19+'Tabell 6'!AR23</f>
        <v>28362.42056938</v>
      </c>
      <c r="C13" s="105">
        <f>'Tabell 6'!AS19+'Tabell 6'!AS23</f>
        <v>32914.82045829</v>
      </c>
      <c r="D13" s="264">
        <f t="shared" si="0"/>
        <v>16.100000000000001</v>
      </c>
      <c r="E13" s="264"/>
      <c r="F13" s="264">
        <f>('Tabell 6'!AR19+'Tabell 6'!AR23)/'Tabell 6'!AR29*100</f>
        <v>18.570752772598158</v>
      </c>
      <c r="G13" s="264">
        <f>('Tabell 6'!AS19+'Tabell 6'!AS23)/'Tabell 6'!AS29*100</f>
        <v>20.56831469625342</v>
      </c>
      <c r="H13" s="265">
        <f t="shared" si="1"/>
        <v>10.8</v>
      </c>
      <c r="I13" s="104"/>
      <c r="J13" s="74"/>
    </row>
    <row r="14" spans="1:10" ht="18.75" customHeight="1" x14ac:dyDescent="0.3">
      <c r="A14" s="86" t="s">
        <v>169</v>
      </c>
      <c r="B14" s="176">
        <f>'Tabell 6'!AR17-'Tabell 6'!AR18+'Tabell 6'!AR24+'Tabell 6'!AR25+'Tabell 6'!AR26+'Tabell 6'!AR28</f>
        <v>24823.2318591</v>
      </c>
      <c r="C14" s="177">
        <f>'Tabell 6'!AS17-'Tabell 6'!AS18+'Tabell 6'!AS24+'Tabell 6'!AS25+'Tabell 6'!AS26+'Tabell 6'!AS28</f>
        <v>22867.757229759998</v>
      </c>
      <c r="D14" s="264">
        <f t="shared" si="0"/>
        <v>-7.9</v>
      </c>
      <c r="E14" s="264"/>
      <c r="F14" s="264">
        <f>('Tabell 6'!AR17-'Tabell 6'!AR18+'Tabell 6'!AR24+'Tabell 6'!AR25+'Tabell 6'!AR26+'Tabell 6'!AR28)/'Tabell 6'!AR29*100</f>
        <v>16.253411825149641</v>
      </c>
      <c r="G14" s="264">
        <f>('Tabell 6'!AS17-'Tabell 6'!AS18+'Tabell 6'!AS24+'Tabell 6'!AS25+'Tabell 6'!AS26+'Tabell 6'!AS28)/'Tabell 6'!AS29*100</f>
        <v>14.289952688493679</v>
      </c>
      <c r="H14" s="265">
        <f t="shared" si="1"/>
        <v>-12.1</v>
      </c>
      <c r="I14" s="104"/>
      <c r="J14" s="74"/>
    </row>
    <row r="15" spans="1:10" ht="18.75" customHeight="1" x14ac:dyDescent="0.3">
      <c r="A15" s="192"/>
      <c r="B15" s="103"/>
      <c r="C15" s="176"/>
      <c r="D15" s="265"/>
      <c r="E15" s="265"/>
      <c r="F15" s="265"/>
      <c r="G15" s="264"/>
      <c r="H15" s="265"/>
      <c r="I15" s="104"/>
      <c r="J15" s="74"/>
    </row>
    <row r="16" spans="1:10" s="135" customFormat="1" ht="18.75" customHeight="1" x14ac:dyDescent="0.3">
      <c r="A16" s="101" t="s">
        <v>170</v>
      </c>
      <c r="B16" s="109">
        <f>SUM(B17:B22)</f>
        <v>1118369.4377022497</v>
      </c>
      <c r="C16" s="109">
        <f>SUM(C17:C22)</f>
        <v>1167029.8760336998</v>
      </c>
      <c r="D16" s="262">
        <f t="shared" si="0"/>
        <v>4.4000000000000004</v>
      </c>
      <c r="E16" s="262"/>
      <c r="F16" s="262">
        <f>SUM(F17:F22)</f>
        <v>99.999999910584108</v>
      </c>
      <c r="G16" s="262">
        <f>SUM(G17:G22)</f>
        <v>100.00000000000001</v>
      </c>
      <c r="H16" s="263">
        <f t="shared" si="1"/>
        <v>0</v>
      </c>
      <c r="I16" s="110"/>
      <c r="J16" s="75"/>
    </row>
    <row r="17" spans="1:10" ht="18.75" customHeight="1" x14ac:dyDescent="0.3">
      <c r="A17" s="86" t="s">
        <v>164</v>
      </c>
      <c r="B17" s="103">
        <f>'Tabell 6'!AR40</f>
        <v>192717.21955087996</v>
      </c>
      <c r="C17" s="103">
        <f>'Tabell 6'!AS40</f>
        <v>172073.20513133</v>
      </c>
      <c r="D17" s="264">
        <f t="shared" si="0"/>
        <v>-10.7</v>
      </c>
      <c r="E17" s="264"/>
      <c r="F17" s="264">
        <f>'Tabell 6'!AR40/('Tabell 6'!AR45+'Tabell 6'!AR46)*100</f>
        <v>17.231981926697497</v>
      </c>
      <c r="G17" s="264">
        <f>'Tabell 6'!AS40/('Tabell 6'!AS45+'Tabell 6'!AS46)*100</f>
        <v>14.744541563592422</v>
      </c>
      <c r="H17" s="265">
        <f t="shared" si="1"/>
        <v>-14.4</v>
      </c>
      <c r="I17" s="104"/>
      <c r="J17" s="74"/>
    </row>
    <row r="18" spans="1:10" ht="18.75" customHeight="1" x14ac:dyDescent="0.3">
      <c r="A18" s="86" t="s">
        <v>165</v>
      </c>
      <c r="B18" s="103">
        <f>'Tabell 6'!AR37+'Tabell 6'!AR41</f>
        <v>347209.69841538998</v>
      </c>
      <c r="C18" s="103">
        <f>'Tabell 6'!AS37+'Tabell 6'!AS41</f>
        <v>356082.16913632996</v>
      </c>
      <c r="D18" s="264">
        <f t="shared" si="0"/>
        <v>2.6</v>
      </c>
      <c r="E18" s="264"/>
      <c r="F18" s="264">
        <f>('Tabell 6'!AR37+'Tabell 6'!AR41)/('Tabell 6'!AR45+'Tabell 6'!AR46)*100</f>
        <v>31.046064600825495</v>
      </c>
      <c r="G18" s="264">
        <f>('Tabell 6'!AS37+'Tabell 6'!AS41)/('Tabell 6'!AS45+'Tabell 6'!AS46)*100</f>
        <v>30.511829769647431</v>
      </c>
      <c r="H18" s="265">
        <f t="shared" si="1"/>
        <v>-1.7</v>
      </c>
      <c r="I18" s="104"/>
      <c r="J18" s="74"/>
    </row>
    <row r="19" spans="1:10" ht="18.75" customHeight="1" x14ac:dyDescent="0.3">
      <c r="A19" s="86" t="s">
        <v>166</v>
      </c>
      <c r="B19" s="103">
        <f>'Tabell 6'!AR33</f>
        <v>33.44200197</v>
      </c>
      <c r="C19" s="103">
        <f>'Tabell 6'!AS33</f>
        <v>22.243001969999998</v>
      </c>
      <c r="D19" s="264">
        <f t="shared" si="0"/>
        <v>-33.5</v>
      </c>
      <c r="E19" s="264"/>
      <c r="F19" s="264">
        <f>'Tabell 6'!AR33/('Tabell 6'!AR45+'Tabell 6'!AR46)*100</f>
        <v>2.9902464080926536E-3</v>
      </c>
      <c r="G19" s="264">
        <f>'Tabell 6'!AS33/('Tabell 6'!AS45+'Tabell 6'!AS46)*100</f>
        <v>1.9059496613399206E-3</v>
      </c>
      <c r="H19" s="265">
        <f t="shared" si="1"/>
        <v>-36.299999999999997</v>
      </c>
      <c r="I19" s="104"/>
      <c r="J19" s="74"/>
    </row>
    <row r="20" spans="1:10" ht="18.75" customHeight="1" x14ac:dyDescent="0.3">
      <c r="A20" s="108" t="s">
        <v>167</v>
      </c>
      <c r="B20" s="105">
        <f>'Tabell 6'!AR34</f>
        <v>143595.16925481998</v>
      </c>
      <c r="C20" s="105">
        <f>'Tabell 6'!AS34</f>
        <v>160949.43602965999</v>
      </c>
      <c r="D20" s="266">
        <f t="shared" si="0"/>
        <v>12.1</v>
      </c>
      <c r="E20" s="266"/>
      <c r="F20" s="264">
        <f>'Tabell 6'!AR34/('Tabell 6'!AR45+'Tabell 6'!AR46)*100</f>
        <v>12.839690024205872</v>
      </c>
      <c r="G20" s="264">
        <f>'Tabell 6'!AS34/('Tabell 6'!AS45+'Tabell 6'!AS46)*100</f>
        <v>13.791372383427511</v>
      </c>
      <c r="H20" s="265">
        <f t="shared" si="1"/>
        <v>7.4</v>
      </c>
      <c r="I20" s="104"/>
      <c r="J20" s="74"/>
    </row>
    <row r="21" spans="1:10" ht="18.75" customHeight="1" x14ac:dyDescent="0.3">
      <c r="A21" s="86" t="s">
        <v>168</v>
      </c>
      <c r="B21" s="103">
        <f>'Tabell 6'!AR38+'Tabell 6'!AR42</f>
        <v>423540.38631749991</v>
      </c>
      <c r="C21" s="103">
        <f>'Tabell 6'!AS38+'Tabell 6'!AS42</f>
        <v>456618.35331361991</v>
      </c>
      <c r="D21" s="264">
        <f t="shared" si="0"/>
        <v>7.8</v>
      </c>
      <c r="E21" s="264"/>
      <c r="F21" s="264">
        <f>('Tabell 6'!AR38+'Tabell 6'!AR42)/('Tabell 6'!AR45+'Tabell 6'!AR46)*100</f>
        <v>37.87124108192495</v>
      </c>
      <c r="G21" s="264">
        <f>('Tabell 6'!AS38+'Tabell 6'!AS42)/('Tabell 6'!AS45+'Tabell 6'!AS46)*100</f>
        <v>39.126535034860957</v>
      </c>
      <c r="H21" s="265">
        <f t="shared" si="1"/>
        <v>3.3</v>
      </c>
      <c r="I21" s="104"/>
      <c r="J21" s="74"/>
    </row>
    <row r="22" spans="1:10" ht="18.75" customHeight="1" x14ac:dyDescent="0.3">
      <c r="A22" s="192" t="s">
        <v>169</v>
      </c>
      <c r="B22" s="103">
        <f>'Tabell 6'!AR36-'Tabell 6'!AR37+'Tabell 6'!AR43+'Tabell 6'!AR44+'Tabell 6'!AR46</f>
        <v>11273.522161690009</v>
      </c>
      <c r="C22" s="103">
        <f>'Tabell 6'!AS36-'Tabell 6'!AS37+'Tabell 6'!AS43+'Tabell 6'!AS44+'Tabell 6'!AS46</f>
        <v>21284.469420790021</v>
      </c>
      <c r="D22" s="264">
        <f t="shared" si="0"/>
        <v>88.8</v>
      </c>
      <c r="E22" s="264"/>
      <c r="F22" s="265">
        <f>('Tabell 6'!AR36-'Tabell 6'!AR37+'Tabell 6'!AR43+'Tabell 6'!AR44+'Tabell 6'!AR46)/('Tabell 6'!AR45+'Tabell 6'!AR46)*100</f>
        <v>1.008032030522199</v>
      </c>
      <c r="G22" s="265">
        <f>('Tabell 6'!AS36-'Tabell 6'!AS37+'Tabell 6'!AS43+'Tabell 6'!AS44+'Tabell 6'!AS46)/('Tabell 6'!AS45+'Tabell 6'!AS46)*100</f>
        <v>1.8238152988103451</v>
      </c>
      <c r="H22" s="265">
        <f t="shared" si="1"/>
        <v>80.900000000000006</v>
      </c>
      <c r="I22" s="104"/>
      <c r="J22" s="74"/>
    </row>
    <row r="23" spans="1:10" ht="18.75" customHeight="1" x14ac:dyDescent="0.3">
      <c r="A23" s="86"/>
      <c r="B23" s="176"/>
      <c r="C23" s="176"/>
      <c r="D23" s="265"/>
      <c r="E23" s="264"/>
      <c r="F23" s="264"/>
      <c r="G23" s="265"/>
      <c r="H23" s="265"/>
      <c r="I23" s="182"/>
      <c r="J23" s="74"/>
    </row>
    <row r="24" spans="1:10" ht="18.75" customHeight="1" x14ac:dyDescent="0.3">
      <c r="A24" s="137" t="s">
        <v>171</v>
      </c>
      <c r="B24" s="109">
        <f>SUM(B25:B30)</f>
        <v>349125.94699559006</v>
      </c>
      <c r="C24" s="109">
        <f>SUM(C25:C30)</f>
        <v>393541.68944549002</v>
      </c>
      <c r="D24" s="262">
        <f t="shared" si="0"/>
        <v>12.7</v>
      </c>
      <c r="E24" s="262"/>
      <c r="F24" s="263">
        <f>SUM(F25:F30)</f>
        <v>99.999999999999986</v>
      </c>
      <c r="G24" s="263">
        <f>SUM(G25:G30)</f>
        <v>99.999999999999986</v>
      </c>
      <c r="H24" s="265">
        <f t="shared" si="1"/>
        <v>0</v>
      </c>
      <c r="I24" s="182"/>
      <c r="J24" s="74"/>
    </row>
    <row r="25" spans="1:10" ht="18.75" customHeight="1" x14ac:dyDescent="0.3">
      <c r="A25" s="192" t="s">
        <v>164</v>
      </c>
      <c r="B25" s="103">
        <f>'Tabell 6'!AR55</f>
        <v>193799.97393810999</v>
      </c>
      <c r="C25" s="103">
        <f>'Tabell 6'!AS55</f>
        <v>222012.73150741</v>
      </c>
      <c r="D25" s="264">
        <f t="shared" si="0"/>
        <v>14.6</v>
      </c>
      <c r="E25" s="264"/>
      <c r="F25" s="264">
        <f>'Tabell 6'!AR55/('Tabell 6'!AR60+'Tabell 6'!AR61)*100</f>
        <v>55.510046046665785</v>
      </c>
      <c r="G25" s="264">
        <f>'Tabell 6'!AS55/('Tabell 6'!AS60+'Tabell 6'!AS61)*100</f>
        <v>56.414031209814496</v>
      </c>
      <c r="H25" s="265">
        <f t="shared" si="1"/>
        <v>1.6</v>
      </c>
      <c r="I25" s="182"/>
      <c r="J25" s="74"/>
    </row>
    <row r="26" spans="1:10" ht="18.75" customHeight="1" x14ac:dyDescent="0.3">
      <c r="A26" s="192" t="s">
        <v>165</v>
      </c>
      <c r="B26" s="103">
        <f>'Tabell 6'!AR52+'Tabell 6'!AR56</f>
        <v>129740.79924946002</v>
      </c>
      <c r="C26" s="103">
        <f>'Tabell 6'!AS52+'Tabell 6'!AS56</f>
        <v>143251.45857326</v>
      </c>
      <c r="D26" s="264">
        <f t="shared" si="0"/>
        <v>10.4</v>
      </c>
      <c r="E26" s="264"/>
      <c r="F26" s="264">
        <f>('Tabell 6'!AR52+'Tabell 6'!AR56)/('Tabell 6'!AR60+'Tabell 6'!AR61)*100</f>
        <v>37.161603245461109</v>
      </c>
      <c r="G26" s="264">
        <f>('Tabell 6'!AS52+'Tabell 6'!AS56)/('Tabell 6'!AS60+'Tabell 6'!AS61)*100</f>
        <v>36.40058027272913</v>
      </c>
      <c r="H26" s="265">
        <f t="shared" si="1"/>
        <v>-2</v>
      </c>
      <c r="I26" s="182"/>
      <c r="J26" s="74"/>
    </row>
    <row r="27" spans="1:10" ht="18.75" customHeight="1" x14ac:dyDescent="0.3">
      <c r="A27" s="192" t="s">
        <v>166</v>
      </c>
      <c r="B27" s="103">
        <f>'Tabell 6'!AR48</f>
        <v>0</v>
      </c>
      <c r="C27" s="103">
        <f>'Tabell 6'!AS48</f>
        <v>0</v>
      </c>
      <c r="D27" s="264" t="str">
        <f t="shared" si="0"/>
        <v xml:space="preserve">    ---- </v>
      </c>
      <c r="E27" s="264"/>
      <c r="F27" s="264">
        <f>'Tabell 6'!AR48/('Tabell 6'!AR60+'Tabell 6'!AR61)*100</f>
        <v>0</v>
      </c>
      <c r="G27" s="264">
        <f>'Tabell 6'!AS48/('Tabell 6'!AS60+'Tabell 6'!AS61)*100</f>
        <v>0</v>
      </c>
      <c r="H27" s="265" t="str">
        <f t="shared" si="1"/>
        <v xml:space="preserve">    ---- </v>
      </c>
      <c r="I27" s="182"/>
      <c r="J27" s="74"/>
    </row>
    <row r="28" spans="1:10" ht="18.75" customHeight="1" x14ac:dyDescent="0.3">
      <c r="A28" s="108" t="s">
        <v>167</v>
      </c>
      <c r="B28" s="105">
        <f>'Tabell 6'!AR49</f>
        <v>19082.07716488</v>
      </c>
      <c r="C28" s="105">
        <f>'Tabell 6'!AS49</f>
        <v>22573.512962879999</v>
      </c>
      <c r="D28" s="266">
        <f t="shared" si="0"/>
        <v>18.3</v>
      </c>
      <c r="E28" s="266"/>
      <c r="F28" s="264">
        <f>'Tabell 6'!AR49/('Tabell 6'!AR60+'Tabell 6'!AR61)*100</f>
        <v>5.4656714372252138</v>
      </c>
      <c r="G28" s="264">
        <f>'Tabell 6'!AS49/('Tabell 6'!AS60+'Tabell 6'!AS61)*100</f>
        <v>5.7359902567594903</v>
      </c>
      <c r="H28" s="265">
        <f t="shared" si="1"/>
        <v>4.9000000000000004</v>
      </c>
      <c r="I28" s="182"/>
      <c r="J28" s="74"/>
    </row>
    <row r="29" spans="1:10" ht="18.75" customHeight="1" x14ac:dyDescent="0.3">
      <c r="A29" s="192" t="s">
        <v>168</v>
      </c>
      <c r="B29" s="103">
        <f>'Tabell 6'!AR53+'Tabell 6'!AR57</f>
        <v>3519.79699209</v>
      </c>
      <c r="C29" s="103">
        <f>'Tabell 6'!AS53+'Tabell 6'!AS57</f>
        <v>2705.20259373</v>
      </c>
      <c r="D29" s="264">
        <f t="shared" si="0"/>
        <v>-23.1</v>
      </c>
      <c r="E29" s="264"/>
      <c r="F29" s="264">
        <f>('Tabell 6'!AR53+'Tabell 6'!AR57)/('Tabell 6'!AR60+'Tabell 6'!AR61)*100</f>
        <v>1.0081739906127518</v>
      </c>
      <c r="G29" s="264">
        <f>('Tabell 6'!AS53+'Tabell 6'!AS57)/('Tabell 6'!AS60+'Tabell 6'!AS61)*100</f>
        <v>0.68739924289639998</v>
      </c>
      <c r="H29" s="265">
        <f t="shared" si="1"/>
        <v>-31.8</v>
      </c>
      <c r="I29" s="182"/>
      <c r="J29" s="74"/>
    </row>
    <row r="30" spans="1:10" ht="18.75" customHeight="1" x14ac:dyDescent="0.3">
      <c r="A30" s="86" t="s">
        <v>169</v>
      </c>
      <c r="B30" s="103">
        <f>'Tabell 6'!AR51-'Tabell 6'!AR52+'Tabell 6'!AR58+'Tabell 6'!AR59+'Tabell 6'!AR61</f>
        <v>2983.2996510499997</v>
      </c>
      <c r="C30" s="103">
        <f>'Tabell 6'!AS51-'Tabell 6'!AS52+'Tabell 6'!AS58+'Tabell 6'!AS59+'Tabell 6'!AS61</f>
        <v>2998.7838082100002</v>
      </c>
      <c r="D30" s="265">
        <f t="shared" si="0"/>
        <v>0.5</v>
      </c>
      <c r="E30" s="265"/>
      <c r="F30" s="265">
        <f>('Tabell 6'!AR51-'Tabell 6'!AR52+'Tabell 6'!AR58+'Tabell 6'!AR59+'Tabell 6'!AR61)/('Tabell 6'!AR60+'Tabell 6'!AR61)*100</f>
        <v>0.8545052800351397</v>
      </c>
      <c r="G30" s="265">
        <f>('Tabell 6'!AS51-'Tabell 6'!AS52+'Tabell 6'!AS58+'Tabell 6'!AS59+'Tabell 6'!AS61)/('Tabell 6'!AS60+'Tabell 6'!AS61)*100</f>
        <v>0.76199901780046753</v>
      </c>
      <c r="H30" s="265">
        <f t="shared" si="1"/>
        <v>-10.8</v>
      </c>
      <c r="I30" s="182"/>
      <c r="J30" s="74"/>
    </row>
    <row r="31" spans="1:10" ht="18.75" customHeight="1" x14ac:dyDescent="0.3">
      <c r="A31" s="192"/>
      <c r="B31" s="176"/>
      <c r="C31" s="176"/>
      <c r="D31" s="264"/>
      <c r="E31" s="264"/>
      <c r="F31" s="264"/>
      <c r="G31" s="265"/>
      <c r="H31" s="265"/>
      <c r="I31" s="182"/>
      <c r="J31" s="74"/>
    </row>
    <row r="32" spans="1:10" ht="18.75" customHeight="1" x14ac:dyDescent="0.3">
      <c r="A32" s="137" t="s">
        <v>2</v>
      </c>
      <c r="B32" s="109">
        <f>SUM(B33:B38)</f>
        <v>1620221.6684230198</v>
      </c>
      <c r="C32" s="109">
        <f>SUM(C33:C38)</f>
        <v>1720598.38801845</v>
      </c>
      <c r="D32" s="262">
        <f t="shared" si="0"/>
        <v>6.2</v>
      </c>
      <c r="E32" s="262"/>
      <c r="F32" s="262">
        <f>SUM(F33:F38)</f>
        <v>100</v>
      </c>
      <c r="G32" s="262">
        <f>SUM(G33:G38)</f>
        <v>99.999999999999986</v>
      </c>
      <c r="H32" s="263">
        <f t="shared" si="1"/>
        <v>0</v>
      </c>
      <c r="I32" s="182"/>
      <c r="J32" s="74"/>
    </row>
    <row r="33" spans="1:10" ht="18.75" customHeight="1" x14ac:dyDescent="0.3">
      <c r="A33" s="192" t="s">
        <v>164</v>
      </c>
      <c r="B33" s="103">
        <f t="shared" ref="B33:C38" si="2">B9+B17+B25</f>
        <v>390228.26429743995</v>
      </c>
      <c r="C33" s="103">
        <f t="shared" si="2"/>
        <v>397135.75919719</v>
      </c>
      <c r="D33" s="264">
        <f t="shared" si="0"/>
        <v>1.8</v>
      </c>
      <c r="E33" s="264"/>
      <c r="F33" s="264">
        <f>B33/B32*100</f>
        <v>24.084868873359383</v>
      </c>
      <c r="G33" s="264">
        <f>C33/C32*100</f>
        <v>23.081258355388595</v>
      </c>
      <c r="H33" s="265">
        <f t="shared" si="1"/>
        <v>-4.2</v>
      </c>
      <c r="I33" s="182"/>
      <c r="J33" s="74"/>
    </row>
    <row r="34" spans="1:10" ht="18.75" customHeight="1" x14ac:dyDescent="0.3">
      <c r="A34" s="192" t="s">
        <v>165</v>
      </c>
      <c r="B34" s="103">
        <f t="shared" si="2"/>
        <v>547602.07009853004</v>
      </c>
      <c r="C34" s="103">
        <f t="shared" si="2"/>
        <v>573800.85792991996</v>
      </c>
      <c r="D34" s="264">
        <f t="shared" si="0"/>
        <v>4.8</v>
      </c>
      <c r="E34" s="264"/>
      <c r="F34" s="264">
        <f>B34/B32*100</f>
        <v>33.797972263358098</v>
      </c>
      <c r="G34" s="264">
        <f>C34/C32*100</f>
        <v>33.348912908766891</v>
      </c>
      <c r="H34" s="265">
        <f t="shared" si="1"/>
        <v>-1.3</v>
      </c>
      <c r="I34" s="182"/>
      <c r="J34" s="74"/>
    </row>
    <row r="35" spans="1:10" ht="18.75" customHeight="1" x14ac:dyDescent="0.3">
      <c r="A35" s="192" t="s">
        <v>166</v>
      </c>
      <c r="B35" s="103">
        <f t="shared" si="2"/>
        <v>1017.7038507199999</v>
      </c>
      <c r="C35" s="103">
        <f t="shared" si="2"/>
        <v>1001.94801072</v>
      </c>
      <c r="D35" s="264">
        <f t="shared" si="0"/>
        <v>-1.5</v>
      </c>
      <c r="E35" s="264"/>
      <c r="F35" s="264">
        <f>B35/B32*100</f>
        <v>6.2812630552617071E-2</v>
      </c>
      <c r="G35" s="264">
        <f>C35/C32*100</f>
        <v>5.8232532222345423E-2</v>
      </c>
      <c r="H35" s="265">
        <f t="shared" si="1"/>
        <v>-7.3</v>
      </c>
      <c r="I35" s="182"/>
      <c r="J35" s="74"/>
    </row>
    <row r="36" spans="1:10" ht="18.75" customHeight="1" x14ac:dyDescent="0.3">
      <c r="A36" s="108" t="s">
        <v>167</v>
      </c>
      <c r="B36" s="105">
        <f t="shared" si="2"/>
        <v>186870.97262551996</v>
      </c>
      <c r="C36" s="105">
        <f t="shared" si="2"/>
        <v>209270.43605621997</v>
      </c>
      <c r="D36" s="266">
        <f t="shared" si="0"/>
        <v>12</v>
      </c>
      <c r="E36" s="266"/>
      <c r="F36" s="264">
        <f>B36/B32*100</f>
        <v>11.533667044917602</v>
      </c>
      <c r="G36" s="264">
        <f>C36/C32*100</f>
        <v>12.162654429615563</v>
      </c>
      <c r="H36" s="265">
        <f t="shared" si="1"/>
        <v>5.5</v>
      </c>
      <c r="I36" s="182"/>
      <c r="J36" s="74"/>
    </row>
    <row r="37" spans="1:10" ht="18.75" customHeight="1" x14ac:dyDescent="0.3">
      <c r="A37" s="192" t="s">
        <v>168</v>
      </c>
      <c r="B37" s="103">
        <f t="shared" si="2"/>
        <v>455422.60387896991</v>
      </c>
      <c r="C37" s="103">
        <f t="shared" si="2"/>
        <v>492238.37636563991</v>
      </c>
      <c r="D37" s="264">
        <f t="shared" si="0"/>
        <v>8.1</v>
      </c>
      <c r="E37" s="264"/>
      <c r="F37" s="264">
        <f>B37/B32*100</f>
        <v>28.108660237968419</v>
      </c>
      <c r="G37" s="264">
        <f>C37/C32*100</f>
        <v>28.608557336412062</v>
      </c>
      <c r="H37" s="265">
        <f t="shared" si="1"/>
        <v>1.8</v>
      </c>
      <c r="I37" s="182"/>
      <c r="J37" s="74"/>
    </row>
    <row r="38" spans="1:10" ht="18.75" customHeight="1" x14ac:dyDescent="0.3">
      <c r="A38" s="267" t="s">
        <v>169</v>
      </c>
      <c r="B38" s="268">
        <f>B14+B22+B30</f>
        <v>39080.053671840011</v>
      </c>
      <c r="C38" s="708">
        <f t="shared" si="2"/>
        <v>47151.010458760014</v>
      </c>
      <c r="D38" s="269">
        <f t="shared" si="0"/>
        <v>20.7</v>
      </c>
      <c r="E38" s="264"/>
      <c r="F38" s="269">
        <f>B38/B32*100</f>
        <v>2.412018949843886</v>
      </c>
      <c r="G38" s="269">
        <f>C38/C32*100</f>
        <v>2.7403844375945337</v>
      </c>
      <c r="H38" s="270">
        <f t="shared" si="1"/>
        <v>13.6</v>
      </c>
      <c r="I38" s="182"/>
      <c r="J38" s="74"/>
    </row>
    <row r="39" spans="1:10" ht="18.75" customHeight="1" x14ac:dyDescent="0.3">
      <c r="A39" s="112"/>
      <c r="B39" s="112"/>
      <c r="C39" s="112"/>
      <c r="D39" s="112"/>
      <c r="E39" s="112"/>
      <c r="F39" s="182"/>
      <c r="G39" s="182"/>
      <c r="H39" s="182"/>
      <c r="I39" s="182"/>
      <c r="J39" s="74"/>
    </row>
    <row r="40" spans="1:10" ht="18.75" customHeight="1" x14ac:dyDescent="0.3">
      <c r="A40" s="112" t="s">
        <v>172</v>
      </c>
      <c r="B40" s="112"/>
      <c r="C40" s="112"/>
      <c r="D40" s="112"/>
      <c r="E40" s="112"/>
      <c r="F40" s="182"/>
      <c r="G40" s="182"/>
      <c r="H40" s="182"/>
      <c r="I40" s="182"/>
      <c r="J40" s="74"/>
    </row>
    <row r="41" spans="1:10" ht="18.75" x14ac:dyDescent="0.3">
      <c r="A41" s="112" t="s">
        <v>103</v>
      </c>
      <c r="B41" s="112"/>
      <c r="C41" s="112"/>
      <c r="D41" s="112"/>
      <c r="E41" s="112"/>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M303"/>
  <sheetViews>
    <sheetView showGridLines="0" showZeros="0" zoomScale="120" zoomScaleNormal="120" zoomScaleSheetLayoutView="80" workbookViewId="0">
      <pane xSplit="1" ySplit="1" topLeftCell="B2" activePane="bottomRight" state="frozen"/>
      <selection activeCell="J44" sqref="J44"/>
      <selection pane="topRight" activeCell="J44" sqref="J44"/>
      <selection pane="bottomLeft" activeCell="J44" sqref="J44"/>
      <selection pane="bottomRight"/>
    </sheetView>
  </sheetViews>
  <sheetFormatPr baseColWidth="10" defaultColWidth="11.42578125" defaultRowHeight="12.75" x14ac:dyDescent="0.2"/>
  <cols>
    <col min="1" max="1" width="57.140625" style="1"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350">
        <v>4</v>
      </c>
      <c r="B1" s="4"/>
      <c r="C1" s="4"/>
      <c r="D1" s="4"/>
      <c r="E1" s="4"/>
      <c r="F1" s="4"/>
      <c r="G1" s="4"/>
      <c r="H1" s="4"/>
      <c r="I1" s="4"/>
      <c r="J1" s="4"/>
    </row>
    <row r="2" spans="1:10" ht="15.75" customHeight="1" x14ac:dyDescent="0.25">
      <c r="A2" s="165" t="s">
        <v>28</v>
      </c>
      <c r="B2" s="734"/>
      <c r="C2" s="734"/>
      <c r="D2" s="734"/>
      <c r="E2" s="734"/>
      <c r="F2" s="734"/>
      <c r="G2" s="734"/>
      <c r="H2" s="734"/>
      <c r="I2" s="734"/>
      <c r="J2" s="734"/>
    </row>
    <row r="3" spans="1:10" ht="15.75" customHeight="1" x14ac:dyDescent="0.25">
      <c r="A3" s="163"/>
      <c r="B3" s="296"/>
      <c r="C3" s="296"/>
      <c r="D3" s="296"/>
      <c r="E3" s="296"/>
      <c r="F3" s="296"/>
      <c r="G3" s="296"/>
      <c r="H3" s="296"/>
      <c r="I3" s="296"/>
      <c r="J3" s="296"/>
    </row>
    <row r="4" spans="1:10" ht="15.75" customHeight="1" x14ac:dyDescent="0.2">
      <c r="A4" s="144"/>
      <c r="B4" s="731" t="s">
        <v>0</v>
      </c>
      <c r="C4" s="732"/>
      <c r="D4" s="732"/>
      <c r="E4" s="731" t="s">
        <v>1</v>
      </c>
      <c r="F4" s="732"/>
      <c r="G4" s="732"/>
      <c r="H4" s="731" t="s">
        <v>2</v>
      </c>
      <c r="I4" s="732"/>
      <c r="J4" s="733"/>
    </row>
    <row r="5" spans="1:10" ht="15.75" customHeight="1" x14ac:dyDescent="0.2">
      <c r="A5" s="158"/>
      <c r="B5" s="20" t="s">
        <v>427</v>
      </c>
      <c r="C5" s="20" t="s">
        <v>428</v>
      </c>
      <c r="D5" s="248" t="s">
        <v>3</v>
      </c>
      <c r="E5" s="20" t="s">
        <v>427</v>
      </c>
      <c r="F5" s="20" t="s">
        <v>428</v>
      </c>
      <c r="G5" s="248" t="s">
        <v>3</v>
      </c>
      <c r="H5" s="20" t="s">
        <v>427</v>
      </c>
      <c r="I5" s="20" t="s">
        <v>428</v>
      </c>
      <c r="J5" s="248" t="s">
        <v>3</v>
      </c>
    </row>
    <row r="6" spans="1:10" ht="15.75" customHeight="1" x14ac:dyDescent="0.2">
      <c r="A6" s="709"/>
      <c r="B6" s="15"/>
      <c r="C6" s="15"/>
      <c r="D6" s="17" t="s">
        <v>4</v>
      </c>
      <c r="E6" s="16"/>
      <c r="F6" s="16"/>
      <c r="G6" s="15" t="s">
        <v>4</v>
      </c>
      <c r="H6" s="16"/>
      <c r="I6" s="16"/>
      <c r="J6" s="15" t="s">
        <v>4</v>
      </c>
    </row>
    <row r="7" spans="1:10" s="43" customFormat="1" ht="15.75" customHeight="1" x14ac:dyDescent="0.2">
      <c r="A7" s="14" t="s">
        <v>23</v>
      </c>
      <c r="B7" s="235">
        <f>'Fremtind Livsforsikring'!B7+'Danica Pensjonsforsikring'!B7+'DNB Livsforsikring'!B7+'Eika Forsikring AS'!B7+'Frende Livsforsikring'!B7+'Frende Skadeforsikring'!B7+'Gjensidige Forsikring'!B7+'Gjensidige Pensjon'!B7+'Handelsbanken Liv'!B7+'If Skadeforsikring NUF'!B7+KLP!B7+'KLP Bedriftspensjon AS'!B7+'KLP Skadeforsikring AS'!B7+'Landkreditt Forsikring'!B7+Insr!B7+'Nordea Liv '!B7+'Oslo Pensjonsforsikring'!B7+'Protector Forsikring'!B7+'SHB Liv'!B7+'Sparebank 1'!B7+'Storebrand Livsforsikring'!B7+'Telenor Forsikring'!B7+'Tryg Forsikring'!B7+'WaterCircle F'!B7</f>
        <v>2648755.8684923854</v>
      </c>
      <c r="C7" s="235">
        <f>'Fremtind Livsforsikring'!C7+'Danica Pensjonsforsikring'!C7+'DNB Livsforsikring'!C7+'Eika Forsikring AS'!C7+'Frende Livsforsikring'!C7+'Frende Skadeforsikring'!C7+'Gjensidige Forsikring'!C7+'Gjensidige Pensjon'!C7+'Handelsbanken Liv'!C7+'If Skadeforsikring NUF'!C7+KLP!C7+'KLP Bedriftspensjon AS'!C7+'KLP Skadeforsikring AS'!C7+'Landkreditt Forsikring'!C7+Insr!C7+'Nordea Liv '!C7+'Oslo Pensjonsforsikring'!C7+'Protector Forsikring'!C7+'SHB Liv'!C7+'Sparebank 1'!C7+'Storebrand Livsforsikring'!C7+'Telenor Forsikring'!C7+'Tryg Forsikring'!C7+'WaterCircle F'!C7</f>
        <v>2687293.8206622265</v>
      </c>
      <c r="D7" s="160">
        <f t="shared" ref="D7:D12" si="0">IF(B7=0, "    ---- ", IF(ABS(ROUND(100/B7*C7-100,1))&lt;999,ROUND(100/B7*C7-100,1),IF(ROUND(100/B7*C7-100,1)&gt;999,999,-999)))</f>
        <v>1.5</v>
      </c>
      <c r="E7" s="235">
        <f>'Fremtind Livsforsikring'!F7+'Danica Pensjonsforsikring'!F7+'DNB Livsforsikring'!F7+'Eika Forsikring AS'!F7+'Frende Livsforsikring'!F7+'Frende Skadeforsikring'!F7+'Gjensidige Forsikring'!F7+'Gjensidige Pensjon'!F7+'Handelsbanken Liv'!F7+'If Skadeforsikring NUF'!F7+KLP!F7+'KLP Bedriftspensjon AS'!F7+'KLP Skadeforsikring AS'!F7+'Landkreditt Forsikring'!F7+Insr!F7+'Nordea Liv '!F7+'Oslo Pensjonsforsikring'!F7+'Protector Forsikring'!F7+'SHB Liv'!F7+'Sparebank 1'!F7+'Storebrand Livsforsikring'!F7+'Telenor Forsikring'!F7+'Tryg Forsikring'!F7+'WaterCircle F'!F7</f>
        <v>5027290.4678600002</v>
      </c>
      <c r="F7" s="235">
        <f>'Fremtind Livsforsikring'!G7+'Danica Pensjonsforsikring'!G7+'DNB Livsforsikring'!G7+'Eika Forsikring AS'!G7+'Frende Livsforsikring'!G7+'Frende Skadeforsikring'!G7+'Gjensidige Forsikring'!G7+'Gjensidige Pensjon'!G7+'Handelsbanken Liv'!G7+'If Skadeforsikring NUF'!G7+KLP!G7+'KLP Bedriftspensjon AS'!G7+'KLP Skadeforsikring AS'!G7+'Landkreditt Forsikring'!G7+Insr!G7+'Nordea Liv '!G7+'Oslo Pensjonsforsikring'!G7+'Protector Forsikring'!G7+'SHB Liv'!G7+'Sparebank 1'!G7+'Storebrand Livsforsikring'!G7+'Telenor Forsikring'!G7+'Tryg Forsikring'!G7+'WaterCircle F'!G7</f>
        <v>4722775.0113899997</v>
      </c>
      <c r="G7" s="160">
        <f t="shared" ref="G7:G12" si="1">IF(E7=0, "    ---- ", IF(ABS(ROUND(100/E7*F7-100,1))&lt;999,ROUND(100/E7*F7-100,1),IF(ROUND(100/E7*F7-100,1)&gt;999,999,-999)))</f>
        <v>-6.1</v>
      </c>
      <c r="H7" s="276">
        <f t="shared" ref="H7:H12" si="2">B7+E7</f>
        <v>7676046.3363523856</v>
      </c>
      <c r="I7" s="277">
        <f t="shared" ref="I7:I12" si="3">C7+F7</f>
        <v>7410068.8320522262</v>
      </c>
      <c r="J7" s="171">
        <f t="shared" ref="J7:J12" si="4">IF(H7=0, "    ---- ", IF(ABS(ROUND(100/H7*I7-100,1))&lt;999,ROUND(100/H7*I7-100,1),IF(ROUND(100/H7*I7-100,1)&gt;999,999,-999)))</f>
        <v>-3.5</v>
      </c>
    </row>
    <row r="8" spans="1:10" ht="15.75" customHeight="1" x14ac:dyDescent="0.2">
      <c r="A8" s="21" t="s">
        <v>25</v>
      </c>
      <c r="B8" s="44">
        <f>'Fremtind Livsforsikring'!B8+'Danica Pensjonsforsikring'!B8+'DNB Livsforsikring'!B8+'Eika Forsikring AS'!B8+'Frende Livsforsikring'!B8+'Frende Skadeforsikring'!B8+'Gjensidige Forsikring'!B8+'Gjensidige Pensjon'!B8+'Handelsbanken Liv'!B8+'If Skadeforsikring NUF'!B8+KLP!B8+'KLP Bedriftspensjon AS'!B8+'KLP Skadeforsikring AS'!B8+'Landkreditt Forsikring'!B8+Insr!B8+'Nordea Liv '!B8+'Oslo Pensjonsforsikring'!B8+'Protector Forsikring'!B8+'SHB Liv'!B8+'Sparebank 1'!B8+'Storebrand Livsforsikring'!B8+'Telenor Forsikring'!B8+'Tryg Forsikring'!B8+'WaterCircle F'!B8</f>
        <v>1589985.7431618453</v>
      </c>
      <c r="C8" s="44">
        <f>'Fremtind Livsforsikring'!C8+'Danica Pensjonsforsikring'!C8+'DNB Livsforsikring'!C8+'Eika Forsikring AS'!C8+'Frende Livsforsikring'!C8+'Frende Skadeforsikring'!C8+'Gjensidige Forsikring'!C8+'Gjensidige Pensjon'!C8+'Handelsbanken Liv'!C8+'If Skadeforsikring NUF'!C8+KLP!C8+'KLP Bedriftspensjon AS'!C8+'KLP Skadeforsikring AS'!C8+'Landkreditt Forsikring'!C8+Insr!C8+'Nordea Liv '!C8+'Oslo Pensjonsforsikring'!C8+'Protector Forsikring'!C8+'SHB Liv'!C8+'Sparebank 1'!C8+'Storebrand Livsforsikring'!C8+'Telenor Forsikring'!C8+'Tryg Forsikring'!C8+'WaterCircle F'!C8</f>
        <v>1804015.6186876937</v>
      </c>
      <c r="D8" s="166">
        <f t="shared" si="0"/>
        <v>13.5</v>
      </c>
      <c r="E8" s="186">
        <f>'Fremtind Livsforsikring'!F8+'Danica Pensjonsforsikring'!F8+'DNB Livsforsikring'!F8+'Eika Forsikring AS'!F8+'Frende Livsforsikring'!F8+'Frende Skadeforsikring'!F8+'Gjensidige Forsikring'!F8+'Gjensidige Pensjon'!F8+'Handelsbanken Liv'!F8+'If Skadeforsikring NUF'!F8+KLP!F8+'KLP Bedriftspensjon AS'!F8+'KLP Skadeforsikring AS'!F8+'Landkreditt Forsikring'!F8+Insr!F8+'Nordea Liv '!F8+'Oslo Pensjonsforsikring'!F8+'Protector Forsikring'!F8+'SHB Liv'!F8+'Sparebank 1'!F8+'Storebrand Livsforsikring'!F8+'Telenor Forsikring'!F8+'Tryg Forsikring'!F8</f>
        <v>0</v>
      </c>
      <c r="F8" s="186">
        <f>'Fremtind Livsforsikring'!G8+'Danica Pensjonsforsikring'!G8+'DNB Livsforsikring'!G8+'Eika Forsikring AS'!G8+'Frende Livsforsikring'!G8+'Frende Skadeforsikring'!G8+'Gjensidige Forsikring'!G8+'Gjensidige Pensjon'!G8+'Handelsbanken Liv'!G8+'If Skadeforsikring NUF'!G8+KLP!G8+'KLP Bedriftspensjon AS'!G8+'KLP Skadeforsikring AS'!G8+'Landkreditt Forsikring'!G8+Insr!G8+'Nordea Liv '!G8+'Oslo Pensjonsforsikring'!G8+'Protector Forsikring'!G8+'SHB Liv'!G8+'Sparebank 1'!G8+'Storebrand Livsforsikring'!G8+'Telenor Forsikring'!G8+'Tryg Forsikring'!G8</f>
        <v>0</v>
      </c>
      <c r="G8" s="175"/>
      <c r="H8" s="188">
        <f t="shared" si="2"/>
        <v>1589985.7431618453</v>
      </c>
      <c r="I8" s="189">
        <f t="shared" si="3"/>
        <v>1804015.6186876937</v>
      </c>
      <c r="J8" s="171">
        <f t="shared" si="4"/>
        <v>13.5</v>
      </c>
    </row>
    <row r="9" spans="1:10" ht="15.75" customHeight="1" x14ac:dyDescent="0.2">
      <c r="A9" s="21" t="s">
        <v>24</v>
      </c>
      <c r="B9" s="44">
        <f>'Fremtind Livsforsikring'!B9+'Danica Pensjonsforsikring'!B9+'DNB Livsforsikring'!B9+'Eika Forsikring AS'!B9+'Frende Livsforsikring'!B9+'Frende Skadeforsikring'!B9+'Gjensidige Forsikring'!B9+'Gjensidige Pensjon'!B9+'Handelsbanken Liv'!B9+'If Skadeforsikring NUF'!B9+KLP!B9+'KLP Bedriftspensjon AS'!B9+'KLP Skadeforsikring AS'!B9+'Landkreditt Forsikring'!B9+Insr!B9+'Nordea Liv '!B9+'Oslo Pensjonsforsikring'!B9+'Protector Forsikring'!B9+'SHB Liv'!B9+'Sparebank 1'!B9+'Storebrand Livsforsikring'!B9+'Telenor Forsikring'!B9+'Tryg Forsikring'!B9+'WaterCircle F'!B9</f>
        <v>589414.13486475253</v>
      </c>
      <c r="C9" s="44">
        <f>'Fremtind Livsforsikring'!C9+'Danica Pensjonsforsikring'!C9+'DNB Livsforsikring'!C9+'Eika Forsikring AS'!C9+'Frende Livsforsikring'!C9+'Frende Skadeforsikring'!C9+'Gjensidige Forsikring'!C9+'Gjensidige Pensjon'!C9+'Handelsbanken Liv'!C9+'If Skadeforsikring NUF'!C9+KLP!C9+'KLP Bedriftspensjon AS'!C9+'KLP Skadeforsikring AS'!C9+'Landkreditt Forsikring'!C9+Insr!C9+'Nordea Liv '!C9+'Oslo Pensjonsforsikring'!C9+'Protector Forsikring'!C9+'SHB Liv'!C9+'Sparebank 1'!C9+'Storebrand Livsforsikring'!C9+'Telenor Forsikring'!C9+'Tryg Forsikring'!C9+'WaterCircle F'!C9</f>
        <v>519970.633870352</v>
      </c>
      <c r="D9" s="175">
        <f t="shared" si="0"/>
        <v>-11.8</v>
      </c>
      <c r="E9" s="186">
        <f>'Fremtind Livsforsikring'!F9+'Danica Pensjonsforsikring'!F9+'DNB Livsforsikring'!F9+'Eika Forsikring AS'!F9+'Frende Livsforsikring'!F9+'Frende Skadeforsikring'!F9+'Gjensidige Forsikring'!F9+'Gjensidige Pensjon'!F9+'Handelsbanken Liv'!F9+'If Skadeforsikring NUF'!F9+KLP!F9+'KLP Bedriftspensjon AS'!F9+'KLP Skadeforsikring AS'!F9+'Landkreditt Forsikring'!F9+Insr!F9+'Nordea Liv '!F9+'Oslo Pensjonsforsikring'!F9+'Protector Forsikring'!F9+'SHB Liv'!F9+'Sparebank 1'!F9+'Storebrand Livsforsikring'!F9+'Telenor Forsikring'!F9+'Tryg Forsikring'!F9</f>
        <v>0</v>
      </c>
      <c r="F9" s="186">
        <f>'Fremtind Livsforsikring'!G9+'Danica Pensjonsforsikring'!G9+'DNB Livsforsikring'!G9+'Eika Forsikring AS'!G9+'Frende Livsforsikring'!G9+'Frende Skadeforsikring'!G9+'Gjensidige Forsikring'!G9+'Gjensidige Pensjon'!G9+'Handelsbanken Liv'!G9+'If Skadeforsikring NUF'!G9+KLP!G9+'KLP Bedriftspensjon AS'!G9+'KLP Skadeforsikring AS'!G9+'Landkreditt Forsikring'!G9+Insr!G9+'Nordea Liv '!G9+'Oslo Pensjonsforsikring'!G9+'Protector Forsikring'!G9+'SHB Liv'!G9+'Sparebank 1'!G9+'Storebrand Livsforsikring'!G9+'Telenor Forsikring'!G9+'Tryg Forsikring'!G9</f>
        <v>0</v>
      </c>
      <c r="G9" s="175"/>
      <c r="H9" s="188">
        <f t="shared" si="2"/>
        <v>589414.13486475253</v>
      </c>
      <c r="I9" s="189">
        <f t="shared" si="3"/>
        <v>519970.633870352</v>
      </c>
      <c r="J9" s="171">
        <f t="shared" si="4"/>
        <v>-11.8</v>
      </c>
    </row>
    <row r="10" spans="1:10" s="43" customFormat="1" ht="15.75" customHeight="1" x14ac:dyDescent="0.2">
      <c r="A10" s="39" t="s">
        <v>367</v>
      </c>
      <c r="B10" s="235">
        <f>'Fremtind Livsforsikring'!B10+'Danica Pensjonsforsikring'!B10+'DNB Livsforsikring'!B10+'Eika Forsikring AS'!B10+'Frende Livsforsikring'!B10+'Frende Skadeforsikring'!B10+'Gjensidige Forsikring'!B10+'Gjensidige Pensjon'!B10+'Handelsbanken Liv'!B10+'If Skadeforsikring NUF'!B10+KLP!B10+'KLP Bedriftspensjon AS'!B10+'KLP Skadeforsikring AS'!B10+'Landkreditt Forsikring'!B10+Insr!B10+'Nordea Liv '!B10+'Oslo Pensjonsforsikring'!B10+'Protector Forsikring'!B10+'SHB Liv'!B10+'Sparebank 1'!B10+'Storebrand Livsforsikring'!B10+'Telenor Forsikring'!B10+'Tryg Forsikring'!B10+'WaterCircle F'!B10</f>
        <v>19695305.131564621</v>
      </c>
      <c r="C10" s="235">
        <f>'Fremtind Livsforsikring'!C10+'Danica Pensjonsforsikring'!C10+'DNB Livsforsikring'!C10+'Eika Forsikring AS'!C10+'Frende Livsforsikring'!C10+'Frende Skadeforsikring'!C10+'Gjensidige Forsikring'!C10+'Gjensidige Pensjon'!C10+'Handelsbanken Liv'!C10+'If Skadeforsikring NUF'!C10+KLP!C10+'KLP Bedriftspensjon AS'!C10+'KLP Skadeforsikring AS'!C10+'Landkreditt Forsikring'!C10+Insr!C10+'Nordea Liv '!C10+'Oslo Pensjonsforsikring'!C10+'Protector Forsikring'!C10+'SHB Liv'!C10+'Sparebank 1'!C10+'Storebrand Livsforsikring'!C10+'Telenor Forsikring'!C10+'Tryg Forsikring'!C10+'WaterCircle F'!C10</f>
        <v>18393837.607795853</v>
      </c>
      <c r="D10" s="160">
        <f t="shared" si="0"/>
        <v>-6.6</v>
      </c>
      <c r="E10" s="235">
        <f>'Fremtind Livsforsikring'!F10+'Danica Pensjonsforsikring'!F10+'DNB Livsforsikring'!F10+'Eika Forsikring AS'!F10+'Frende Livsforsikring'!F10+'Frende Skadeforsikring'!F10+'Gjensidige Forsikring'!F10+'Gjensidige Pensjon'!F10+'Handelsbanken Liv'!F10+'If Skadeforsikring NUF'!F10+KLP!F10+'KLP Bedriftspensjon AS'!F10+'KLP Skadeforsikring AS'!F10+'Landkreditt Forsikring'!F10+Insr!F10+'Nordea Liv '!F10+'Oslo Pensjonsforsikring'!F10+'Protector Forsikring'!F10+'SHB Liv'!F10+'Sparebank 1'!F10+'Storebrand Livsforsikring'!F10+'Telenor Forsikring'!F10+'Tryg Forsikring'!F10+'WaterCircle F'!F10</f>
        <v>46403857.422623903</v>
      </c>
      <c r="F10" s="235">
        <f>'Fremtind Livsforsikring'!G10+'Danica Pensjonsforsikring'!G10+'DNB Livsforsikring'!G10+'Eika Forsikring AS'!G10+'Frende Livsforsikring'!G10+'Frende Skadeforsikring'!G10+'Gjensidige Forsikring'!G10+'Gjensidige Pensjon'!G10+'Handelsbanken Liv'!G10+'If Skadeforsikring NUF'!G10+KLP!G10+'KLP Bedriftspensjon AS'!G10+'KLP Skadeforsikring AS'!G10+'Landkreditt Forsikring'!G10+Insr!G10+'Nordea Liv '!G10+'Oslo Pensjonsforsikring'!G10+'Protector Forsikring'!G10+'SHB Liv'!G10+'Sparebank 1'!G10+'Storebrand Livsforsikring'!G10+'Telenor Forsikring'!G10+'Tryg Forsikring'!G10+'WaterCircle F'!G10</f>
        <v>51880506.836899996</v>
      </c>
      <c r="G10" s="160">
        <f t="shared" si="1"/>
        <v>11.8</v>
      </c>
      <c r="H10" s="276">
        <f t="shared" si="2"/>
        <v>66099162.55418852</v>
      </c>
      <c r="I10" s="277">
        <f t="shared" si="3"/>
        <v>70274344.444695845</v>
      </c>
      <c r="J10" s="171">
        <f t="shared" si="4"/>
        <v>6.3</v>
      </c>
    </row>
    <row r="11" spans="1:10" s="43" customFormat="1" ht="15.75" customHeight="1" x14ac:dyDescent="0.2">
      <c r="A11" s="39" t="s">
        <v>368</v>
      </c>
      <c r="B11" s="235">
        <f>'Fremtind Livsforsikring'!B11+'Danica Pensjonsforsikring'!B11+'DNB Livsforsikring'!B11+'Eika Forsikring AS'!B11+'Frende Livsforsikring'!B11+'Frende Skadeforsikring'!B11+'Gjensidige Forsikring'!B11+'Gjensidige Pensjon'!B11+'Handelsbanken Liv'!B11+'If Skadeforsikring NUF'!B11+KLP!B11+'KLP Bedriftspensjon AS'!B11+'KLP Skadeforsikring AS'!B11+'Landkreditt Forsikring'!B11+Insr!B11+'Nordea Liv '!B11+'Oslo Pensjonsforsikring'!B11+'Protector Forsikring'!B11+'SHB Liv'!B11+'Sparebank 1'!B11+'Storebrand Livsforsikring'!B11+'Telenor Forsikring'!B11+'Tryg Forsikring'!B11+'WaterCircle F'!B11</f>
        <v>25094</v>
      </c>
      <c r="C11" s="235">
        <f>'Fremtind Livsforsikring'!C11+'Danica Pensjonsforsikring'!C11+'DNB Livsforsikring'!C11+'Eika Forsikring AS'!C11+'Frende Livsforsikring'!C11+'Frende Skadeforsikring'!C11+'Gjensidige Forsikring'!C11+'Gjensidige Pensjon'!C11+'Handelsbanken Liv'!C11+'If Skadeforsikring NUF'!C11+KLP!C11+'KLP Bedriftspensjon AS'!C11+'KLP Skadeforsikring AS'!C11+'Landkreditt Forsikring'!C11+Insr!C11+'Nordea Liv '!C11+'Oslo Pensjonsforsikring'!C11+'Protector Forsikring'!C11+'SHB Liv'!C11+'Sparebank 1'!C11+'Storebrand Livsforsikring'!C11+'Telenor Forsikring'!C11+'Tryg Forsikring'!C11+'WaterCircle F'!C11</f>
        <v>18520</v>
      </c>
      <c r="D11" s="171">
        <f t="shared" si="0"/>
        <v>-26.2</v>
      </c>
      <c r="E11" s="235">
        <f>'Fremtind Livsforsikring'!F11+'Danica Pensjonsforsikring'!F11+'DNB Livsforsikring'!F11+'Eika Forsikring AS'!F11+'Frende Livsforsikring'!F11+'Frende Skadeforsikring'!F11+'Gjensidige Forsikring'!F11+'Gjensidige Pensjon'!F11+'Handelsbanken Liv'!F11+'If Skadeforsikring NUF'!F11+KLP!F11+'KLP Bedriftspensjon AS'!F11+'KLP Skadeforsikring AS'!F11+'Landkreditt Forsikring'!F11+Insr!F11+'Nordea Liv '!F11+'Oslo Pensjonsforsikring'!F11+'Protector Forsikring'!F11+'SHB Liv'!F11+'Sparebank 1'!F11+'Storebrand Livsforsikring'!F11+'Telenor Forsikring'!F11+'Tryg Forsikring'!F11+'WaterCircle F'!F11</f>
        <v>167899.82689000003</v>
      </c>
      <c r="F11" s="235">
        <f>'Fremtind Livsforsikring'!G11+'Danica Pensjonsforsikring'!G11+'DNB Livsforsikring'!G11+'Eika Forsikring AS'!G11+'Frende Livsforsikring'!G11+'Frende Skadeforsikring'!G11+'Gjensidige Forsikring'!G11+'Gjensidige Pensjon'!G11+'Handelsbanken Liv'!G11+'If Skadeforsikring NUF'!G11+KLP!G11+'KLP Bedriftspensjon AS'!G11+'KLP Skadeforsikring AS'!G11+'Landkreditt Forsikring'!G11+Insr!G11+'Nordea Liv '!G11+'Oslo Pensjonsforsikring'!G11+'Protector Forsikring'!G11+'SHB Liv'!G11+'Sparebank 1'!G11+'Storebrand Livsforsikring'!G11+'Telenor Forsikring'!G11+'Tryg Forsikring'!G11+'WaterCircle F'!G11</f>
        <v>217462.92000999997</v>
      </c>
      <c r="G11" s="171">
        <f t="shared" si="1"/>
        <v>29.5</v>
      </c>
      <c r="H11" s="276">
        <f t="shared" si="2"/>
        <v>192993.82689000003</v>
      </c>
      <c r="I11" s="277">
        <f t="shared" si="3"/>
        <v>235982.92000999997</v>
      </c>
      <c r="J11" s="171">
        <f t="shared" si="4"/>
        <v>22.3</v>
      </c>
    </row>
    <row r="12" spans="1:10" s="43" customFormat="1" ht="15.75" customHeight="1" x14ac:dyDescent="0.2">
      <c r="A12" s="588" t="s">
        <v>369</v>
      </c>
      <c r="B12" s="275">
        <f>'Fremtind Livsforsikring'!B12+'Danica Pensjonsforsikring'!B12+'DNB Livsforsikring'!B12+'Eika Forsikring AS'!B12+'Frende Livsforsikring'!B12+'Frende Skadeforsikring'!B12+'Gjensidige Forsikring'!B12+'Gjensidige Pensjon'!B12+'Handelsbanken Liv'!B12+'If Skadeforsikring NUF'!B12+KLP!B12+'KLP Bedriftspensjon AS'!B12+'KLP Skadeforsikring AS'!B12+'Landkreditt Forsikring'!B12+Insr!B12+'Nordea Liv '!B12+'Oslo Pensjonsforsikring'!B12+'Protector Forsikring'!B12+'SHB Liv'!B12+'Sparebank 1'!B12+'Storebrand Livsforsikring'!B12+'Telenor Forsikring'!B12+'Tryg Forsikring'!B12+'WaterCircle F'!B12</f>
        <v>4345</v>
      </c>
      <c r="C12" s="275">
        <f>'Fremtind Livsforsikring'!C12+'Danica Pensjonsforsikring'!C12+'DNB Livsforsikring'!C12+'Eika Forsikring AS'!C12+'Frende Livsforsikring'!C12+'Frende Skadeforsikring'!C12+'Gjensidige Forsikring'!C12+'Gjensidige Pensjon'!C12+'Handelsbanken Liv'!C12+'If Skadeforsikring NUF'!C12+KLP!C12+'KLP Bedriftspensjon AS'!C12+'KLP Skadeforsikring AS'!C12+'Landkreditt Forsikring'!C12+Insr!C12+'Nordea Liv '!C12+'Oslo Pensjonsforsikring'!C12+'Protector Forsikring'!C12+'SHB Liv'!C12+'Sparebank 1'!C12+'Storebrand Livsforsikring'!C12+'Telenor Forsikring'!C12+'Tryg Forsikring'!C12+'WaterCircle F'!C12</f>
        <v>2399</v>
      </c>
      <c r="D12" s="170">
        <f t="shared" si="0"/>
        <v>-44.8</v>
      </c>
      <c r="E12" s="275">
        <f>'Fremtind Livsforsikring'!F12+'Danica Pensjonsforsikring'!F12+'DNB Livsforsikring'!F12+'Eika Forsikring AS'!F12+'Frende Livsforsikring'!F12+'Frende Skadeforsikring'!F12+'Gjensidige Forsikring'!F12+'Gjensidige Pensjon'!F12+'Handelsbanken Liv'!F12+'If Skadeforsikring NUF'!F12+KLP!F12+'KLP Bedriftspensjon AS'!F12+'KLP Skadeforsikring AS'!F12+'Landkreditt Forsikring'!F12+Insr!F12+'Nordea Liv '!F12+'Oslo Pensjonsforsikring'!F12+'Protector Forsikring'!F12+'SHB Liv'!F12+'Sparebank 1'!F12+'Storebrand Livsforsikring'!F12+'Telenor Forsikring'!F12+'Tryg Forsikring'!F12+'WaterCircle F'!F12</f>
        <v>113325.11262000001</v>
      </c>
      <c r="F12" s="275">
        <f>'Fremtind Livsforsikring'!G12+'Danica Pensjonsforsikring'!G12+'DNB Livsforsikring'!G12+'Eika Forsikring AS'!G12+'Frende Livsforsikring'!G12+'Frende Skadeforsikring'!G12+'Gjensidige Forsikring'!G12+'Gjensidige Pensjon'!G12+'Handelsbanken Liv'!G12+'If Skadeforsikring NUF'!G12+KLP!G12+'KLP Bedriftspensjon AS'!G12+'KLP Skadeforsikring AS'!G12+'Landkreditt Forsikring'!G12+Insr!G12+'Nordea Liv '!G12+'Oslo Pensjonsforsikring'!G12+'Protector Forsikring'!G12+'SHB Liv'!G12+'Sparebank 1'!G12+'Storebrand Livsforsikring'!G12+'Telenor Forsikring'!G12+'Tryg Forsikring'!G12+'WaterCircle F'!G12</f>
        <v>154005.36911</v>
      </c>
      <c r="G12" s="169">
        <f t="shared" si="1"/>
        <v>35.9</v>
      </c>
      <c r="H12" s="278">
        <f t="shared" si="2"/>
        <v>117670.11262000001</v>
      </c>
      <c r="I12" s="279">
        <f t="shared" si="3"/>
        <v>156404.36911</v>
      </c>
      <c r="J12" s="169">
        <f t="shared" si="4"/>
        <v>32.9</v>
      </c>
    </row>
    <row r="13" spans="1:10" s="43" customFormat="1" ht="15.75" customHeight="1" x14ac:dyDescent="0.2">
      <c r="A13" s="168"/>
      <c r="B13" s="35"/>
      <c r="C13" s="5"/>
      <c r="D13" s="32"/>
      <c r="E13" s="35"/>
      <c r="F13" s="5"/>
      <c r="G13" s="32"/>
      <c r="H13" s="48"/>
      <c r="I13" s="48"/>
      <c r="J13" s="32"/>
    </row>
    <row r="14" spans="1:10" ht="15.75" customHeight="1" x14ac:dyDescent="0.2">
      <c r="A14" s="153" t="s">
        <v>277</v>
      </c>
    </row>
    <row r="15" spans="1:10" ht="15.75" customHeight="1" x14ac:dyDescent="0.2">
      <c r="A15" s="149"/>
      <c r="E15" s="7"/>
      <c r="F15" s="7"/>
      <c r="G15" s="7"/>
      <c r="H15" s="7"/>
      <c r="I15" s="7"/>
      <c r="J15" s="7"/>
    </row>
    <row r="16" spans="1:10" s="3" customFormat="1" ht="15.75" customHeight="1" x14ac:dyDescent="0.25">
      <c r="A16" s="164"/>
      <c r="C16" s="30"/>
      <c r="D16" s="30"/>
      <c r="E16" s="30"/>
      <c r="F16" s="30"/>
      <c r="G16" s="30"/>
      <c r="H16" s="30"/>
      <c r="I16" s="30"/>
      <c r="J16" s="30"/>
    </row>
    <row r="17" spans="1:11" ht="15.75" customHeight="1" x14ac:dyDescent="0.25">
      <c r="A17" s="147" t="s">
        <v>274</v>
      </c>
      <c r="B17" s="28"/>
      <c r="C17" s="28"/>
      <c r="D17" s="29"/>
      <c r="E17" s="28"/>
      <c r="F17" s="28"/>
      <c r="G17" s="28"/>
      <c r="H17" s="28"/>
      <c r="I17" s="28"/>
      <c r="J17" s="28"/>
    </row>
    <row r="18" spans="1:11" ht="15.75" customHeight="1" x14ac:dyDescent="0.25">
      <c r="A18" s="149"/>
      <c r="B18" s="734"/>
      <c r="C18" s="734"/>
      <c r="D18" s="734"/>
      <c r="E18" s="734"/>
      <c r="F18" s="734"/>
      <c r="G18" s="734"/>
      <c r="H18" s="734"/>
      <c r="I18" s="734"/>
      <c r="J18" s="734"/>
    </row>
    <row r="19" spans="1:11" ht="15.75" customHeight="1" x14ac:dyDescent="0.2">
      <c r="A19" s="144"/>
      <c r="B19" s="731" t="s">
        <v>0</v>
      </c>
      <c r="C19" s="732"/>
      <c r="D19" s="732"/>
      <c r="E19" s="731" t="s">
        <v>1</v>
      </c>
      <c r="F19" s="732"/>
      <c r="G19" s="733"/>
      <c r="H19" s="732" t="s">
        <v>2</v>
      </c>
      <c r="I19" s="732"/>
      <c r="J19" s="733"/>
    </row>
    <row r="20" spans="1:11" ht="15.75" customHeight="1" x14ac:dyDescent="0.2">
      <c r="A20" s="140" t="s">
        <v>5</v>
      </c>
      <c r="B20" s="20" t="s">
        <v>427</v>
      </c>
      <c r="C20" s="20" t="s">
        <v>428</v>
      </c>
      <c r="D20" s="248" t="s">
        <v>3</v>
      </c>
      <c r="E20" s="20" t="s">
        <v>427</v>
      </c>
      <c r="F20" s="20" t="s">
        <v>428</v>
      </c>
      <c r="G20" s="248" t="s">
        <v>3</v>
      </c>
      <c r="H20" s="20" t="s">
        <v>427</v>
      </c>
      <c r="I20" s="20" t="s">
        <v>428</v>
      </c>
      <c r="J20" s="248" t="s">
        <v>3</v>
      </c>
    </row>
    <row r="21" spans="1:11" ht="15.75" customHeight="1" x14ac:dyDescent="0.2">
      <c r="A21" s="710"/>
      <c r="B21" s="15"/>
      <c r="C21" s="15"/>
      <c r="D21" s="17" t="s">
        <v>4</v>
      </c>
      <c r="E21" s="16"/>
      <c r="F21" s="16"/>
      <c r="G21" s="15" t="s">
        <v>4</v>
      </c>
      <c r="H21" s="16"/>
      <c r="I21" s="16"/>
      <c r="J21" s="15" t="s">
        <v>4</v>
      </c>
    </row>
    <row r="22" spans="1:11" s="43" customFormat="1" ht="15.75" customHeight="1" x14ac:dyDescent="0.2">
      <c r="A22" s="14" t="s">
        <v>23</v>
      </c>
      <c r="B22" s="235">
        <f>'Fremtind Livsforsikring'!B22+'Danica Pensjonsforsikring'!B22+'DNB Livsforsikring'!B22+'Eika Forsikring AS'!B22+'Frende Livsforsikring'!B22+'Frende Skadeforsikring'!B22+'Gjensidige Forsikring'!B22+'Gjensidige Pensjon'!B22+'Handelsbanken Liv'!B22+'If Skadeforsikring NUF'!B22+KLP!B22+'KLP Bedriftspensjon AS'!B22+'KLP Skadeforsikring AS'!B22+'Landkreditt Forsikring'!B22+Insr!B22+'Nordea Liv '!B22+'Oslo Pensjonsforsikring'!B22+'Protector Forsikring'!B22+'SHB Liv'!B22+'Sparebank 1'!B22+'Storebrand Livsforsikring'!B22+'Telenor Forsikring'!B22+'Tryg Forsikring'!B22+'WaterCircle F'!B22</f>
        <v>1034087.1083524066</v>
      </c>
      <c r="C22" s="235">
        <f>'Fremtind Livsforsikring'!C22+'Danica Pensjonsforsikring'!C22+'DNB Livsforsikring'!C22+'Eika Forsikring AS'!C22+'Frende Livsforsikring'!C22+'Frende Skadeforsikring'!C22+'Gjensidige Forsikring'!C22+'Gjensidige Pensjon'!C22+'Handelsbanken Liv'!C22+'If Skadeforsikring NUF'!C22+KLP!C22+'KLP Bedriftspensjon AS'!C22+'KLP Skadeforsikring AS'!C22+'Landkreditt Forsikring'!C22+Insr!C22+'Nordea Liv '!C22+'Oslo Pensjonsforsikring'!C22+'Protector Forsikring'!C22+'SHB Liv'!C22+'Sparebank 1'!C22+'Storebrand Livsforsikring'!C22+'Telenor Forsikring'!C22+'Tryg Forsikring'!C22+'WaterCircle F'!C22</f>
        <v>987633.37332152703</v>
      </c>
      <c r="D22" s="11">
        <f t="shared" ref="D22:D39" si="5">IF(B22=0, "    ---- ", IF(ABS(ROUND(100/B22*C22-100,1))&lt;999,ROUND(100/B22*C22-100,1),IF(ROUND(100/B22*C22-100,1)&gt;999,999,-999)))</f>
        <v>-4.5</v>
      </c>
      <c r="E22" s="235">
        <f>'Fremtind Livsforsikring'!F22+'Danica Pensjonsforsikring'!F22+'DNB Livsforsikring'!F22+'Eika Forsikring AS'!F22+'Frende Livsforsikring'!F22+'Frende Skadeforsikring'!F22+'Gjensidige Forsikring'!F22+'Gjensidige Pensjon'!F22+'Handelsbanken Liv'!F22+'If Skadeforsikring NUF'!F22+KLP!F22+'KLP Bedriftspensjon AS'!F22+'KLP Skadeforsikring AS'!F22+'Landkreditt Forsikring'!F22+Insr!F22+'Nordea Liv '!F22+'Oslo Pensjonsforsikring'!F22+'Protector Forsikring'!F22+'SHB Liv'!F22+'Sparebank 1'!F22+'Storebrand Livsforsikring'!F22+'Telenor Forsikring'!F22+'Tryg Forsikring'!F22+'WaterCircle F'!F22</f>
        <v>553554.9885199999</v>
      </c>
      <c r="F22" s="235">
        <f>'Fremtind Livsforsikring'!G22+'Danica Pensjonsforsikring'!G22+'DNB Livsforsikring'!G22+'Eika Forsikring AS'!G22+'Frende Livsforsikring'!G22+'Frende Skadeforsikring'!G22+'Gjensidige Forsikring'!G22+'Gjensidige Pensjon'!G22+'Handelsbanken Liv'!G22+'If Skadeforsikring NUF'!G22+KLP!G22+'KLP Bedriftspensjon AS'!G22+'KLP Skadeforsikring AS'!G22+'Landkreditt Forsikring'!G22+Insr!G22+'Nordea Liv '!G22+'Oslo Pensjonsforsikring'!G22+'Protector Forsikring'!G22+'SHB Liv'!G22+'Sparebank 1'!G22+'Storebrand Livsforsikring'!G22+'Telenor Forsikring'!G22+'Tryg Forsikring'!G22+'WaterCircle F'!G22</f>
        <v>642171.47821999993</v>
      </c>
      <c r="G22" s="349">
        <f t="shared" ref="G22:G35" si="6">IF(E22=0, "    ---- ", IF(ABS(ROUND(100/E22*F22-100,1))&lt;999,ROUND(100/E22*F22-100,1),IF(ROUND(100/E22*F22-100,1)&gt;999,999,-999)))</f>
        <v>16</v>
      </c>
      <c r="H22" s="307">
        <f>SUM(B22,E22)</f>
        <v>1587642.0968724065</v>
      </c>
      <c r="I22" s="235">
        <f t="shared" ref="I22:I39" si="7">SUM(C22,F22)</f>
        <v>1629804.8515415271</v>
      </c>
      <c r="J22" s="24">
        <f t="shared" ref="J22:J39" si="8">IF(H22=0, "    ---- ", IF(ABS(ROUND(100/H22*I22-100,1))&lt;999,ROUND(100/H22*I22-100,1),IF(ROUND(100/H22*I22-100,1)&gt;999,999,-999)))</f>
        <v>2.7</v>
      </c>
    </row>
    <row r="23" spans="1:11" ht="15.75" customHeight="1" x14ac:dyDescent="0.2">
      <c r="A23" s="589" t="s">
        <v>370</v>
      </c>
      <c r="B23" s="44">
        <f>'Fremtind Livsforsikring'!B23+'Danica Pensjonsforsikring'!B23+'DNB Livsforsikring'!B23+'Eika Forsikring AS'!B23+'Frende Livsforsikring'!B23+'Frende Skadeforsikring'!B23+'Gjensidige Forsikring'!B23+'Gjensidige Pensjon'!B23+'Handelsbanken Liv'!B23+'If Skadeforsikring NUF'!B23+KLP!B23+'KLP Bedriftspensjon AS'!B23+'KLP Skadeforsikring AS'!B23+'Landkreditt Forsikring'!B23+Insr!B23+'Nordea Liv '!B23+'Oslo Pensjonsforsikring'!B23+'Protector Forsikring'!B23+'SHB Liv'!B23+'Sparebank 1'!B23+'Storebrand Livsforsikring'!B23+'Telenor Forsikring'!B23+'Tryg Forsikring'!B23+'WaterCircle F'!B23</f>
        <v>760490.41722908069</v>
      </c>
      <c r="C23" s="44">
        <f>'Fremtind Livsforsikring'!C23+'Danica Pensjonsforsikring'!C23+'DNB Livsforsikring'!C23+'Eika Forsikring AS'!C23+'Frende Livsforsikring'!C23+'Frende Skadeforsikring'!C23+'Gjensidige Forsikring'!C23+'Gjensidige Pensjon'!C23+'Handelsbanken Liv'!C23+'If Skadeforsikring NUF'!C23+KLP!C23+'KLP Bedriftspensjon AS'!C23+'KLP Skadeforsikring AS'!C23+'Landkreditt Forsikring'!C23+Insr!C23+'Nordea Liv '!C23+'Oslo Pensjonsforsikring'!C23+'Protector Forsikring'!C23+'SHB Liv'!C23+'Sparebank 1'!C23+'Storebrand Livsforsikring'!C23+'Telenor Forsikring'!C23+'Tryg Forsikring'!C23+'WaterCircle F'!C23</f>
        <v>409082.34826152714</v>
      </c>
      <c r="D23" s="27">
        <f>IF($A$1=4,IF(B23=0, "    ---- ", IF(ABS(ROUND(100/B23*C23-100,1))&lt;999,ROUND(100/B23*C23-100,1),IF(ROUND(100/B23*C23-100,1)&gt;999,999,-999))),"")</f>
        <v>-46.2</v>
      </c>
      <c r="E23" s="44">
        <f>'Fremtind Livsforsikring'!F23+'Danica Pensjonsforsikring'!F23+'DNB Livsforsikring'!F23+'Eika Forsikring AS'!F23+'Frende Livsforsikring'!F23+'Frende Skadeforsikring'!F23+'Gjensidige Forsikring'!F23+'Gjensidige Pensjon'!F23+'Handelsbanken Liv'!F23+'If Skadeforsikring NUF'!F23+KLP!F23+'KLP Bedriftspensjon AS'!F23+'KLP Skadeforsikring AS'!F23+'Landkreditt Forsikring'!F23+Insr!F23+'Nordea Liv '!F23+'Oslo Pensjonsforsikring'!F23+'Protector Forsikring'!F23+'SHB Liv'!F23+'Sparebank 1'!F23+'Storebrand Livsforsikring'!F23+'Telenor Forsikring'!F23+'Tryg Forsikring'!F23+'WaterCircle F'!F23</f>
        <v>42856.52</v>
      </c>
      <c r="F23" s="44">
        <f>'Fremtind Livsforsikring'!G23+'Danica Pensjonsforsikring'!G23+'DNB Livsforsikring'!G23+'Eika Forsikring AS'!G23+'Frende Livsforsikring'!G23+'Frende Skadeforsikring'!G23+'Gjensidige Forsikring'!G23+'Gjensidige Pensjon'!G23+'Handelsbanken Liv'!G23+'If Skadeforsikring NUF'!G23+KLP!G23+'KLP Bedriftspensjon AS'!G23+'KLP Skadeforsikring AS'!G23+'Landkreditt Forsikring'!G23+Insr!G23+'Nordea Liv '!G23+'Oslo Pensjonsforsikring'!G23+'Protector Forsikring'!G23+'SHB Liv'!G23+'Sparebank 1'!G23+'Storebrand Livsforsikring'!G23+'Telenor Forsikring'!G23+'Tryg Forsikring'!G23+'WaterCircle F'!G23</f>
        <v>87360.507779999985</v>
      </c>
      <c r="G23" s="166">
        <f>IF($A$1=4,IF(E23=0, "    ---- ", IF(ABS(ROUND(100/E23*F23-100,1))&lt;999,ROUND(100/E23*F23-100,1),IF(ROUND(100/E23*F23-100,1)&gt;999,999,-999))),"")</f>
        <v>103.8</v>
      </c>
      <c r="H23" s="233">
        <f t="shared" ref="H23:H39" si="9">SUM(B23,E23)</f>
        <v>803346.93722908071</v>
      </c>
      <c r="I23" s="44">
        <f t="shared" si="7"/>
        <v>496442.85604152712</v>
      </c>
      <c r="J23" s="23">
        <f t="shared" si="8"/>
        <v>-38.200000000000003</v>
      </c>
    </row>
    <row r="24" spans="1:11" ht="15.75" customHeight="1" x14ac:dyDescent="0.2">
      <c r="A24" s="589" t="s">
        <v>371</v>
      </c>
      <c r="B24" s="44">
        <f>'Fremtind Livsforsikring'!B24+'Danica Pensjonsforsikring'!B24+'DNB Livsforsikring'!B24+'Eika Forsikring AS'!B24+'Frende Livsforsikring'!B24+'Frende Skadeforsikring'!B24+'Gjensidige Forsikring'!B24+'Gjensidige Pensjon'!B24+'Handelsbanken Liv'!B24+'If Skadeforsikring NUF'!B24+KLP!B24+'KLP Bedriftspensjon AS'!B24+'KLP Skadeforsikring AS'!B24+'Landkreditt Forsikring'!B24+Insr!B24+'Nordea Liv '!B24+'Oslo Pensjonsforsikring'!B24+'Protector Forsikring'!B24+'SHB Liv'!B24+'Sparebank 1'!B24+'Storebrand Livsforsikring'!B24+'Telenor Forsikring'!B24+'Tryg Forsikring'!B24+'WaterCircle F'!B24</f>
        <v>19539.658123325731</v>
      </c>
      <c r="C24" s="44">
        <f>'Fremtind Livsforsikring'!C24+'Danica Pensjonsforsikring'!C24+'DNB Livsforsikring'!C24+'Eika Forsikring AS'!C24+'Frende Livsforsikring'!C24+'Frende Skadeforsikring'!C24+'Gjensidige Forsikring'!C24+'Gjensidige Pensjon'!C24+'Handelsbanken Liv'!C24+'If Skadeforsikring NUF'!C24+KLP!C24+'KLP Bedriftspensjon AS'!C24+'KLP Skadeforsikring AS'!C24+'Landkreditt Forsikring'!C24+Insr!C24+'Nordea Liv '!C24+'Oslo Pensjonsforsikring'!C24+'Protector Forsikring'!C24+'SHB Liv'!C24+'Sparebank 1'!C24+'Storebrand Livsforsikring'!C24+'Telenor Forsikring'!C24+'Tryg Forsikring'!C24+'WaterCircle F'!C24</f>
        <v>17020.447840000001</v>
      </c>
      <c r="D24" s="27">
        <f t="shared" ref="D24:D25" si="10">IF($A$1=4,IF(B24=0, "    ---- ", IF(ABS(ROUND(100/B24*C24-100,1))&lt;999,ROUND(100/B24*C24-100,1),IF(ROUND(100/B24*C24-100,1)&gt;999,999,-999))),"")</f>
        <v>-12.9</v>
      </c>
      <c r="E24" s="44">
        <f>'Fremtind Livsforsikring'!F24+'Danica Pensjonsforsikring'!F24+'DNB Livsforsikring'!F24+'Eika Forsikring AS'!F24+'Frende Livsforsikring'!F24+'Frende Skadeforsikring'!F24+'Gjensidige Forsikring'!F24+'Gjensidige Pensjon'!F24+'Handelsbanken Liv'!F24+'If Skadeforsikring NUF'!F24+KLP!F24+'KLP Bedriftspensjon AS'!F24+'KLP Skadeforsikring AS'!F24+'Landkreditt Forsikring'!F24+Insr!F24+'Nordea Liv '!F24+'Oslo Pensjonsforsikring'!F24+'Protector Forsikring'!F24+'SHB Liv'!F24+'Sparebank 1'!F24+'Storebrand Livsforsikring'!F24+'Telenor Forsikring'!F24+'Tryg Forsikring'!F24+'WaterCircle F'!F24</f>
        <v>987.41569000000004</v>
      </c>
      <c r="F24" s="44">
        <f>'Fremtind Livsforsikring'!G24+'Danica Pensjonsforsikring'!G24+'DNB Livsforsikring'!G24+'Eika Forsikring AS'!G24+'Frende Livsforsikring'!G24+'Frende Skadeforsikring'!G24+'Gjensidige Forsikring'!G24+'Gjensidige Pensjon'!G24+'Handelsbanken Liv'!G24+'If Skadeforsikring NUF'!G24+KLP!G24+'KLP Bedriftspensjon AS'!G24+'KLP Skadeforsikring AS'!G24+'Landkreditt Forsikring'!G24+Insr!G24+'Nordea Liv '!G24+'Oslo Pensjonsforsikring'!G24+'Protector Forsikring'!G24+'SHB Liv'!G24+'Sparebank 1'!G24+'Storebrand Livsforsikring'!G24+'Telenor Forsikring'!G24+'Tryg Forsikring'!G24+'WaterCircle F'!G24</f>
        <v>939.49790999999993</v>
      </c>
      <c r="G24" s="166">
        <f t="shared" ref="G24:G25" si="11">IF($A$1=4,IF(E24=0, "    ---- ", IF(ABS(ROUND(100/E24*F24-100,1))&lt;999,ROUND(100/E24*F24-100,1),IF(ROUND(100/E24*F24-100,1)&gt;999,999,-999))),"")</f>
        <v>-4.9000000000000004</v>
      </c>
      <c r="H24" s="233">
        <f t="shared" si="9"/>
        <v>20527.073813325733</v>
      </c>
      <c r="I24" s="44">
        <f t="shared" si="7"/>
        <v>17959.945749999999</v>
      </c>
      <c r="J24" s="11">
        <f t="shared" si="8"/>
        <v>-12.5</v>
      </c>
    </row>
    <row r="25" spans="1:11" ht="15.75" customHeight="1" x14ac:dyDescent="0.2">
      <c r="A25" s="589" t="s">
        <v>372</v>
      </c>
      <c r="B25" s="44">
        <f>'Fremtind Livsforsikring'!B25+'Danica Pensjonsforsikring'!B25+'DNB Livsforsikring'!B25+'Eika Forsikring AS'!B25+'Frende Livsforsikring'!B25+'Frende Skadeforsikring'!B25+'Gjensidige Forsikring'!B25+'Gjensidige Pensjon'!B25+'Handelsbanken Liv'!B25+'If Skadeforsikring NUF'!B25+KLP!B25+'KLP Bedriftspensjon AS'!B25+'KLP Skadeforsikring AS'!B25+'Landkreditt Forsikring'!B25+Insr!B25+'Nordea Liv '!B25+'Oslo Pensjonsforsikring'!B25+'Protector Forsikring'!B25+'SHB Liv'!B25+'Sparebank 1'!B25+'Storebrand Livsforsikring'!B25+'Telenor Forsikring'!B25+'Tryg Forsikring'!B25+'WaterCircle F'!B25</f>
        <v>18916.206999999999</v>
      </c>
      <c r="C25" s="44">
        <f>'Fremtind Livsforsikring'!C25+'Danica Pensjonsforsikring'!C25+'DNB Livsforsikring'!C25+'Eika Forsikring AS'!C25+'Frende Livsforsikring'!C25+'Frende Skadeforsikring'!C25+'Gjensidige Forsikring'!C25+'Gjensidige Pensjon'!C25+'Handelsbanken Liv'!C25+'If Skadeforsikring NUF'!C25+KLP!C25+'KLP Bedriftspensjon AS'!C25+'KLP Skadeforsikring AS'!C25+'Landkreditt Forsikring'!C25+Insr!C25+'Nordea Liv '!C25+'Oslo Pensjonsforsikring'!C25+'Protector Forsikring'!C25+'SHB Liv'!C25+'Sparebank 1'!C25+'Storebrand Livsforsikring'!C25+'Telenor Forsikring'!C25+'Tryg Forsikring'!C25+'WaterCircle F'!C25</f>
        <v>16156.164000000001</v>
      </c>
      <c r="D25" s="27">
        <f t="shared" si="10"/>
        <v>-14.6</v>
      </c>
      <c r="E25" s="44">
        <f>'Fremtind Livsforsikring'!F25+'Danica Pensjonsforsikring'!F25+'DNB Livsforsikring'!F25+'Eika Forsikring AS'!F25+'Frende Livsforsikring'!F25+'Frende Skadeforsikring'!F25+'Gjensidige Forsikring'!F25+'Gjensidige Pensjon'!F25+'Handelsbanken Liv'!F25+'If Skadeforsikring NUF'!F25+KLP!F25+'KLP Bedriftspensjon AS'!F25+'KLP Skadeforsikring AS'!F25+'Landkreditt Forsikring'!F25+Insr!F25+'Nordea Liv '!F25+'Oslo Pensjonsforsikring'!F25+'Protector Forsikring'!F25+'SHB Liv'!F25+'Sparebank 1'!F25+'Storebrand Livsforsikring'!F25+'Telenor Forsikring'!F25+'Tryg Forsikring'!F25+'WaterCircle F'!F25</f>
        <v>20170.102359999997</v>
      </c>
      <c r="F25" s="44">
        <f>'Fremtind Livsforsikring'!G25+'Danica Pensjonsforsikring'!G25+'DNB Livsforsikring'!G25+'Eika Forsikring AS'!G25+'Frende Livsforsikring'!G25+'Frende Skadeforsikring'!G25+'Gjensidige Forsikring'!G25+'Gjensidige Pensjon'!G25+'Handelsbanken Liv'!G25+'If Skadeforsikring NUF'!G25+KLP!G25+'KLP Bedriftspensjon AS'!G25+'KLP Skadeforsikring AS'!G25+'Landkreditt Forsikring'!G25+Insr!G25+'Nordea Liv '!G25+'Oslo Pensjonsforsikring'!G25+'Protector Forsikring'!G25+'SHB Liv'!G25+'Sparebank 1'!G25+'Storebrand Livsforsikring'!G25+'Telenor Forsikring'!G25+'Tryg Forsikring'!G25+'WaterCircle F'!G25</f>
        <v>19878.07948</v>
      </c>
      <c r="G25" s="166">
        <f t="shared" si="11"/>
        <v>-1.4</v>
      </c>
      <c r="H25" s="233">
        <f t="shared" si="9"/>
        <v>39086.309359999999</v>
      </c>
      <c r="I25" s="44">
        <f t="shared" si="7"/>
        <v>36034.243480000005</v>
      </c>
      <c r="J25" s="27">
        <f t="shared" si="8"/>
        <v>-7.8</v>
      </c>
    </row>
    <row r="26" spans="1:11" ht="15.75" customHeight="1" x14ac:dyDescent="0.2">
      <c r="A26" s="589" t="s">
        <v>373</v>
      </c>
      <c r="B26" s="44"/>
      <c r="C26" s="44"/>
      <c r="D26" s="27"/>
      <c r="E26" s="44">
        <f>'Fremtind Livsforsikring'!F26+'Danica Pensjonsforsikring'!F26+'DNB Livsforsikring'!F26+'Eika Forsikring AS'!F26+'Frende Livsforsikring'!F26+'Frende Skadeforsikring'!F26+'Gjensidige Forsikring'!F26+'Gjensidige Pensjon'!F26+'Handelsbanken Liv'!F26+'If Skadeforsikring NUF'!F26+KLP!F26+'KLP Bedriftspensjon AS'!F26+'KLP Skadeforsikring AS'!F26+'Landkreditt Forsikring'!F26+Insr!F26+'Nordea Liv '!F26+'Oslo Pensjonsforsikring'!F26+'Protector Forsikring'!F26+'SHB Liv'!F26+'Sparebank 1'!F26+'Storebrand Livsforsikring'!F26+'Telenor Forsikring'!F26+'Tryg Forsikring'!F26+'WaterCircle F'!F26</f>
        <v>489986.37446999998</v>
      </c>
      <c r="F26" s="44">
        <f>'Fremtind Livsforsikring'!G26+'Danica Pensjonsforsikring'!G26+'DNB Livsforsikring'!G26+'Eika Forsikring AS'!G26+'Frende Livsforsikring'!G26+'Frende Skadeforsikring'!G26+'Gjensidige Forsikring'!G26+'Gjensidige Pensjon'!G26+'Handelsbanken Liv'!G26+'If Skadeforsikring NUF'!G26+KLP!G26+'KLP Bedriftspensjon AS'!G26+'KLP Skadeforsikring AS'!G26+'Landkreditt Forsikring'!G26+Insr!G26+'Nordea Liv '!G26+'Oslo Pensjonsforsikring'!G26+'Protector Forsikring'!G26+'SHB Liv'!G26+'Sparebank 1'!G26+'Storebrand Livsforsikring'!G26+'Telenor Forsikring'!G26+'Tryg Forsikring'!G26+'WaterCircle F'!G26</f>
        <v>533993.39304999996</v>
      </c>
      <c r="G26" s="166">
        <f t="shared" ref="G26" si="12">IF($A$1=4,IF(E26=0, "    ---- ", IF(ABS(ROUND(100/E26*F26-100,1))&lt;999,ROUND(100/E26*F26-100,1),IF(ROUND(100/E26*F26-100,1)&gt;999,999,-999))),"")</f>
        <v>9</v>
      </c>
      <c r="H26" s="233">
        <f t="shared" ref="H26" si="13">SUM(B26,E26)</f>
        <v>489986.37446999998</v>
      </c>
      <c r="I26" s="44">
        <f t="shared" ref="I26" si="14">SUM(C26,F26)</f>
        <v>533993.39304999996</v>
      </c>
      <c r="J26" s="27">
        <f t="shared" ref="J26" si="15">IF(H26=0, "    ---- ", IF(ABS(ROUND(100/H26*I26-100,1))&lt;999,ROUND(100/H26*I26-100,1),IF(ROUND(100/H26*I26-100,1)&gt;999,999,-999)))</f>
        <v>9</v>
      </c>
    </row>
    <row r="27" spans="1:11" ht="15.75" customHeight="1" x14ac:dyDescent="0.2">
      <c r="A27" s="587" t="s">
        <v>11</v>
      </c>
      <c r="B27" s="44"/>
      <c r="C27" s="44"/>
      <c r="D27" s="27"/>
      <c r="E27" s="44">
        <f>'Fremtind Livsforsikring'!F27+'Danica Pensjonsforsikring'!F27+'DNB Livsforsikring'!F27+'Eika Forsikring AS'!F27+'Frende Livsforsikring'!F27+'Frende Skadeforsikring'!F27+'Gjensidige Forsikring'!F27+'Gjensidige Pensjon'!F27+'Handelsbanken Liv'!F27+'If Skadeforsikring NUF'!F27+KLP!F27+'KLP Bedriftspensjon AS'!F27+'KLP Skadeforsikring AS'!F27+'Landkreditt Forsikring'!F27+Insr!F27+'Nordea Liv '!F27+'Oslo Pensjonsforsikring'!F27+'Protector Forsikring'!F27+'SHB Liv'!F27+'Sparebank 1'!F27+'Storebrand Livsforsikring'!F27+'Telenor Forsikring'!F27+'Tryg Forsikring'!F27+'WaterCircle F'!F27</f>
        <v>0</v>
      </c>
      <c r="F27" s="44">
        <f>'Fremtind Livsforsikring'!G27+'Danica Pensjonsforsikring'!G27+'DNB Livsforsikring'!G27+'Eika Forsikring AS'!G27+'Frende Livsforsikring'!G27+'Frende Skadeforsikring'!G27+'Gjensidige Forsikring'!G27+'Gjensidige Pensjon'!G27+'Handelsbanken Liv'!G27+'If Skadeforsikring NUF'!G27+KLP!G27+'KLP Bedriftspensjon AS'!G27+'KLP Skadeforsikring AS'!G27+'Landkreditt Forsikring'!G27+Insr!G27+'Nordea Liv '!G27+'Oslo Pensjonsforsikring'!G27+'Protector Forsikring'!G27+'SHB Liv'!G27+'Sparebank 1'!G27+'Storebrand Livsforsikring'!G27+'Telenor Forsikring'!G27+'Tryg Forsikring'!G27+'WaterCircle F'!G27</f>
        <v>0</v>
      </c>
      <c r="G27" s="166"/>
      <c r="H27" s="233">
        <f t="shared" si="9"/>
        <v>0</v>
      </c>
      <c r="I27" s="44">
        <f t="shared" si="7"/>
        <v>0</v>
      </c>
      <c r="J27" s="27"/>
    </row>
    <row r="28" spans="1:11" ht="15.75" customHeight="1" x14ac:dyDescent="0.2">
      <c r="A28" s="49" t="s">
        <v>278</v>
      </c>
      <c r="B28" s="44">
        <f>'Fremtind Livsforsikring'!B28+'Danica Pensjonsforsikring'!B28+'DNB Livsforsikring'!B28+'Eika Forsikring AS'!B28+'Frende Livsforsikring'!B28+'Frende Skadeforsikring'!B28+'Gjensidige Forsikring'!B28+'Gjensidige Pensjon'!B28+'Handelsbanken Liv'!B28+'If Skadeforsikring NUF'!B28+KLP!B28+'KLP Bedriftspensjon AS'!B28+'KLP Skadeforsikring AS'!B28+'Landkreditt Forsikring'!B28+Insr!B28+'Nordea Liv '!B28+'Oslo Pensjonsforsikring'!B28+'Protector Forsikring'!B28+'SHB Liv'!B28+'Sparebank 1'!B28+'Storebrand Livsforsikring'!B28+'Telenor Forsikring'!B28+'Tryg Forsikring'!B28+'WaterCircle F'!B28</f>
        <v>1046230.0799858777</v>
      </c>
      <c r="C28" s="44">
        <f>'Fremtind Livsforsikring'!C28+'Danica Pensjonsforsikring'!C28+'DNB Livsforsikring'!C28+'Eika Forsikring AS'!C28+'Frende Livsforsikring'!C28+'Frende Skadeforsikring'!C28+'Gjensidige Forsikring'!C28+'Gjensidige Pensjon'!C28+'Handelsbanken Liv'!C28+'If Skadeforsikring NUF'!C28+KLP!C28+'KLP Bedriftspensjon AS'!C28+'KLP Skadeforsikring AS'!C28+'Landkreditt Forsikring'!C28+Insr!C28+'Nordea Liv '!C28+'Oslo Pensjonsforsikring'!C28+'Protector Forsikring'!C28+'SHB Liv'!C28+'Sparebank 1'!C28+'Storebrand Livsforsikring'!C28+'Telenor Forsikring'!C28+'Tryg Forsikring'!C28+'WaterCircle F'!C28</f>
        <v>1078430.6550345533</v>
      </c>
      <c r="D28" s="23">
        <f t="shared" si="5"/>
        <v>3.1</v>
      </c>
      <c r="E28" s="186">
        <f>'Fremtind Livsforsikring'!F28+'Danica Pensjonsforsikring'!F28+'DNB Livsforsikring'!F28+'Eika Forsikring AS'!F28+'Frende Livsforsikring'!F28+'Frende Skadeforsikring'!F28+'Gjensidige Forsikring'!F28+'Gjensidige Pensjon'!F28+'Handelsbanken Liv'!F28+'If Skadeforsikring NUF'!F28+KLP!F28+'KLP Bedriftspensjon AS'!F28+'KLP Skadeforsikring AS'!F28+'Landkreditt Forsikring'!F28+Insr!F28+'Nordea Liv '!F28+'Oslo Pensjonsforsikring'!F28+'Protector Forsikring'!F28+'SHB Liv'!F28+'Sparebank 1'!F28+'Storebrand Livsforsikring'!F28+'Telenor Forsikring'!F28+'Tryg Forsikring'!F28+'WaterCircle F'!F28</f>
        <v>0</v>
      </c>
      <c r="F28" s="186">
        <f>'Fremtind Livsforsikring'!G28+'Danica Pensjonsforsikring'!G28+'DNB Livsforsikring'!G28+'Eika Forsikring AS'!G28+'Frende Livsforsikring'!G28+'Frende Skadeforsikring'!G28+'Gjensidige Forsikring'!G28+'Gjensidige Pensjon'!G28+'Handelsbanken Liv'!G28+'If Skadeforsikring NUF'!G28+KLP!G28+'KLP Bedriftspensjon AS'!G28+'KLP Skadeforsikring AS'!G28+'Landkreditt Forsikring'!G28+Insr!G28+'Nordea Liv '!G28+'Oslo Pensjonsforsikring'!G28+'Protector Forsikring'!G28+'SHB Liv'!G28+'Sparebank 1'!G28+'Storebrand Livsforsikring'!G28+'Telenor Forsikring'!G28+'Tryg Forsikring'!G28+'WaterCircle F'!G28</f>
        <v>0</v>
      </c>
      <c r="G28" s="166"/>
      <c r="H28" s="233">
        <f t="shared" si="9"/>
        <v>1046230.0799858777</v>
      </c>
      <c r="I28" s="44">
        <f t="shared" si="7"/>
        <v>1078430.6550345533</v>
      </c>
      <c r="J28" s="23">
        <f t="shared" si="8"/>
        <v>3.1</v>
      </c>
      <c r="K28" s="3"/>
    </row>
    <row r="29" spans="1:11" s="419" customFormat="1" ht="15.75" customHeight="1" x14ac:dyDescent="0.2">
      <c r="A29" s="39" t="s">
        <v>374</v>
      </c>
      <c r="B29" s="235">
        <f>'Fremtind Livsforsikring'!B29+'Danica Pensjonsforsikring'!B29+'DNB Livsforsikring'!B29+'Eika Forsikring AS'!B29+'Frende Livsforsikring'!B29+'Frende Skadeforsikring'!B29+'Gjensidige Forsikring'!B29+'Gjensidige Pensjon'!B29+'Handelsbanken Liv'!B29+'If Skadeforsikring NUF'!B29+KLP!B29+'KLP Bedriftspensjon AS'!B29+'KLP Skadeforsikring AS'!B29+'Landkreditt Forsikring'!B29+Insr!B29+'Nordea Liv '!B29+'Oslo Pensjonsforsikring'!B29+'Protector Forsikring'!B29+'SHB Liv'!B29+'Sparebank 1'!B29+'Storebrand Livsforsikring'!B29+'Telenor Forsikring'!B29+'Tryg Forsikring'!B29+'WaterCircle F'!B29</f>
        <v>47456724.740865126</v>
      </c>
      <c r="C29" s="235">
        <f>'Fremtind Livsforsikring'!C29+'Danica Pensjonsforsikring'!C29+'DNB Livsforsikring'!C29+'Eika Forsikring AS'!C29+'Frende Livsforsikring'!C29+'Frende Skadeforsikring'!C29+'Gjensidige Forsikring'!C29+'Gjensidige Pensjon'!C29+'Handelsbanken Liv'!C29+'If Skadeforsikring NUF'!C29+KLP!C29+'KLP Bedriftspensjon AS'!C29+'KLP Skadeforsikring AS'!C29+'Landkreditt Forsikring'!C29+Insr!C29+'Nordea Liv '!C29+'Oslo Pensjonsforsikring'!C29+'Protector Forsikring'!C29+'SHB Liv'!C29+'Sparebank 1'!C29+'Storebrand Livsforsikring'!C29+'Telenor Forsikring'!C29+'Tryg Forsikring'!C29+'WaterCircle F'!C29</f>
        <v>46391774.486234337</v>
      </c>
      <c r="D29" s="24">
        <f t="shared" si="5"/>
        <v>-2.2000000000000002</v>
      </c>
      <c r="E29" s="307">
        <f>'Fremtind Livsforsikring'!F29+'Danica Pensjonsforsikring'!F29+'DNB Livsforsikring'!F29+'Eika Forsikring AS'!F29+'Frende Livsforsikring'!F29+'Frende Skadeforsikring'!F29+'Gjensidige Forsikring'!F29+'Gjensidige Pensjon'!F29+'Handelsbanken Liv'!F29+'If Skadeforsikring NUF'!F29+KLP!F29+'KLP Bedriftspensjon AS'!F29+'KLP Skadeforsikring AS'!F29+'Landkreditt Forsikring'!F29+Insr!F29+'Nordea Liv '!F29+'Oslo Pensjonsforsikring'!F29+'Protector Forsikring'!F29+'SHB Liv'!F29+'Sparebank 1'!F29+'Storebrand Livsforsikring'!F29+'Telenor Forsikring'!F29+'Tryg Forsikring'!F29+'WaterCircle F'!F29</f>
        <v>20431887.880460002</v>
      </c>
      <c r="F29" s="307">
        <f>'Fremtind Livsforsikring'!G29+'Danica Pensjonsforsikring'!G29+'DNB Livsforsikring'!G29+'Eika Forsikring AS'!G29+'Frende Livsforsikring'!G29+'Frende Skadeforsikring'!G29+'Gjensidige Forsikring'!G29+'Gjensidige Pensjon'!G29+'Handelsbanken Liv'!G29+'If Skadeforsikring NUF'!G29+KLP!G29+'KLP Bedriftspensjon AS'!G29+'KLP Skadeforsikring AS'!G29+'Landkreditt Forsikring'!G29+Insr!G29+'Nordea Liv '!G29+'Oslo Pensjonsforsikring'!G29+'Protector Forsikring'!G29+'SHB Liv'!G29+'Sparebank 1'!G29+'Storebrand Livsforsikring'!G29+'Telenor Forsikring'!G29+'Tryg Forsikring'!G29+'WaterCircle F'!G29</f>
        <v>21902385.500539999</v>
      </c>
      <c r="G29" s="171">
        <f t="shared" si="6"/>
        <v>7.2</v>
      </c>
      <c r="H29" s="307">
        <f t="shared" si="9"/>
        <v>67888612.621325135</v>
      </c>
      <c r="I29" s="235">
        <f t="shared" si="7"/>
        <v>68294159.98677434</v>
      </c>
      <c r="J29" s="24">
        <f t="shared" si="8"/>
        <v>0.6</v>
      </c>
    </row>
    <row r="30" spans="1:11" s="3" customFormat="1" ht="15.75" customHeight="1" x14ac:dyDescent="0.2">
      <c r="A30" s="589" t="s">
        <v>370</v>
      </c>
      <c r="B30" s="44">
        <f>'Fremtind Livsforsikring'!B30+'Danica Pensjonsforsikring'!B30+'DNB Livsforsikring'!B30+'Eika Forsikring AS'!B30+'Frende Livsforsikring'!B30+'Frende Skadeforsikring'!B30+'Gjensidige Forsikring'!B30+'Gjensidige Pensjon'!B30+'Handelsbanken Liv'!B30+'If Skadeforsikring NUF'!B30+KLP!B30+'KLP Bedriftspensjon AS'!B30+'KLP Skadeforsikring AS'!B30+'Landkreditt Forsikring'!B30+Insr!B30+'Nordea Liv '!B30+'Oslo Pensjonsforsikring'!B30+'Protector Forsikring'!B30+'SHB Liv'!B30+'Sparebank 1'!B30+'Storebrand Livsforsikring'!B30+'Telenor Forsikring'!B30+'Tryg Forsikring'!B30+'WaterCircle F'!B30</f>
        <v>10461347.436277229</v>
      </c>
      <c r="C30" s="44">
        <f>'Fremtind Livsforsikring'!C30+'Danica Pensjonsforsikring'!C30+'DNB Livsforsikring'!C30+'Eika Forsikring AS'!C30+'Frende Livsforsikring'!C30+'Frende Skadeforsikring'!C30+'Gjensidige Forsikring'!C30+'Gjensidige Pensjon'!C30+'Handelsbanken Liv'!C30+'If Skadeforsikring NUF'!C30+KLP!C30+'KLP Bedriftspensjon AS'!C30+'KLP Skadeforsikring AS'!C30+'Landkreditt Forsikring'!C30+Insr!C30+'Nordea Liv '!C30+'Oslo Pensjonsforsikring'!C30+'Protector Forsikring'!C30+'SHB Liv'!C30+'Sparebank 1'!C30+'Storebrand Livsforsikring'!C30+'Telenor Forsikring'!C30+'Tryg Forsikring'!C30+'WaterCircle F'!C30</f>
        <v>13994070.516516782</v>
      </c>
      <c r="D30" s="27">
        <f t="shared" ref="D30:D32" si="16">IF($A$1=4,IF(B30=0, "    ---- ", IF(ABS(ROUND(100/B30*C30-100,1))&lt;999,ROUND(100/B30*C30-100,1),IF(ROUND(100/B30*C30-100,1)&gt;999,999,-999))),"")</f>
        <v>33.799999999999997</v>
      </c>
      <c r="E30" s="44">
        <f>'Fremtind Livsforsikring'!F30+'Danica Pensjonsforsikring'!F30+'DNB Livsforsikring'!F30+'Eika Forsikring AS'!F30+'Frende Livsforsikring'!F30+'Frende Skadeforsikring'!F30+'Gjensidige Forsikring'!F30+'Gjensidige Pensjon'!F30+'Handelsbanken Liv'!F30+'If Skadeforsikring NUF'!F30+KLP!F30+'KLP Bedriftspensjon AS'!F30+'KLP Skadeforsikring AS'!F30+'Landkreditt Forsikring'!F30+Insr!F30+'Nordea Liv '!F30+'Oslo Pensjonsforsikring'!F30+'Protector Forsikring'!F30+'SHB Liv'!F30+'Sparebank 1'!F30+'Storebrand Livsforsikring'!F30+'Telenor Forsikring'!F30+'Tryg Forsikring'!F30+'WaterCircle F'!F30</f>
        <v>4255735.0347600011</v>
      </c>
      <c r="F30" s="44">
        <f>'Fremtind Livsforsikring'!G30+'Danica Pensjonsforsikring'!G30+'DNB Livsforsikring'!G30+'Eika Forsikring AS'!G30+'Frende Livsforsikring'!G30+'Frende Skadeforsikring'!G30+'Gjensidige Forsikring'!G30+'Gjensidige Pensjon'!G30+'Handelsbanken Liv'!G30+'If Skadeforsikring NUF'!G30+KLP!G30+'KLP Bedriftspensjon AS'!G30+'KLP Skadeforsikring AS'!G30+'Landkreditt Forsikring'!G30+Insr!G30+'Nordea Liv '!G30+'Oslo Pensjonsforsikring'!G30+'Protector Forsikring'!G30+'SHB Liv'!G30+'Sparebank 1'!G30+'Storebrand Livsforsikring'!G30+'Telenor Forsikring'!G30+'Tryg Forsikring'!G30+'WaterCircle F'!G30</f>
        <v>4285522.3579940908</v>
      </c>
      <c r="G30" s="166">
        <f t="shared" ref="G30:G32" si="17">IF($A$1=4,IF(E30=0, "    ---- ", IF(ABS(ROUND(100/E30*F30-100,1))&lt;999,ROUND(100/E30*F30-100,1),IF(ROUND(100/E30*F30-100,1)&gt;999,999,-999))),"")</f>
        <v>0.7</v>
      </c>
      <c r="H30" s="233">
        <f t="shared" si="9"/>
        <v>14717082.471037231</v>
      </c>
      <c r="I30" s="44">
        <f t="shared" si="7"/>
        <v>18279592.874510873</v>
      </c>
      <c r="J30" s="23">
        <f t="shared" si="8"/>
        <v>24.2</v>
      </c>
    </row>
    <row r="31" spans="1:11" s="3" customFormat="1" ht="15.75" customHeight="1" x14ac:dyDescent="0.2">
      <c r="A31" s="589" t="s">
        <v>371</v>
      </c>
      <c r="B31" s="44">
        <f>'Fremtind Livsforsikring'!B31+'Danica Pensjonsforsikring'!B31+'DNB Livsforsikring'!B31+'Eika Forsikring AS'!B31+'Frende Livsforsikring'!B31+'Frende Skadeforsikring'!B31+'Gjensidige Forsikring'!B31+'Gjensidige Pensjon'!B31+'Handelsbanken Liv'!B31+'If Skadeforsikring NUF'!B31+KLP!B31+'KLP Bedriftspensjon AS'!B31+'KLP Skadeforsikring AS'!B31+'Landkreditt Forsikring'!B31+Insr!B31+'Nordea Liv '!B31+'Oslo Pensjonsforsikring'!B31+'Protector Forsikring'!B31+'SHB Liv'!B31+'Sparebank 1'!B31+'Storebrand Livsforsikring'!B31+'Telenor Forsikring'!B31+'Tryg Forsikring'!B31+'WaterCircle F'!B31</f>
        <v>33641061.288587891</v>
      </c>
      <c r="C31" s="44">
        <f>'Fremtind Livsforsikring'!C31+'Danica Pensjonsforsikring'!C31+'DNB Livsforsikring'!C31+'Eika Forsikring AS'!C31+'Frende Livsforsikring'!C31+'Frende Skadeforsikring'!C31+'Gjensidige Forsikring'!C31+'Gjensidige Pensjon'!C31+'Handelsbanken Liv'!C31+'If Skadeforsikring NUF'!C31+KLP!C31+'KLP Bedriftspensjon AS'!C31+'KLP Skadeforsikring AS'!C31+'Landkreditt Forsikring'!C31+Insr!C31+'Nordea Liv '!C31+'Oslo Pensjonsforsikring'!C31+'Protector Forsikring'!C31+'SHB Liv'!C31+'Sparebank 1'!C31+'Storebrand Livsforsikring'!C31+'Telenor Forsikring'!C31+'Tryg Forsikring'!C31+'WaterCircle F'!C31</f>
        <v>24154749.331323061</v>
      </c>
      <c r="D31" s="27">
        <f t="shared" si="16"/>
        <v>-28.2</v>
      </c>
      <c r="E31" s="44">
        <f>'Fremtind Livsforsikring'!F31+'Danica Pensjonsforsikring'!F31+'DNB Livsforsikring'!F31+'Eika Forsikring AS'!F31+'Frende Livsforsikring'!F31+'Frende Skadeforsikring'!F31+'Gjensidige Forsikring'!F31+'Gjensidige Pensjon'!F31+'Handelsbanken Liv'!F31+'If Skadeforsikring NUF'!F31+KLP!F31+'KLP Bedriftspensjon AS'!F31+'KLP Skadeforsikring AS'!F31+'Landkreditt Forsikring'!F31+Insr!F31+'Nordea Liv '!F31+'Oslo Pensjonsforsikring'!F31+'Protector Forsikring'!F31+'SHB Liv'!F31+'Sparebank 1'!F31+'Storebrand Livsforsikring'!F31+'Telenor Forsikring'!F31+'Tryg Forsikring'!F31+'WaterCircle F'!F31</f>
        <v>9341576.3026700001</v>
      </c>
      <c r="F31" s="44">
        <f>'Fremtind Livsforsikring'!G31+'Danica Pensjonsforsikring'!G31+'DNB Livsforsikring'!G31+'Eika Forsikring AS'!G31+'Frende Livsforsikring'!G31+'Frende Skadeforsikring'!G31+'Gjensidige Forsikring'!G31+'Gjensidige Pensjon'!G31+'Handelsbanken Liv'!G31+'If Skadeforsikring NUF'!G31+KLP!G31+'KLP Bedriftspensjon AS'!G31+'KLP Skadeforsikring AS'!G31+'Landkreditt Forsikring'!G31+Insr!G31+'Nordea Liv '!G31+'Oslo Pensjonsforsikring'!G31+'Protector Forsikring'!G31+'SHB Liv'!G31+'Sparebank 1'!G31+'Storebrand Livsforsikring'!G31+'Telenor Forsikring'!G31+'Tryg Forsikring'!G31+'WaterCircle F'!G31</f>
        <v>9109999.3689118717</v>
      </c>
      <c r="G31" s="166">
        <f t="shared" si="17"/>
        <v>-2.5</v>
      </c>
      <c r="H31" s="233">
        <f t="shared" si="9"/>
        <v>42982637.591257893</v>
      </c>
      <c r="I31" s="44">
        <f t="shared" si="7"/>
        <v>33264748.700234935</v>
      </c>
      <c r="J31" s="23">
        <f t="shared" si="8"/>
        <v>-22.6</v>
      </c>
    </row>
    <row r="32" spans="1:11" ht="15.75" customHeight="1" x14ac:dyDescent="0.2">
      <c r="A32" s="589" t="s">
        <v>372</v>
      </c>
      <c r="B32" s="44">
        <f>'Fremtind Livsforsikring'!B32+'Danica Pensjonsforsikring'!B32+'DNB Livsforsikring'!B32+'Eika Forsikring AS'!B32+'Frende Livsforsikring'!B32+'Frende Skadeforsikring'!B32+'Gjensidige Forsikring'!B32+'Gjensidige Pensjon'!B32+'Handelsbanken Liv'!B32+'If Skadeforsikring NUF'!B32+KLP!B32+'KLP Bedriftspensjon AS'!B32+'KLP Skadeforsikring AS'!B32+'Landkreditt Forsikring'!B32+Insr!B32+'Nordea Liv '!B32+'Oslo Pensjonsforsikring'!B32+'Protector Forsikring'!B32+'SHB Liv'!B32+'Sparebank 1'!B32+'Storebrand Livsforsikring'!B32+'Telenor Forsikring'!B32+'Tryg Forsikring'!B32+'WaterCircle F'!B32</f>
        <v>1450649.3699999999</v>
      </c>
      <c r="C32" s="44">
        <f>'Fremtind Livsforsikring'!C32+'Danica Pensjonsforsikring'!C32+'DNB Livsforsikring'!C32+'Eika Forsikring AS'!C32+'Frende Livsforsikring'!C32+'Frende Skadeforsikring'!C32+'Gjensidige Forsikring'!C32+'Gjensidige Pensjon'!C32+'Handelsbanken Liv'!C32+'If Skadeforsikring NUF'!C32+KLP!C32+'KLP Bedriftspensjon AS'!C32+'KLP Skadeforsikring AS'!C32+'Landkreditt Forsikring'!C32+Insr!C32+'Nordea Liv '!C32+'Oslo Pensjonsforsikring'!C32+'Protector Forsikring'!C32+'SHB Liv'!C32+'Sparebank 1'!C32+'Storebrand Livsforsikring'!C32+'Telenor Forsikring'!C32+'Tryg Forsikring'!C32+'WaterCircle F'!C32</f>
        <v>2947360.5110844951</v>
      </c>
      <c r="D32" s="27">
        <f t="shared" si="16"/>
        <v>103.2</v>
      </c>
      <c r="E32" s="44">
        <f>'Fremtind Livsforsikring'!F32+'Danica Pensjonsforsikring'!F32+'DNB Livsforsikring'!F32+'Eika Forsikring AS'!F32+'Frende Livsforsikring'!F32+'Frende Skadeforsikring'!F32+'Gjensidige Forsikring'!F32+'Gjensidige Pensjon'!F32+'Handelsbanken Liv'!F32+'If Skadeforsikring NUF'!F32+KLP!F32+'KLP Bedriftspensjon AS'!F32+'KLP Skadeforsikring AS'!F32+'Landkreditt Forsikring'!F32+Insr!F32+'Nordea Liv '!F32+'Oslo Pensjonsforsikring'!F32+'Protector Forsikring'!F32+'SHB Liv'!F32+'Sparebank 1'!F32+'Storebrand Livsforsikring'!F32+'Telenor Forsikring'!F32+'Tryg Forsikring'!F32+'WaterCircle F'!F32</f>
        <v>4332720.0143200001</v>
      </c>
      <c r="F32" s="44">
        <f>'Fremtind Livsforsikring'!G32+'Danica Pensjonsforsikring'!G32+'DNB Livsforsikring'!G32+'Eika Forsikring AS'!G32+'Frende Livsforsikring'!G32+'Frende Skadeforsikring'!G32+'Gjensidige Forsikring'!G32+'Gjensidige Pensjon'!G32+'Handelsbanken Liv'!G32+'If Skadeforsikring NUF'!G32+KLP!G32+'KLP Bedriftspensjon AS'!G32+'KLP Skadeforsikring AS'!G32+'Landkreditt Forsikring'!G32+Insr!G32+'Nordea Liv '!G32+'Oslo Pensjonsforsikring'!G32+'Protector Forsikring'!G32+'SHB Liv'!G32+'Sparebank 1'!G32+'Storebrand Livsforsikring'!G32+'Telenor Forsikring'!G32+'Tryg Forsikring'!G32+'WaterCircle F'!G32</f>
        <v>4678384.3557959097</v>
      </c>
      <c r="G32" s="166">
        <f t="shared" si="17"/>
        <v>8</v>
      </c>
      <c r="H32" s="233">
        <f t="shared" si="9"/>
        <v>5783369.3843200002</v>
      </c>
      <c r="I32" s="44">
        <f t="shared" si="7"/>
        <v>7625744.8668804048</v>
      </c>
      <c r="J32" s="24">
        <f t="shared" si="8"/>
        <v>31.9</v>
      </c>
    </row>
    <row r="33" spans="1:10" ht="15.75" customHeight="1" x14ac:dyDescent="0.2">
      <c r="A33" s="589" t="s">
        <v>373</v>
      </c>
      <c r="B33" s="44">
        <f>'Fremtind Livsforsikring'!B33+'Danica Pensjonsforsikring'!B33+'DNB Livsforsikring'!B33+'Eika Forsikring AS'!B33+'Frende Livsforsikring'!B33+'Frende Skadeforsikring'!B33+'Gjensidige Forsikring'!B33+'Gjensidige Pensjon'!B33+'Handelsbanken Liv'!B33+'If Skadeforsikring NUF'!B33+KLP!B33+'KLP Bedriftspensjon AS'!B33+'KLP Skadeforsikring AS'!B33+'Landkreditt Forsikring'!B33+Insr!B33+'Nordea Liv '!B33+'Oslo Pensjonsforsikring'!B33+'Protector Forsikring'!B33+'SHB Liv'!B33+'Sparebank 1'!B33+'Storebrand Livsforsikring'!B33+'Telenor Forsikring'!B33+'Tryg Forsikring'!B33+'WaterCircle F'!B33</f>
        <v>0</v>
      </c>
      <c r="C33" s="44">
        <f>'Fremtind Livsforsikring'!C33+'Danica Pensjonsforsikring'!C33+'DNB Livsforsikring'!C33+'Eika Forsikring AS'!C33+'Frende Livsforsikring'!C33+'Frende Skadeforsikring'!C33+'Gjensidige Forsikring'!C33+'Gjensidige Pensjon'!C33+'Handelsbanken Liv'!C33+'If Skadeforsikring NUF'!C33+KLP!C33+'KLP Bedriftspensjon AS'!C33+'KLP Skadeforsikring AS'!C33+'Landkreditt Forsikring'!C33+Insr!C33+'Nordea Liv '!C33+'Oslo Pensjonsforsikring'!C33+'Protector Forsikring'!C33+'SHB Liv'!C33+'Sparebank 1'!C33+'Storebrand Livsforsikring'!C33+'Telenor Forsikring'!C33+'Tryg Forsikring'!C33+'WaterCircle F'!C33</f>
        <v>0</v>
      </c>
      <c r="D33" s="27" t="str">
        <f t="shared" ref="D33" si="18">IF($A$1=4,IF(B33=0, "    ---- ", IF(ABS(ROUND(100/B33*C33-100,1))&lt;999,ROUND(100/B33*C33-100,1),IF(ROUND(100/B33*C33-100,1)&gt;999,999,-999))),"")</f>
        <v xml:space="preserve">    ---- </v>
      </c>
      <c r="E33" s="44">
        <f>'Fremtind Livsforsikring'!F33+'Danica Pensjonsforsikring'!F33+'DNB Livsforsikring'!F33+'Eika Forsikring AS'!F33+'Frende Livsforsikring'!F33+'Frende Skadeforsikring'!F33+'Gjensidige Forsikring'!F33+'Gjensidige Pensjon'!F33+'Handelsbanken Liv'!F33+'If Skadeforsikring NUF'!F33+KLP!F33+'KLP Bedriftspensjon AS'!F33+'KLP Skadeforsikring AS'!F33+'Landkreditt Forsikring'!F33+Insr!F33+'Nordea Liv '!F33+'Oslo Pensjonsforsikring'!F33+'Protector Forsikring'!F33+'SHB Liv'!F33+'Sparebank 1'!F33+'Storebrand Livsforsikring'!F33+'Telenor Forsikring'!F33+'Tryg Forsikring'!F33+'WaterCircle F'!F33</f>
        <v>2501856.5287100002</v>
      </c>
      <c r="F33" s="44">
        <f>'Fremtind Livsforsikring'!G33+'Danica Pensjonsforsikring'!G33+'DNB Livsforsikring'!G33+'Eika Forsikring AS'!G33+'Frende Livsforsikring'!G33+'Frende Skadeforsikring'!G33+'Gjensidige Forsikring'!G33+'Gjensidige Pensjon'!G33+'Handelsbanken Liv'!G33+'If Skadeforsikring NUF'!G33+KLP!G33+'KLP Bedriftspensjon AS'!G33+'KLP Skadeforsikring AS'!G33+'Landkreditt Forsikring'!G33+Insr!G33+'Nordea Liv '!G33+'Oslo Pensjonsforsikring'!G33+'Protector Forsikring'!G33+'SHB Liv'!G33+'Sparebank 1'!G33+'Storebrand Livsforsikring'!G33+'Telenor Forsikring'!G33+'Tryg Forsikring'!G33+'WaterCircle F'!G33</f>
        <v>3828479.4178381292</v>
      </c>
      <c r="G33" s="166">
        <f t="shared" ref="G33" si="19">IF($A$1=4,IF(E33=0, "    ---- ", IF(ABS(ROUND(100/E33*F33-100,1))&lt;999,ROUND(100/E33*F33-100,1),IF(ROUND(100/E33*F33-100,1)&gt;999,999,-999))),"")</f>
        <v>53</v>
      </c>
      <c r="H33" s="233">
        <f t="shared" ref="H33" si="20">SUM(B33,E33)</f>
        <v>2501856.5287100002</v>
      </c>
      <c r="I33" s="44">
        <f t="shared" ref="I33" si="21">SUM(C33,F33)</f>
        <v>3828479.4178381292</v>
      </c>
      <c r="J33" s="24">
        <f t="shared" ref="J33" si="22">IF(H33=0, "    ---- ", IF(ABS(ROUND(100/H33*I33-100,1))&lt;999,ROUND(100/H33*I33-100,1),IF(ROUND(100/H33*I33-100,1)&gt;999,999,-999)))</f>
        <v>53</v>
      </c>
    </row>
    <row r="34" spans="1:10" s="43" customFormat="1" ht="15.75" customHeight="1" x14ac:dyDescent="0.2">
      <c r="A34" s="39" t="s">
        <v>368</v>
      </c>
      <c r="B34" s="235">
        <f>'Fremtind Livsforsikring'!B34+'Danica Pensjonsforsikring'!B34+'DNB Livsforsikring'!B34+'Eika Forsikring AS'!B34+'Frende Livsforsikring'!B34+'Frende Skadeforsikring'!B34+'Gjensidige Forsikring'!B34+'Gjensidige Pensjon'!B34+'Handelsbanken Liv'!B34+'If Skadeforsikring NUF'!B34+KLP!B34+'KLP Bedriftspensjon AS'!B34+'KLP Skadeforsikring AS'!B34+'Landkreditt Forsikring'!B34+Insr!B34+'Nordea Liv '!B34+'Oslo Pensjonsforsikring'!B34+'Protector Forsikring'!B34+'SHB Liv'!B34+'Sparebank 1'!B34+'Storebrand Livsforsikring'!B34+'Telenor Forsikring'!B34+'Tryg Forsikring'!B34+'WaterCircle F'!B34</f>
        <v>12913.531999999999</v>
      </c>
      <c r="C34" s="235">
        <f>'Fremtind Livsforsikring'!C34+'Danica Pensjonsforsikring'!C34+'DNB Livsforsikring'!C34+'Eika Forsikring AS'!C34+'Frende Livsforsikring'!C34+'Frende Skadeforsikring'!C34+'Gjensidige Forsikring'!C34+'Gjensidige Pensjon'!C34+'Handelsbanken Liv'!C34+'If Skadeforsikring NUF'!C34+KLP!C34+'KLP Bedriftspensjon AS'!C34+'KLP Skadeforsikring AS'!C34+'Landkreditt Forsikring'!C34+Insr!C34+'Nordea Liv '!C34+'Oslo Pensjonsforsikring'!C34+'Protector Forsikring'!C34+'SHB Liv'!C34+'Sparebank 1'!C34+'Storebrand Livsforsikring'!C34+'Telenor Forsikring'!C34+'Tryg Forsikring'!C34+'WaterCircle F'!C34</f>
        <v>11540.130000000001</v>
      </c>
      <c r="D34" s="24">
        <f t="shared" si="5"/>
        <v>-10.6</v>
      </c>
      <c r="E34" s="307">
        <f>'Fremtind Livsforsikring'!F34+'Danica Pensjonsforsikring'!F34+'DNB Livsforsikring'!F34+'Eika Forsikring AS'!F34+'Frende Livsforsikring'!F34+'Frende Skadeforsikring'!F34+'Gjensidige Forsikring'!F34+'Gjensidige Pensjon'!F34+'Handelsbanken Liv'!F34+'If Skadeforsikring NUF'!F34+KLP!F34+'KLP Bedriftspensjon AS'!F34+'KLP Skadeforsikring AS'!F34+'Landkreditt Forsikring'!F34+Insr!F34+'Nordea Liv '!F34+'Oslo Pensjonsforsikring'!F34+'Protector Forsikring'!F34+'SHB Liv'!F34+'Sparebank 1'!F34+'Storebrand Livsforsikring'!F34+'Telenor Forsikring'!F34+'Tryg Forsikring'!F34+'WaterCircle F'!F34</f>
        <v>38931.135770000001</v>
      </c>
      <c r="F34" s="307">
        <f>'Fremtind Livsforsikring'!G34+'Danica Pensjonsforsikring'!G34+'DNB Livsforsikring'!G34+'Eika Forsikring AS'!G34+'Frende Livsforsikring'!G34+'Frende Skadeforsikring'!G34+'Gjensidige Forsikring'!G34+'Gjensidige Pensjon'!G34+'Handelsbanken Liv'!G34+'If Skadeforsikring NUF'!G34+KLP!G34+'KLP Bedriftspensjon AS'!G34+'KLP Skadeforsikring AS'!G34+'Landkreditt Forsikring'!G34+Insr!G34+'Nordea Liv '!G34+'Oslo Pensjonsforsikring'!G34+'Protector Forsikring'!G34+'SHB Liv'!G34+'Sparebank 1'!G34+'Storebrand Livsforsikring'!G34+'Telenor Forsikring'!G34+'Tryg Forsikring'!G34+'WaterCircle F'!G34</f>
        <v>-1928.1106399999953</v>
      </c>
      <c r="G34" s="171">
        <f t="shared" si="6"/>
        <v>-105</v>
      </c>
      <c r="H34" s="307">
        <f t="shared" si="9"/>
        <v>51844.66777</v>
      </c>
      <c r="I34" s="235">
        <f t="shared" si="7"/>
        <v>9612.0193600000057</v>
      </c>
      <c r="J34" s="24">
        <f t="shared" si="8"/>
        <v>-81.5</v>
      </c>
    </row>
    <row r="35" spans="1:10" s="43" customFormat="1" ht="15.75" customHeight="1" x14ac:dyDescent="0.2">
      <c r="A35" s="39" t="s">
        <v>369</v>
      </c>
      <c r="B35" s="235">
        <f>'Fremtind Livsforsikring'!B35+'Danica Pensjonsforsikring'!B35+'DNB Livsforsikring'!B35+'Eika Forsikring AS'!B35+'Frende Livsforsikring'!B35+'Frende Skadeforsikring'!B35+'Gjensidige Forsikring'!B35+'Gjensidige Pensjon'!B35+'Handelsbanken Liv'!B35+'If Skadeforsikring NUF'!B35+KLP!B35+'KLP Bedriftspensjon AS'!B35+'KLP Skadeforsikring AS'!B35+'Landkreditt Forsikring'!B35+Insr!B35+'Nordea Liv '!B35+'Oslo Pensjonsforsikring'!B35+'Protector Forsikring'!B35+'SHB Liv'!B35+'Sparebank 1'!B35+'Storebrand Livsforsikring'!B35+'Telenor Forsikring'!B35+'Tryg Forsikring'!B35+'WaterCircle F'!B35</f>
        <v>-11935.315350000001</v>
      </c>
      <c r="C35" s="235">
        <f>'Fremtind Livsforsikring'!C35+'Danica Pensjonsforsikring'!C35+'DNB Livsforsikring'!C35+'Eika Forsikring AS'!C35+'Frende Livsforsikring'!C35+'Frende Skadeforsikring'!C35+'Gjensidige Forsikring'!C35+'Gjensidige Pensjon'!C35+'Handelsbanken Liv'!C35+'If Skadeforsikring NUF'!C35+KLP!C35+'KLP Bedriftspensjon AS'!C35+'KLP Skadeforsikring AS'!C35+'Landkreditt Forsikring'!C35+Insr!C35+'Nordea Liv '!C35+'Oslo Pensjonsforsikring'!C35+'Protector Forsikring'!C35+'SHB Liv'!C35+'Sparebank 1'!C35+'Storebrand Livsforsikring'!C35+'Telenor Forsikring'!C35+'Tryg Forsikring'!C35+'WaterCircle F'!C35</f>
        <v>-61191.684910000004</v>
      </c>
      <c r="D35" s="24">
        <f t="shared" si="5"/>
        <v>412.7</v>
      </c>
      <c r="E35" s="307">
        <f>'Fremtind Livsforsikring'!F35+'Danica Pensjonsforsikring'!F35+'DNB Livsforsikring'!F35+'Eika Forsikring AS'!F35+'Frende Livsforsikring'!F35+'Frende Skadeforsikring'!F35+'Gjensidige Forsikring'!F35+'Gjensidige Pensjon'!F35+'Handelsbanken Liv'!F35+'If Skadeforsikring NUF'!F35+KLP!F35+'KLP Bedriftspensjon AS'!F35+'KLP Skadeforsikring AS'!F35+'Landkreditt Forsikring'!F35+Insr!F35+'Nordea Liv '!F35+'Oslo Pensjonsforsikring'!F35+'Protector Forsikring'!F35+'SHB Liv'!F35+'Sparebank 1'!F35+'Storebrand Livsforsikring'!F35+'Telenor Forsikring'!F35+'Tryg Forsikring'!F35+'WaterCircle F'!F35</f>
        <v>63915.847379999999</v>
      </c>
      <c r="F35" s="307">
        <f>'Fremtind Livsforsikring'!G35+'Danica Pensjonsforsikring'!G35+'DNB Livsforsikring'!G35+'Eika Forsikring AS'!G35+'Frende Livsforsikring'!G35+'Frende Skadeforsikring'!G35+'Gjensidige Forsikring'!G35+'Gjensidige Pensjon'!G35+'Handelsbanken Liv'!G35+'If Skadeforsikring NUF'!G35+KLP!G35+'KLP Bedriftspensjon AS'!G35+'KLP Skadeforsikring AS'!G35+'Landkreditt Forsikring'!G35+Insr!G35+'Nordea Liv '!G35+'Oslo Pensjonsforsikring'!G35+'Protector Forsikring'!G35+'SHB Liv'!G35+'Sparebank 1'!G35+'Storebrand Livsforsikring'!G35+'Telenor Forsikring'!G35+'Tryg Forsikring'!G35+'WaterCircle F'!G35</f>
        <v>76445.871169999999</v>
      </c>
      <c r="G35" s="171">
        <f t="shared" si="6"/>
        <v>19.600000000000001</v>
      </c>
      <c r="H35" s="307">
        <f t="shared" si="9"/>
        <v>51980.532030000002</v>
      </c>
      <c r="I35" s="235">
        <f t="shared" si="7"/>
        <v>15254.186259999995</v>
      </c>
      <c r="J35" s="24">
        <f t="shared" si="8"/>
        <v>-70.7</v>
      </c>
    </row>
    <row r="36" spans="1:10" s="43" customFormat="1" ht="15.75" customHeight="1" x14ac:dyDescent="0.2">
      <c r="A36" s="12" t="s">
        <v>286</v>
      </c>
      <c r="B36" s="235">
        <f>'Fremtind Livsforsikring'!B36+'Danica Pensjonsforsikring'!B36+'DNB Livsforsikring'!B36+'Eika Forsikring AS'!B36+'Frende Livsforsikring'!B36+'Frende Skadeforsikring'!B36+'Gjensidige Forsikring'!B36+'Gjensidige Pensjon'!B36+'Handelsbanken Liv'!B36+'If Skadeforsikring NUF'!B36+KLP!B36+'KLP Bedriftspensjon AS'!B36+'KLP Skadeforsikring AS'!B36+'Landkreditt Forsikring'!B36+Insr!B36+'Nordea Liv '!B36+'Oslo Pensjonsforsikring'!B36+'Protector Forsikring'!B36+'SHB Liv'!B36+'Sparebank 1'!B36+'Storebrand Livsforsikring'!B36+'Telenor Forsikring'!B36+'Tryg Forsikring'!B36+'WaterCircle F'!B36</f>
        <v>2146.748</v>
      </c>
      <c r="C36" s="235">
        <f>'Fremtind Livsforsikring'!C36+'Danica Pensjonsforsikring'!C36+'DNB Livsforsikring'!C36+'Eika Forsikring AS'!C36+'Frende Livsforsikring'!C36+'Frende Skadeforsikring'!C36+'Gjensidige Forsikring'!C36+'Gjensidige Pensjon'!C36+'Handelsbanken Liv'!C36+'If Skadeforsikring NUF'!C36+KLP!C36+'KLP Bedriftspensjon AS'!C36+'KLP Skadeforsikring AS'!C36+'Landkreditt Forsikring'!C36+Insr!C36+'Nordea Liv '!C36+'Oslo Pensjonsforsikring'!C36+'Protector Forsikring'!C36+'SHB Liv'!C36+'Sparebank 1'!C36+'Storebrand Livsforsikring'!C36+'Telenor Forsikring'!C36+'Tryg Forsikring'!C36+'WaterCircle F'!C36</f>
        <v>1953.6079999999999</v>
      </c>
      <c r="D36" s="11">
        <f t="shared" si="5"/>
        <v>-9</v>
      </c>
      <c r="E36" s="318"/>
      <c r="F36" s="318"/>
      <c r="G36" s="171"/>
      <c r="H36" s="307">
        <f t="shared" si="9"/>
        <v>2146.748</v>
      </c>
      <c r="I36" s="235">
        <f t="shared" si="7"/>
        <v>1953.6079999999999</v>
      </c>
      <c r="J36" s="11">
        <f t="shared" si="8"/>
        <v>-9</v>
      </c>
    </row>
    <row r="37" spans="1:10" s="43" customFormat="1" ht="15.75" customHeight="1" x14ac:dyDescent="0.2">
      <c r="A37" s="590" t="s">
        <v>375</v>
      </c>
      <c r="B37" s="235">
        <f>'Fremtind Livsforsikring'!B37+'Danica Pensjonsforsikring'!B37+'DNB Livsforsikring'!B37+'Eika Forsikring AS'!B37+'Frende Livsforsikring'!B37+'Frende Skadeforsikring'!B37+'Gjensidige Forsikring'!B37+'Gjensidige Pensjon'!B37+'Handelsbanken Liv'!B37+'If Skadeforsikring NUF'!B37+KLP!B37+'KLP Bedriftspensjon AS'!B37+'KLP Skadeforsikring AS'!B37+'Landkreditt Forsikring'!B37+Insr!B37+'Nordea Liv '!B37+'Oslo Pensjonsforsikring'!B37+'Protector Forsikring'!B37+'SHB Liv'!B37+'Sparebank 1'!B37+'Storebrand Livsforsikring'!B37+'Telenor Forsikring'!B37+'Tryg Forsikring'!B37+'WaterCircle F'!B37</f>
        <v>3749205.2209999999</v>
      </c>
      <c r="C37" s="235">
        <f>'Fremtind Livsforsikring'!C37+'Danica Pensjonsforsikring'!C37+'DNB Livsforsikring'!C37+'Eika Forsikring AS'!C37+'Frende Livsforsikring'!C37+'Frende Skadeforsikring'!C37+'Gjensidige Forsikring'!C37+'Gjensidige Pensjon'!C37+'Handelsbanken Liv'!C37+'If Skadeforsikring NUF'!C37+KLP!C37+'KLP Bedriftspensjon AS'!C37+'KLP Skadeforsikring AS'!C37+'Landkreditt Forsikring'!C37+Insr!C37+'Nordea Liv '!C37+'Oslo Pensjonsforsikring'!C37+'Protector Forsikring'!C37+'SHB Liv'!C37+'Sparebank 1'!C37+'Storebrand Livsforsikring'!C37+'Telenor Forsikring'!C37+'Tryg Forsikring'!C37+'WaterCircle F'!C37</f>
        <v>3578538.3739999998</v>
      </c>
      <c r="D37" s="24">
        <f t="shared" si="5"/>
        <v>-4.5999999999999996</v>
      </c>
      <c r="E37" s="323"/>
      <c r="F37" s="323"/>
      <c r="G37" s="171"/>
      <c r="H37" s="307">
        <f t="shared" si="9"/>
        <v>3749205.2209999999</v>
      </c>
      <c r="I37" s="235">
        <f t="shared" si="7"/>
        <v>3578538.3739999998</v>
      </c>
      <c r="J37" s="24">
        <f t="shared" si="8"/>
        <v>-4.5999999999999996</v>
      </c>
    </row>
    <row r="38" spans="1:10" s="43" customFormat="1" ht="15.75" customHeight="1" x14ac:dyDescent="0.2">
      <c r="A38" s="590" t="s">
        <v>376</v>
      </c>
      <c r="B38" s="235">
        <f>'Fremtind Livsforsikring'!B38+'Danica Pensjonsforsikring'!B38+'DNB Livsforsikring'!B38+'Eika Forsikring AS'!B38+'Frende Livsforsikring'!B38+'Frende Skadeforsikring'!B38+'Gjensidige Forsikring'!B38+'Gjensidige Pensjon'!B38+'Handelsbanken Liv'!B38+'If Skadeforsikring NUF'!B38+KLP!B38+'KLP Bedriftspensjon AS'!B38+'KLP Skadeforsikring AS'!B38+'Landkreditt Forsikring'!B38+Insr!B38+'Nordea Liv '!B38+'Oslo Pensjonsforsikring'!B38+'Protector Forsikring'!B38+'SHB Liv'!B38+'Sparebank 1'!B38+'Storebrand Livsforsikring'!B38+'Telenor Forsikring'!B38+'Tryg Forsikring'!B38+'WaterCircle F'!B38</f>
        <v>0</v>
      </c>
      <c r="C38" s="235">
        <f>'Fremtind Livsforsikring'!C38+'Danica Pensjonsforsikring'!C38+'DNB Livsforsikring'!C38+'Eika Forsikring AS'!C38+'Frende Livsforsikring'!C38+'Frende Skadeforsikring'!C38+'Gjensidige Forsikring'!C38+'Gjensidige Pensjon'!C38+'Handelsbanken Liv'!C38+'If Skadeforsikring NUF'!C38+KLP!C38+'KLP Bedriftspensjon AS'!C38+'KLP Skadeforsikring AS'!C38+'Landkreditt Forsikring'!C38+Insr!C38+'Nordea Liv '!C38+'Oslo Pensjonsforsikring'!C38+'Protector Forsikring'!C38+'SHB Liv'!C38+'Sparebank 1'!C38+'Storebrand Livsforsikring'!C38+'Telenor Forsikring'!C38+'Tryg Forsikring'!C38+'WaterCircle F'!C38</f>
        <v>0</v>
      </c>
      <c r="D38" s="24"/>
      <c r="E38" s="318"/>
      <c r="F38" s="324"/>
      <c r="G38" s="171"/>
      <c r="H38" s="307">
        <f t="shared" si="9"/>
        <v>0</v>
      </c>
      <c r="I38" s="235">
        <f t="shared" si="7"/>
        <v>0</v>
      </c>
      <c r="J38" s="24"/>
    </row>
    <row r="39" spans="1:10" s="43" customFormat="1" ht="15.75" customHeight="1" x14ac:dyDescent="0.2">
      <c r="A39" s="591" t="s">
        <v>377</v>
      </c>
      <c r="B39" s="275">
        <f>'Fremtind Livsforsikring'!B39+'Danica Pensjonsforsikring'!B39+'DNB Livsforsikring'!B39+'Eika Forsikring AS'!B39+'Frende Livsforsikring'!B39+'Frende Skadeforsikring'!B39+'Gjensidige Forsikring'!B39+'Gjensidige Pensjon'!B39+'Handelsbanken Liv'!B39+'If Skadeforsikring NUF'!B39+KLP!B39+'KLP Bedriftspensjon AS'!B39+'KLP Skadeforsikring AS'!B39+'Landkreditt Forsikring'!B39+Insr!B39+'Nordea Liv '!B39+'Oslo Pensjonsforsikring'!B39+'Protector Forsikring'!B39+'SHB Liv'!B39+'Sparebank 1'!B39+'Storebrand Livsforsikring'!B39+'Telenor Forsikring'!B39+'Tryg Forsikring'!B39+'WaterCircle F'!B39</f>
        <v>2</v>
      </c>
      <c r="C39" s="275">
        <f>'Fremtind Livsforsikring'!C39+'Danica Pensjonsforsikring'!C39+'DNB Livsforsikring'!C39+'Eika Forsikring AS'!C39+'Frende Livsforsikring'!C39+'Frende Skadeforsikring'!C39+'Gjensidige Forsikring'!C39+'Gjensidige Pensjon'!C39+'Handelsbanken Liv'!C39+'If Skadeforsikring NUF'!C39+KLP!C39+'KLP Bedriftspensjon AS'!C39+'KLP Skadeforsikring AS'!C39+'Landkreditt Forsikring'!C39+Insr!C39+'Nordea Liv '!C39+'Oslo Pensjonsforsikring'!C39+'Protector Forsikring'!C39+'SHB Liv'!C39+'Sparebank 1'!C39+'Storebrand Livsforsikring'!C39+'Telenor Forsikring'!C39+'Tryg Forsikring'!C39+'WaterCircle F'!C39</f>
        <v>0</v>
      </c>
      <c r="D39" s="36">
        <f t="shared" si="5"/>
        <v>-100</v>
      </c>
      <c r="E39" s="325"/>
      <c r="F39" s="325"/>
      <c r="G39" s="169"/>
      <c r="H39" s="313">
        <f t="shared" si="9"/>
        <v>2</v>
      </c>
      <c r="I39" s="275">
        <f t="shared" si="7"/>
        <v>0</v>
      </c>
      <c r="J39" s="36">
        <f t="shared" si="8"/>
        <v>-100</v>
      </c>
    </row>
    <row r="40" spans="1:10" ht="15.75" customHeight="1" x14ac:dyDescent="0.2">
      <c r="A40" s="47"/>
    </row>
    <row r="41" spans="1:10" ht="15.75" customHeight="1" x14ac:dyDescent="0.2">
      <c r="A41" s="155"/>
    </row>
    <row r="42" spans="1:10" ht="15.75" customHeight="1" x14ac:dyDescent="0.25">
      <c r="A42" s="147" t="s">
        <v>275</v>
      </c>
      <c r="B42" s="734"/>
      <c r="C42" s="734"/>
      <c r="D42" s="734"/>
      <c r="E42" s="735"/>
      <c r="F42" s="735"/>
      <c r="G42" s="735"/>
      <c r="H42" s="735"/>
      <c r="I42" s="735"/>
      <c r="J42" s="735"/>
    </row>
    <row r="43" spans="1:10" ht="15.75" customHeight="1" x14ac:dyDescent="0.25">
      <c r="A43" s="163"/>
      <c r="B43" s="434"/>
      <c r="C43" s="434"/>
      <c r="D43" s="434"/>
      <c r="E43" s="297"/>
      <c r="F43" s="297"/>
      <c r="G43" s="297"/>
      <c r="H43" s="297"/>
      <c r="I43" s="297"/>
      <c r="J43" s="297"/>
    </row>
    <row r="44" spans="1:10" s="3" customFormat="1" ht="15.75" customHeight="1" x14ac:dyDescent="0.25">
      <c r="A44" s="246"/>
      <c r="B44" s="326" t="s">
        <v>0</v>
      </c>
      <c r="C44" s="327"/>
      <c r="D44" s="251"/>
      <c r="E44" s="42"/>
      <c r="F44" s="42"/>
      <c r="G44" s="40"/>
      <c r="H44" s="42"/>
      <c r="I44" s="42"/>
      <c r="J44" s="40"/>
    </row>
    <row r="45" spans="1:10" s="3" customFormat="1" ht="15.75" customHeight="1" x14ac:dyDescent="0.2">
      <c r="A45" s="140"/>
      <c r="B45" s="20" t="s">
        <v>427</v>
      </c>
      <c r="C45" s="20" t="s">
        <v>428</v>
      </c>
      <c r="D45" s="249" t="s">
        <v>3</v>
      </c>
      <c r="E45" s="42"/>
      <c r="F45" s="42"/>
      <c r="G45" s="40"/>
      <c r="H45" s="42"/>
      <c r="I45" s="42"/>
      <c r="J45" s="40"/>
    </row>
    <row r="46" spans="1:10" s="3" customFormat="1" ht="15.75" customHeight="1" x14ac:dyDescent="0.2">
      <c r="A46" s="710"/>
      <c r="B46" s="46"/>
      <c r="C46" s="250"/>
      <c r="D46" s="17" t="s">
        <v>4</v>
      </c>
      <c r="E46" s="40"/>
      <c r="F46" s="40"/>
      <c r="G46" s="40"/>
      <c r="H46" s="40"/>
      <c r="I46" s="40"/>
      <c r="J46" s="40"/>
    </row>
    <row r="47" spans="1:10" s="419" customFormat="1" ht="15.75" customHeight="1" x14ac:dyDescent="0.2">
      <c r="A47" s="14" t="s">
        <v>23</v>
      </c>
      <c r="B47" s="235">
        <f>'Fremtind Livsforsikring'!B47+'Danica Pensjonsforsikring'!B47+'DNB Livsforsikring'!B47+'Eika Forsikring AS'!B47+'Frende Livsforsikring'!B47+'Frende Skadeforsikring'!B47+'Gjensidige Forsikring'!B47+'Gjensidige Pensjon'!B47+'Handelsbanken Liv'!B47+'If Skadeforsikring NUF'!B47+KLP!B47+'KLP Bedriftspensjon AS'!B47+'KLP Skadeforsikring AS'!B47+'Landkreditt Forsikring'!B47+Insr!B47+'Nordea Liv '!B47+'Oslo Pensjonsforsikring'!B47+'Protector Forsikring'!B47+'SHB Liv'!B47+'Sparebank 1'!B47+'Storebrand Livsforsikring'!B47+'Telenor Forsikring'!B47+'Tryg Forsikring'!B47+'WaterCircle F'!B47</f>
        <v>3228505.0265786871</v>
      </c>
      <c r="C47" s="235">
        <f>'Fremtind Livsforsikring'!C47+'Danica Pensjonsforsikring'!C47+'DNB Livsforsikring'!C47+'Eika Forsikring AS'!C47+'Frende Livsforsikring'!C47+'Frende Skadeforsikring'!C47+'Gjensidige Forsikring'!C47+'Gjensidige Pensjon'!C47+'Handelsbanken Liv'!C47+'If Skadeforsikring NUF'!C47+KLP!C47+'KLP Bedriftspensjon AS'!C47+'KLP Skadeforsikring AS'!C47+'Landkreditt Forsikring'!C47+Insr!C47+'Nordea Liv '!C47+'Oslo Pensjonsforsikring'!C47+'Protector Forsikring'!C47+'SHB Liv'!C47+'Sparebank 1'!C47+'Storebrand Livsforsikring'!C47+'Telenor Forsikring'!C47+'Tryg Forsikring'!C47+'WaterCircle F'!C47</f>
        <v>3652256.7442264454</v>
      </c>
      <c r="D47" s="24">
        <f t="shared" ref="D47:D58" si="23">IF(B47=0, "    ---- ", IF(ABS(ROUND(100/B47*C47-100,1))&lt;999,ROUND(100/B47*C47-100,1),IF(ROUND(100/B47*C47-100,1)&gt;999,999,-999)))</f>
        <v>13.1</v>
      </c>
      <c r="E47" s="420"/>
      <c r="F47" s="421"/>
      <c r="G47" s="32"/>
      <c r="H47" s="422"/>
      <c r="I47" s="422"/>
      <c r="J47" s="32"/>
    </row>
    <row r="48" spans="1:10" s="3" customFormat="1" ht="15.75" customHeight="1" x14ac:dyDescent="0.2">
      <c r="A48" s="38" t="s">
        <v>378</v>
      </c>
      <c r="B48" s="44">
        <f>'Fremtind Livsforsikring'!B48+'Danica Pensjonsforsikring'!B48+'DNB Livsforsikring'!B48+'Eika Forsikring AS'!B48+'Frende Livsforsikring'!B48+'Frende Skadeforsikring'!B48+'Gjensidige Forsikring'!B48+'Gjensidige Pensjon'!B48+'Handelsbanken Liv'!B48+'If Skadeforsikring NUF'!B48+KLP!B48+'KLP Bedriftspensjon AS'!B48+'KLP Skadeforsikring AS'!B48+'Landkreditt Forsikring'!B48+Insr!B48+'Nordea Liv '!B48+'Oslo Pensjonsforsikring'!B48+'Protector Forsikring'!B48+'SHB Liv'!B48+'Sparebank 1'!B48+'Storebrand Livsforsikring'!B48+'Telenor Forsikring'!B48+'Tryg Forsikring'!B48+'WaterCircle F'!B48</f>
        <v>1817018.5440886868</v>
      </c>
      <c r="C48" s="44">
        <f>'Fremtind Livsforsikring'!C48+'Danica Pensjonsforsikring'!C48+'DNB Livsforsikring'!C48+'Eika Forsikring AS'!C48+'Frende Livsforsikring'!C48+'Frende Skadeforsikring'!C48+'Gjensidige Forsikring'!C48+'Gjensidige Pensjon'!C48+'Handelsbanken Liv'!C48+'If Skadeforsikring NUF'!C48+KLP!C48+'KLP Bedriftspensjon AS'!C48+'KLP Skadeforsikring AS'!C48+'Landkreditt Forsikring'!C48+Insr!C48+'Nordea Liv '!C48+'Oslo Pensjonsforsikring'!C48+'Protector Forsikring'!C48+'SHB Liv'!C48+'Sparebank 1'!C48+'Storebrand Livsforsikring'!C48+'Telenor Forsikring'!C48+'Tryg Forsikring'!C48+'WaterCircle F'!C48</f>
        <v>2068391.1992964461</v>
      </c>
      <c r="D48" s="24">
        <f t="shared" si="23"/>
        <v>13.8</v>
      </c>
      <c r="E48" s="35"/>
      <c r="F48" s="5"/>
      <c r="G48" s="34"/>
      <c r="H48" s="33"/>
      <c r="I48" s="33"/>
      <c r="J48" s="32"/>
    </row>
    <row r="49" spans="1:10" s="3" customFormat="1" ht="15.75" customHeight="1" x14ac:dyDescent="0.2">
      <c r="A49" s="38" t="s">
        <v>379</v>
      </c>
      <c r="B49" s="190">
        <f>'Fremtind Livsforsikring'!B49+'Danica Pensjonsforsikring'!B49+'DNB Livsforsikring'!B49+'Eika Forsikring AS'!B49+'Frende Livsforsikring'!B49+'Frende Skadeforsikring'!B49+'Gjensidige Forsikring'!B49+'Gjensidige Pensjon'!B49+'Handelsbanken Liv'!B49+'If Skadeforsikring NUF'!B49+KLP!B49+'KLP Bedriftspensjon AS'!B49+'KLP Skadeforsikring AS'!B49+'Landkreditt Forsikring'!B49+Insr!B49+'Nordea Liv '!B49+'Oslo Pensjonsforsikring'!B49+'Protector Forsikring'!B49+'SHB Liv'!B49+'Sparebank 1'!B49+'Storebrand Livsforsikring'!B49+'Telenor Forsikring'!B49+'Tryg Forsikring'!B49+'WaterCircle F'!B49</f>
        <v>1411486.4824900001</v>
      </c>
      <c r="C49" s="190">
        <f>'Fremtind Livsforsikring'!C49+'Danica Pensjonsforsikring'!C49+'DNB Livsforsikring'!C49+'Eika Forsikring AS'!C49+'Frende Livsforsikring'!C49+'Frende Skadeforsikring'!C49+'Gjensidige Forsikring'!C49+'Gjensidige Pensjon'!C49+'Handelsbanken Liv'!C49+'If Skadeforsikring NUF'!C49+KLP!C49+'KLP Bedriftspensjon AS'!C49+'KLP Skadeforsikring AS'!C49+'Landkreditt Forsikring'!C49+Insr!C49+'Nordea Liv '!C49+'Oslo Pensjonsforsikring'!C49+'Protector Forsikring'!C49+'SHB Liv'!C49+'Sparebank 1'!C49+'Storebrand Livsforsikring'!C49+'Telenor Forsikring'!C49+'Tryg Forsikring'!C49+'WaterCircle F'!C49</f>
        <v>1583865.5449300001</v>
      </c>
      <c r="D49" s="24">
        <f t="shared" si="23"/>
        <v>12.2</v>
      </c>
      <c r="E49" s="35"/>
      <c r="F49" s="5"/>
      <c r="G49" s="34"/>
      <c r="H49" s="37"/>
      <c r="I49" s="37"/>
      <c r="J49" s="32"/>
    </row>
    <row r="50" spans="1:10" s="3" customFormat="1" ht="15.75" customHeight="1" x14ac:dyDescent="0.2">
      <c r="A50" s="295" t="s">
        <v>6</v>
      </c>
      <c r="B50" s="44"/>
      <c r="C50" s="44"/>
      <c r="D50" s="27"/>
      <c r="E50" s="35"/>
      <c r="F50" s="5"/>
      <c r="G50" s="34"/>
      <c r="H50" s="33"/>
      <c r="I50" s="33"/>
      <c r="J50" s="32"/>
    </row>
    <row r="51" spans="1:10" s="3" customFormat="1" ht="15.75" customHeight="1" x14ac:dyDescent="0.2">
      <c r="A51" s="295" t="s">
        <v>7</v>
      </c>
      <c r="B51" s="44"/>
      <c r="C51" s="44"/>
      <c r="D51" s="27"/>
      <c r="E51" s="35"/>
      <c r="F51" s="5"/>
      <c r="G51" s="34"/>
      <c r="H51" s="33"/>
      <c r="I51" s="33"/>
      <c r="J51" s="32"/>
    </row>
    <row r="52" spans="1:10" s="3" customFormat="1" ht="15.75" customHeight="1" x14ac:dyDescent="0.2">
      <c r="A52" s="295" t="s">
        <v>8</v>
      </c>
      <c r="B52" s="44"/>
      <c r="C52" s="44"/>
      <c r="D52" s="27"/>
      <c r="E52" s="35"/>
      <c r="F52" s="5"/>
      <c r="G52" s="34"/>
      <c r="H52" s="33"/>
      <c r="I52" s="33"/>
      <c r="J52" s="32"/>
    </row>
    <row r="53" spans="1:10" s="419" customFormat="1" ht="15.75" customHeight="1" x14ac:dyDescent="0.2">
      <c r="A53" s="39" t="s">
        <v>380</v>
      </c>
      <c r="B53" s="235">
        <f>'Fremtind Livsforsikring'!B53+'Danica Pensjonsforsikring'!B53+'DNB Livsforsikring'!B53+'Eika Forsikring AS'!B53+'Frende Livsforsikring'!B53+'Frende Skadeforsikring'!B53+'Gjensidige Forsikring'!B53+'Gjensidige Pensjon'!B53+'Handelsbanken Liv'!B53+'If Skadeforsikring NUF'!B53+KLP!B53+'KLP Bedriftspensjon AS'!B53+'KLP Skadeforsikring AS'!B53+'Landkreditt Forsikring'!B53+Insr!B53+'Nordea Liv '!B53+'Oslo Pensjonsforsikring'!B53+'Protector Forsikring'!B53+'SHB Liv'!B53+'Sparebank 1'!B53+'Storebrand Livsforsikring'!B53+'Telenor Forsikring'!B53+'Tryg Forsikring'!B53+'WaterCircle F'!B53</f>
        <v>190740.902</v>
      </c>
      <c r="C53" s="235">
        <f>'Fremtind Livsforsikring'!C53+'Danica Pensjonsforsikring'!C53+'DNB Livsforsikring'!C53+'Eika Forsikring AS'!C53+'Frende Livsforsikring'!C53+'Frende Skadeforsikring'!C53+'Gjensidige Forsikring'!C53+'Gjensidige Pensjon'!C53+'Handelsbanken Liv'!C53+'If Skadeforsikring NUF'!C53+KLP!C53+'KLP Bedriftspensjon AS'!C53+'KLP Skadeforsikring AS'!C53+'Landkreditt Forsikring'!C53+Insr!C53+'Nordea Liv '!C53+'Oslo Pensjonsforsikring'!C53+'Protector Forsikring'!C53+'SHB Liv'!C53+'Sparebank 1'!C53+'Storebrand Livsforsikring'!C53+'Telenor Forsikring'!C53+'Tryg Forsikring'!C53+'WaterCircle F'!C53</f>
        <v>131019.867</v>
      </c>
      <c r="D53" s="24">
        <f t="shared" si="23"/>
        <v>-31.3</v>
      </c>
      <c r="E53" s="420"/>
      <c r="F53" s="421"/>
      <c r="G53" s="32"/>
      <c r="H53" s="173"/>
      <c r="I53" s="173"/>
      <c r="J53" s="32"/>
    </row>
    <row r="54" spans="1:10" s="3" customFormat="1" ht="15.75" customHeight="1" x14ac:dyDescent="0.2">
      <c r="A54" s="38" t="s">
        <v>378</v>
      </c>
      <c r="B54" s="44">
        <f>'Fremtind Livsforsikring'!B54+'Danica Pensjonsforsikring'!B54+'DNB Livsforsikring'!B54+'Eika Forsikring AS'!B54+'Frende Livsforsikring'!B54+'Frende Skadeforsikring'!B54+'Gjensidige Forsikring'!B54+'Gjensidige Pensjon'!B54+'Handelsbanken Liv'!B54+'If Skadeforsikring NUF'!B54+KLP!B54+'KLP Bedriftspensjon AS'!B54+'KLP Skadeforsikring AS'!B54+'Landkreditt Forsikring'!B54+Insr!B54+'Nordea Liv '!B54+'Oslo Pensjonsforsikring'!B54+'Protector Forsikring'!B54+'SHB Liv'!B54+'Sparebank 1'!B54+'Storebrand Livsforsikring'!B54+'Telenor Forsikring'!B54+'Tryg Forsikring'!B54+'WaterCircle F'!B54</f>
        <v>103684.90199999999</v>
      </c>
      <c r="C54" s="44">
        <f>'Fremtind Livsforsikring'!C54+'Danica Pensjonsforsikring'!C54+'DNB Livsforsikring'!C54+'Eika Forsikring AS'!C54+'Frende Livsforsikring'!C54+'Frende Skadeforsikring'!C54+'Gjensidige Forsikring'!C54+'Gjensidige Pensjon'!C54+'Handelsbanken Liv'!C54+'If Skadeforsikring NUF'!C54+KLP!C54+'KLP Bedriftspensjon AS'!C54+'KLP Skadeforsikring AS'!C54+'Landkreditt Forsikring'!C54+Insr!C54+'Nordea Liv '!C54+'Oslo Pensjonsforsikring'!C54+'Protector Forsikring'!C54+'SHB Liv'!C54+'Sparebank 1'!C54+'Storebrand Livsforsikring'!C54+'Telenor Forsikring'!C54+'Tryg Forsikring'!C54+'WaterCircle F'!C54</f>
        <v>131019.867</v>
      </c>
      <c r="D54" s="24">
        <f t="shared" si="23"/>
        <v>26.4</v>
      </c>
      <c r="E54" s="35"/>
      <c r="F54" s="5"/>
      <c r="G54" s="34"/>
      <c r="H54" s="33"/>
      <c r="I54" s="33"/>
      <c r="J54" s="32"/>
    </row>
    <row r="55" spans="1:10" s="3" customFormat="1" ht="15.75" customHeight="1" x14ac:dyDescent="0.2">
      <c r="A55" s="38" t="s">
        <v>379</v>
      </c>
      <c r="B55" s="44">
        <f>'Fremtind Livsforsikring'!B55+'Danica Pensjonsforsikring'!B55+'DNB Livsforsikring'!B55+'Eika Forsikring AS'!B55+'Frende Livsforsikring'!B55+'Frende Skadeforsikring'!B55+'Gjensidige Forsikring'!B55+'Gjensidige Pensjon'!B55+'Handelsbanken Liv'!B55+'If Skadeforsikring NUF'!B55+KLP!B55+'KLP Bedriftspensjon AS'!B55+'KLP Skadeforsikring AS'!B55+'Landkreditt Forsikring'!B55+Insr!B55+'Nordea Liv '!B55+'Oslo Pensjonsforsikring'!B55+'Protector Forsikring'!B55+'SHB Liv'!B55+'Sparebank 1'!B55+'Storebrand Livsforsikring'!B55+'Telenor Forsikring'!B55+'Tryg Forsikring'!B55+'WaterCircle F'!B55</f>
        <v>87056</v>
      </c>
      <c r="C55" s="44">
        <f>'Fremtind Livsforsikring'!C55+'Danica Pensjonsforsikring'!C55+'DNB Livsforsikring'!C55+'Eika Forsikring AS'!C55+'Frende Livsforsikring'!C55+'Frende Skadeforsikring'!C55+'Gjensidige Forsikring'!C55+'Gjensidige Pensjon'!C55+'Handelsbanken Liv'!C55+'If Skadeforsikring NUF'!C55+KLP!C55+'KLP Bedriftspensjon AS'!C55+'KLP Skadeforsikring AS'!C55+'Landkreditt Forsikring'!C55+Insr!C55+'Nordea Liv '!C55+'Oslo Pensjonsforsikring'!C55+'Protector Forsikring'!C55+'SHB Liv'!C55+'Sparebank 1'!C55+'Storebrand Livsforsikring'!C55+'Telenor Forsikring'!C55+'Tryg Forsikring'!C55+'WaterCircle F'!C55</f>
        <v>0</v>
      </c>
      <c r="D55" s="24">
        <f t="shared" si="23"/>
        <v>-100</v>
      </c>
      <c r="E55" s="35"/>
      <c r="F55" s="5"/>
      <c r="G55" s="34"/>
      <c r="H55" s="33"/>
      <c r="I55" s="33"/>
      <c r="J55" s="32"/>
    </row>
    <row r="56" spans="1:10" s="419" customFormat="1" ht="15.75" customHeight="1" x14ac:dyDescent="0.2">
      <c r="A56" s="39" t="s">
        <v>381</v>
      </c>
      <c r="B56" s="235">
        <f>'Fremtind Livsforsikring'!B56+'Danica Pensjonsforsikring'!B56+'DNB Livsforsikring'!B56+'Eika Forsikring AS'!B56+'Frende Livsforsikring'!B56+'Frende Skadeforsikring'!B56+'Gjensidige Forsikring'!B56+'Gjensidige Pensjon'!B56+'Handelsbanken Liv'!B56+'If Skadeforsikring NUF'!B56+KLP!B56+'KLP Bedriftspensjon AS'!B56+'KLP Skadeforsikring AS'!B56+'Landkreditt Forsikring'!B56+Insr!B56+'Nordea Liv '!B56+'Oslo Pensjonsforsikring'!B56+'Protector Forsikring'!B56+'SHB Liv'!B56+'Sparebank 1'!B56+'Storebrand Livsforsikring'!B56+'Telenor Forsikring'!B56+'Tryg Forsikring'!B56+'WaterCircle F'!B56</f>
        <v>155583.511</v>
      </c>
      <c r="C56" s="235">
        <f>'Fremtind Livsforsikring'!C56+'Danica Pensjonsforsikring'!C56+'DNB Livsforsikring'!C56+'Eika Forsikring AS'!C56+'Frende Livsforsikring'!C56+'Frende Skadeforsikring'!C56+'Gjensidige Forsikring'!C56+'Gjensidige Pensjon'!C56+'Handelsbanken Liv'!C56+'If Skadeforsikring NUF'!C56+KLP!C56+'KLP Bedriftspensjon AS'!C56+'KLP Skadeforsikring AS'!C56+'Landkreditt Forsikring'!C56+Insr!C56+'Nordea Liv '!C56+'Oslo Pensjonsforsikring'!C56+'Protector Forsikring'!C56+'SHB Liv'!C56+'Sparebank 1'!C56+'Storebrand Livsforsikring'!C56+'Telenor Forsikring'!C56+'Tryg Forsikring'!C56+'WaterCircle F'!C56</f>
        <v>111355.41099999999</v>
      </c>
      <c r="D56" s="24">
        <f t="shared" si="23"/>
        <v>-28.4</v>
      </c>
      <c r="E56" s="420"/>
      <c r="F56" s="421"/>
      <c r="G56" s="32"/>
      <c r="H56" s="173"/>
      <c r="I56" s="173"/>
      <c r="J56" s="32"/>
    </row>
    <row r="57" spans="1:10" s="3" customFormat="1" ht="15.75" customHeight="1" x14ac:dyDescent="0.2">
      <c r="A57" s="38" t="s">
        <v>378</v>
      </c>
      <c r="B57" s="44">
        <f>'Fremtind Livsforsikring'!B57+'Danica Pensjonsforsikring'!B57+'DNB Livsforsikring'!B57+'Eika Forsikring AS'!B57+'Frende Livsforsikring'!B57+'Frende Skadeforsikring'!B57+'Gjensidige Forsikring'!B57+'Gjensidige Pensjon'!B57+'Handelsbanken Liv'!B57+'If Skadeforsikring NUF'!B57+KLP!B57+'KLP Bedriftspensjon AS'!B57+'KLP Skadeforsikring AS'!B57+'Landkreditt Forsikring'!B57+Insr!B57+'Nordea Liv '!B57+'Oslo Pensjonsforsikring'!B57+'Protector Forsikring'!B57+'SHB Liv'!B57+'Sparebank 1'!B57+'Storebrand Livsforsikring'!B57+'Telenor Forsikring'!B57+'Tryg Forsikring'!B57+'WaterCircle F'!B57</f>
        <v>88990.998000000007</v>
      </c>
      <c r="C57" s="44">
        <f>'Fremtind Livsforsikring'!C57+'Danica Pensjonsforsikring'!C57+'DNB Livsforsikring'!C57+'Eika Forsikring AS'!C57+'Frende Livsforsikring'!C57+'Frende Skadeforsikring'!C57+'Gjensidige Forsikring'!C57+'Gjensidige Pensjon'!C57+'Handelsbanken Liv'!C57+'If Skadeforsikring NUF'!C57+KLP!C57+'KLP Bedriftspensjon AS'!C57+'KLP Skadeforsikring AS'!C57+'Landkreditt Forsikring'!C57+Insr!C57+'Nordea Liv '!C57+'Oslo Pensjonsforsikring'!C57+'Protector Forsikring'!C57+'SHB Liv'!C57+'Sparebank 1'!C57+'Storebrand Livsforsikring'!C57+'Telenor Forsikring'!C57+'Tryg Forsikring'!C57+'WaterCircle F'!C57</f>
        <v>111352.011</v>
      </c>
      <c r="D57" s="24">
        <f t="shared" si="23"/>
        <v>25.1</v>
      </c>
      <c r="E57" s="35"/>
      <c r="F57" s="5"/>
      <c r="G57" s="34"/>
      <c r="H57" s="33"/>
      <c r="I57" s="33"/>
      <c r="J57" s="32"/>
    </row>
    <row r="58" spans="1:10" s="3" customFormat="1" ht="15.75" customHeight="1" x14ac:dyDescent="0.2">
      <c r="A58" s="38" t="s">
        <v>379</v>
      </c>
      <c r="B58" s="45">
        <f>'Fremtind Livsforsikring'!B58+'Danica Pensjonsforsikring'!B58+'DNB Livsforsikring'!B58+'Eika Forsikring AS'!B58+'Frende Livsforsikring'!B58+'Frende Skadeforsikring'!B58+'Gjensidige Forsikring'!B58+'Gjensidige Pensjon'!B58+'Handelsbanken Liv'!B58+'If Skadeforsikring NUF'!B58+KLP!B58+'KLP Bedriftspensjon AS'!B58+'KLP Skadeforsikring AS'!B58+'Landkreditt Forsikring'!B58+Insr!B58+'Nordea Liv '!B58+'Oslo Pensjonsforsikring'!B58+'Protector Forsikring'!B58+'SHB Liv'!B58+'Sparebank 1'!B58+'Storebrand Livsforsikring'!B58+'Telenor Forsikring'!B58+'Tryg Forsikring'!B58+'WaterCircle F'!B58</f>
        <v>66592.513000000006</v>
      </c>
      <c r="C58" s="45">
        <f>'Fremtind Livsforsikring'!C58+'Danica Pensjonsforsikring'!C58+'DNB Livsforsikring'!C58+'Eika Forsikring AS'!C58+'Frende Livsforsikring'!C58+'Frende Skadeforsikring'!C58+'Gjensidige Forsikring'!C58+'Gjensidige Pensjon'!C58+'Handelsbanken Liv'!C58+'If Skadeforsikring NUF'!C58+KLP!C58+'KLP Bedriftspensjon AS'!C58+'KLP Skadeforsikring AS'!C58+'Landkreditt Forsikring'!C58+Insr!C58+'Nordea Liv '!C58+'Oslo Pensjonsforsikring'!C58+'Protector Forsikring'!C58+'SHB Liv'!C58+'Sparebank 1'!C58+'Storebrand Livsforsikring'!C58+'Telenor Forsikring'!C58+'Tryg Forsikring'!C58+'WaterCircle F'!C58</f>
        <v>3.4</v>
      </c>
      <c r="D58" s="36">
        <f t="shared" si="23"/>
        <v>-100</v>
      </c>
      <c r="E58" s="35"/>
      <c r="F58" s="5"/>
      <c r="G58" s="34"/>
      <c r="H58" s="33"/>
      <c r="I58" s="33"/>
      <c r="J58" s="32"/>
    </row>
    <row r="59" spans="1:10" s="3" customFormat="1" ht="15.75" customHeight="1" x14ac:dyDescent="0.25">
      <c r="A59" s="164"/>
      <c r="B59" s="30"/>
      <c r="C59" s="30"/>
      <c r="D59" s="30"/>
      <c r="E59" s="31"/>
      <c r="F59" s="31"/>
      <c r="G59" s="31"/>
      <c r="H59" s="31"/>
      <c r="I59" s="31"/>
      <c r="J59" s="31"/>
    </row>
    <row r="60" spans="1:10" ht="15.75" customHeight="1" x14ac:dyDescent="0.2">
      <c r="A60" s="155"/>
    </row>
    <row r="61" spans="1:10" ht="15.75" customHeight="1" x14ac:dyDescent="0.25">
      <c r="A61" s="147" t="s">
        <v>276</v>
      </c>
      <c r="C61" s="26"/>
      <c r="D61" s="25"/>
      <c r="E61" s="26"/>
      <c r="F61" s="26"/>
      <c r="G61" s="25"/>
      <c r="H61" s="26"/>
      <c r="I61" s="26"/>
      <c r="J61" s="25"/>
    </row>
    <row r="62" spans="1:10" ht="20.100000000000001" customHeight="1" x14ac:dyDescent="0.25">
      <c r="A62" s="149"/>
      <c r="B62" s="734"/>
      <c r="C62" s="734"/>
      <c r="D62" s="734"/>
      <c r="E62" s="734"/>
      <c r="F62" s="734"/>
      <c r="G62" s="734"/>
      <c r="H62" s="734"/>
      <c r="I62" s="734"/>
      <c r="J62" s="734"/>
    </row>
    <row r="63" spans="1:10" ht="15.75" customHeight="1" x14ac:dyDescent="0.2">
      <c r="A63" s="144"/>
      <c r="B63" s="731" t="s">
        <v>0</v>
      </c>
      <c r="C63" s="732"/>
      <c r="D63" s="732"/>
      <c r="E63" s="731" t="s">
        <v>1</v>
      </c>
      <c r="F63" s="732"/>
      <c r="G63" s="733"/>
      <c r="H63" s="732" t="s">
        <v>2</v>
      </c>
      <c r="I63" s="732"/>
      <c r="J63" s="733"/>
    </row>
    <row r="64" spans="1:10" ht="15.75" customHeight="1" x14ac:dyDescent="0.2">
      <c r="A64" s="140"/>
      <c r="B64" s="20" t="s">
        <v>427</v>
      </c>
      <c r="C64" s="20" t="s">
        <v>428</v>
      </c>
      <c r="D64" s="19" t="s">
        <v>3</v>
      </c>
      <c r="E64" s="20" t="s">
        <v>427</v>
      </c>
      <c r="F64" s="20" t="s">
        <v>428</v>
      </c>
      <c r="G64" s="19" t="s">
        <v>3</v>
      </c>
      <c r="H64" s="20" t="s">
        <v>427</v>
      </c>
      <c r="I64" s="20" t="s">
        <v>428</v>
      </c>
      <c r="J64" s="19" t="s">
        <v>3</v>
      </c>
    </row>
    <row r="65" spans="1:10" ht="15.75" customHeight="1" x14ac:dyDescent="0.2">
      <c r="A65" s="710"/>
      <c r="B65" s="15"/>
      <c r="C65" s="15"/>
      <c r="D65" s="17" t="s">
        <v>4</v>
      </c>
      <c r="E65" s="16"/>
      <c r="F65" s="16"/>
      <c r="G65" s="15" t="s">
        <v>4</v>
      </c>
      <c r="H65" s="16"/>
      <c r="I65" s="16"/>
      <c r="J65" s="15" t="s">
        <v>4</v>
      </c>
    </row>
    <row r="66" spans="1:10" s="43" customFormat="1" ht="15.75" customHeight="1" x14ac:dyDescent="0.2">
      <c r="A66" s="14" t="s">
        <v>23</v>
      </c>
      <c r="B66" s="328">
        <f>'Fremtind Livsforsikring'!B66+'Danica Pensjonsforsikring'!B66+'DNB Livsforsikring'!B66+'Eika Forsikring AS'!B66+'Frende Livsforsikring'!B66+'Frende Skadeforsikring'!B66+'Gjensidige Forsikring'!B66+'Gjensidige Pensjon'!B66+'Handelsbanken Liv'!B66+'If Skadeforsikring NUF'!B66+KLP!B66+'KLP Bedriftspensjon AS'!B66+'KLP Skadeforsikring AS'!B66+'Landkreditt Forsikring'!B66+Insr!B66+'Nordea Liv '!B66+'Oslo Pensjonsforsikring'!B66+'Protector Forsikring'!B66+'SHB Liv'!B66+'Sparebank 1'!B66+'Storebrand Livsforsikring'!B66+'Telenor Forsikring'!B66+'Tryg Forsikring'!B66+'WaterCircle F'!B66</f>
        <v>5371394.3328399993</v>
      </c>
      <c r="C66" s="328">
        <f>'Fremtind Livsforsikring'!C66+'Danica Pensjonsforsikring'!C66+'DNB Livsforsikring'!C66+'Eika Forsikring AS'!C66+'Frende Livsforsikring'!C66+'Frende Skadeforsikring'!C66+'Gjensidige Forsikring'!C66+'Gjensidige Pensjon'!C66+'Handelsbanken Liv'!C66+'If Skadeforsikring NUF'!C66+KLP!C66+'KLP Bedriftspensjon AS'!C66+'KLP Skadeforsikring AS'!C66+'Landkreditt Forsikring'!C66+Insr!C66+'Nordea Liv '!C66+'Oslo Pensjonsforsikring'!C66+'Protector Forsikring'!C66+'SHB Liv'!C66+'Sparebank 1'!C66+'Storebrand Livsforsikring'!C66+'Telenor Forsikring'!C66+'Tryg Forsikring'!C66+'WaterCircle F'!C66</f>
        <v>4701885.101259999</v>
      </c>
      <c r="D66" s="24">
        <f t="shared" ref="D66:D111" si="24">IF(B66=0, "    ---- ", IF(ABS(ROUND(100/B66*C66-100,1))&lt;999,ROUND(100/B66*C66-100,1),IF(ROUND(100/B66*C66-100,1)&gt;999,999,-999)))</f>
        <v>-12.5</v>
      </c>
      <c r="E66" s="235">
        <f>'Fremtind Livsforsikring'!F66+'Danica Pensjonsforsikring'!F66+'DNB Livsforsikring'!F66+'Eika Forsikring AS'!F66+'Frende Livsforsikring'!F66+'Frende Skadeforsikring'!F66+'Gjensidige Forsikring'!F66+'Gjensidige Pensjon'!F66+'Handelsbanken Liv'!F66+'If Skadeforsikring NUF'!F66+KLP!F66+'KLP Bedriftspensjon AS'!F66+'KLP Skadeforsikring AS'!F66+'Landkreditt Forsikring'!F66+Insr!F66+'Nordea Liv '!F66+'Oslo Pensjonsforsikring'!F66+'Protector Forsikring'!F66+'SHB Liv'!F66+'Sparebank 1'!F66+'Storebrand Livsforsikring'!F66+'Telenor Forsikring'!F66+'Tryg Forsikring'!F66+'WaterCircle F'!F66</f>
        <v>15723703.786499999</v>
      </c>
      <c r="F66" s="235">
        <f>'Fremtind Livsforsikring'!G66+'Danica Pensjonsforsikring'!G66+'DNB Livsforsikring'!G66+'Eika Forsikring AS'!G66+'Frende Livsforsikring'!G66+'Frende Skadeforsikring'!G66+'Gjensidige Forsikring'!G66+'Gjensidige Pensjon'!G66+'Handelsbanken Liv'!G66+'If Skadeforsikring NUF'!G66+KLP!G66+'KLP Bedriftspensjon AS'!G66+'KLP Skadeforsikring AS'!G66+'Landkreditt Forsikring'!G66+Insr!G66+'Nordea Liv '!G66+'Oslo Pensjonsforsikring'!G66+'Protector Forsikring'!G66+'SHB Liv'!G66+'Sparebank 1'!G66+'Storebrand Livsforsikring'!G66+'Telenor Forsikring'!G66+'Tryg Forsikring'!G66+'WaterCircle F'!G66</f>
        <v>17335926.498360001</v>
      </c>
      <c r="G66" s="171">
        <f t="shared" ref="G66" si="25">IF(E66=0, "    ---- ", IF(ABS(ROUND(100/E66*F66-100,1))&lt;999,ROUND(100/E66*F66-100,1),IF(ROUND(100/E66*F66-100,1)&gt;999,999,-999)))</f>
        <v>10.3</v>
      </c>
      <c r="H66" s="328">
        <f t="shared" ref="H66:H86" si="26">SUM(B66,E66)</f>
        <v>21095098.119339999</v>
      </c>
      <c r="I66" s="328">
        <f t="shared" ref="I66:I86" si="27">SUM(C66,F66)</f>
        <v>22037811.59962</v>
      </c>
      <c r="J66" s="24">
        <f t="shared" ref="J66:J111" si="28">IF(H66=0, "    ---- ", IF(ABS(ROUND(100/H66*I66-100,1))&lt;999,ROUND(100/H66*I66-100,1),IF(ROUND(100/H66*I66-100,1)&gt;999,999,-999)))</f>
        <v>4.5</v>
      </c>
    </row>
    <row r="67" spans="1:10" ht="15.75" customHeight="1" x14ac:dyDescent="0.25">
      <c r="A67" s="21" t="s">
        <v>9</v>
      </c>
      <c r="B67" s="233">
        <f>'Fremtind Livsforsikring'!B67+'Danica Pensjonsforsikring'!B67+'DNB Livsforsikring'!B67+'Eika Forsikring AS'!B67+'Frende Livsforsikring'!B67+'Frende Skadeforsikring'!B67+'Gjensidige Forsikring'!B67+'Gjensidige Pensjon'!B67+'Handelsbanken Liv'!B67+'If Skadeforsikring NUF'!B67+KLP!B67+'KLP Bedriftspensjon AS'!B67+'KLP Skadeforsikring AS'!B67+'Landkreditt Forsikring'!B67+Insr!B67+'Nordea Liv '!B67+'Oslo Pensjonsforsikring'!B67+'Protector Forsikring'!B67+'SHB Liv'!B67+'Sparebank 1'!B67+'Storebrand Livsforsikring'!B67+'Telenor Forsikring'!B67+'Tryg Forsikring'!B67+'WaterCircle F'!B67</f>
        <v>4174019.5173499994</v>
      </c>
      <c r="C67" s="233">
        <f>'Fremtind Livsforsikring'!C67+'Danica Pensjonsforsikring'!C67+'DNB Livsforsikring'!C67+'Eika Forsikring AS'!C67+'Frende Livsforsikring'!C67+'Frende Skadeforsikring'!C67+'Gjensidige Forsikring'!C67+'Gjensidige Pensjon'!C67+'Handelsbanken Liv'!C67+'If Skadeforsikring NUF'!C67+KLP!C67+'KLP Bedriftspensjon AS'!C67+'KLP Skadeforsikring AS'!C67+'Landkreditt Forsikring'!C67+Insr!C67+'Nordea Liv '!C67+'Oslo Pensjonsforsikring'!C67+'Protector Forsikring'!C67+'SHB Liv'!C67+'Sparebank 1'!C67+'Storebrand Livsforsikring'!C67+'Telenor Forsikring'!C67+'Tryg Forsikring'!C67+'WaterCircle F'!C67</f>
        <v>3465274.60337485</v>
      </c>
      <c r="D67" s="240">
        <f t="shared" si="24"/>
        <v>-17</v>
      </c>
      <c r="E67" s="44">
        <f>'Fremtind Livsforsikring'!F67+'Danica Pensjonsforsikring'!F67+'DNB Livsforsikring'!F67+'Eika Forsikring AS'!F67+'Frende Livsforsikring'!F67+'Frende Skadeforsikring'!F67+'Gjensidige Forsikring'!F67+'Gjensidige Pensjon'!F67+'Handelsbanken Liv'!F67+'If Skadeforsikring NUF'!F67+KLP!F67+'KLP Bedriftspensjon AS'!F67+'KLP Skadeforsikring AS'!F67+'Landkreditt Forsikring'!F67+Insr!F67+'Nordea Liv '!F67+'Oslo Pensjonsforsikring'!F67+'Protector Forsikring'!F67+'SHB Liv'!F67+'Sparebank 1'!F67+'Storebrand Livsforsikring'!F67+'Telenor Forsikring'!F67+'Tryg Forsikring'!F67+'WaterCircle F'!F67</f>
        <v>0</v>
      </c>
      <c r="F67" s="44">
        <f>'Fremtind Livsforsikring'!G67+'Danica Pensjonsforsikring'!G67+'DNB Livsforsikring'!G67+'Eika Forsikring AS'!G67+'Frende Livsforsikring'!G67+'Frende Skadeforsikring'!G67+'Gjensidige Forsikring'!G67+'Gjensidige Pensjon'!G67+'Handelsbanken Liv'!G67+'If Skadeforsikring NUF'!G67+KLP!G67+'KLP Bedriftspensjon AS'!G67+'KLP Skadeforsikring AS'!G67+'Landkreditt Forsikring'!G67+Insr!G67+'Nordea Liv '!G67+'Oslo Pensjonsforsikring'!G67+'Protector Forsikring'!G67+'SHB Liv'!G67+'Sparebank 1'!G67+'Storebrand Livsforsikring'!G67+'Telenor Forsikring'!G67+'Tryg Forsikring'!G67+'WaterCircle F'!G67</f>
        <v>0</v>
      </c>
      <c r="G67" s="240"/>
      <c r="H67" s="236">
        <f t="shared" si="26"/>
        <v>4174019.5173499994</v>
      </c>
      <c r="I67" s="236">
        <f t="shared" si="27"/>
        <v>3465274.60337485</v>
      </c>
      <c r="J67" s="23">
        <f t="shared" si="28"/>
        <v>-17</v>
      </c>
    </row>
    <row r="68" spans="1:10" ht="15.75" customHeight="1" x14ac:dyDescent="0.25">
      <c r="A68" s="21" t="s">
        <v>10</v>
      </c>
      <c r="B68" s="233">
        <f>'Fremtind Livsforsikring'!B68+'Danica Pensjonsforsikring'!B68+'DNB Livsforsikring'!B68+'Eika Forsikring AS'!B68+'Frende Livsforsikring'!B68+'Frende Skadeforsikring'!B68+'Gjensidige Forsikring'!B68+'Gjensidige Pensjon'!B68+'Handelsbanken Liv'!B68+'If Skadeforsikring NUF'!B68+KLP!B68+'KLP Bedriftspensjon AS'!B68+'KLP Skadeforsikring AS'!B68+'Landkreditt Forsikring'!B68+Insr!B68+'Nordea Liv '!B68+'Oslo Pensjonsforsikring'!B68+'Protector Forsikring'!B68+'SHB Liv'!B68+'Sparebank 1'!B68+'Storebrand Livsforsikring'!B68+'Telenor Forsikring'!B68+'Tryg Forsikring'!B68+'WaterCircle F'!B68</f>
        <v>113458.54446999999</v>
      </c>
      <c r="C68" s="233">
        <f>'Fremtind Livsforsikring'!C68+'Danica Pensjonsforsikring'!C68+'DNB Livsforsikring'!C68+'Eika Forsikring AS'!C68+'Frende Livsforsikring'!C68+'Frende Skadeforsikring'!C68+'Gjensidige Forsikring'!C68+'Gjensidige Pensjon'!C68+'Handelsbanken Liv'!C68+'If Skadeforsikring NUF'!C68+KLP!C68+'KLP Bedriftspensjon AS'!C68+'KLP Skadeforsikring AS'!C68+'Landkreditt Forsikring'!C68+Insr!C68+'Nordea Liv '!C68+'Oslo Pensjonsforsikring'!C68+'Protector Forsikring'!C68+'SHB Liv'!C68+'Sparebank 1'!C68+'Storebrand Livsforsikring'!C68+'Telenor Forsikring'!C68+'Tryg Forsikring'!C68+'WaterCircle F'!C68</f>
        <v>105589.40124000001</v>
      </c>
      <c r="D68" s="240">
        <f t="shared" si="24"/>
        <v>-6.9</v>
      </c>
      <c r="E68" s="44">
        <f>'Fremtind Livsforsikring'!F68+'Danica Pensjonsforsikring'!F68+'DNB Livsforsikring'!F68+'Eika Forsikring AS'!F68+'Frende Livsforsikring'!F68+'Frende Skadeforsikring'!F68+'Gjensidige Forsikring'!F68+'Gjensidige Pensjon'!F68+'Handelsbanken Liv'!F68+'If Skadeforsikring NUF'!F68+KLP!F68+'KLP Bedriftspensjon AS'!F68+'KLP Skadeforsikring AS'!F68+'Landkreditt Forsikring'!F68+Insr!F68+'Nordea Liv '!F68+'Oslo Pensjonsforsikring'!F68+'Protector Forsikring'!F68+'SHB Liv'!F68+'Sparebank 1'!F68+'Storebrand Livsforsikring'!F68+'Telenor Forsikring'!F68+'Tryg Forsikring'!F68+'WaterCircle F'!F68</f>
        <v>15515185.414980002</v>
      </c>
      <c r="F68" s="44">
        <f>'Fremtind Livsforsikring'!G68+'Danica Pensjonsforsikring'!G68+'DNB Livsforsikring'!G68+'Eika Forsikring AS'!G68+'Frende Livsforsikring'!G68+'Frende Skadeforsikring'!G68+'Gjensidige Forsikring'!G68+'Gjensidige Pensjon'!G68+'Handelsbanken Liv'!G68+'If Skadeforsikring NUF'!G68+KLP!G68+'KLP Bedriftspensjon AS'!G68+'KLP Skadeforsikring AS'!G68+'Landkreditt Forsikring'!G68+Insr!G68+'Nordea Liv '!G68+'Oslo Pensjonsforsikring'!G68+'Protector Forsikring'!G68+'SHB Liv'!G68+'Sparebank 1'!G68+'Storebrand Livsforsikring'!G68+'Telenor Forsikring'!G68+'Tryg Forsikring'!G68+'WaterCircle F'!G68</f>
        <v>16653441.134599999</v>
      </c>
      <c r="G68" s="240">
        <f t="shared" ref="G68" si="29">IF(E68=0, "    ---- ", IF(ABS(ROUND(100/E68*F68-100,1))&lt;999,ROUND(100/E68*F68-100,1),IF(ROUND(100/E68*F68-100,1)&gt;999,999,-999)))</f>
        <v>7.3</v>
      </c>
      <c r="H68" s="236">
        <f t="shared" si="26"/>
        <v>15628643.959450001</v>
      </c>
      <c r="I68" s="236">
        <f t="shared" si="27"/>
        <v>16759030.535839999</v>
      </c>
      <c r="J68" s="23">
        <f t="shared" si="28"/>
        <v>7.2</v>
      </c>
    </row>
    <row r="69" spans="1:10" ht="15.75" customHeight="1" x14ac:dyDescent="0.2">
      <c r="A69" s="295" t="s">
        <v>382</v>
      </c>
      <c r="B69" s="44"/>
      <c r="C69" s="44"/>
      <c r="D69" s="27"/>
      <c r="E69" s="44"/>
      <c r="F69" s="44"/>
      <c r="G69" s="166"/>
      <c r="H69" s="236"/>
      <c r="I69" s="236"/>
      <c r="J69" s="23"/>
    </row>
    <row r="70" spans="1:10" ht="15.75" customHeight="1" x14ac:dyDescent="0.2">
      <c r="A70" s="295" t="s">
        <v>12</v>
      </c>
      <c r="B70" s="234"/>
      <c r="C70" s="234"/>
      <c r="D70" s="27"/>
      <c r="E70" s="44"/>
      <c r="F70" s="44"/>
      <c r="G70" s="166"/>
      <c r="H70" s="236"/>
      <c r="I70" s="236"/>
      <c r="J70" s="23"/>
    </row>
    <row r="71" spans="1:10" ht="15.75" customHeight="1" x14ac:dyDescent="0.2">
      <c r="A71" s="295" t="s">
        <v>13</v>
      </c>
      <c r="B71" s="234"/>
      <c r="C71" s="234"/>
      <c r="D71" s="27"/>
      <c r="E71" s="44"/>
      <c r="F71" s="44"/>
      <c r="G71" s="166"/>
      <c r="H71" s="236"/>
      <c r="I71" s="236"/>
      <c r="J71" s="23"/>
    </row>
    <row r="72" spans="1:10" ht="15.75" customHeight="1" x14ac:dyDescent="0.2">
      <c r="A72" s="295" t="s">
        <v>383</v>
      </c>
      <c r="B72" s="44"/>
      <c r="C72" s="44"/>
      <c r="D72" s="27"/>
      <c r="E72" s="44"/>
      <c r="F72" s="44"/>
      <c r="G72" s="166"/>
      <c r="H72" s="236"/>
      <c r="I72" s="236"/>
      <c r="J72" s="24"/>
    </row>
    <row r="73" spans="1:10" ht="15.75" customHeight="1" x14ac:dyDescent="0.2">
      <c r="A73" s="295" t="s">
        <v>12</v>
      </c>
      <c r="B73" s="234"/>
      <c r="C73" s="234"/>
      <c r="D73" s="27"/>
      <c r="E73" s="44"/>
      <c r="F73" s="44"/>
      <c r="G73" s="166"/>
      <c r="H73" s="236"/>
      <c r="I73" s="236"/>
      <c r="J73" s="23"/>
    </row>
    <row r="74" spans="1:10" s="3" customFormat="1" ht="15.75" customHeight="1" x14ac:dyDescent="0.2">
      <c r="A74" s="295" t="s">
        <v>13</v>
      </c>
      <c r="B74" s="234"/>
      <c r="C74" s="234"/>
      <c r="D74" s="27"/>
      <c r="E74" s="44"/>
      <c r="F74" s="44"/>
      <c r="G74" s="166"/>
      <c r="H74" s="236"/>
      <c r="I74" s="236"/>
      <c r="J74" s="23"/>
    </row>
    <row r="75" spans="1:10" s="3" customFormat="1" ht="15.75" customHeight="1" x14ac:dyDescent="0.2">
      <c r="A75" s="21" t="s">
        <v>352</v>
      </c>
      <c r="B75" s="44">
        <f>'Fremtind Livsforsikring'!B75+'Danica Pensjonsforsikring'!B75+'DNB Livsforsikring'!B75+'Eika Forsikring AS'!B75+'Frende Livsforsikring'!B75+'Frende Skadeforsikring'!B75+'Gjensidige Forsikring'!B75+'Gjensidige Pensjon'!B75+'Handelsbanken Liv'!B75+'If Skadeforsikring NUF'!B75+KLP!B75+'KLP Bedriftspensjon AS'!B75+'KLP Skadeforsikring AS'!B75+'Landkreditt Forsikring'!B75+Insr!B75+'Nordea Liv '!B75+'Oslo Pensjonsforsikring'!B75+'Protector Forsikring'!B75+'SHB Liv'!B75+'Sparebank 1'!B75+'Storebrand Livsforsikring'!B75+'Telenor Forsikring'!B75+'Tryg Forsikring'!B75+'WaterCircle F'!B75</f>
        <v>203073.50758</v>
      </c>
      <c r="C75" s="44">
        <f>'Fremtind Livsforsikring'!C75+'Danica Pensjonsforsikring'!C75+'DNB Livsforsikring'!C75+'Eika Forsikring AS'!C75+'Frende Livsforsikring'!C75+'Frende Skadeforsikring'!C75+'Gjensidige Forsikring'!C75+'Gjensidige Pensjon'!C75+'Handelsbanken Liv'!C75+'If Skadeforsikring NUF'!C75+KLP!C75+'KLP Bedriftspensjon AS'!C75+'KLP Skadeforsikring AS'!C75+'Landkreditt Forsikring'!C75+Insr!C75+'Nordea Liv '!C75+'Oslo Pensjonsforsikring'!C75+'Protector Forsikring'!C75+'SHB Liv'!C75+'Sparebank 1'!C75+'Storebrand Livsforsikring'!C75+'Telenor Forsikring'!C75+'Tryg Forsikring'!C75+'WaterCircle F'!C75</f>
        <v>228334.05906</v>
      </c>
      <c r="D75" s="23">
        <f t="shared" si="24"/>
        <v>12.4</v>
      </c>
      <c r="E75" s="44">
        <f>'Fremtind Livsforsikring'!F75+'Danica Pensjonsforsikring'!F75+'DNB Livsforsikring'!F75+'Eika Forsikring AS'!F75+'Frende Livsforsikring'!F75+'Frende Skadeforsikring'!F75+'Gjensidige Forsikring'!F75+'Gjensidige Pensjon'!F75+'Handelsbanken Liv'!F75+'If Skadeforsikring NUF'!F75+KLP!F75+'KLP Bedriftspensjon AS'!F75+'KLP Skadeforsikring AS'!F75+'Landkreditt Forsikring'!F75+Insr!F75+'Nordea Liv '!F75+'Oslo Pensjonsforsikring'!F75+'Protector Forsikring'!F75+'SHB Liv'!F75+'Sparebank 1'!F75+'Storebrand Livsforsikring'!F75+'Telenor Forsikring'!F75+'Tryg Forsikring'!F75+'WaterCircle F'!F75</f>
        <v>208518.37151999999</v>
      </c>
      <c r="F75" s="44">
        <f>'Fremtind Livsforsikring'!G75+'Danica Pensjonsforsikring'!G75+'DNB Livsforsikring'!G75+'Eika Forsikring AS'!G75+'Frende Livsforsikring'!G75+'Frende Skadeforsikring'!G75+'Gjensidige Forsikring'!G75+'Gjensidige Pensjon'!G75+'Handelsbanken Liv'!G75+'If Skadeforsikring NUF'!G75+KLP!G75+'KLP Bedriftspensjon AS'!G75+'KLP Skadeforsikring AS'!G75+'Landkreditt Forsikring'!G75+Insr!G75+'Nordea Liv '!G75+'Oslo Pensjonsforsikring'!G75+'Protector Forsikring'!G75+'SHB Liv'!G75+'Sparebank 1'!G75+'Storebrand Livsforsikring'!G75+'Telenor Forsikring'!G75+'Tryg Forsikring'!G75+'WaterCircle F'!G75</f>
        <v>682485.36375999998</v>
      </c>
      <c r="G75" s="23">
        <f t="shared" ref="G75:G79" si="30">IF(E75=0, "    ---- ", IF(ABS(ROUND(100/E75*F75-100,1))&lt;999,ROUND(100/E75*F75-100,1),IF(ROUND(100/E75*F75-100,1)&gt;999,999,-999)))</f>
        <v>227.3</v>
      </c>
      <c r="H75" s="236">
        <f t="shared" si="26"/>
        <v>411591.87910000002</v>
      </c>
      <c r="I75" s="236">
        <f t="shared" si="27"/>
        <v>910819.42281999998</v>
      </c>
      <c r="J75" s="23">
        <f t="shared" si="28"/>
        <v>121.3</v>
      </c>
    </row>
    <row r="76" spans="1:10" s="3" customFormat="1" ht="15.75" customHeight="1" x14ac:dyDescent="0.25">
      <c r="A76" s="21" t="s">
        <v>351</v>
      </c>
      <c r="B76" s="44">
        <f>'Fremtind Livsforsikring'!B76+'Danica Pensjonsforsikring'!B76+'DNB Livsforsikring'!B76+'Eika Forsikring AS'!B76+'Frende Livsforsikring'!B76+'Frende Skadeforsikring'!B76+'Gjensidige Forsikring'!B76+'Gjensidige Pensjon'!B76+'Handelsbanken Liv'!B76+'If Skadeforsikring NUF'!B76+KLP!B76+'KLP Bedriftspensjon AS'!B76+'KLP Skadeforsikring AS'!B76+'Landkreditt Forsikring'!B76+Insr!B76+'Nordea Liv '!B76+'Oslo Pensjonsforsikring'!B76+'Protector Forsikring'!B76+'SHB Liv'!B76+'Sparebank 1'!B76+'Storebrand Livsforsikring'!B76+'Telenor Forsikring'!B76+'Tryg Forsikring'!B76+'WaterCircle F'!B76</f>
        <v>880842.76344000001</v>
      </c>
      <c r="C76" s="44">
        <f>'Fremtind Livsforsikring'!C76+'Danica Pensjonsforsikring'!C76+'DNB Livsforsikring'!C76+'Eika Forsikring AS'!C76+'Frende Livsforsikring'!C76+'Frende Skadeforsikring'!C76+'Gjensidige Forsikring'!C76+'Gjensidige Pensjon'!C76+'Handelsbanken Liv'!C76+'If Skadeforsikring NUF'!C76+KLP!C76+'KLP Bedriftspensjon AS'!C76+'KLP Skadeforsikring AS'!C76+'Landkreditt Forsikring'!C76+Insr!C76+'Nordea Liv '!C76+'Oslo Pensjonsforsikring'!C76+'Protector Forsikring'!C76+'SHB Liv'!C76+'Sparebank 1'!C76+'Storebrand Livsforsikring'!C76+'Telenor Forsikring'!C76+'Tryg Forsikring'!C76+'WaterCircle F'!C76</f>
        <v>902687.03758514964</v>
      </c>
      <c r="D76" s="23">
        <f t="shared" ref="D76" si="31">IF(B76=0, "    ---- ", IF(ABS(ROUND(100/B76*C76-100,1))&lt;999,ROUND(100/B76*C76-100,1),IF(ROUND(100/B76*C76-100,1)&gt;999,999,-999)))</f>
        <v>2.5</v>
      </c>
      <c r="E76" s="44">
        <f>'Fremtind Livsforsikring'!F76+'Danica Pensjonsforsikring'!F76+'DNB Livsforsikring'!F76+'Eika Forsikring AS'!F76+'Frende Livsforsikring'!F76+'Frende Skadeforsikring'!F76+'Gjensidige Forsikring'!F76+'Gjensidige Pensjon'!F76+'Handelsbanken Liv'!F76+'If Skadeforsikring NUF'!F76+KLP!F76+'KLP Bedriftspensjon AS'!F76+'KLP Skadeforsikring AS'!F76+'Landkreditt Forsikring'!F76+Insr!F76+'Nordea Liv '!F76+'Oslo Pensjonsforsikring'!F76+'Protector Forsikring'!F76+'SHB Liv'!F76+'Sparebank 1'!F76+'Storebrand Livsforsikring'!F76+'Telenor Forsikring'!F76+'Tryg Forsikring'!F76+'WaterCircle F'!F76</f>
        <v>0</v>
      </c>
      <c r="F76" s="44">
        <f>'Fremtind Livsforsikring'!G76+'Danica Pensjonsforsikring'!G76+'DNB Livsforsikring'!G76+'Eika Forsikring AS'!G76+'Frende Livsforsikring'!G76+'Frende Skadeforsikring'!G76+'Gjensidige Forsikring'!G76+'Gjensidige Pensjon'!G76+'Handelsbanken Liv'!G76+'If Skadeforsikring NUF'!G76+KLP!G76+'KLP Bedriftspensjon AS'!G76+'KLP Skadeforsikring AS'!G76+'Landkreditt Forsikring'!G76+Insr!G76+'Nordea Liv '!G76+'Oslo Pensjonsforsikring'!G76+'Protector Forsikring'!G76+'SHB Liv'!G76+'Sparebank 1'!G76+'Storebrand Livsforsikring'!G76+'Telenor Forsikring'!G76+'Tryg Forsikring'!G76+'WaterCircle F'!G76</f>
        <v>0</v>
      </c>
      <c r="G76" s="240"/>
      <c r="H76" s="236">
        <f t="shared" ref="H76" si="32">SUM(B76,E76)</f>
        <v>880842.76344000001</v>
      </c>
      <c r="I76" s="236">
        <f t="shared" ref="I76" si="33">SUM(C76,F76)</f>
        <v>902687.03758514964</v>
      </c>
      <c r="J76" s="23">
        <f t="shared" ref="J76" si="34">IF(H76=0, "    ---- ", IF(ABS(ROUND(100/H76*I76-100,1))&lt;999,ROUND(100/H76*I76-100,1),IF(ROUND(100/H76*I76-100,1)&gt;999,999,-999)))</f>
        <v>2.5</v>
      </c>
    </row>
    <row r="77" spans="1:10" ht="15.75" customHeight="1" x14ac:dyDescent="0.25">
      <c r="A77" s="21" t="s">
        <v>384</v>
      </c>
      <c r="B77" s="44">
        <f>'Fremtind Livsforsikring'!B77+'Danica Pensjonsforsikring'!B77+'DNB Livsforsikring'!B77+'Eika Forsikring AS'!B77+'Frende Livsforsikring'!B77+'Frende Skadeforsikring'!B77+'Gjensidige Forsikring'!B77+'Gjensidige Pensjon'!B77+'Handelsbanken Liv'!B77+'If Skadeforsikring NUF'!B77+KLP!B77+'KLP Bedriftspensjon AS'!B77+'KLP Skadeforsikring AS'!B77+'Landkreditt Forsikring'!B77+Insr!B77+'Nordea Liv '!B77+'Oslo Pensjonsforsikring'!B77+'Protector Forsikring'!B77+'SHB Liv'!B77+'Sparebank 1'!B77+'Storebrand Livsforsikring'!B77+'Telenor Forsikring'!B77+'Tryg Forsikring'!B77+'WaterCircle F'!B77</f>
        <v>4197705.9498199997</v>
      </c>
      <c r="C77" s="233">
        <f>'Fremtind Livsforsikring'!C77+'Danica Pensjonsforsikring'!C77+'DNB Livsforsikring'!C77+'Eika Forsikring AS'!C77+'Frende Livsforsikring'!C77+'Frende Skadeforsikring'!C77+'Gjensidige Forsikring'!C77+'Gjensidige Pensjon'!C77+'Handelsbanken Liv'!C77+'If Skadeforsikring NUF'!C77+KLP!C77+'KLP Bedriftspensjon AS'!C77+'KLP Skadeforsikring AS'!C77+'Landkreditt Forsikring'!C77+Insr!C77+'Nordea Liv '!C77+'Oslo Pensjonsforsikring'!C77+'Protector Forsikring'!C77+'SHB Liv'!C77+'Sparebank 1'!C77+'Storebrand Livsforsikring'!C77+'Telenor Forsikring'!C77+'Tryg Forsikring'!C77+'WaterCircle F'!C77</f>
        <v>3436322.3956148503</v>
      </c>
      <c r="D77" s="23">
        <f t="shared" si="24"/>
        <v>-18.100000000000001</v>
      </c>
      <c r="E77" s="44">
        <f>'Fremtind Livsforsikring'!F77+'Danica Pensjonsforsikring'!F77+'DNB Livsforsikring'!F77+'Eika Forsikring AS'!F77+'Frende Livsforsikring'!F77+'Frende Skadeforsikring'!F77+'Gjensidige Forsikring'!F77+'Gjensidige Pensjon'!F77+'Handelsbanken Liv'!F77+'If Skadeforsikring NUF'!F77+KLP!F77+'KLP Bedriftspensjon AS'!F77+'KLP Skadeforsikring AS'!F77+'Landkreditt Forsikring'!F77+Insr!F77+'Nordea Liv '!F77+'Oslo Pensjonsforsikring'!F77+'Protector Forsikring'!F77+'SHB Liv'!F77+'Sparebank 1'!F77+'Storebrand Livsforsikring'!F77+'Telenor Forsikring'!F77+'Tryg Forsikring'!F77+'WaterCircle F'!F77</f>
        <v>15508453.745019998</v>
      </c>
      <c r="F77" s="44">
        <f>'Fremtind Livsforsikring'!G77+'Danica Pensjonsforsikring'!G77+'DNB Livsforsikring'!G77+'Eika Forsikring AS'!G77+'Frende Livsforsikring'!G77+'Frende Skadeforsikring'!G77+'Gjensidige Forsikring'!G77+'Gjensidige Pensjon'!G77+'Handelsbanken Liv'!G77+'If Skadeforsikring NUF'!G77+KLP!G77+'KLP Bedriftspensjon AS'!G77+'KLP Skadeforsikring AS'!G77+'Landkreditt Forsikring'!G77+Insr!G77+'Nordea Liv '!G77+'Oslo Pensjonsforsikring'!G77+'Protector Forsikring'!G77+'SHB Liv'!G77+'Sparebank 1'!G77+'Storebrand Livsforsikring'!G77+'Telenor Forsikring'!G77+'Tryg Forsikring'!G77+'WaterCircle F'!G77</f>
        <v>16644732.400060002</v>
      </c>
      <c r="G77" s="240">
        <f t="shared" si="30"/>
        <v>7.3</v>
      </c>
      <c r="H77" s="236">
        <f t="shared" si="26"/>
        <v>19706159.694839999</v>
      </c>
      <c r="I77" s="236">
        <f t="shared" si="27"/>
        <v>20081054.795674853</v>
      </c>
      <c r="J77" s="23">
        <f t="shared" si="28"/>
        <v>1.9</v>
      </c>
    </row>
    <row r="78" spans="1:10" ht="15.75" customHeight="1" x14ac:dyDescent="0.25">
      <c r="A78" s="21" t="s">
        <v>9</v>
      </c>
      <c r="B78" s="44">
        <f>'Fremtind Livsforsikring'!B78+'Danica Pensjonsforsikring'!B78+'DNB Livsforsikring'!B78+'Eika Forsikring AS'!B78+'Frende Livsforsikring'!B78+'Frende Skadeforsikring'!B78+'Gjensidige Forsikring'!B78+'Gjensidige Pensjon'!B78+'Handelsbanken Liv'!B78+'If Skadeforsikring NUF'!B78+KLP!B78+'KLP Bedriftspensjon AS'!B78+'KLP Skadeforsikring AS'!B78+'Landkreditt Forsikring'!B78+Insr!B78+'Nordea Liv '!B78+'Oslo Pensjonsforsikring'!B78+'Protector Forsikring'!B78+'SHB Liv'!B78+'Sparebank 1'!B78+'Storebrand Livsforsikring'!B78+'Telenor Forsikring'!B78+'Tryg Forsikring'!B78+'WaterCircle F'!B78</f>
        <v>4086328.8323499998</v>
      </c>
      <c r="C78" s="233">
        <f>'Fremtind Livsforsikring'!C78+'Danica Pensjonsforsikring'!C78+'DNB Livsforsikring'!C78+'Eika Forsikring AS'!C78+'Frende Livsforsikring'!C78+'Frende Skadeforsikring'!C78+'Gjensidige Forsikring'!C78+'Gjensidige Pensjon'!C78+'Handelsbanken Liv'!C78+'If Skadeforsikring NUF'!C78+KLP!C78+'KLP Bedriftspensjon AS'!C78+'KLP Skadeforsikring AS'!C78+'Landkreditt Forsikring'!C78+Insr!C78+'Nordea Liv '!C78+'Oslo Pensjonsforsikring'!C78+'Protector Forsikring'!C78+'SHB Liv'!C78+'Sparebank 1'!C78+'Storebrand Livsforsikring'!C78+'Telenor Forsikring'!C78+'Tryg Forsikring'!C78+'WaterCircle F'!C78</f>
        <v>3332123.9943748498</v>
      </c>
      <c r="D78" s="23">
        <f t="shared" si="24"/>
        <v>-18.5</v>
      </c>
      <c r="E78" s="44">
        <f>'Fremtind Livsforsikring'!F78+'Danica Pensjonsforsikring'!F78+'DNB Livsforsikring'!F78+'Eika Forsikring AS'!F78+'Frende Livsforsikring'!F78+'Frende Skadeforsikring'!F78+'Gjensidige Forsikring'!F78+'Gjensidige Pensjon'!F78+'Handelsbanken Liv'!F78+'If Skadeforsikring NUF'!F78+KLP!F78+'KLP Bedriftspensjon AS'!F78+'KLP Skadeforsikring AS'!F78+'Landkreditt Forsikring'!F78+Insr!F78+'Nordea Liv '!F78+'Oslo Pensjonsforsikring'!F78+'Protector Forsikring'!F78+'SHB Liv'!F78+'Sparebank 1'!F78+'Storebrand Livsforsikring'!F78+'Telenor Forsikring'!F78+'Tryg Forsikring'!F78+'WaterCircle F'!F78</f>
        <v>0</v>
      </c>
      <c r="F78" s="44">
        <f>'Fremtind Livsforsikring'!G78+'Danica Pensjonsforsikring'!G78+'DNB Livsforsikring'!G78+'Eika Forsikring AS'!G78+'Frende Livsforsikring'!G78+'Frende Skadeforsikring'!G78+'Gjensidige Forsikring'!G78+'Gjensidige Pensjon'!G78+'Handelsbanken Liv'!G78+'If Skadeforsikring NUF'!G78+KLP!G78+'KLP Bedriftspensjon AS'!G78+'KLP Skadeforsikring AS'!G78+'Landkreditt Forsikring'!G78+Insr!G78+'Nordea Liv '!G78+'Oslo Pensjonsforsikring'!G78+'Protector Forsikring'!G78+'SHB Liv'!G78+'Sparebank 1'!G78+'Storebrand Livsforsikring'!G78+'Telenor Forsikring'!G78+'Tryg Forsikring'!G78+'WaterCircle F'!G78</f>
        <v>0</v>
      </c>
      <c r="G78" s="240"/>
      <c r="H78" s="236">
        <f t="shared" si="26"/>
        <v>4086328.8323499998</v>
      </c>
      <c r="I78" s="236">
        <f t="shared" si="27"/>
        <v>3332123.9943748498</v>
      </c>
      <c r="J78" s="23">
        <f t="shared" si="28"/>
        <v>-18.5</v>
      </c>
    </row>
    <row r="79" spans="1:10" ht="15.75" customHeight="1" x14ac:dyDescent="0.25">
      <c r="A79" s="21" t="s">
        <v>10</v>
      </c>
      <c r="B79" s="44">
        <f>'Fremtind Livsforsikring'!B79+'Danica Pensjonsforsikring'!B79+'DNB Livsforsikring'!B79+'Eika Forsikring AS'!B79+'Frende Livsforsikring'!B79+'Frende Skadeforsikring'!B79+'Gjensidige Forsikring'!B79+'Gjensidige Pensjon'!B79+'Handelsbanken Liv'!B79+'If Skadeforsikring NUF'!B79+KLP!B79+'KLP Bedriftspensjon AS'!B79+'KLP Skadeforsikring AS'!B79+'Landkreditt Forsikring'!B79+Insr!B79+'Nordea Liv '!B79+'Oslo Pensjonsforsikring'!B79+'Protector Forsikring'!B79+'SHB Liv'!B79+'Sparebank 1'!B79+'Storebrand Livsforsikring'!B79+'Telenor Forsikring'!B79+'Tryg Forsikring'!B79+'WaterCircle F'!B79</f>
        <v>111377.11747</v>
      </c>
      <c r="C79" s="145">
        <f>'Fremtind Livsforsikring'!C79+'Danica Pensjonsforsikring'!C79+'DNB Livsforsikring'!C79+'Eika Forsikring AS'!C79+'Frende Livsforsikring'!C79+'Frende Skadeforsikring'!C79+'Gjensidige Forsikring'!C79+'Gjensidige Pensjon'!C79+'Handelsbanken Liv'!C79+'If Skadeforsikring NUF'!C79+KLP!C79+'KLP Bedriftspensjon AS'!C79+'KLP Skadeforsikring AS'!C79+'Landkreditt Forsikring'!C79+Insr!C79+'Nordea Liv '!C79+'Oslo Pensjonsforsikring'!C79+'Protector Forsikring'!C79+'SHB Liv'!C79+'Sparebank 1'!C79+'Storebrand Livsforsikring'!C79+'Telenor Forsikring'!C79+'Tryg Forsikring'!C79+'WaterCircle F'!C79</f>
        <v>104198.40124000001</v>
      </c>
      <c r="D79" s="23">
        <f t="shared" si="24"/>
        <v>-6.4</v>
      </c>
      <c r="E79" s="44">
        <f>'Fremtind Livsforsikring'!F79+'Danica Pensjonsforsikring'!F79+'DNB Livsforsikring'!F79+'Eika Forsikring AS'!F79+'Frende Livsforsikring'!F79+'Frende Skadeforsikring'!F79+'Gjensidige Forsikring'!F79+'Gjensidige Pensjon'!F79+'Handelsbanken Liv'!F79+'If Skadeforsikring NUF'!F79+KLP!F79+'KLP Bedriftspensjon AS'!F79+'KLP Skadeforsikring AS'!F79+'Landkreditt Forsikring'!F79+Insr!F79+'Nordea Liv '!F79+'Oslo Pensjonsforsikring'!F79+'Protector Forsikring'!F79+'SHB Liv'!F79+'Sparebank 1'!F79+'Storebrand Livsforsikring'!F79+'Telenor Forsikring'!F79+'Tryg Forsikring'!F79+'WaterCircle F'!F79</f>
        <v>15508453.745019998</v>
      </c>
      <c r="F79" s="44">
        <f>'Fremtind Livsforsikring'!G79+'Danica Pensjonsforsikring'!G79+'DNB Livsforsikring'!G79+'Eika Forsikring AS'!G79+'Frende Livsforsikring'!G79+'Frende Skadeforsikring'!G79+'Gjensidige Forsikring'!G79+'Gjensidige Pensjon'!G79+'Handelsbanken Liv'!G79+'If Skadeforsikring NUF'!G79+KLP!G79+'KLP Bedriftspensjon AS'!G79+'KLP Skadeforsikring AS'!G79+'Landkreditt Forsikring'!G79+Insr!G79+'Nordea Liv '!G79+'Oslo Pensjonsforsikring'!G79+'Protector Forsikring'!G79+'SHB Liv'!G79+'Sparebank 1'!G79+'Storebrand Livsforsikring'!G79+'Telenor Forsikring'!G79+'Tryg Forsikring'!G79+'WaterCircle F'!G79</f>
        <v>16644732.400060002</v>
      </c>
      <c r="G79" s="240">
        <f t="shared" si="30"/>
        <v>7.3</v>
      </c>
      <c r="H79" s="236">
        <f t="shared" si="26"/>
        <v>15619830.862489998</v>
      </c>
      <c r="I79" s="236">
        <f t="shared" si="27"/>
        <v>16748930.801300002</v>
      </c>
      <c r="J79" s="23">
        <f t="shared" si="28"/>
        <v>7.2</v>
      </c>
    </row>
    <row r="80" spans="1:10" ht="15.75" customHeight="1" x14ac:dyDescent="0.2">
      <c r="A80" s="295" t="s">
        <v>382</v>
      </c>
      <c r="B80" s="44"/>
      <c r="C80" s="44"/>
      <c r="D80" s="27"/>
      <c r="E80" s="44"/>
      <c r="F80" s="44"/>
      <c r="G80" s="166"/>
      <c r="H80" s="236"/>
      <c r="I80" s="236"/>
      <c r="J80" s="23"/>
    </row>
    <row r="81" spans="1:13" ht="15.75" customHeight="1" x14ac:dyDescent="0.2">
      <c r="A81" s="295" t="s">
        <v>12</v>
      </c>
      <c r="B81" s="234"/>
      <c r="C81" s="234"/>
      <c r="D81" s="27"/>
      <c r="E81" s="44"/>
      <c r="F81" s="44"/>
      <c r="G81" s="166"/>
      <c r="H81" s="236"/>
      <c r="I81" s="236"/>
      <c r="J81" s="23"/>
    </row>
    <row r="82" spans="1:13" ht="15.75" customHeight="1" x14ac:dyDescent="0.2">
      <c r="A82" s="295" t="s">
        <v>13</v>
      </c>
      <c r="B82" s="234"/>
      <c r="C82" s="234"/>
      <c r="D82" s="27"/>
      <c r="E82" s="44"/>
      <c r="F82" s="44"/>
      <c r="G82" s="166"/>
      <c r="H82" s="236"/>
      <c r="I82" s="236"/>
      <c r="J82" s="23"/>
    </row>
    <row r="83" spans="1:13" ht="15.75" customHeight="1" x14ac:dyDescent="0.2">
      <c r="A83" s="295" t="s">
        <v>383</v>
      </c>
      <c r="B83" s="44"/>
      <c r="C83" s="44"/>
      <c r="D83" s="27"/>
      <c r="E83" s="44"/>
      <c r="F83" s="44"/>
      <c r="G83" s="166"/>
      <c r="H83" s="236"/>
      <c r="I83" s="236"/>
      <c r="J83" s="24"/>
    </row>
    <row r="84" spans="1:13" ht="15.75" customHeight="1" x14ac:dyDescent="0.2">
      <c r="A84" s="295" t="s">
        <v>12</v>
      </c>
      <c r="B84" s="234"/>
      <c r="C84" s="234"/>
      <c r="D84" s="27"/>
      <c r="E84" s="44"/>
      <c r="F84" s="44"/>
      <c r="G84" s="166"/>
      <c r="H84" s="236"/>
      <c r="I84" s="236"/>
      <c r="J84" s="23"/>
    </row>
    <row r="85" spans="1:13" ht="15.75" customHeight="1" x14ac:dyDescent="0.2">
      <c r="A85" s="295" t="s">
        <v>13</v>
      </c>
      <c r="B85" s="234"/>
      <c r="C85" s="234"/>
      <c r="D85" s="27"/>
      <c r="E85" s="44"/>
      <c r="F85" s="44"/>
      <c r="G85" s="166"/>
      <c r="H85" s="236"/>
      <c r="I85" s="236"/>
      <c r="J85" s="23"/>
    </row>
    <row r="86" spans="1:13" ht="15.75" customHeight="1" x14ac:dyDescent="0.25">
      <c r="A86" s="21" t="s">
        <v>385</v>
      </c>
      <c r="B86" s="233">
        <f>'Fremtind Livsforsikring'!B86+'Danica Pensjonsforsikring'!B86+'DNB Livsforsikring'!B86+'Eika Forsikring AS'!B86+'Frende Livsforsikring'!B86+'Frende Skadeforsikring'!B86+'Gjensidige Forsikring'!B86+'Gjensidige Pensjon'!B86+'Handelsbanken Liv'!B86+'If Skadeforsikring NUF'!B86+KLP!B86+'KLP Bedriftspensjon AS'!B86+'KLP Skadeforsikring AS'!B86+'Landkreditt Forsikring'!B86+Insr!B86+'Nordea Liv '!B86+'Oslo Pensjonsforsikring'!B86+'Protector Forsikring'!B86+'SHB Liv'!B86+'Sparebank 1'!B86+'Storebrand Livsforsikring'!B86+'Telenor Forsikring'!B86+'Tryg Forsikring'!B86+'WaterCircle F'!B86</f>
        <v>89772.111999999994</v>
      </c>
      <c r="C86" s="233">
        <f>'Fremtind Livsforsikring'!C86+'Danica Pensjonsforsikring'!C86+'DNB Livsforsikring'!C86+'Eika Forsikring AS'!C86+'Frende Livsforsikring'!C86+'Frende Skadeforsikring'!C86+'Gjensidige Forsikring'!C86+'Gjensidige Pensjon'!C86+'Handelsbanken Liv'!C86+'If Skadeforsikring NUF'!C86+KLP!C86+'KLP Bedriftspensjon AS'!C86+'KLP Skadeforsikring AS'!C86+'Landkreditt Forsikring'!C86+Insr!C86+'Nordea Liv '!C86+'Oslo Pensjonsforsikring'!C86+'Protector Forsikring'!C86+'SHB Liv'!C86+'Sparebank 1'!C86+'Storebrand Livsforsikring'!C86+'Telenor Forsikring'!C86+'Tryg Forsikring'!C86+'WaterCircle F'!C86</f>
        <v>134541.53999999998</v>
      </c>
      <c r="D86" s="23">
        <f t="shared" si="24"/>
        <v>49.9</v>
      </c>
      <c r="E86" s="44">
        <f>'Fremtind Livsforsikring'!F86+'Danica Pensjonsforsikring'!F86+'DNB Livsforsikring'!F86+'Eika Forsikring AS'!F86+'Frende Livsforsikring'!F86+'Frende Skadeforsikring'!F86+'Gjensidige Forsikring'!F86+'Gjensidige Pensjon'!F86+'Handelsbanken Liv'!F86+'If Skadeforsikring NUF'!F86+KLP!F86+'KLP Bedriftspensjon AS'!F86+'KLP Skadeforsikring AS'!F86+'Landkreditt Forsikring'!F86+Insr!F86+'Nordea Liv '!F86+'Oslo Pensjonsforsikring'!F86+'Protector Forsikring'!F86+'SHB Liv'!F86+'Sparebank 1'!F86+'Storebrand Livsforsikring'!F86+'Telenor Forsikring'!F86+'Tryg Forsikring'!F86+'WaterCircle F'!F86</f>
        <v>6731.6699600000002</v>
      </c>
      <c r="F86" s="44">
        <f>'Fremtind Livsforsikring'!G86+'Danica Pensjonsforsikring'!G86+'DNB Livsforsikring'!G86+'Eika Forsikring AS'!G86+'Frende Livsforsikring'!G86+'Frende Skadeforsikring'!G86+'Gjensidige Forsikring'!G86+'Gjensidige Pensjon'!G86+'Handelsbanken Liv'!G86+'If Skadeforsikring NUF'!G86+KLP!G86+'KLP Bedriftspensjon AS'!G86+'KLP Skadeforsikring AS'!G86+'Landkreditt Forsikring'!G86+Insr!G86+'Nordea Liv '!G86+'Oslo Pensjonsforsikring'!G86+'Protector Forsikring'!G86+'SHB Liv'!G86+'Sparebank 1'!G86+'Storebrand Livsforsikring'!G86+'Telenor Forsikring'!G86+'Tryg Forsikring'!G86+'WaterCircle F'!G86</f>
        <v>8708.7345399999995</v>
      </c>
      <c r="G86" s="240">
        <f t="shared" ref="G86:G89" si="35">IF(E86=0, "    ---- ", IF(ABS(ROUND(100/E86*F86-100,1))&lt;999,ROUND(100/E86*F86-100,1),IF(ROUND(100/E86*F86-100,1)&gt;999,999,-999)))</f>
        <v>29.4</v>
      </c>
      <c r="H86" s="236">
        <f t="shared" si="26"/>
        <v>96503.781959999993</v>
      </c>
      <c r="I86" s="236">
        <f t="shared" si="27"/>
        <v>143250.27453999998</v>
      </c>
      <c r="J86" s="23">
        <f t="shared" si="28"/>
        <v>48.4</v>
      </c>
    </row>
    <row r="87" spans="1:13" s="43" customFormat="1" ht="15.75" customHeight="1" x14ac:dyDescent="0.25">
      <c r="A87" s="13" t="s">
        <v>367</v>
      </c>
      <c r="B87" s="307">
        <f>'Fremtind Livsforsikring'!B87+'Danica Pensjonsforsikring'!B87+'DNB Livsforsikring'!B87+'Eika Forsikring AS'!B87+'Frende Livsforsikring'!B87+'Frende Skadeforsikring'!B87+'Gjensidige Forsikring'!B87+'Gjensidige Pensjon'!B87+'Handelsbanken Liv'!B87+'If Skadeforsikring NUF'!B87+KLP!B87+'KLP Bedriftspensjon AS'!B87+'KLP Skadeforsikring AS'!B87+'Landkreditt Forsikring'!B87+Insr!B87+'Nordea Liv '!B87+'Oslo Pensjonsforsikring'!B87+'Protector Forsikring'!B87+'SHB Liv'!B87+'Sparebank 1'!B87+'Storebrand Livsforsikring'!B87+'Telenor Forsikring'!B87+'Tryg Forsikring'!B87+'WaterCircle F'!B87</f>
        <v>389885695.19011629</v>
      </c>
      <c r="C87" s="307">
        <f>'Fremtind Livsforsikring'!C87+'Danica Pensjonsforsikring'!C87+'DNB Livsforsikring'!C87+'Eika Forsikring AS'!C87+'Frende Livsforsikring'!C87+'Frende Skadeforsikring'!C87+'Gjensidige Forsikring'!C87+'Gjensidige Pensjon'!C87+'Handelsbanken Liv'!C87+'If Skadeforsikring NUF'!C87+KLP!C87+'KLP Bedriftspensjon AS'!C87+'KLP Skadeforsikring AS'!C87+'Landkreditt Forsikring'!C87+Insr!C87+'Nordea Liv '!C87+'Oslo Pensjonsforsikring'!C87+'Protector Forsikring'!C87+'SHB Liv'!C87+'Sparebank 1'!C87+'Storebrand Livsforsikring'!C87+'Telenor Forsikring'!C87+'Tryg Forsikring'!C87+'WaterCircle F'!C87</f>
        <v>392962991.43437672</v>
      </c>
      <c r="D87" s="24">
        <f t="shared" si="24"/>
        <v>0.8</v>
      </c>
      <c r="E87" s="235">
        <f>'Fremtind Livsforsikring'!F87+'Danica Pensjonsforsikring'!F87+'DNB Livsforsikring'!F87+'Eika Forsikring AS'!F87+'Frende Livsforsikring'!F87+'Frende Skadeforsikring'!F87+'Gjensidige Forsikring'!F87+'Gjensidige Pensjon'!F87+'Handelsbanken Liv'!F87+'If Skadeforsikring NUF'!F87+KLP!F87+'KLP Bedriftspensjon AS'!F87+'KLP Skadeforsikring AS'!F87+'Landkreditt Forsikring'!F87+Insr!F87+'Nordea Liv '!F87+'Oslo Pensjonsforsikring'!F87+'Protector Forsikring'!F87+'SHB Liv'!F87+'Sparebank 1'!F87+'Storebrand Livsforsikring'!F87+'Telenor Forsikring'!F87+'Tryg Forsikring'!F87+'WaterCircle F'!F87</f>
        <v>283834336.74636626</v>
      </c>
      <c r="F87" s="235">
        <f>'Fremtind Livsforsikring'!G87+'Danica Pensjonsforsikring'!G87+'DNB Livsforsikring'!G87+'Eika Forsikring AS'!G87+'Frende Livsforsikring'!G87+'Frende Skadeforsikring'!G87+'Gjensidige Forsikring'!G87+'Gjensidige Pensjon'!G87+'Handelsbanken Liv'!G87+'If Skadeforsikring NUF'!G87+KLP!G87+'KLP Bedriftspensjon AS'!G87+'KLP Skadeforsikring AS'!G87+'Landkreditt Forsikring'!G87+Insr!G87+'Nordea Liv '!G87+'Oslo Pensjonsforsikring'!G87+'Protector Forsikring'!G87+'SHB Liv'!G87+'Sparebank 1'!G87+'Storebrand Livsforsikring'!G87+'Telenor Forsikring'!G87+'Tryg Forsikring'!G87+'WaterCircle F'!G87</f>
        <v>317586869.18335998</v>
      </c>
      <c r="G87" s="706">
        <f t="shared" si="35"/>
        <v>11.9</v>
      </c>
      <c r="H87" s="328">
        <f t="shared" ref="H87:H111" si="36">SUM(B87,E87)</f>
        <v>673720031.93648255</v>
      </c>
      <c r="I87" s="328">
        <f t="shared" ref="I87:I111" si="37">SUM(C87,F87)</f>
        <v>710549860.6177367</v>
      </c>
      <c r="J87" s="24">
        <f t="shared" si="28"/>
        <v>5.5</v>
      </c>
    </row>
    <row r="88" spans="1:13" ht="15.75" customHeight="1" x14ac:dyDescent="0.25">
      <c r="A88" s="21" t="s">
        <v>9</v>
      </c>
      <c r="B88" s="233">
        <f>'Fremtind Livsforsikring'!B88+'Danica Pensjonsforsikring'!B88+'DNB Livsforsikring'!B88+'Eika Forsikring AS'!B88+'Frende Livsforsikring'!B88+'Frende Skadeforsikring'!B88+'Gjensidige Forsikring'!B88+'Gjensidige Pensjon'!B88+'Handelsbanken Liv'!B88+'If Skadeforsikring NUF'!B88+KLP!B88+'KLP Bedriftspensjon AS'!B88+'KLP Skadeforsikring AS'!B88+'Landkreditt Forsikring'!B88+Insr!B88+'Nordea Liv '!B88+'Oslo Pensjonsforsikring'!B88+'Protector Forsikring'!B88+'SHB Liv'!B88+'Sparebank 1'!B88+'Storebrand Livsforsikring'!B88+'Telenor Forsikring'!B88+'Tryg Forsikring'!B88+'WaterCircle F'!B88</f>
        <v>380796665.74501562</v>
      </c>
      <c r="C88" s="233">
        <f>'Fremtind Livsforsikring'!C88+'Danica Pensjonsforsikring'!C88+'DNB Livsforsikring'!C88+'Eika Forsikring AS'!C88+'Frende Livsforsikring'!C88+'Frende Skadeforsikring'!C88+'Gjensidige Forsikring'!C88+'Gjensidige Pensjon'!C88+'Handelsbanken Liv'!C88+'If Skadeforsikring NUF'!C88+KLP!C88+'KLP Bedriftspensjon AS'!C88+'KLP Skadeforsikring AS'!C88+'Landkreditt Forsikring'!C88+Insr!C88+'Nordea Liv '!C88+'Oslo Pensjonsforsikring'!C88+'Protector Forsikring'!C88+'SHB Liv'!C88+'Sparebank 1'!C88+'Storebrand Livsforsikring'!C88+'Telenor Forsikring'!C88+'Tryg Forsikring'!C88+'WaterCircle F'!C88</f>
        <v>381748471.1627332</v>
      </c>
      <c r="D88" s="23">
        <f t="shared" si="24"/>
        <v>0.2</v>
      </c>
      <c r="E88" s="44">
        <f>'Fremtind Livsforsikring'!F88+'Danica Pensjonsforsikring'!F88+'DNB Livsforsikring'!F88+'Eika Forsikring AS'!F88+'Frende Livsforsikring'!F88+'Frende Skadeforsikring'!F88+'Gjensidige Forsikring'!F88+'Gjensidige Pensjon'!F88+'Handelsbanken Liv'!F88+'If Skadeforsikring NUF'!F88+KLP!F88+'KLP Bedriftspensjon AS'!F88+'KLP Skadeforsikring AS'!F88+'Landkreditt Forsikring'!F88+Insr!F88+'Nordea Liv '!F88+'Oslo Pensjonsforsikring'!F88+'Protector Forsikring'!F88+'SHB Liv'!F88+'Sparebank 1'!F88+'Storebrand Livsforsikring'!F88+'Telenor Forsikring'!F88+'Tryg Forsikring'!F88+'WaterCircle F'!F88</f>
        <v>0</v>
      </c>
      <c r="F88" s="44">
        <f>'Fremtind Livsforsikring'!G88+'Danica Pensjonsforsikring'!G88+'DNB Livsforsikring'!G88+'Eika Forsikring AS'!G88+'Frende Livsforsikring'!G88+'Frende Skadeforsikring'!G88+'Gjensidige Forsikring'!G88+'Gjensidige Pensjon'!G88+'Handelsbanken Liv'!G88+'If Skadeforsikring NUF'!G88+KLP!G88+'KLP Bedriftspensjon AS'!G88+'KLP Skadeforsikring AS'!G88+'Landkreditt Forsikring'!G88+Insr!G88+'Nordea Liv '!G88+'Oslo Pensjonsforsikring'!G88+'Protector Forsikring'!G88+'SHB Liv'!G88+'Sparebank 1'!G88+'Storebrand Livsforsikring'!G88+'Telenor Forsikring'!G88+'Tryg Forsikring'!G88+'WaterCircle F'!G88</f>
        <v>0</v>
      </c>
      <c r="G88" s="240"/>
      <c r="H88" s="236">
        <f t="shared" si="36"/>
        <v>380796665.74501562</v>
      </c>
      <c r="I88" s="236">
        <f t="shared" si="37"/>
        <v>381748471.1627332</v>
      </c>
      <c r="J88" s="23">
        <f t="shared" si="28"/>
        <v>0.2</v>
      </c>
      <c r="L88" s="149"/>
    </row>
    <row r="89" spans="1:13" ht="15.75" customHeight="1" x14ac:dyDescent="0.25">
      <c r="A89" s="21" t="s">
        <v>10</v>
      </c>
      <c r="B89" s="233">
        <f>'Fremtind Livsforsikring'!B89+'Danica Pensjonsforsikring'!B89+'DNB Livsforsikring'!B89+'Eika Forsikring AS'!B89+'Frende Livsforsikring'!B89+'Frende Skadeforsikring'!B89+'Gjensidige Forsikring'!B89+'Gjensidige Pensjon'!B89+'Handelsbanken Liv'!B89+'If Skadeforsikring NUF'!B89+KLP!B89+'KLP Bedriftspensjon AS'!B89+'KLP Skadeforsikring AS'!B89+'Landkreditt Forsikring'!B89+Insr!B89+'Nordea Liv '!B89+'Oslo Pensjonsforsikring'!B89+'Protector Forsikring'!B89+'SHB Liv'!B89+'Sparebank 1'!B89+'Storebrand Livsforsikring'!B89+'Telenor Forsikring'!B89+'Tryg Forsikring'!B89+'WaterCircle F'!B89</f>
        <v>2922228.1409006999</v>
      </c>
      <c r="C89" s="233">
        <f>'Fremtind Livsforsikring'!C89+'Danica Pensjonsforsikring'!C89+'DNB Livsforsikring'!C89+'Eika Forsikring AS'!C89+'Frende Livsforsikring'!C89+'Frende Skadeforsikring'!C89+'Gjensidige Forsikring'!C89+'Gjensidige Pensjon'!C89+'Handelsbanken Liv'!C89+'If Skadeforsikring NUF'!C89+KLP!C89+'KLP Bedriftspensjon AS'!C89+'KLP Skadeforsikring AS'!C89+'Landkreditt Forsikring'!C89+Insr!C89+'Nordea Liv '!C89+'Oslo Pensjonsforsikring'!C89+'Protector Forsikring'!C89+'SHB Liv'!C89+'Sparebank 1'!C89+'Storebrand Livsforsikring'!C89+'Telenor Forsikring'!C89+'Tryg Forsikring'!C89+'WaterCircle F'!C89</f>
        <v>3174025.9301235098</v>
      </c>
      <c r="D89" s="23">
        <f t="shared" si="24"/>
        <v>8.6</v>
      </c>
      <c r="E89" s="44">
        <f>'Fremtind Livsforsikring'!F89+'Danica Pensjonsforsikring'!F89+'DNB Livsforsikring'!F89+'Eika Forsikring AS'!F89+'Frende Livsforsikring'!F89+'Frende Skadeforsikring'!F89+'Gjensidige Forsikring'!F89+'Gjensidige Pensjon'!F89+'Handelsbanken Liv'!F89+'If Skadeforsikring NUF'!F89+KLP!F89+'KLP Bedriftspensjon AS'!F89+'KLP Skadeforsikring AS'!F89+'Landkreditt Forsikring'!F89+Insr!F89+'Nordea Liv '!F89+'Oslo Pensjonsforsikring'!F89+'Protector Forsikring'!F89+'SHB Liv'!F89+'Sparebank 1'!F89+'Storebrand Livsforsikring'!F89+'Telenor Forsikring'!F89+'Tryg Forsikring'!F89+'WaterCircle F'!F89</f>
        <v>282533539.23976624</v>
      </c>
      <c r="F89" s="44">
        <f>'Fremtind Livsforsikring'!G89+'Danica Pensjonsforsikring'!G89+'DNB Livsforsikring'!G89+'Eika Forsikring AS'!G89+'Frende Livsforsikring'!G89+'Frende Skadeforsikring'!G89+'Gjensidige Forsikring'!G89+'Gjensidige Pensjon'!G89+'Handelsbanken Liv'!G89+'If Skadeforsikring NUF'!G89+KLP!G89+'KLP Bedriftspensjon AS'!G89+'KLP Skadeforsikring AS'!G89+'Landkreditt Forsikring'!G89+Insr!G89+'Nordea Liv '!G89+'Oslo Pensjonsforsikring'!G89+'Protector Forsikring'!G89+'SHB Liv'!G89+'Sparebank 1'!G89+'Storebrand Livsforsikring'!G89+'Telenor Forsikring'!G89+'Tryg Forsikring'!G89+'WaterCircle F'!G89</f>
        <v>315390839.35684997</v>
      </c>
      <c r="G89" s="240">
        <f t="shared" si="35"/>
        <v>11.6</v>
      </c>
      <c r="H89" s="236">
        <f t="shared" si="36"/>
        <v>285455767.38066691</v>
      </c>
      <c r="I89" s="236">
        <f t="shared" si="37"/>
        <v>318564865.28697348</v>
      </c>
      <c r="J89" s="23">
        <f t="shared" si="28"/>
        <v>11.6</v>
      </c>
      <c r="L89" s="149"/>
    </row>
    <row r="90" spans="1:13" ht="15.75" customHeight="1" x14ac:dyDescent="0.2">
      <c r="A90" s="295" t="s">
        <v>382</v>
      </c>
      <c r="B90" s="44"/>
      <c r="C90" s="44"/>
      <c r="D90" s="27"/>
      <c r="E90" s="44"/>
      <c r="F90" s="44"/>
      <c r="G90" s="166"/>
      <c r="H90" s="236"/>
      <c r="I90" s="236"/>
      <c r="J90" s="23"/>
      <c r="M90" s="149"/>
    </row>
    <row r="91" spans="1:13" ht="15.75" customHeight="1" x14ac:dyDescent="0.2">
      <c r="A91" s="295" t="s">
        <v>12</v>
      </c>
      <c r="B91" s="234"/>
      <c r="C91" s="234"/>
      <c r="D91" s="27"/>
      <c r="E91" s="44"/>
      <c r="F91" s="44"/>
      <c r="G91" s="166"/>
      <c r="H91" s="236"/>
      <c r="I91" s="236"/>
      <c r="J91" s="23"/>
    </row>
    <row r="92" spans="1:13" ht="15.75" customHeight="1" x14ac:dyDescent="0.2">
      <c r="A92" s="295" t="s">
        <v>13</v>
      </c>
      <c r="B92" s="234"/>
      <c r="C92" s="234"/>
      <c r="D92" s="27"/>
      <c r="E92" s="44"/>
      <c r="F92" s="44"/>
      <c r="G92" s="166"/>
      <c r="H92" s="236"/>
      <c r="I92" s="236"/>
      <c r="J92" s="23"/>
    </row>
    <row r="93" spans="1:13" ht="15.75" customHeight="1" x14ac:dyDescent="0.2">
      <c r="A93" s="295" t="s">
        <v>383</v>
      </c>
      <c r="B93" s="44"/>
      <c r="C93" s="44"/>
      <c r="D93" s="27"/>
      <c r="E93" s="44"/>
      <c r="F93" s="44"/>
      <c r="G93" s="166"/>
      <c r="H93" s="236"/>
      <c r="I93" s="236"/>
      <c r="J93" s="23"/>
    </row>
    <row r="94" spans="1:13" ht="15.75" customHeight="1" x14ac:dyDescent="0.2">
      <c r="A94" s="295" t="s">
        <v>12</v>
      </c>
      <c r="B94" s="234"/>
      <c r="C94" s="234"/>
      <c r="D94" s="27"/>
      <c r="E94" s="44"/>
      <c r="F94" s="44"/>
      <c r="G94" s="166"/>
      <c r="H94" s="236"/>
      <c r="I94" s="236"/>
      <c r="J94" s="23"/>
    </row>
    <row r="95" spans="1:13" ht="15.75" customHeight="1" x14ac:dyDescent="0.2">
      <c r="A95" s="295" t="s">
        <v>13</v>
      </c>
      <c r="B95" s="234"/>
      <c r="C95" s="234"/>
      <c r="D95" s="27"/>
      <c r="E95" s="44"/>
      <c r="F95" s="44"/>
      <c r="G95" s="166"/>
      <c r="H95" s="236"/>
      <c r="I95" s="236"/>
      <c r="J95" s="23"/>
    </row>
    <row r="96" spans="1:13" ht="15.75" customHeight="1" x14ac:dyDescent="0.25">
      <c r="A96" s="21" t="s">
        <v>352</v>
      </c>
      <c r="B96" s="233">
        <f>'Fremtind Livsforsikring'!B96+'Danica Pensjonsforsikring'!B96+'DNB Livsforsikring'!B96+'Eika Forsikring AS'!B96+'Frende Livsforsikring'!B96+'Frende Skadeforsikring'!B96+'Gjensidige Forsikring'!B96+'Gjensidige Pensjon'!B96+'Handelsbanken Liv'!B96+'If Skadeforsikring NUF'!B96+KLP!B96+'KLP Bedriftspensjon AS'!B96+'KLP Skadeforsikring AS'!B96+'Landkreditt Forsikring'!B96+Insr!B96+'Nordea Liv '!B96+'Oslo Pensjonsforsikring'!B96+'Protector Forsikring'!B96+'SHB Liv'!B96+'Sparebank 1'!B96+'Storebrand Livsforsikring'!B96+'Telenor Forsikring'!B96+'Tryg Forsikring'!B96+'WaterCircle F'!B96</f>
        <v>1120597.0015499999</v>
      </c>
      <c r="C96" s="233">
        <f>'Fremtind Livsforsikring'!C96+'Danica Pensjonsforsikring'!C96+'DNB Livsforsikring'!C96+'Eika Forsikring AS'!C96+'Frende Livsforsikring'!C96+'Frende Skadeforsikring'!C96+'Gjensidige Forsikring'!C96+'Gjensidige Pensjon'!C96+'Handelsbanken Liv'!C96+'If Skadeforsikring NUF'!C96+KLP!C96+'KLP Bedriftspensjon AS'!C96+'KLP Skadeforsikring AS'!C96+'Landkreditt Forsikring'!C96+Insr!C96+'Nordea Liv '!C96+'Oslo Pensjonsforsikring'!C96+'Protector Forsikring'!C96+'SHB Liv'!C96+'Sparebank 1'!C96+'Storebrand Livsforsikring'!C96+'Telenor Forsikring'!C96+'Tryg Forsikring'!C96+'WaterCircle F'!C96</f>
        <v>1683130.4755699998</v>
      </c>
      <c r="D96" s="23">
        <f t="shared" si="24"/>
        <v>50.2</v>
      </c>
      <c r="E96" s="44">
        <f>'Fremtind Livsforsikring'!F96+'Danica Pensjonsforsikring'!F96+'DNB Livsforsikring'!F96+'Eika Forsikring AS'!F96+'Frende Livsforsikring'!F96+'Frende Skadeforsikring'!F96+'Gjensidige Forsikring'!F96+'Gjensidige Pensjon'!F96+'Handelsbanken Liv'!F96+'If Skadeforsikring NUF'!F96+KLP!F96+'KLP Bedriftspensjon AS'!F96+'KLP Skadeforsikring AS'!F96+'Landkreditt Forsikring'!F96+Insr!F96+'Nordea Liv '!F96+'Oslo Pensjonsforsikring'!F96+'Protector Forsikring'!F96+'SHB Liv'!F96+'Sparebank 1'!F96+'Storebrand Livsforsikring'!F96+'Telenor Forsikring'!F96+'Tryg Forsikring'!F96+'WaterCircle F'!F96</f>
        <v>1300797.5066</v>
      </c>
      <c r="F96" s="44">
        <f>'Fremtind Livsforsikring'!G96+'Danica Pensjonsforsikring'!G96+'DNB Livsforsikring'!G96+'Eika Forsikring AS'!G96+'Frende Livsforsikring'!G96+'Frende Skadeforsikring'!G96+'Gjensidige Forsikring'!G96+'Gjensidige Pensjon'!G96+'Handelsbanken Liv'!G96+'If Skadeforsikring NUF'!G96+KLP!G96+'KLP Bedriftspensjon AS'!G96+'KLP Skadeforsikring AS'!G96+'Landkreditt Forsikring'!G96+Insr!G96+'Nordea Liv '!G96+'Oslo Pensjonsforsikring'!G96+'Protector Forsikring'!G96+'SHB Liv'!G96+'Sparebank 1'!G96+'Storebrand Livsforsikring'!G96+'Telenor Forsikring'!G96+'Tryg Forsikring'!G96+'WaterCircle F'!G96</f>
        <v>2196029.82651</v>
      </c>
      <c r="G96" s="240">
        <f t="shared" ref="G96:G100" si="38">IF(E96=0, "    ---- ", IF(ABS(ROUND(100/E96*F96-100,1))&lt;999,ROUND(100/E96*F96-100,1),IF(ROUND(100/E96*F96-100,1)&gt;999,999,-999)))</f>
        <v>68.8</v>
      </c>
      <c r="H96" s="236">
        <f t="shared" si="36"/>
        <v>2421394.5081500001</v>
      </c>
      <c r="I96" s="236">
        <f t="shared" si="37"/>
        <v>3879160.3020799998</v>
      </c>
      <c r="J96" s="23">
        <f t="shared" si="28"/>
        <v>60.2</v>
      </c>
    </row>
    <row r="97" spans="1:10" ht="15.75" customHeight="1" x14ac:dyDescent="0.25">
      <c r="A97" s="21" t="s">
        <v>351</v>
      </c>
      <c r="B97" s="233">
        <f>'Fremtind Livsforsikring'!B97+'Danica Pensjonsforsikring'!B97+'DNB Livsforsikring'!B97+'Eika Forsikring AS'!B97+'Frende Livsforsikring'!B97+'Frende Skadeforsikring'!B97+'Gjensidige Forsikring'!B97+'Gjensidige Pensjon'!B97+'Handelsbanken Liv'!B97+'If Skadeforsikring NUF'!B97+KLP!B97+'KLP Bedriftspensjon AS'!B97+'KLP Skadeforsikring AS'!B97+'Landkreditt Forsikring'!B97+Insr!B97+'Nordea Liv '!B97+'Oslo Pensjonsforsikring'!B97+'Protector Forsikring'!B97+'SHB Liv'!B97+'Sparebank 1'!B97+'Storebrand Livsforsikring'!B97+'Telenor Forsikring'!B97+'Tryg Forsikring'!B97+'WaterCircle F'!B97</f>
        <v>5046204.30265</v>
      </c>
      <c r="C97" s="233">
        <f>'Fremtind Livsforsikring'!C97+'Danica Pensjonsforsikring'!C97+'DNB Livsforsikring'!C97+'Eika Forsikring AS'!C97+'Frende Livsforsikring'!C97+'Frende Skadeforsikring'!C97+'Gjensidige Forsikring'!C97+'Gjensidige Pensjon'!C97+'Handelsbanken Liv'!C97+'If Skadeforsikring NUF'!C97+KLP!C97+'KLP Bedriftspensjon AS'!C97+'KLP Skadeforsikring AS'!C97+'Landkreditt Forsikring'!C97+Insr!C97+'Nordea Liv '!C97+'Oslo Pensjonsforsikring'!C97+'Protector Forsikring'!C97+'SHB Liv'!C97+'Sparebank 1'!C97+'Storebrand Livsforsikring'!C97+'Telenor Forsikring'!C97+'Tryg Forsikring'!C97+'WaterCircle F'!C97</f>
        <v>6357363.8659500005</v>
      </c>
      <c r="D97" s="23">
        <f t="shared" ref="D97" si="39">IF(B97=0, "    ---- ", IF(ABS(ROUND(100/B97*C97-100,1))&lt;999,ROUND(100/B97*C97-100,1),IF(ROUND(100/B97*C97-100,1)&gt;999,999,-999)))</f>
        <v>26</v>
      </c>
      <c r="E97" s="44">
        <f>'Fremtind Livsforsikring'!F97+'Danica Pensjonsforsikring'!F97+'DNB Livsforsikring'!F97+'Eika Forsikring AS'!F97+'Frende Livsforsikring'!F97+'Frende Skadeforsikring'!F97+'Gjensidige Forsikring'!F97+'Gjensidige Pensjon'!F97+'Handelsbanken Liv'!F97+'If Skadeforsikring NUF'!F97+KLP!F97+'KLP Bedriftspensjon AS'!F97+'KLP Skadeforsikring AS'!F97+'Landkreditt Forsikring'!F97+Insr!F97+'Nordea Liv '!F97+'Oslo Pensjonsforsikring'!F97+'Protector Forsikring'!F97+'SHB Liv'!F97+'Sparebank 1'!F97+'Storebrand Livsforsikring'!F97+'Telenor Forsikring'!F97+'Tryg Forsikring'!F97+'WaterCircle F'!F97</f>
        <v>0</v>
      </c>
      <c r="F97" s="44">
        <f>'Fremtind Livsforsikring'!G97+'Danica Pensjonsforsikring'!G97+'DNB Livsforsikring'!G97+'Eika Forsikring AS'!G97+'Frende Livsforsikring'!G97+'Frende Skadeforsikring'!G97+'Gjensidige Forsikring'!G97+'Gjensidige Pensjon'!G97+'Handelsbanken Liv'!G97+'If Skadeforsikring NUF'!G97+KLP!G97+'KLP Bedriftspensjon AS'!G97+'KLP Skadeforsikring AS'!G97+'Landkreditt Forsikring'!G97+Insr!G97+'Nordea Liv '!G97+'Oslo Pensjonsforsikring'!G97+'Protector Forsikring'!G97+'SHB Liv'!G97+'Sparebank 1'!G97+'Storebrand Livsforsikring'!G97+'Telenor Forsikring'!G97+'Tryg Forsikring'!G97+'WaterCircle F'!G97</f>
        <v>0</v>
      </c>
      <c r="G97" s="240"/>
      <c r="H97" s="236">
        <f t="shared" ref="H97" si="40">SUM(B97,E97)</f>
        <v>5046204.30265</v>
      </c>
      <c r="I97" s="236">
        <f t="shared" ref="I97" si="41">SUM(C97,F97)</f>
        <v>6357363.8659500005</v>
      </c>
      <c r="J97" s="23">
        <f t="shared" ref="J97" si="42">IF(H97=0, "    ---- ", IF(ABS(ROUND(100/H97*I97-100,1))&lt;999,ROUND(100/H97*I97-100,1),IF(ROUND(100/H97*I97-100,1)&gt;999,999,-999)))</f>
        <v>26</v>
      </c>
    </row>
    <row r="98" spans="1:10" ht="15.75" customHeight="1" x14ac:dyDescent="0.25">
      <c r="A98" s="21" t="s">
        <v>384</v>
      </c>
      <c r="B98" s="233">
        <f>'Fremtind Livsforsikring'!B98+'Danica Pensjonsforsikring'!B98+'DNB Livsforsikring'!B98+'Eika Forsikring AS'!B98+'Frende Livsforsikring'!B98+'Frende Skadeforsikring'!B98+'Gjensidige Forsikring'!B98+'Gjensidige Pensjon'!B98+'Handelsbanken Liv'!B98+'If Skadeforsikring NUF'!B98+KLP!B98+'KLP Bedriftspensjon AS'!B98+'KLP Skadeforsikring AS'!B98+'Landkreditt Forsikring'!B98+Insr!B98+'Nordea Liv '!B98+'Oslo Pensjonsforsikring'!B98+'Protector Forsikring'!B98+'SHB Liv'!B98+'Sparebank 1'!B98+'Storebrand Livsforsikring'!B98+'Telenor Forsikring'!B98+'Tryg Forsikring'!B98+'WaterCircle F'!B98</f>
        <v>378975500.09091628</v>
      </c>
      <c r="C98" s="233">
        <f>'Fremtind Livsforsikring'!C98+'Danica Pensjonsforsikring'!C98+'DNB Livsforsikring'!C98+'Eika Forsikring AS'!C98+'Frende Livsforsikring'!C98+'Frende Skadeforsikring'!C98+'Gjensidige Forsikring'!C98+'Gjensidige Pensjon'!C98+'Handelsbanken Liv'!C98+'If Skadeforsikring NUF'!C98+KLP!C98+'KLP Bedriftspensjon AS'!C98+'KLP Skadeforsikring AS'!C98+'Landkreditt Forsikring'!C98+Insr!C98+'Nordea Liv '!C98+'Oslo Pensjonsforsikring'!C98+'Protector Forsikring'!C98+'SHB Liv'!C98+'Sparebank 1'!C98+'Storebrand Livsforsikring'!C98+'Telenor Forsikring'!C98+'Tryg Forsikring'!C98+'WaterCircle F'!C98</f>
        <v>380495445.53785676</v>
      </c>
      <c r="D98" s="23">
        <f t="shared" si="24"/>
        <v>0.4</v>
      </c>
      <c r="E98" s="44">
        <f>'Fremtind Livsforsikring'!F98+'Danica Pensjonsforsikring'!F98+'DNB Livsforsikring'!F98+'Eika Forsikring AS'!F98+'Frende Livsforsikring'!F98+'Frende Skadeforsikring'!F98+'Gjensidige Forsikring'!F98+'Gjensidige Pensjon'!F98+'Handelsbanken Liv'!F98+'If Skadeforsikring NUF'!F98+KLP!F98+'KLP Bedriftspensjon AS'!F98+'KLP Skadeforsikring AS'!F98+'Landkreditt Forsikring'!F98+Insr!F98+'Nordea Liv '!F98+'Oslo Pensjonsforsikring'!F98+'Protector Forsikring'!F98+'SHB Liv'!F98+'Sparebank 1'!F98+'Storebrand Livsforsikring'!F98+'Telenor Forsikring'!F98+'Tryg Forsikring'!F98+'WaterCircle F'!F98</f>
        <v>281751350.96488619</v>
      </c>
      <c r="F98" s="44">
        <f>'Fremtind Livsforsikring'!G98+'Danica Pensjonsforsikring'!G98+'DNB Livsforsikring'!G98+'Eika Forsikring AS'!G98+'Frende Livsforsikring'!G98+'Frende Skadeforsikring'!G98+'Gjensidige Forsikring'!G98+'Gjensidige Pensjon'!G98+'Handelsbanken Liv'!G98+'If Skadeforsikring NUF'!G98+KLP!G98+'KLP Bedriftspensjon AS'!G98+'KLP Skadeforsikring AS'!G98+'Landkreditt Forsikring'!G98+Insr!G98+'Nordea Liv '!G98+'Oslo Pensjonsforsikring'!G98+'Protector Forsikring'!G98+'SHB Liv'!G98+'Sparebank 1'!G98+'Storebrand Livsforsikring'!G98+'Telenor Forsikring'!G98+'Tryg Forsikring'!G98+'WaterCircle F'!G98</f>
        <v>314510938.95236003</v>
      </c>
      <c r="G98" s="240">
        <f t="shared" si="38"/>
        <v>11.6</v>
      </c>
      <c r="H98" s="236">
        <f t="shared" si="36"/>
        <v>660726851.05580246</v>
      </c>
      <c r="I98" s="236">
        <f t="shared" si="37"/>
        <v>695006384.49021673</v>
      </c>
      <c r="J98" s="23">
        <f t="shared" si="28"/>
        <v>5.2</v>
      </c>
    </row>
    <row r="99" spans="1:10" ht="15.75" customHeight="1" x14ac:dyDescent="0.25">
      <c r="A99" s="21" t="s">
        <v>9</v>
      </c>
      <c r="B99" s="233">
        <f>'Fremtind Livsforsikring'!B99+'Danica Pensjonsforsikring'!B99+'DNB Livsforsikring'!B99+'Eika Forsikring AS'!B99+'Frende Livsforsikring'!B99+'Frende Skadeforsikring'!B99+'Gjensidige Forsikring'!B99+'Gjensidige Pensjon'!B99+'Handelsbanken Liv'!B99+'If Skadeforsikring NUF'!B99+KLP!B99+'KLP Bedriftspensjon AS'!B99+'KLP Skadeforsikring AS'!B99+'Landkreditt Forsikring'!B99+Insr!B99+'Nordea Liv '!B99+'Oslo Pensjonsforsikring'!B99+'Protector Forsikring'!B99+'SHB Liv'!B99+'Sparebank 1'!B99+'Storebrand Livsforsikring'!B99+'Telenor Forsikring'!B99+'Tryg Forsikring'!B99+'WaterCircle F'!B99</f>
        <v>376053271.9500156</v>
      </c>
      <c r="C99" s="233">
        <f>'Fremtind Livsforsikring'!C99+'Danica Pensjonsforsikring'!C99+'DNB Livsforsikring'!C99+'Eika Forsikring AS'!C99+'Frende Livsforsikring'!C99+'Frende Skadeforsikring'!C99+'Gjensidige Forsikring'!C99+'Gjensidige Pensjon'!C99+'Handelsbanken Liv'!C99+'If Skadeforsikring NUF'!C99+KLP!C99+'KLP Bedriftspensjon AS'!C99+'KLP Skadeforsikring AS'!C99+'Landkreditt Forsikring'!C99+Insr!C99+'Nordea Liv '!C99+'Oslo Pensjonsforsikring'!C99+'Protector Forsikring'!C99+'SHB Liv'!C99+'Sparebank 1'!C99+'Storebrand Livsforsikring'!C99+'Telenor Forsikring'!C99+'Tryg Forsikring'!C99+'WaterCircle F'!C99</f>
        <v>377321419.60773325</v>
      </c>
      <c r="D99" s="23">
        <f t="shared" si="24"/>
        <v>0.3</v>
      </c>
      <c r="E99" s="44">
        <f>'Fremtind Livsforsikring'!F99+'Danica Pensjonsforsikring'!F99+'DNB Livsforsikring'!F99+'Eika Forsikring AS'!F99+'Frende Livsforsikring'!F99+'Frende Skadeforsikring'!F99+'Gjensidige Forsikring'!F99+'Gjensidige Pensjon'!F99+'Handelsbanken Liv'!F99+'If Skadeforsikring NUF'!F99+KLP!F99+'KLP Bedriftspensjon AS'!F99+'KLP Skadeforsikring AS'!F99+'Landkreditt Forsikring'!F99+Insr!F99+'Nordea Liv '!F99+'Oslo Pensjonsforsikring'!F99+'Protector Forsikring'!F99+'SHB Liv'!F99+'Sparebank 1'!F99+'Storebrand Livsforsikring'!F99+'Telenor Forsikring'!F99+'Tryg Forsikring'!F99+'WaterCircle F'!F99</f>
        <v>0</v>
      </c>
      <c r="F99" s="44">
        <f>'Fremtind Livsforsikring'!G99+'Danica Pensjonsforsikring'!G99+'DNB Livsforsikring'!G99+'Eika Forsikring AS'!G99+'Frende Livsforsikring'!G99+'Frende Skadeforsikring'!G99+'Gjensidige Forsikring'!G99+'Gjensidige Pensjon'!G99+'Handelsbanken Liv'!G99+'If Skadeforsikring NUF'!G99+KLP!G99+'KLP Bedriftspensjon AS'!G99+'KLP Skadeforsikring AS'!G99+'Landkreditt Forsikring'!G99+Insr!G99+'Nordea Liv '!G99+'Oslo Pensjonsforsikring'!G99+'Protector Forsikring'!G99+'SHB Liv'!G99+'Sparebank 1'!G99+'Storebrand Livsforsikring'!G99+'Telenor Forsikring'!G99+'Tryg Forsikring'!G99+'WaterCircle F'!G99</f>
        <v>0</v>
      </c>
      <c r="G99" s="240"/>
      <c r="H99" s="236">
        <f t="shared" si="36"/>
        <v>376053271.9500156</v>
      </c>
      <c r="I99" s="236">
        <f t="shared" si="37"/>
        <v>377321419.60773325</v>
      </c>
      <c r="J99" s="23">
        <f t="shared" si="28"/>
        <v>0.3</v>
      </c>
    </row>
    <row r="100" spans="1:10" ht="15.75" customHeight="1" x14ac:dyDescent="0.25">
      <c r="A100" s="21" t="s">
        <v>10</v>
      </c>
      <c r="B100" s="233">
        <f>'Fremtind Livsforsikring'!B100+'Danica Pensjonsforsikring'!B100+'DNB Livsforsikring'!B100+'Eika Forsikring AS'!B100+'Frende Livsforsikring'!B100+'Frende Skadeforsikring'!B100+'Gjensidige Forsikring'!B100+'Gjensidige Pensjon'!B100+'Handelsbanken Liv'!B100+'If Skadeforsikring NUF'!B100+KLP!B100+'KLP Bedriftspensjon AS'!B100+'KLP Skadeforsikring AS'!B100+'Landkreditt Forsikring'!B100+Insr!B100+'Nordea Liv '!B100+'Oslo Pensjonsforsikring'!B100+'Protector Forsikring'!B100+'SHB Liv'!B100+'Sparebank 1'!B100+'Storebrand Livsforsikring'!B100+'Telenor Forsikring'!B100+'Tryg Forsikring'!B100+'WaterCircle F'!B100</f>
        <v>2922228.1409006999</v>
      </c>
      <c r="C100" s="233">
        <f>'Fremtind Livsforsikring'!C100+'Danica Pensjonsforsikring'!C100+'DNB Livsforsikring'!C100+'Eika Forsikring AS'!C100+'Frende Livsforsikring'!C100+'Frende Skadeforsikring'!C100+'Gjensidige Forsikring'!C100+'Gjensidige Pensjon'!C100+'Handelsbanken Liv'!C100+'If Skadeforsikring NUF'!C100+KLP!C100+'KLP Bedriftspensjon AS'!C100+'KLP Skadeforsikring AS'!C100+'Landkreditt Forsikring'!C100+Insr!C100+'Nordea Liv '!C100+'Oslo Pensjonsforsikring'!C100+'Protector Forsikring'!C100+'SHB Liv'!C100+'Sparebank 1'!C100+'Storebrand Livsforsikring'!C100+'Telenor Forsikring'!C100+'Tryg Forsikring'!C100+'WaterCircle F'!C100</f>
        <v>3174025.9301235098</v>
      </c>
      <c r="D100" s="23">
        <f t="shared" si="24"/>
        <v>8.6</v>
      </c>
      <c r="E100" s="44">
        <f>'Fremtind Livsforsikring'!F100+'Danica Pensjonsforsikring'!F100+'DNB Livsforsikring'!F100+'Eika Forsikring AS'!F100+'Frende Livsforsikring'!F100+'Frende Skadeforsikring'!F100+'Gjensidige Forsikring'!F100+'Gjensidige Pensjon'!F100+'Handelsbanken Liv'!F100+'If Skadeforsikring NUF'!F100+KLP!F100+'KLP Bedriftspensjon AS'!F100+'KLP Skadeforsikring AS'!F100+'Landkreditt Forsikring'!F100+Insr!F100+'Nordea Liv '!F100+'Oslo Pensjonsforsikring'!F100+'Protector Forsikring'!F100+'SHB Liv'!F100+'Sparebank 1'!F100+'Storebrand Livsforsikring'!F100+'Telenor Forsikring'!F100+'Tryg Forsikring'!F100+'WaterCircle F'!F100</f>
        <v>281751350.96488619</v>
      </c>
      <c r="F100" s="44">
        <f>'Fremtind Livsforsikring'!G100+'Danica Pensjonsforsikring'!G100+'DNB Livsforsikring'!G100+'Eika Forsikring AS'!G100+'Frende Livsforsikring'!G100+'Frende Skadeforsikring'!G100+'Gjensidige Forsikring'!G100+'Gjensidige Pensjon'!G100+'Handelsbanken Liv'!G100+'If Skadeforsikring NUF'!G100+KLP!G100+'KLP Bedriftspensjon AS'!G100+'KLP Skadeforsikring AS'!G100+'Landkreditt Forsikring'!G100+Insr!G100+'Nordea Liv '!G100+'Oslo Pensjonsforsikring'!G100+'Protector Forsikring'!G100+'SHB Liv'!G100+'Sparebank 1'!G100+'Storebrand Livsforsikring'!G100+'Telenor Forsikring'!G100+'Tryg Forsikring'!G100+'WaterCircle F'!G100</f>
        <v>314510938.95236003</v>
      </c>
      <c r="G100" s="240">
        <f t="shared" si="38"/>
        <v>11.6</v>
      </c>
      <c r="H100" s="236">
        <f t="shared" si="36"/>
        <v>284673579.10578686</v>
      </c>
      <c r="I100" s="236">
        <f t="shared" si="37"/>
        <v>317684964.88248354</v>
      </c>
      <c r="J100" s="23">
        <f t="shared" si="28"/>
        <v>11.6</v>
      </c>
    </row>
    <row r="101" spans="1:10" ht="15.75" customHeight="1" x14ac:dyDescent="0.2">
      <c r="A101" s="295" t="s">
        <v>382</v>
      </c>
      <c r="B101" s="44"/>
      <c r="C101" s="44"/>
      <c r="D101" s="27"/>
      <c r="E101" s="44"/>
      <c r="F101" s="44"/>
      <c r="G101" s="166"/>
      <c r="H101" s="236"/>
      <c r="I101" s="236"/>
      <c r="J101" s="23"/>
    </row>
    <row r="102" spans="1:10" ht="15.75" customHeight="1" x14ac:dyDescent="0.2">
      <c r="A102" s="295" t="s">
        <v>12</v>
      </c>
      <c r="B102" s="234"/>
      <c r="C102" s="234"/>
      <c r="D102" s="27"/>
      <c r="E102" s="44"/>
      <c r="F102" s="44"/>
      <c r="G102" s="166"/>
      <c r="H102" s="236"/>
      <c r="I102" s="236"/>
      <c r="J102" s="23"/>
    </row>
    <row r="103" spans="1:10" ht="15.75" customHeight="1" x14ac:dyDescent="0.2">
      <c r="A103" s="295" t="s">
        <v>13</v>
      </c>
      <c r="B103" s="234"/>
      <c r="C103" s="234"/>
      <c r="D103" s="27"/>
      <c r="E103" s="44"/>
      <c r="F103" s="44"/>
      <c r="G103" s="166"/>
      <c r="H103" s="236"/>
      <c r="I103" s="236"/>
      <c r="J103" s="23"/>
    </row>
    <row r="104" spans="1:10" ht="15.75" customHeight="1" x14ac:dyDescent="0.2">
      <c r="A104" s="295" t="s">
        <v>383</v>
      </c>
      <c r="B104" s="44"/>
      <c r="C104" s="44"/>
      <c r="D104" s="27"/>
      <c r="E104" s="44"/>
      <c r="F104" s="44"/>
      <c r="G104" s="166"/>
      <c r="H104" s="236"/>
      <c r="I104" s="236"/>
      <c r="J104" s="23"/>
    </row>
    <row r="105" spans="1:10" ht="15.75" customHeight="1" x14ac:dyDescent="0.2">
      <c r="A105" s="295" t="s">
        <v>12</v>
      </c>
      <c r="B105" s="234"/>
      <c r="C105" s="234"/>
      <c r="D105" s="27"/>
      <c r="E105" s="44"/>
      <c r="F105" s="44"/>
      <c r="G105" s="166"/>
      <c r="H105" s="236"/>
      <c r="I105" s="236"/>
      <c r="J105" s="23"/>
    </row>
    <row r="106" spans="1:10" ht="15.75" customHeight="1" x14ac:dyDescent="0.2">
      <c r="A106" s="295" t="s">
        <v>13</v>
      </c>
      <c r="B106" s="234"/>
      <c r="C106" s="234"/>
      <c r="D106" s="27"/>
      <c r="E106" s="44"/>
      <c r="F106" s="44"/>
      <c r="G106" s="166"/>
      <c r="H106" s="236"/>
      <c r="I106" s="236"/>
      <c r="J106" s="23"/>
    </row>
    <row r="107" spans="1:10" ht="15.75" customHeight="1" x14ac:dyDescent="0.25">
      <c r="A107" s="21" t="s">
        <v>385</v>
      </c>
      <c r="B107" s="233">
        <f>'Fremtind Livsforsikring'!B107+'Danica Pensjonsforsikring'!B107+'DNB Livsforsikring'!B107+'Eika Forsikring AS'!B107+'Frende Livsforsikring'!B107+'Frende Skadeforsikring'!B107+'Gjensidige Forsikring'!B107+'Gjensidige Pensjon'!B107+'Handelsbanken Liv'!B107+'If Skadeforsikring NUF'!B107+KLP!B107+'KLP Bedriftspensjon AS'!B107+'KLP Skadeforsikring AS'!B107+'Landkreditt Forsikring'!B107+Insr!B107+'Nordea Liv '!B107+'Oslo Pensjonsforsikring'!B107+'Protector Forsikring'!B107+'SHB Liv'!B107+'Sparebank 1'!B107+'Storebrand Livsforsikring'!B107+'Telenor Forsikring'!B107+'Tryg Forsikring'!B107+'WaterCircle F'!B107</f>
        <v>4743393.6730000004</v>
      </c>
      <c r="C107" s="233">
        <f>'Fremtind Livsforsikring'!C107+'Danica Pensjonsforsikring'!C107+'DNB Livsforsikring'!C107+'Eika Forsikring AS'!C107+'Frende Livsforsikring'!C107+'Frende Skadeforsikring'!C107+'Gjensidige Forsikring'!C107+'Gjensidige Pensjon'!C107+'Handelsbanken Liv'!C107+'If Skadeforsikring NUF'!C107+KLP!C107+'KLP Bedriftspensjon AS'!C107+'KLP Skadeforsikring AS'!C107+'Landkreditt Forsikring'!C107+Insr!C107+'Nordea Liv '!C107+'Oslo Pensjonsforsikring'!C107+'Protector Forsikring'!C107+'SHB Liv'!C107+'Sparebank 1'!C107+'Storebrand Livsforsikring'!C107+'Telenor Forsikring'!C107+'Tryg Forsikring'!C107+'WaterCircle F'!C107</f>
        <v>4427051.1069999998</v>
      </c>
      <c r="D107" s="23">
        <f t="shared" si="24"/>
        <v>-6.7</v>
      </c>
      <c r="E107" s="44">
        <f>'Fremtind Livsforsikring'!F107+'Danica Pensjonsforsikring'!F107+'DNB Livsforsikring'!F107+'Eika Forsikring AS'!F107+'Frende Livsforsikring'!F107+'Frende Skadeforsikring'!F107+'Gjensidige Forsikring'!F107+'Gjensidige Pensjon'!F107+'Handelsbanken Liv'!F107+'If Skadeforsikring NUF'!F107+KLP!F107+'KLP Bedriftspensjon AS'!F107+'KLP Skadeforsikring AS'!F107+'Landkreditt Forsikring'!F107+Insr!F107+'Nordea Liv '!F107+'Oslo Pensjonsforsikring'!F107+'Protector Forsikring'!F107+'SHB Liv'!F107+'Sparebank 1'!F107+'Storebrand Livsforsikring'!F107+'Telenor Forsikring'!F107+'Tryg Forsikring'!F107+'WaterCircle F'!F107</f>
        <v>782188.27488000004</v>
      </c>
      <c r="F107" s="44">
        <f>'Fremtind Livsforsikring'!G107+'Danica Pensjonsforsikring'!G107+'DNB Livsforsikring'!G107+'Eika Forsikring AS'!G107+'Frende Livsforsikring'!G107+'Frende Skadeforsikring'!G107+'Gjensidige Forsikring'!G107+'Gjensidige Pensjon'!G107+'Handelsbanken Liv'!G107+'If Skadeforsikring NUF'!G107+KLP!G107+'KLP Bedriftspensjon AS'!G107+'KLP Skadeforsikring AS'!G107+'Landkreditt Forsikring'!G107+Insr!G107+'Nordea Liv '!G107+'Oslo Pensjonsforsikring'!G107+'Protector Forsikring'!G107+'SHB Liv'!G107+'Sparebank 1'!G107+'Storebrand Livsforsikring'!G107+'Telenor Forsikring'!G107+'Tryg Forsikring'!G107+'WaterCircle F'!G107</f>
        <v>879900.40448999987</v>
      </c>
      <c r="G107" s="240">
        <f t="shared" ref="G107" si="43">IF(E107=0, "    ---- ", IF(ABS(ROUND(100/E107*F107-100,1))&lt;999,ROUND(100/E107*F107-100,1),IF(ROUND(100/E107*F107-100,1)&gt;999,999,-999)))</f>
        <v>12.5</v>
      </c>
      <c r="H107" s="236">
        <f t="shared" si="36"/>
        <v>5525581.9478800008</v>
      </c>
      <c r="I107" s="236">
        <f t="shared" si="37"/>
        <v>5306951.5114899995</v>
      </c>
      <c r="J107" s="23">
        <f t="shared" si="28"/>
        <v>-4</v>
      </c>
    </row>
    <row r="108" spans="1:10" ht="15.75" customHeight="1" x14ac:dyDescent="0.2">
      <c r="A108" s="21" t="s">
        <v>386</v>
      </c>
      <c r="B108" s="233">
        <f>'Fremtind Livsforsikring'!B108+'Danica Pensjonsforsikring'!B108+'DNB Livsforsikring'!B108+'Eika Forsikring AS'!B108+'Frende Livsforsikring'!B108+'Frende Skadeforsikring'!B108+'Gjensidige Forsikring'!B108+'Gjensidige Pensjon'!B108+'Handelsbanken Liv'!B108+'If Skadeforsikring NUF'!B108+KLP!B108+'KLP Bedriftspensjon AS'!B108+'KLP Skadeforsikring AS'!B108+'Landkreditt Forsikring'!B108+Insr!B108+'Nordea Liv '!B108+'Oslo Pensjonsforsikring'!B108+'Protector Forsikring'!B108+'SHB Liv'!B108+'Sparebank 1'!B108+'Storebrand Livsforsikring'!B108+'Telenor Forsikring'!B108+'Tryg Forsikring'!B108+'WaterCircle F'!B108</f>
        <v>315464976.03894889</v>
      </c>
      <c r="C108" s="233">
        <f>'Fremtind Livsforsikring'!C108+'Danica Pensjonsforsikring'!C108+'DNB Livsforsikring'!C108+'Eika Forsikring AS'!C108+'Frende Livsforsikring'!C108+'Frende Skadeforsikring'!C108+'Gjensidige Forsikring'!C108+'Gjensidige Pensjon'!C108+'Handelsbanken Liv'!C108+'If Skadeforsikring NUF'!C108+KLP!C108+'KLP Bedriftspensjon AS'!C108+'KLP Skadeforsikring AS'!C108+'Landkreditt Forsikring'!C108+Insr!C108+'Nordea Liv '!C108+'Oslo Pensjonsforsikring'!C108+'Protector Forsikring'!C108+'SHB Liv'!C108+'Sparebank 1'!C108+'Storebrand Livsforsikring'!C108+'Telenor Forsikring'!C108+'Tryg Forsikring'!C108+'WaterCircle F'!C108</f>
        <v>324048944.3175804</v>
      </c>
      <c r="D108" s="23">
        <f t="shared" si="24"/>
        <v>2.7</v>
      </c>
      <c r="E108" s="44">
        <f>'Fremtind Livsforsikring'!F108+'Danica Pensjonsforsikring'!F108+'DNB Livsforsikring'!F108+'Eika Forsikring AS'!F108+'Frende Livsforsikring'!F108+'Frende Skadeforsikring'!F108+'Gjensidige Forsikring'!F108+'Gjensidige Pensjon'!F108+'Handelsbanken Liv'!F108+'If Skadeforsikring NUF'!F108+KLP!F108+'KLP Bedriftspensjon AS'!F108+'KLP Skadeforsikring AS'!F108+'Landkreditt Forsikring'!F108+Insr!F108+'Nordea Liv '!F108+'Oslo Pensjonsforsikring'!F108+'Protector Forsikring'!F108+'SHB Liv'!F108+'Sparebank 1'!F108+'Storebrand Livsforsikring'!F108+'Telenor Forsikring'!F108+'Tryg Forsikring'!F108+'WaterCircle F'!F108</f>
        <v>16246281.458000001</v>
      </c>
      <c r="F108" s="44">
        <f>'Fremtind Livsforsikring'!G108+'Danica Pensjonsforsikring'!G108+'DNB Livsforsikring'!G108+'Eika Forsikring AS'!G108+'Frende Livsforsikring'!G108+'Frende Skadeforsikring'!G108+'Gjensidige Forsikring'!G108+'Gjensidige Pensjon'!G108+'Handelsbanken Liv'!G108+'If Skadeforsikring NUF'!G108+KLP!G108+'KLP Bedriftspensjon AS'!G108+'KLP Skadeforsikring AS'!G108+'Landkreditt Forsikring'!G108+Insr!G108+'Nordea Liv '!G108+'Oslo Pensjonsforsikring'!G108+'Protector Forsikring'!G108+'SHB Liv'!G108+'Sparebank 1'!G108+'Storebrand Livsforsikring'!G108+'Telenor Forsikring'!G108+'Tryg Forsikring'!G108+'WaterCircle F'!G108</f>
        <v>16562163.789000001</v>
      </c>
      <c r="G108" s="23">
        <f t="shared" ref="G108:G114" si="44">IF(E108=0, "    ---- ", IF(ABS(ROUND(100/E108*F108-100,1))&lt;999,ROUND(100/E108*F108-100,1),IF(ROUND(100/E108*F108-100,1)&gt;999,999,-999)))</f>
        <v>1.9</v>
      </c>
      <c r="H108" s="236">
        <f t="shared" si="36"/>
        <v>331711257.4969489</v>
      </c>
      <c r="I108" s="236">
        <f t="shared" si="37"/>
        <v>340611108.10658038</v>
      </c>
      <c r="J108" s="23">
        <f t="shared" si="28"/>
        <v>2.7</v>
      </c>
    </row>
    <row r="109" spans="1:10" ht="15.75" customHeight="1" x14ac:dyDescent="0.2">
      <c r="A109" s="21" t="s">
        <v>387</v>
      </c>
      <c r="B109" s="233">
        <f>'Fremtind Livsforsikring'!B109+'Danica Pensjonsforsikring'!B109+'DNB Livsforsikring'!B109+'Eika Forsikring AS'!B109+'Frende Livsforsikring'!B109+'Frende Skadeforsikring'!B109+'Gjensidige Forsikring'!B109+'Gjensidige Pensjon'!B109+'Handelsbanken Liv'!B109+'If Skadeforsikring NUF'!B109+KLP!B109+'KLP Bedriftspensjon AS'!B109+'KLP Skadeforsikring AS'!B109+'Landkreditt Forsikring'!B109+Insr!B109+'Nordea Liv '!B109+'Oslo Pensjonsforsikring'!B109+'Protector Forsikring'!B109+'SHB Liv'!B109+'Sparebank 1'!B109+'Storebrand Livsforsikring'!B109+'Telenor Forsikring'!B109+'Tryg Forsikring'!B109+'WaterCircle F'!B109</f>
        <v>1006274.108164813</v>
      </c>
      <c r="C109" s="233">
        <f>'Fremtind Livsforsikring'!C109+'Danica Pensjonsforsikring'!C109+'DNB Livsforsikring'!C109+'Eika Forsikring AS'!C109+'Frende Livsforsikring'!C109+'Frende Skadeforsikring'!C109+'Gjensidige Forsikring'!C109+'Gjensidige Pensjon'!C109+'Handelsbanken Liv'!C109+'If Skadeforsikring NUF'!C109+KLP!C109+'KLP Bedriftspensjon AS'!C109+'KLP Skadeforsikring AS'!C109+'Landkreditt Forsikring'!C109+Insr!C109+'Nordea Liv '!C109+'Oslo Pensjonsforsikring'!C109+'Protector Forsikring'!C109+'SHB Liv'!C109+'Sparebank 1'!C109+'Storebrand Livsforsikring'!C109+'Telenor Forsikring'!C109+'Tryg Forsikring'!C109+'WaterCircle F'!C109</f>
        <v>1062800.0170769519</v>
      </c>
      <c r="D109" s="23">
        <f t="shared" si="24"/>
        <v>5.6</v>
      </c>
      <c r="E109" s="44">
        <f>'Fremtind Livsforsikring'!F109+'Danica Pensjonsforsikring'!F109+'DNB Livsforsikring'!F109+'Eika Forsikring AS'!F109+'Frende Livsforsikring'!F109+'Frende Skadeforsikring'!F109+'Gjensidige Forsikring'!F109+'Gjensidige Pensjon'!F109+'Handelsbanken Liv'!F109+'If Skadeforsikring NUF'!F109+KLP!F109+'KLP Bedriftspensjon AS'!F109+'KLP Skadeforsikring AS'!F109+'Landkreditt Forsikring'!F109+Insr!F109+'Nordea Liv '!F109+'Oslo Pensjonsforsikring'!F109+'Protector Forsikring'!F109+'SHB Liv'!F109+'Sparebank 1'!F109+'Storebrand Livsforsikring'!F109+'Telenor Forsikring'!F109+'Tryg Forsikring'!F109+'WaterCircle F'!F109</f>
        <v>95645082.547237694</v>
      </c>
      <c r="F109" s="44">
        <f>'Fremtind Livsforsikring'!G109+'Danica Pensjonsforsikring'!G109+'DNB Livsforsikring'!G109+'Eika Forsikring AS'!G109+'Frende Livsforsikring'!G109+'Frende Skadeforsikring'!G109+'Gjensidige Forsikring'!G109+'Gjensidige Pensjon'!G109+'Handelsbanken Liv'!G109+'If Skadeforsikring NUF'!G109+KLP!G109+'KLP Bedriftspensjon AS'!G109+'KLP Skadeforsikring AS'!G109+'Landkreditt Forsikring'!G109+Insr!G109+'Nordea Liv '!G109+'Oslo Pensjonsforsikring'!G109+'Protector Forsikring'!G109+'SHB Liv'!G109+'Sparebank 1'!G109+'Storebrand Livsforsikring'!G109+'Telenor Forsikring'!G109+'Tryg Forsikring'!G109+'WaterCircle F'!G109</f>
        <v>109813924.35413599</v>
      </c>
      <c r="G109" s="23">
        <f t="shared" si="44"/>
        <v>14.8</v>
      </c>
      <c r="H109" s="236">
        <f t="shared" si="36"/>
        <v>96651356.655402511</v>
      </c>
      <c r="I109" s="236">
        <f t="shared" si="37"/>
        <v>110876724.37121294</v>
      </c>
      <c r="J109" s="23">
        <f t="shared" si="28"/>
        <v>14.7</v>
      </c>
    </row>
    <row r="110" spans="1:10" ht="15.75" customHeight="1" x14ac:dyDescent="0.25">
      <c r="A110" s="21" t="s">
        <v>388</v>
      </c>
      <c r="B110" s="233">
        <f>'Fremtind Livsforsikring'!B110+'Danica Pensjonsforsikring'!B110+'DNB Livsforsikring'!B110+'Eika Forsikring AS'!B110+'Frende Livsforsikring'!B110+'Frende Skadeforsikring'!B110+'Gjensidige Forsikring'!B110+'Gjensidige Pensjon'!B110+'Handelsbanken Liv'!B110+'If Skadeforsikring NUF'!B110+KLP!B110+'KLP Bedriftspensjon AS'!B110+'KLP Skadeforsikring AS'!B110+'Landkreditt Forsikring'!B110+Insr!B110+'Nordea Liv '!B110+'Oslo Pensjonsforsikring'!B110+'Protector Forsikring'!B110+'SHB Liv'!B110+'Sparebank 1'!B110+'Storebrand Livsforsikring'!B110+'Telenor Forsikring'!B110+'Tryg Forsikring'!B110+'WaterCircle F'!B110</f>
        <v>205082.65590000001</v>
      </c>
      <c r="C110" s="233">
        <f>'Fremtind Livsforsikring'!C110+'Danica Pensjonsforsikring'!C110+'DNB Livsforsikring'!C110+'Eika Forsikring AS'!C110+'Frende Livsforsikring'!C110+'Frende Skadeforsikring'!C110+'Gjensidige Forsikring'!C110+'Gjensidige Pensjon'!C110+'Handelsbanken Liv'!C110+'If Skadeforsikring NUF'!C110+KLP!C110+'KLP Bedriftspensjon AS'!C110+'KLP Skadeforsikring AS'!C110+'Landkreditt Forsikring'!C110+Insr!C110+'Nordea Liv '!C110+'Oslo Pensjonsforsikring'!C110+'Protector Forsikring'!C110+'SHB Liv'!C110+'Sparebank 1'!C110+'Storebrand Livsforsikring'!C110+'Telenor Forsikring'!C110+'Tryg Forsikring'!C110+'WaterCircle F'!C110</f>
        <v>371478.00978999998</v>
      </c>
      <c r="D110" s="23">
        <f t="shared" si="24"/>
        <v>81.099999999999994</v>
      </c>
      <c r="E110" s="44">
        <f>'Fremtind Livsforsikring'!F110+'Danica Pensjonsforsikring'!F110+'DNB Livsforsikring'!F110+'Eika Forsikring AS'!F110+'Frende Livsforsikring'!F110+'Frende Skadeforsikring'!F110+'Gjensidige Forsikring'!F110+'Gjensidige Pensjon'!F110+'Handelsbanken Liv'!F110+'If Skadeforsikring NUF'!F110+KLP!F110+'KLP Bedriftspensjon AS'!F110+'KLP Skadeforsikring AS'!F110+'Landkreditt Forsikring'!F110+Insr!F110+'Nordea Liv '!F110+'Oslo Pensjonsforsikring'!F110+'Protector Forsikring'!F110+'SHB Liv'!F110+'Sparebank 1'!F110+'Storebrand Livsforsikring'!F110+'Telenor Forsikring'!F110+'Tryg Forsikring'!F110+'WaterCircle F'!F110</f>
        <v>0</v>
      </c>
      <c r="F110" s="44">
        <f>'Fremtind Livsforsikring'!G110+'Danica Pensjonsforsikring'!G110+'DNB Livsforsikring'!G110+'Eika Forsikring AS'!G110+'Frende Livsforsikring'!G110+'Frende Skadeforsikring'!G110+'Gjensidige Forsikring'!G110+'Gjensidige Pensjon'!G110+'Handelsbanken Liv'!G110+'If Skadeforsikring NUF'!G110+KLP!G110+'KLP Bedriftspensjon AS'!G110+'KLP Skadeforsikring AS'!G110+'Landkreditt Forsikring'!G110+Insr!G110+'Nordea Liv '!G110+'Oslo Pensjonsforsikring'!G110+'Protector Forsikring'!G110+'SHB Liv'!G110+'Sparebank 1'!G110+'Storebrand Livsforsikring'!G110+'Telenor Forsikring'!G110+'Tryg Forsikring'!G110+'WaterCircle F'!G110</f>
        <v>0</v>
      </c>
      <c r="G110" s="240"/>
      <c r="H110" s="236">
        <f t="shared" si="36"/>
        <v>205082.65590000001</v>
      </c>
      <c r="I110" s="236">
        <f t="shared" si="37"/>
        <v>371478.00978999998</v>
      </c>
      <c r="J110" s="23">
        <f t="shared" si="28"/>
        <v>81.099999999999994</v>
      </c>
    </row>
    <row r="111" spans="1:10" s="43" customFormat="1" ht="15.75" customHeight="1" x14ac:dyDescent="0.25">
      <c r="A111" s="13" t="s">
        <v>368</v>
      </c>
      <c r="B111" s="307">
        <f>'Fremtind Livsforsikring'!B111+'Danica Pensjonsforsikring'!B111+'DNB Livsforsikring'!B111+'Eika Forsikring AS'!B111+'Frende Livsforsikring'!B111+'Frende Skadeforsikring'!B111+'Gjensidige Forsikring'!B111+'Gjensidige Pensjon'!B111+'Handelsbanken Liv'!B111+'If Skadeforsikring NUF'!B111+KLP!B111+'KLP Bedriftspensjon AS'!B111+'KLP Skadeforsikring AS'!B111+'Landkreditt Forsikring'!B111+Insr!B111+'Nordea Liv '!B111+'Oslo Pensjonsforsikring'!B111+'Protector Forsikring'!B111+'SHB Liv'!B111+'Sparebank 1'!B111+'Storebrand Livsforsikring'!B111+'Telenor Forsikring'!B111+'Tryg Forsikring'!B111+'WaterCircle F'!B111</f>
        <v>263561.81909</v>
      </c>
      <c r="C111" s="307">
        <f>'Fremtind Livsforsikring'!C111+'Danica Pensjonsforsikring'!C111+'DNB Livsforsikring'!C111+'Eika Forsikring AS'!C111+'Frende Livsforsikring'!C111+'Frende Skadeforsikring'!C111+'Gjensidige Forsikring'!C111+'Gjensidige Pensjon'!C111+'Handelsbanken Liv'!C111+'If Skadeforsikring NUF'!C111+KLP!C111+'KLP Bedriftspensjon AS'!C111+'KLP Skadeforsikring AS'!C111+'Landkreditt Forsikring'!C111+Insr!C111+'Nordea Liv '!C111+'Oslo Pensjonsforsikring'!C111+'Protector Forsikring'!C111+'SHB Liv'!C111+'Sparebank 1'!C111+'Storebrand Livsforsikring'!C111+'Telenor Forsikring'!C111+'Tryg Forsikring'!C111+'WaterCircle F'!C111</f>
        <v>532961.16861000005</v>
      </c>
      <c r="D111" s="24">
        <f t="shared" si="24"/>
        <v>102.2</v>
      </c>
      <c r="E111" s="235">
        <f>'Fremtind Livsforsikring'!F111+'Danica Pensjonsforsikring'!F111+'DNB Livsforsikring'!F111+'Eika Forsikring AS'!F111+'Frende Livsforsikring'!F111+'Frende Skadeforsikring'!F111+'Gjensidige Forsikring'!F111+'Gjensidige Pensjon'!F111+'Handelsbanken Liv'!F111+'If Skadeforsikring NUF'!F111+KLP!F111+'KLP Bedriftspensjon AS'!F111+'KLP Skadeforsikring AS'!F111+'Landkreditt Forsikring'!F111+Insr!F111+'Nordea Liv '!F111+'Oslo Pensjonsforsikring'!F111+'Protector Forsikring'!F111+'SHB Liv'!F111+'Sparebank 1'!F111+'Storebrand Livsforsikring'!F111+'Telenor Forsikring'!F111+'Tryg Forsikring'!F111+'WaterCircle F'!F111</f>
        <v>8159840.7861800008</v>
      </c>
      <c r="F111" s="235">
        <f>'Fremtind Livsforsikring'!G111+'Danica Pensjonsforsikring'!G111+'DNB Livsforsikring'!G111+'Eika Forsikring AS'!G111+'Frende Livsforsikring'!G111+'Frende Skadeforsikring'!G111+'Gjensidige Forsikring'!G111+'Gjensidige Pensjon'!G111+'Handelsbanken Liv'!G111+'If Skadeforsikring NUF'!G111+KLP!G111+'KLP Bedriftspensjon AS'!G111+'KLP Skadeforsikring AS'!G111+'Landkreditt Forsikring'!G111+Insr!G111+'Nordea Liv '!G111+'Oslo Pensjonsforsikring'!G111+'Protector Forsikring'!G111+'SHB Liv'!G111+'Sparebank 1'!G111+'Storebrand Livsforsikring'!G111+'Telenor Forsikring'!G111+'Tryg Forsikring'!G111+'WaterCircle F'!G111</f>
        <v>11816895.368489999</v>
      </c>
      <c r="G111" s="706">
        <f t="shared" si="44"/>
        <v>44.8</v>
      </c>
      <c r="H111" s="328">
        <f t="shared" si="36"/>
        <v>8423402.6052700002</v>
      </c>
      <c r="I111" s="328">
        <f t="shared" si="37"/>
        <v>12349856.537099998</v>
      </c>
      <c r="J111" s="24">
        <f t="shared" si="28"/>
        <v>46.6</v>
      </c>
    </row>
    <row r="112" spans="1:10" ht="15.75" customHeight="1" x14ac:dyDescent="0.25">
      <c r="A112" s="21" t="s">
        <v>9</v>
      </c>
      <c r="B112" s="233">
        <f>'Fremtind Livsforsikring'!B112+'Danica Pensjonsforsikring'!B112+'DNB Livsforsikring'!B112+'Eika Forsikring AS'!B112+'Frende Livsforsikring'!B112+'Frende Skadeforsikring'!B112+'Gjensidige Forsikring'!B112+'Gjensidige Pensjon'!B112+'Handelsbanken Liv'!B112+'If Skadeforsikring NUF'!B112+KLP!B112+'KLP Bedriftspensjon AS'!B112+'KLP Skadeforsikring AS'!B112+'Landkreditt Forsikring'!B112+Insr!B112+'Nordea Liv '!B112+'Oslo Pensjonsforsikring'!B112+'Protector Forsikring'!B112+'SHB Liv'!B112+'Sparebank 1'!B112+'Storebrand Livsforsikring'!B112+'Telenor Forsikring'!B112+'Tryg Forsikring'!B112+'WaterCircle F'!B112</f>
        <v>210746.44973999998</v>
      </c>
      <c r="C112" s="233">
        <f>'Fremtind Livsforsikring'!C112+'Danica Pensjonsforsikring'!C112+'DNB Livsforsikring'!C112+'Eika Forsikring AS'!C112+'Frende Livsforsikring'!C112+'Frende Skadeforsikring'!C112+'Gjensidige Forsikring'!C112+'Gjensidige Pensjon'!C112+'Handelsbanken Liv'!C112+'If Skadeforsikring NUF'!C112+KLP!C112+'KLP Bedriftspensjon AS'!C112+'KLP Skadeforsikring AS'!C112+'Landkreditt Forsikring'!C112+Insr!C112+'Nordea Liv '!C112+'Oslo Pensjonsforsikring'!C112+'Protector Forsikring'!C112+'SHB Liv'!C112+'Sparebank 1'!C112+'Storebrand Livsforsikring'!C112+'Telenor Forsikring'!C112+'Tryg Forsikring'!C112+'WaterCircle F'!C112</f>
        <v>181678.85397999999</v>
      </c>
      <c r="D112" s="23">
        <f t="shared" ref="D112:D125" si="45">IF(B112=0, "    ---- ", IF(ABS(ROUND(100/B112*C112-100,1))&lt;999,ROUND(100/B112*C112-100,1),IF(ROUND(100/B112*C112-100,1)&gt;999,999,-999)))</f>
        <v>-13.8</v>
      </c>
      <c r="E112" s="44">
        <f>'Fremtind Livsforsikring'!F112+'Danica Pensjonsforsikring'!F112+'DNB Livsforsikring'!F112+'Eika Forsikring AS'!F112+'Frende Livsforsikring'!F112+'Frende Skadeforsikring'!F112+'Gjensidige Forsikring'!F112+'Gjensidige Pensjon'!F112+'Handelsbanken Liv'!F112+'If Skadeforsikring NUF'!F112+KLP!F112+'KLP Bedriftspensjon AS'!F112+'KLP Skadeforsikring AS'!F112+'Landkreditt Forsikring'!F112+Insr!F112+'Nordea Liv '!F112+'Oslo Pensjonsforsikring'!F112+'Protector Forsikring'!F112+'SHB Liv'!F112+'Sparebank 1'!F112+'Storebrand Livsforsikring'!F112+'Telenor Forsikring'!F112+'Tryg Forsikring'!F112+'WaterCircle F'!F112</f>
        <v>5268.41</v>
      </c>
      <c r="F112" s="44">
        <f>'Fremtind Livsforsikring'!G112+'Danica Pensjonsforsikring'!G112+'DNB Livsforsikring'!G112+'Eika Forsikring AS'!G112+'Frende Livsforsikring'!G112+'Frende Skadeforsikring'!G112+'Gjensidige Forsikring'!G112+'Gjensidige Pensjon'!G112+'Handelsbanken Liv'!G112+'If Skadeforsikring NUF'!G112+KLP!G112+'KLP Bedriftspensjon AS'!G112+'KLP Skadeforsikring AS'!G112+'Landkreditt Forsikring'!G112+Insr!G112+'Nordea Liv '!G112+'Oslo Pensjonsforsikring'!G112+'Protector Forsikring'!G112+'SHB Liv'!G112+'Sparebank 1'!G112+'Storebrand Livsforsikring'!G112+'Telenor Forsikring'!G112+'Tryg Forsikring'!G112+'WaterCircle F'!G112</f>
        <v>2688.8789999999999</v>
      </c>
      <c r="G112" s="240">
        <f t="shared" si="44"/>
        <v>-49</v>
      </c>
      <c r="H112" s="236">
        <f t="shared" ref="H112:H125" si="46">SUM(B112,E112)</f>
        <v>216014.85973999999</v>
      </c>
      <c r="I112" s="236">
        <f t="shared" ref="I112:I125" si="47">SUM(C112,F112)</f>
        <v>184367.73297999997</v>
      </c>
      <c r="J112" s="23">
        <f t="shared" ref="J112:J125" si="48">IF(H112=0, "    ---- ", IF(ABS(ROUND(100/H112*I112-100,1))&lt;999,ROUND(100/H112*I112-100,1),IF(ROUND(100/H112*I112-100,1)&gt;999,999,-999)))</f>
        <v>-14.7</v>
      </c>
    </row>
    <row r="113" spans="1:10" ht="15.75" customHeight="1" x14ac:dyDescent="0.25">
      <c r="A113" s="21" t="s">
        <v>10</v>
      </c>
      <c r="B113" s="233">
        <f>'Fremtind Livsforsikring'!B113+'Danica Pensjonsforsikring'!B113+'DNB Livsforsikring'!B113+'Eika Forsikring AS'!B113+'Frende Livsforsikring'!B113+'Frende Skadeforsikring'!B113+'Gjensidige Forsikring'!B113+'Gjensidige Pensjon'!B113+'Handelsbanken Liv'!B113+'If Skadeforsikring NUF'!B113+KLP!B113+'KLP Bedriftspensjon AS'!B113+'KLP Skadeforsikring AS'!B113+'Landkreditt Forsikring'!B113+Insr!B113+'Nordea Liv '!B113+'Oslo Pensjonsforsikring'!B113+'Protector Forsikring'!B113+'SHB Liv'!B113+'Sparebank 1'!B113+'Storebrand Livsforsikring'!B113+'Telenor Forsikring'!B113+'Tryg Forsikring'!B113+'WaterCircle F'!B113</f>
        <v>994.58834999999999</v>
      </c>
      <c r="C113" s="233">
        <f>'Fremtind Livsforsikring'!C113+'Danica Pensjonsforsikring'!C113+'DNB Livsforsikring'!C113+'Eika Forsikring AS'!C113+'Frende Livsforsikring'!C113+'Frende Skadeforsikring'!C113+'Gjensidige Forsikring'!C113+'Gjensidige Pensjon'!C113+'Handelsbanken Liv'!C113+'If Skadeforsikring NUF'!C113+KLP!C113+'KLP Bedriftspensjon AS'!C113+'KLP Skadeforsikring AS'!C113+'Landkreditt Forsikring'!C113+Insr!C113+'Nordea Liv '!C113+'Oslo Pensjonsforsikring'!C113+'Protector Forsikring'!C113+'SHB Liv'!C113+'Sparebank 1'!C113+'Storebrand Livsforsikring'!C113+'Telenor Forsikring'!C113+'Tryg Forsikring'!C113+'WaterCircle F'!C113</f>
        <v>4255.6072700000004</v>
      </c>
      <c r="D113" s="23">
        <f t="shared" si="45"/>
        <v>327.9</v>
      </c>
      <c r="E113" s="44">
        <f>'Fremtind Livsforsikring'!F113+'Danica Pensjonsforsikring'!F113+'DNB Livsforsikring'!F113+'Eika Forsikring AS'!F113+'Frende Livsforsikring'!F113+'Frende Skadeforsikring'!F113+'Gjensidige Forsikring'!F113+'Gjensidige Pensjon'!F113+'Handelsbanken Liv'!F113+'If Skadeforsikring NUF'!F113+KLP!F113+'KLP Bedriftspensjon AS'!F113+'KLP Skadeforsikring AS'!F113+'Landkreditt Forsikring'!F113+Insr!F113+'Nordea Liv '!F113+'Oslo Pensjonsforsikring'!F113+'Protector Forsikring'!F113+'SHB Liv'!F113+'Sparebank 1'!F113+'Storebrand Livsforsikring'!F113+'Telenor Forsikring'!F113+'Tryg Forsikring'!F113+'WaterCircle F'!F113</f>
        <v>8127547.9179100003</v>
      </c>
      <c r="F113" s="44">
        <f>'Fremtind Livsforsikring'!G113+'Danica Pensjonsforsikring'!G113+'DNB Livsforsikring'!G113+'Eika Forsikring AS'!G113+'Frende Livsforsikring'!G113+'Frende Skadeforsikring'!G113+'Gjensidige Forsikring'!G113+'Gjensidige Pensjon'!G113+'Handelsbanken Liv'!G113+'If Skadeforsikring NUF'!G113+KLP!G113+'KLP Bedriftspensjon AS'!G113+'KLP Skadeforsikring AS'!G113+'Landkreditt Forsikring'!G113+Insr!G113+'Nordea Liv '!G113+'Oslo Pensjonsforsikring'!G113+'Protector Forsikring'!G113+'SHB Liv'!G113+'Sparebank 1'!G113+'Storebrand Livsforsikring'!G113+'Telenor Forsikring'!G113+'Tryg Forsikring'!G113+'WaterCircle F'!G113</f>
        <v>11745520.632490002</v>
      </c>
      <c r="G113" s="240">
        <f t="shared" si="44"/>
        <v>44.5</v>
      </c>
      <c r="H113" s="236">
        <f t="shared" si="46"/>
        <v>8128542.5062600002</v>
      </c>
      <c r="I113" s="236">
        <f t="shared" si="47"/>
        <v>11749776.239760002</v>
      </c>
      <c r="J113" s="24">
        <f t="shared" si="48"/>
        <v>44.5</v>
      </c>
    </row>
    <row r="114" spans="1:10" ht="15.75" customHeight="1" x14ac:dyDescent="0.25">
      <c r="A114" s="21" t="s">
        <v>26</v>
      </c>
      <c r="B114" s="233">
        <f>'Fremtind Livsforsikring'!B114+'Danica Pensjonsforsikring'!B114+'DNB Livsforsikring'!B114+'Eika Forsikring AS'!B114+'Frende Livsforsikring'!B114+'Frende Skadeforsikring'!B114+'Gjensidige Forsikring'!B114+'Gjensidige Pensjon'!B114+'Handelsbanken Liv'!B114+'If Skadeforsikring NUF'!B114+KLP!B114+'KLP Bedriftspensjon AS'!B114+'KLP Skadeforsikring AS'!B114+'Landkreditt Forsikring'!B114+Insr!B114+'Nordea Liv '!B114+'Oslo Pensjonsforsikring'!B114+'Protector Forsikring'!B114+'SHB Liv'!B114+'Sparebank 1'!B114+'Storebrand Livsforsikring'!B114+'Telenor Forsikring'!B114+'Tryg Forsikring'!B114+'WaterCircle F'!B114</f>
        <v>51820.781000000003</v>
      </c>
      <c r="C114" s="233">
        <f>'Fremtind Livsforsikring'!C114+'Danica Pensjonsforsikring'!C114+'DNB Livsforsikring'!C114+'Eika Forsikring AS'!C114+'Frende Livsforsikring'!C114+'Frende Skadeforsikring'!C114+'Gjensidige Forsikring'!C114+'Gjensidige Pensjon'!C114+'Handelsbanken Liv'!C114+'If Skadeforsikring NUF'!C114+KLP!C114+'KLP Bedriftspensjon AS'!C114+'KLP Skadeforsikring AS'!C114+'Landkreditt Forsikring'!C114+Insr!C114+'Nordea Liv '!C114+'Oslo Pensjonsforsikring'!C114+'Protector Forsikring'!C114+'SHB Liv'!C114+'Sparebank 1'!C114+'Storebrand Livsforsikring'!C114+'Telenor Forsikring'!C114+'Tryg Forsikring'!C114+'WaterCircle F'!C114</f>
        <v>347026.70736</v>
      </c>
      <c r="D114" s="23">
        <f t="shared" si="45"/>
        <v>569.70000000000005</v>
      </c>
      <c r="E114" s="44">
        <f>'Fremtind Livsforsikring'!F114+'Danica Pensjonsforsikring'!F114+'DNB Livsforsikring'!F114+'Eika Forsikring AS'!F114+'Frende Livsforsikring'!F114+'Frende Skadeforsikring'!F114+'Gjensidige Forsikring'!F114+'Gjensidige Pensjon'!F114+'Handelsbanken Liv'!F114+'If Skadeforsikring NUF'!F114+KLP!F114+'KLP Bedriftspensjon AS'!F114+'KLP Skadeforsikring AS'!F114+'Landkreditt Forsikring'!F114+Insr!F114+'Nordea Liv '!F114+'Oslo Pensjonsforsikring'!F114+'Protector Forsikring'!F114+'SHB Liv'!F114+'Sparebank 1'!F114+'Storebrand Livsforsikring'!F114+'Telenor Forsikring'!F114+'Tryg Forsikring'!F114+'WaterCircle F'!F114</f>
        <v>27024.458269999999</v>
      </c>
      <c r="F114" s="44">
        <f>'Fremtind Livsforsikring'!G114+'Danica Pensjonsforsikring'!G114+'DNB Livsforsikring'!G114+'Eika Forsikring AS'!G114+'Frende Livsforsikring'!G114+'Frende Skadeforsikring'!G114+'Gjensidige Forsikring'!G114+'Gjensidige Pensjon'!G114+'Handelsbanken Liv'!G114+'If Skadeforsikring NUF'!G114+KLP!G114+'KLP Bedriftspensjon AS'!G114+'KLP Skadeforsikring AS'!G114+'Landkreditt Forsikring'!G114+Insr!G114+'Nordea Liv '!G114+'Oslo Pensjonsforsikring'!G114+'Protector Forsikring'!G114+'SHB Liv'!G114+'Sparebank 1'!G114+'Storebrand Livsforsikring'!G114+'Telenor Forsikring'!G114+'Tryg Forsikring'!G114+'WaterCircle F'!G114</f>
        <v>68685.857000000004</v>
      </c>
      <c r="G114" s="240">
        <f t="shared" si="44"/>
        <v>154.19999999999999</v>
      </c>
      <c r="H114" s="236">
        <f t="shared" si="46"/>
        <v>78845.239270000005</v>
      </c>
      <c r="I114" s="236">
        <f t="shared" si="47"/>
        <v>415712.56436000002</v>
      </c>
      <c r="J114" s="24">
        <f t="shared" si="48"/>
        <v>427.3</v>
      </c>
    </row>
    <row r="115" spans="1:10" ht="15.75" customHeight="1" x14ac:dyDescent="0.2">
      <c r="A115" s="295" t="s">
        <v>15</v>
      </c>
      <c r="B115" s="44"/>
      <c r="C115" s="44"/>
      <c r="D115" s="27"/>
      <c r="E115" s="44"/>
      <c r="F115" s="44"/>
      <c r="G115" s="166"/>
      <c r="H115" s="236"/>
      <c r="I115" s="236"/>
      <c r="J115" s="23"/>
    </row>
    <row r="116" spans="1:10" ht="15.75" customHeight="1" x14ac:dyDescent="0.25">
      <c r="A116" s="21" t="s">
        <v>389</v>
      </c>
      <c r="B116" s="233">
        <f>'Fremtind Livsforsikring'!B116+'Danica Pensjonsforsikring'!B116+'DNB Livsforsikring'!B116+'Eika Forsikring AS'!B116+'Frende Livsforsikring'!B116+'Frende Skadeforsikring'!B116+'Gjensidige Forsikring'!B116+'Gjensidige Pensjon'!B116+'Handelsbanken Liv'!B116+'If Skadeforsikring NUF'!B116+KLP!B116+'KLP Bedriftspensjon AS'!B116+'KLP Skadeforsikring AS'!B116+'Landkreditt Forsikring'!B116+Insr!B116+'Nordea Liv '!B116+'Oslo Pensjonsforsikring'!B116+'Protector Forsikring'!B116+'SHB Liv'!B116+'Sparebank 1'!B116+'Storebrand Livsforsikring'!B116+'Telenor Forsikring'!B116+'Tryg Forsikring'!B116+'WaterCircle F'!B116</f>
        <v>71352.537179999912</v>
      </c>
      <c r="C116" s="233">
        <f>'Fremtind Livsforsikring'!C116+'Danica Pensjonsforsikring'!C116+'DNB Livsforsikring'!C116+'Eika Forsikring AS'!C116+'Frende Livsforsikring'!C116+'Frende Skadeforsikring'!C116+'Gjensidige Forsikring'!C116+'Gjensidige Pensjon'!C116+'Handelsbanken Liv'!C116+'If Skadeforsikring NUF'!C116+KLP!C116+'KLP Bedriftspensjon AS'!C116+'KLP Skadeforsikring AS'!C116+'Landkreditt Forsikring'!C116+Insr!C116+'Nordea Liv '!C116+'Oslo Pensjonsforsikring'!C116+'Protector Forsikring'!C116+'SHB Liv'!C116+'Sparebank 1'!C116+'Storebrand Livsforsikring'!C116+'Telenor Forsikring'!C116+'Tryg Forsikring'!C116+'WaterCircle F'!C116</f>
        <v>46631.421000000002</v>
      </c>
      <c r="D116" s="23">
        <f t="shared" si="45"/>
        <v>-34.6</v>
      </c>
      <c r="E116" s="44">
        <f>'Fremtind Livsforsikring'!F116+'Danica Pensjonsforsikring'!F116+'DNB Livsforsikring'!F116+'Eika Forsikring AS'!F116+'Frende Livsforsikring'!F116+'Frende Skadeforsikring'!F116+'Gjensidige Forsikring'!F116+'Gjensidige Pensjon'!F116+'Handelsbanken Liv'!F116+'If Skadeforsikring NUF'!F116+KLP!F116+'KLP Bedriftspensjon AS'!F116+'KLP Skadeforsikring AS'!F116+'Landkreditt Forsikring'!F116+Insr!F116+'Nordea Liv '!F116+'Oslo Pensjonsforsikring'!F116+'Protector Forsikring'!F116+'SHB Liv'!F116+'Sparebank 1'!F116+'Storebrand Livsforsikring'!F116+'Telenor Forsikring'!F116+'Tryg Forsikring'!F116+'WaterCircle F'!F116</f>
        <v>5268.41</v>
      </c>
      <c r="F116" s="44">
        <f>'Fremtind Livsforsikring'!G116+'Danica Pensjonsforsikring'!G116+'DNB Livsforsikring'!G116+'Eika Forsikring AS'!G116+'Frende Livsforsikring'!G116+'Frende Skadeforsikring'!G116+'Gjensidige Forsikring'!G116+'Gjensidige Pensjon'!G116+'Handelsbanken Liv'!G116+'If Skadeforsikring NUF'!G116+KLP!G116+'KLP Bedriftspensjon AS'!G116+'KLP Skadeforsikring AS'!G116+'Landkreditt Forsikring'!G116+Insr!G116+'Nordea Liv '!G116+'Oslo Pensjonsforsikring'!G116+'Protector Forsikring'!G116+'SHB Liv'!G116+'Sparebank 1'!G116+'Storebrand Livsforsikring'!G116+'Telenor Forsikring'!G116+'Tryg Forsikring'!G116+'WaterCircle F'!G116</f>
        <v>2688.8789999999999</v>
      </c>
      <c r="G116" s="240">
        <f t="shared" ref="G116:G117" si="49">IF(E116=0, "    ---- ", IF(ABS(ROUND(100/E116*F116-100,1))&lt;999,ROUND(100/E116*F116-100,1),IF(ROUND(100/E116*F116-100,1)&gt;999,999,-999)))</f>
        <v>-49</v>
      </c>
      <c r="H116" s="236">
        <f t="shared" si="46"/>
        <v>76620.947179999916</v>
      </c>
      <c r="I116" s="236">
        <f t="shared" si="47"/>
        <v>49320.3</v>
      </c>
      <c r="J116" s="23">
        <f t="shared" si="48"/>
        <v>-35.6</v>
      </c>
    </row>
    <row r="117" spans="1:10" ht="15.75" customHeight="1" x14ac:dyDescent="0.25">
      <c r="A117" s="21" t="s">
        <v>390</v>
      </c>
      <c r="B117" s="233"/>
      <c r="C117" s="233"/>
      <c r="D117" s="23"/>
      <c r="E117" s="44">
        <f>'Fremtind Livsforsikring'!F117+'Danica Pensjonsforsikring'!F117+'DNB Livsforsikring'!F117+'Eika Forsikring AS'!F117+'Frende Livsforsikring'!F117+'Frende Skadeforsikring'!F117+'Gjensidige Forsikring'!F117+'Gjensidige Pensjon'!F117+'Handelsbanken Liv'!F117+'If Skadeforsikring NUF'!F117+KLP!F117+'KLP Bedriftspensjon AS'!F117+'KLP Skadeforsikring AS'!F117+'Landkreditt Forsikring'!F117+Insr!F117+'Nordea Liv '!F117+'Oslo Pensjonsforsikring'!F117+'Protector Forsikring'!F117+'SHB Liv'!F117+'Sparebank 1'!F117+'Storebrand Livsforsikring'!F117+'Telenor Forsikring'!F117+'Tryg Forsikring'!F117+'WaterCircle F'!F117</f>
        <v>1616627.3614800002</v>
      </c>
      <c r="F117" s="44">
        <f>'Fremtind Livsforsikring'!G117+'Danica Pensjonsforsikring'!G117+'DNB Livsforsikring'!G117+'Eika Forsikring AS'!G117+'Frende Livsforsikring'!G117+'Frende Skadeforsikring'!G117+'Gjensidige Forsikring'!G117+'Gjensidige Pensjon'!G117+'Handelsbanken Liv'!G117+'If Skadeforsikring NUF'!G117+KLP!G117+'KLP Bedriftspensjon AS'!G117+'KLP Skadeforsikring AS'!G117+'Landkreditt Forsikring'!G117+Insr!G117+'Nordea Liv '!G117+'Oslo Pensjonsforsikring'!G117+'Protector Forsikring'!G117+'SHB Liv'!G117+'Sparebank 1'!G117+'Storebrand Livsforsikring'!G117+'Telenor Forsikring'!G117+'Tryg Forsikring'!G117+'WaterCircle F'!G117</f>
        <v>1810350.4270799998</v>
      </c>
      <c r="G117" s="240">
        <f t="shared" si="49"/>
        <v>12</v>
      </c>
      <c r="H117" s="236">
        <f t="shared" si="46"/>
        <v>1616627.3614800002</v>
      </c>
      <c r="I117" s="236">
        <f t="shared" si="47"/>
        <v>1810350.4270799998</v>
      </c>
      <c r="J117" s="23">
        <f t="shared" si="48"/>
        <v>12</v>
      </c>
    </row>
    <row r="118" spans="1:10" ht="15.75" customHeight="1" x14ac:dyDescent="0.2">
      <c r="A118" s="21" t="s">
        <v>388</v>
      </c>
      <c r="B118" s="233"/>
      <c r="C118" s="233"/>
      <c r="D118" s="23"/>
      <c r="E118" s="44"/>
      <c r="F118" s="44"/>
      <c r="G118" s="166"/>
      <c r="H118" s="236"/>
      <c r="I118" s="236"/>
      <c r="J118" s="23"/>
    </row>
    <row r="119" spans="1:10" s="43" customFormat="1" ht="15.75" customHeight="1" x14ac:dyDescent="0.25">
      <c r="A119" s="13" t="s">
        <v>369</v>
      </c>
      <c r="B119" s="328">
        <f>'Fremtind Livsforsikring'!B119+'Danica Pensjonsforsikring'!B119+'DNB Livsforsikring'!B119+'Eika Forsikring AS'!B119+'Frende Livsforsikring'!B119+'Frende Skadeforsikring'!B119+'Gjensidige Forsikring'!B119+'Gjensidige Pensjon'!B119+'Handelsbanken Liv'!B119+'If Skadeforsikring NUF'!B119+KLP!B119+'KLP Bedriftspensjon AS'!B119+'KLP Skadeforsikring AS'!B119+'Landkreditt Forsikring'!B119+Insr!B119+'Nordea Liv '!B119+'Oslo Pensjonsforsikring'!B119+'Protector Forsikring'!B119+'SHB Liv'!B119+'Sparebank 1'!B119+'Storebrand Livsforsikring'!B119+'Telenor Forsikring'!B119+'Tryg Forsikring'!B119+'WaterCircle F'!B119</f>
        <v>279928.84003999998</v>
      </c>
      <c r="C119" s="328">
        <f>'Fremtind Livsforsikring'!C119+'Danica Pensjonsforsikring'!C119+'DNB Livsforsikring'!C119+'Eika Forsikring AS'!C119+'Frende Livsforsikring'!C119+'Frende Skadeforsikring'!C119+'Gjensidige Forsikring'!C119+'Gjensidige Pensjon'!C119+'Handelsbanken Liv'!C119+'If Skadeforsikring NUF'!C119+KLP!C119+'KLP Bedriftspensjon AS'!C119+'KLP Skadeforsikring AS'!C119+'Landkreditt Forsikring'!C119+Insr!C119+'Nordea Liv '!C119+'Oslo Pensjonsforsikring'!C119+'Protector Forsikring'!C119+'SHB Liv'!C119+'Sparebank 1'!C119+'Storebrand Livsforsikring'!C119+'Telenor Forsikring'!C119+'Tryg Forsikring'!C119+'WaterCircle F'!C119</f>
        <v>594965.51118999999</v>
      </c>
      <c r="D119" s="24">
        <f t="shared" si="45"/>
        <v>112.5</v>
      </c>
      <c r="E119" s="235">
        <f>'Fremtind Livsforsikring'!F119+'Danica Pensjonsforsikring'!F119+'DNB Livsforsikring'!F119+'Eika Forsikring AS'!F119+'Frende Livsforsikring'!F119+'Frende Skadeforsikring'!F119+'Gjensidige Forsikring'!F119+'Gjensidige Pensjon'!F119+'Handelsbanken Liv'!F119+'If Skadeforsikring NUF'!F119+KLP!F119+'KLP Bedriftspensjon AS'!F119+'KLP Skadeforsikring AS'!F119+'Landkreditt Forsikring'!F119+Insr!F119+'Nordea Liv '!F119+'Oslo Pensjonsforsikring'!F119+'Protector Forsikring'!F119+'SHB Liv'!F119+'Sparebank 1'!F119+'Storebrand Livsforsikring'!F119+'Telenor Forsikring'!F119+'Tryg Forsikring'!F119+'WaterCircle F'!F119</f>
        <v>8098020.3008900005</v>
      </c>
      <c r="F119" s="235">
        <f>'Fremtind Livsforsikring'!G119+'Danica Pensjonsforsikring'!G119+'DNB Livsforsikring'!G119+'Eika Forsikring AS'!G119+'Frende Livsforsikring'!G119+'Frende Skadeforsikring'!G119+'Gjensidige Forsikring'!G119+'Gjensidige Pensjon'!G119+'Handelsbanken Liv'!G119+'If Skadeforsikring NUF'!G119+KLP!G119+'KLP Bedriftspensjon AS'!G119+'KLP Skadeforsikring AS'!G119+'Landkreditt Forsikring'!G119+Insr!G119+'Nordea Liv '!G119+'Oslo Pensjonsforsikring'!G119+'Protector Forsikring'!G119+'SHB Liv'!G119+'Sparebank 1'!G119+'Storebrand Livsforsikring'!G119+'Telenor Forsikring'!G119+'Tryg Forsikring'!G119+'WaterCircle F'!G119</f>
        <v>11565070.293479998</v>
      </c>
      <c r="G119" s="706">
        <f t="shared" ref="G119:G125" si="50">IF(E119=0, "    ---- ", IF(ABS(ROUND(100/E119*F119-100,1))&lt;999,ROUND(100/E119*F119-100,1),IF(ROUND(100/E119*F119-100,1)&gt;999,999,-999)))</f>
        <v>42.8</v>
      </c>
      <c r="H119" s="328">
        <f t="shared" si="46"/>
        <v>8377949.1409300007</v>
      </c>
      <c r="I119" s="328">
        <f t="shared" si="47"/>
        <v>12160035.804669999</v>
      </c>
      <c r="J119" s="24">
        <f t="shared" si="48"/>
        <v>45.1</v>
      </c>
    </row>
    <row r="120" spans="1:10" ht="15.75" customHeight="1" x14ac:dyDescent="0.25">
      <c r="A120" s="21" t="s">
        <v>9</v>
      </c>
      <c r="B120" s="236">
        <f>'Fremtind Livsforsikring'!B120+'Danica Pensjonsforsikring'!B120+'DNB Livsforsikring'!B120+'Eika Forsikring AS'!B120+'Frende Livsforsikring'!B120+'Frende Skadeforsikring'!B120+'Gjensidige Forsikring'!B120+'Gjensidige Pensjon'!B120+'Handelsbanken Liv'!B120+'If Skadeforsikring NUF'!B120+KLP!B120+'KLP Bedriftspensjon AS'!B120+'KLP Skadeforsikring AS'!B120+'Landkreditt Forsikring'!B120+Insr!B120+'Nordea Liv '!B120+'Oslo Pensjonsforsikring'!B120+'Protector Forsikring'!B120+'SHB Liv'!B120+'Sparebank 1'!B120+'Storebrand Livsforsikring'!B120+'Telenor Forsikring'!B120+'Tryg Forsikring'!B120+'WaterCircle F'!B120</f>
        <v>147983.87748999998</v>
      </c>
      <c r="C120" s="236">
        <f>'Fremtind Livsforsikring'!C120+'Danica Pensjonsforsikring'!C120+'DNB Livsforsikring'!C120+'Eika Forsikring AS'!C120+'Frende Livsforsikring'!C120+'Frende Skadeforsikring'!C120+'Gjensidige Forsikring'!C120+'Gjensidige Pensjon'!C120+'Handelsbanken Liv'!C120+'If Skadeforsikring NUF'!C120+KLP!C120+'KLP Bedriftspensjon AS'!C120+'KLP Skadeforsikring AS'!C120+'Landkreditt Forsikring'!C120+Insr!C120+'Nordea Liv '!C120+'Oslo Pensjonsforsikring'!C120+'Protector Forsikring'!C120+'SHB Liv'!C120+'Sparebank 1'!C120+'Storebrand Livsforsikring'!C120+'Telenor Forsikring'!C120+'Tryg Forsikring'!C120+'WaterCircle F'!C120</f>
        <v>469189.96194000001</v>
      </c>
      <c r="D120" s="23">
        <f t="shared" si="45"/>
        <v>217.1</v>
      </c>
      <c r="E120" s="44">
        <f>'Fremtind Livsforsikring'!F120+'Danica Pensjonsforsikring'!F120+'DNB Livsforsikring'!F120+'Eika Forsikring AS'!F120+'Frende Livsforsikring'!F120+'Frende Skadeforsikring'!F120+'Gjensidige Forsikring'!F120+'Gjensidige Pensjon'!F120+'Handelsbanken Liv'!F120+'If Skadeforsikring NUF'!F120+KLP!F120+'KLP Bedriftspensjon AS'!F120+'KLP Skadeforsikring AS'!F120+'Landkreditt Forsikring'!F120+Insr!F120+'Nordea Liv '!F120+'Oslo Pensjonsforsikring'!F120+'Protector Forsikring'!F120+'SHB Liv'!F120+'Sparebank 1'!F120+'Storebrand Livsforsikring'!F120+'Telenor Forsikring'!F120+'Tryg Forsikring'!F120+'WaterCircle F'!F120</f>
        <v>0</v>
      </c>
      <c r="F120" s="44">
        <f>'Fremtind Livsforsikring'!G120+'Danica Pensjonsforsikring'!G120+'DNB Livsforsikring'!G120+'Eika Forsikring AS'!G120+'Frende Livsforsikring'!G120+'Frende Skadeforsikring'!G120+'Gjensidige Forsikring'!G120+'Gjensidige Pensjon'!G120+'Handelsbanken Liv'!G120+'If Skadeforsikring NUF'!G120+KLP!G120+'KLP Bedriftspensjon AS'!G120+'KLP Skadeforsikring AS'!G120+'Landkreditt Forsikring'!G120+Insr!G120+'Nordea Liv '!G120+'Oslo Pensjonsforsikring'!G120+'Protector Forsikring'!G120+'SHB Liv'!G120+'Sparebank 1'!G120+'Storebrand Livsforsikring'!G120+'Telenor Forsikring'!G120+'Tryg Forsikring'!G120+'WaterCircle F'!G120</f>
        <v>0</v>
      </c>
      <c r="G120" s="240"/>
      <c r="H120" s="236">
        <f t="shared" si="46"/>
        <v>147983.87748999998</v>
      </c>
      <c r="I120" s="236">
        <f t="shared" si="47"/>
        <v>469189.96194000001</v>
      </c>
      <c r="J120" s="23">
        <f t="shared" si="48"/>
        <v>217.1</v>
      </c>
    </row>
    <row r="121" spans="1:10" ht="15.75" customHeight="1" x14ac:dyDescent="0.25">
      <c r="A121" s="21" t="s">
        <v>10</v>
      </c>
      <c r="B121" s="236">
        <f>'Fremtind Livsforsikring'!B121+'Danica Pensjonsforsikring'!B121+'DNB Livsforsikring'!B121+'Eika Forsikring AS'!B121+'Frende Livsforsikring'!B121+'Frende Skadeforsikring'!B121+'Gjensidige Forsikring'!B121+'Gjensidige Pensjon'!B121+'Handelsbanken Liv'!B121+'If Skadeforsikring NUF'!B121+KLP!B121+'KLP Bedriftspensjon AS'!B121+'KLP Skadeforsikring AS'!B121+'Landkreditt Forsikring'!B121+Insr!B121+'Nordea Liv '!B121+'Oslo Pensjonsforsikring'!B121+'Protector Forsikring'!B121+'SHB Liv'!B121+'Sparebank 1'!B121+'Storebrand Livsforsikring'!B121+'Telenor Forsikring'!B121+'Tryg Forsikring'!B121+'WaterCircle F'!B121</f>
        <v>21495.859639999999</v>
      </c>
      <c r="C121" s="236">
        <f>'Fremtind Livsforsikring'!C121+'Danica Pensjonsforsikring'!C121+'DNB Livsforsikring'!C121+'Eika Forsikring AS'!C121+'Frende Livsforsikring'!C121+'Frende Skadeforsikring'!C121+'Gjensidige Forsikring'!C121+'Gjensidige Pensjon'!C121+'Handelsbanken Liv'!C121+'If Skadeforsikring NUF'!C121+KLP!C121+'KLP Bedriftspensjon AS'!C121+'KLP Skadeforsikring AS'!C121+'Landkreditt Forsikring'!C121+Insr!C121+'Nordea Liv '!C121+'Oslo Pensjonsforsikring'!C121+'Protector Forsikring'!C121+'SHB Liv'!C121+'Sparebank 1'!C121+'Storebrand Livsforsikring'!C121+'Telenor Forsikring'!C121+'Tryg Forsikring'!C121+'WaterCircle F'!C121</f>
        <v>4676.8951099999995</v>
      </c>
      <c r="D121" s="23">
        <f t="shared" si="45"/>
        <v>-78.2</v>
      </c>
      <c r="E121" s="44">
        <f>'Fremtind Livsforsikring'!F121+'Danica Pensjonsforsikring'!F121+'DNB Livsforsikring'!F121+'Eika Forsikring AS'!F121+'Frende Livsforsikring'!F121+'Frende Skadeforsikring'!F121+'Gjensidige Forsikring'!F121+'Gjensidige Pensjon'!F121+'Handelsbanken Liv'!F121+'If Skadeforsikring NUF'!F121+KLP!F121+'KLP Bedriftspensjon AS'!F121+'KLP Skadeforsikring AS'!F121+'Landkreditt Forsikring'!F121+Insr!F121+'Nordea Liv '!F121+'Oslo Pensjonsforsikring'!F121+'Protector Forsikring'!F121+'SHB Liv'!F121+'Sparebank 1'!F121+'Storebrand Livsforsikring'!F121+'Telenor Forsikring'!F121+'Tryg Forsikring'!F121+'WaterCircle F'!F121</f>
        <v>8098020.3008900005</v>
      </c>
      <c r="F121" s="44">
        <f>'Fremtind Livsforsikring'!G121+'Danica Pensjonsforsikring'!G121+'DNB Livsforsikring'!G121+'Eika Forsikring AS'!G121+'Frende Livsforsikring'!G121+'Frende Skadeforsikring'!G121+'Gjensidige Forsikring'!G121+'Gjensidige Pensjon'!G121+'Handelsbanken Liv'!G121+'If Skadeforsikring NUF'!G121+KLP!G121+'KLP Bedriftspensjon AS'!G121+'KLP Skadeforsikring AS'!G121+'Landkreditt Forsikring'!G121+Insr!G121+'Nordea Liv '!G121+'Oslo Pensjonsforsikring'!G121+'Protector Forsikring'!G121+'SHB Liv'!G121+'Sparebank 1'!G121+'Storebrand Livsforsikring'!G121+'Telenor Forsikring'!G121+'Tryg Forsikring'!G121+'WaterCircle F'!G121</f>
        <v>11565070.293479998</v>
      </c>
      <c r="G121" s="240">
        <f t="shared" si="50"/>
        <v>42.8</v>
      </c>
      <c r="H121" s="236">
        <f t="shared" si="46"/>
        <v>8119516.1605300009</v>
      </c>
      <c r="I121" s="236">
        <f t="shared" si="47"/>
        <v>11569747.188589998</v>
      </c>
      <c r="J121" s="23">
        <f t="shared" si="48"/>
        <v>42.5</v>
      </c>
    </row>
    <row r="122" spans="1:10" ht="15.75" customHeight="1" x14ac:dyDescent="0.25">
      <c r="A122" s="21" t="s">
        <v>26</v>
      </c>
      <c r="B122" s="236">
        <f>'Fremtind Livsforsikring'!B122+'Danica Pensjonsforsikring'!B122+'DNB Livsforsikring'!B122+'Eika Forsikring AS'!B122+'Frende Livsforsikring'!B122+'Frende Skadeforsikring'!B122+'Gjensidige Forsikring'!B122+'Gjensidige Pensjon'!B122+'Handelsbanken Liv'!B122+'If Skadeforsikring NUF'!B122+KLP!B122+'KLP Bedriftspensjon AS'!B122+'KLP Skadeforsikring AS'!B122+'Landkreditt Forsikring'!B122+Insr!B122+'Nordea Liv '!B122+'Oslo Pensjonsforsikring'!B122+'Protector Forsikring'!B122+'SHB Liv'!B122+'Sparebank 1'!B122+'Storebrand Livsforsikring'!B122+'Telenor Forsikring'!B122+'Tryg Forsikring'!B122+'WaterCircle F'!B122</f>
        <v>110449.10291</v>
      </c>
      <c r="C122" s="236">
        <f>'Fremtind Livsforsikring'!C122+'Danica Pensjonsforsikring'!C122+'DNB Livsforsikring'!C122+'Eika Forsikring AS'!C122+'Frende Livsforsikring'!C122+'Frende Skadeforsikring'!C122+'Gjensidige Forsikring'!C122+'Gjensidige Pensjon'!C122+'Handelsbanken Liv'!C122+'If Skadeforsikring NUF'!C122+KLP!C122+'KLP Bedriftspensjon AS'!C122+'KLP Skadeforsikring AS'!C122+'Landkreditt Forsikring'!C122+Insr!C122+'Nordea Liv '!C122+'Oslo Pensjonsforsikring'!C122+'Protector Forsikring'!C122+'SHB Liv'!C122+'Sparebank 1'!C122+'Storebrand Livsforsikring'!C122+'Telenor Forsikring'!C122+'Tryg Forsikring'!C122+'WaterCircle F'!C122</f>
        <v>121098.65414</v>
      </c>
      <c r="D122" s="23">
        <f t="shared" si="45"/>
        <v>9.6</v>
      </c>
      <c r="E122" s="44">
        <f>'Fremtind Livsforsikring'!F122+'Danica Pensjonsforsikring'!F122+'DNB Livsforsikring'!F122+'Eika Forsikring AS'!F122+'Frende Livsforsikring'!F122+'Frende Skadeforsikring'!F122+'Gjensidige Forsikring'!F122+'Gjensidige Pensjon'!F122+'Handelsbanken Liv'!F122+'If Skadeforsikring NUF'!F122+KLP!F122+'KLP Bedriftspensjon AS'!F122+'KLP Skadeforsikring AS'!F122+'Landkreditt Forsikring'!F122+Insr!F122+'Nordea Liv '!F122+'Oslo Pensjonsforsikring'!F122+'Protector Forsikring'!F122+'SHB Liv'!F122+'Sparebank 1'!F122+'Storebrand Livsforsikring'!F122+'Telenor Forsikring'!F122+'Tryg Forsikring'!F122+'WaterCircle F'!F122</f>
        <v>0</v>
      </c>
      <c r="F122" s="44">
        <f>'Fremtind Livsforsikring'!G122+'Danica Pensjonsforsikring'!G122+'DNB Livsforsikring'!G122+'Eika Forsikring AS'!G122+'Frende Livsforsikring'!G122+'Frende Skadeforsikring'!G122+'Gjensidige Forsikring'!G122+'Gjensidige Pensjon'!G122+'Handelsbanken Liv'!G122+'If Skadeforsikring NUF'!G122+KLP!G122+'KLP Bedriftspensjon AS'!G122+'KLP Skadeforsikring AS'!G122+'Landkreditt Forsikring'!G122+Insr!G122+'Nordea Liv '!G122+'Oslo Pensjonsforsikring'!G122+'Protector Forsikring'!G122+'SHB Liv'!G122+'Sparebank 1'!G122+'Storebrand Livsforsikring'!G122+'Telenor Forsikring'!G122+'Tryg Forsikring'!G122+'WaterCircle F'!G122</f>
        <v>0</v>
      </c>
      <c r="G122" s="240"/>
      <c r="H122" s="236">
        <f t="shared" si="46"/>
        <v>110449.10291</v>
      </c>
      <c r="I122" s="236">
        <f t="shared" si="47"/>
        <v>121098.65414</v>
      </c>
      <c r="J122" s="23">
        <f t="shared" si="48"/>
        <v>9.6</v>
      </c>
    </row>
    <row r="123" spans="1:10" ht="15.75" customHeight="1" x14ac:dyDescent="0.25">
      <c r="A123" s="295" t="s">
        <v>14</v>
      </c>
      <c r="B123" s="44"/>
      <c r="C123" s="44"/>
      <c r="D123" s="27"/>
      <c r="E123" s="44"/>
      <c r="F123" s="44"/>
      <c r="G123" s="240"/>
      <c r="H123" s="236"/>
      <c r="I123" s="236"/>
      <c r="J123" s="23"/>
    </row>
    <row r="124" spans="1:10" ht="15.75" customHeight="1" x14ac:dyDescent="0.25">
      <c r="A124" s="21" t="s">
        <v>386</v>
      </c>
      <c r="B124" s="236">
        <f>'Fremtind Livsforsikring'!B124+'Danica Pensjonsforsikring'!B124+'DNB Livsforsikring'!B124+'Eika Forsikring AS'!B124+'Frende Livsforsikring'!B124+'Frende Skadeforsikring'!B124+'Gjensidige Forsikring'!B124+'Gjensidige Pensjon'!B124+'Handelsbanken Liv'!B124+'If Skadeforsikring NUF'!B124+KLP!B124+'KLP Bedriftspensjon AS'!B124+'KLP Skadeforsikring AS'!B124+'Landkreditt Forsikring'!B124+Insr!B124+'Nordea Liv '!B124+'Oslo Pensjonsforsikring'!B124+'Protector Forsikring'!B124+'SHB Liv'!B124+'Sparebank 1'!B124+'Storebrand Livsforsikring'!B124+'Telenor Forsikring'!B124+'Tryg Forsikring'!B124+'WaterCircle F'!B124</f>
        <v>37255.994609999994</v>
      </c>
      <c r="C124" s="236">
        <f>'Fremtind Livsforsikring'!C124+'Danica Pensjonsforsikring'!C124+'DNB Livsforsikring'!C124+'Eika Forsikring AS'!C124+'Frende Livsforsikring'!C124+'Frende Skadeforsikring'!C124+'Gjensidige Forsikring'!C124+'Gjensidige Pensjon'!C124+'Handelsbanken Liv'!C124+'If Skadeforsikring NUF'!C124+KLP!C124+'KLP Bedriftspensjon AS'!C124+'KLP Skadeforsikring AS'!C124+'Landkreditt Forsikring'!C124+Insr!C124+'Nordea Liv '!C124+'Oslo Pensjonsforsikring'!C124+'Protector Forsikring'!C124+'SHB Liv'!C124+'Sparebank 1'!C124+'Storebrand Livsforsikring'!C124+'Telenor Forsikring'!C124+'Tryg Forsikring'!C124+'WaterCircle F'!C124</f>
        <v>36000.775000000001</v>
      </c>
      <c r="D124" s="23">
        <f t="shared" si="45"/>
        <v>-3.4</v>
      </c>
      <c r="E124" s="44">
        <f>'Fremtind Livsforsikring'!F124+'Danica Pensjonsforsikring'!F124+'DNB Livsforsikring'!F124+'Eika Forsikring AS'!F124+'Frende Livsforsikring'!F124+'Frende Skadeforsikring'!F124+'Gjensidige Forsikring'!F124+'Gjensidige Pensjon'!F124+'Handelsbanken Liv'!F124+'If Skadeforsikring NUF'!F124+KLP!F124+'KLP Bedriftspensjon AS'!F124+'KLP Skadeforsikring AS'!F124+'Landkreditt Forsikring'!F124+Insr!F124+'Nordea Liv '!F124+'Oslo Pensjonsforsikring'!F124+'Protector Forsikring'!F124+'SHB Liv'!F124+'Sparebank 1'!F124+'Storebrand Livsforsikring'!F124+'Telenor Forsikring'!F124+'Tryg Forsikring'!F124+'WaterCircle F'!F124</f>
        <v>14611.23</v>
      </c>
      <c r="F124" s="44">
        <f>'Fremtind Livsforsikring'!G124+'Danica Pensjonsforsikring'!G124+'DNB Livsforsikring'!G124+'Eika Forsikring AS'!G124+'Frende Livsforsikring'!G124+'Frende Skadeforsikring'!G124+'Gjensidige Forsikring'!G124+'Gjensidige Pensjon'!G124+'Handelsbanken Liv'!G124+'If Skadeforsikring NUF'!G124+KLP!G124+'KLP Bedriftspensjon AS'!G124+'KLP Skadeforsikring AS'!G124+'Landkreditt Forsikring'!G124+Insr!G124+'Nordea Liv '!G124+'Oslo Pensjonsforsikring'!G124+'Protector Forsikring'!G124+'SHB Liv'!G124+'Sparebank 1'!G124+'Storebrand Livsforsikring'!G124+'Telenor Forsikring'!G124+'Tryg Forsikring'!G124+'WaterCircle F'!G124</f>
        <v>9367.0149999999994</v>
      </c>
      <c r="G124" s="240">
        <f t="shared" si="50"/>
        <v>-35.9</v>
      </c>
      <c r="H124" s="236">
        <f t="shared" si="46"/>
        <v>51867.22460999999</v>
      </c>
      <c r="I124" s="236">
        <f t="shared" si="47"/>
        <v>45367.79</v>
      </c>
      <c r="J124" s="23">
        <f t="shared" si="48"/>
        <v>-12.5</v>
      </c>
    </row>
    <row r="125" spans="1:10" ht="15.75" customHeight="1" x14ac:dyDescent="0.25">
      <c r="A125" s="21" t="s">
        <v>387</v>
      </c>
      <c r="B125" s="236">
        <f>'Fremtind Livsforsikring'!B125+'Danica Pensjonsforsikring'!B125+'DNB Livsforsikring'!B125+'Eika Forsikring AS'!B125+'Frende Livsforsikring'!B125+'Frende Skadeforsikring'!B125+'Gjensidige Forsikring'!B125+'Gjensidige Pensjon'!B125+'Handelsbanken Liv'!B125+'If Skadeforsikring NUF'!B125+KLP!B125+'KLP Bedriftspensjon AS'!B125+'KLP Skadeforsikring AS'!B125+'Landkreditt Forsikring'!B125+Insr!B125+'Nordea Liv '!B125+'Oslo Pensjonsforsikring'!B125+'Protector Forsikring'!B125+'SHB Liv'!B125+'Sparebank 1'!B125+'Storebrand Livsforsikring'!B125+'Telenor Forsikring'!B125+'Tryg Forsikring'!B125+'WaterCircle F'!B125</f>
        <v>2274.8798400000001</v>
      </c>
      <c r="C125" s="236">
        <f>'Fremtind Livsforsikring'!C125+'Danica Pensjonsforsikring'!C125+'DNB Livsforsikring'!C125+'Eika Forsikring AS'!C125+'Frende Livsforsikring'!C125+'Frende Skadeforsikring'!C125+'Gjensidige Forsikring'!C125+'Gjensidige Pensjon'!C125+'Handelsbanken Liv'!C125+'If Skadeforsikring NUF'!C125+KLP!C125+'KLP Bedriftspensjon AS'!C125+'KLP Skadeforsikring AS'!C125+'Landkreditt Forsikring'!C125+Insr!C125+'Nordea Liv '!C125+'Oslo Pensjonsforsikring'!C125+'Protector Forsikring'!C125+'SHB Liv'!C125+'Sparebank 1'!C125+'Storebrand Livsforsikring'!C125+'Telenor Forsikring'!C125+'Tryg Forsikring'!C125+'WaterCircle F'!C125</f>
        <v>1063.3412900000001</v>
      </c>
      <c r="D125" s="23">
        <f t="shared" si="45"/>
        <v>-53.3</v>
      </c>
      <c r="E125" s="44">
        <f>'Fremtind Livsforsikring'!F125+'Danica Pensjonsforsikring'!F125+'DNB Livsforsikring'!F125+'Eika Forsikring AS'!F125+'Frende Livsforsikring'!F125+'Frende Skadeforsikring'!F125+'Gjensidige Forsikring'!F125+'Gjensidige Pensjon'!F125+'Handelsbanken Liv'!F125+'If Skadeforsikring NUF'!F125+KLP!F125+'KLP Bedriftspensjon AS'!F125+'KLP Skadeforsikring AS'!F125+'Landkreditt Forsikring'!F125+Insr!F125+'Nordea Liv '!F125+'Oslo Pensjonsforsikring'!F125+'Protector Forsikring'!F125+'SHB Liv'!F125+'Sparebank 1'!F125+'Storebrand Livsforsikring'!F125+'Telenor Forsikring'!F125+'Tryg Forsikring'!F125+'WaterCircle F'!F125</f>
        <v>1689496.5580900002</v>
      </c>
      <c r="F125" s="44">
        <f>'Fremtind Livsforsikring'!G125+'Danica Pensjonsforsikring'!G125+'DNB Livsforsikring'!G125+'Eika Forsikring AS'!G125+'Frende Livsforsikring'!G125+'Frende Skadeforsikring'!G125+'Gjensidige Forsikring'!G125+'Gjensidige Pensjon'!G125+'Handelsbanken Liv'!G125+'If Skadeforsikring NUF'!G125+KLP!G125+'KLP Bedriftspensjon AS'!G125+'KLP Skadeforsikring AS'!G125+'Landkreditt Forsikring'!G125+Insr!G125+'Nordea Liv '!G125+'Oslo Pensjonsforsikring'!G125+'Protector Forsikring'!G125+'SHB Liv'!G125+'Sparebank 1'!G125+'Storebrand Livsforsikring'!G125+'Telenor Forsikring'!G125+'Tryg Forsikring'!G125+'WaterCircle F'!G125</f>
        <v>1967691.9938499997</v>
      </c>
      <c r="G125" s="240">
        <f t="shared" si="50"/>
        <v>16.5</v>
      </c>
      <c r="H125" s="236">
        <f t="shared" si="46"/>
        <v>1691771.4379300002</v>
      </c>
      <c r="I125" s="236">
        <f t="shared" si="47"/>
        <v>1968755.3351399996</v>
      </c>
      <c r="J125" s="23">
        <f t="shared" si="48"/>
        <v>16.399999999999999</v>
      </c>
    </row>
    <row r="126" spans="1:10" ht="15.75" customHeight="1" x14ac:dyDescent="0.2">
      <c r="A126" s="10" t="s">
        <v>388</v>
      </c>
      <c r="B126" s="237"/>
      <c r="C126" s="238"/>
      <c r="D126" s="22"/>
      <c r="E126" s="45"/>
      <c r="F126" s="45"/>
      <c r="G126" s="167"/>
      <c r="H126" s="237"/>
      <c r="I126" s="238"/>
      <c r="J126" s="22"/>
    </row>
    <row r="127" spans="1:10" ht="15.75" customHeight="1" x14ac:dyDescent="0.2">
      <c r="A127" s="155"/>
    </row>
    <row r="128" spans="1:10" ht="15.75" customHeight="1" x14ac:dyDescent="0.2">
      <c r="A128" s="149"/>
    </row>
    <row r="129" spans="1:10" ht="15.75" customHeight="1" x14ac:dyDescent="0.25">
      <c r="A129" s="165" t="s">
        <v>27</v>
      </c>
    </row>
    <row r="130" spans="1:10" ht="15.75" customHeight="1" x14ac:dyDescent="0.25">
      <c r="A130" s="149"/>
      <c r="B130" s="734"/>
      <c r="C130" s="734"/>
      <c r="D130" s="734"/>
      <c r="E130" s="734"/>
      <c r="F130" s="734"/>
      <c r="G130" s="734"/>
      <c r="H130" s="734"/>
      <c r="I130" s="734"/>
      <c r="J130" s="734"/>
    </row>
    <row r="131" spans="1:10" s="3" customFormat="1" ht="20.100000000000001" customHeight="1" x14ac:dyDescent="0.2">
      <c r="A131" s="144"/>
      <c r="B131" s="731" t="s">
        <v>0</v>
      </c>
      <c r="C131" s="732"/>
      <c r="D131" s="733"/>
      <c r="E131" s="732" t="s">
        <v>1</v>
      </c>
      <c r="F131" s="732"/>
      <c r="G131" s="732"/>
      <c r="H131" s="731" t="s">
        <v>2</v>
      </c>
      <c r="I131" s="732"/>
      <c r="J131" s="733"/>
    </row>
    <row r="132" spans="1:10" s="3" customFormat="1" ht="15.75" customHeight="1" x14ac:dyDescent="0.2">
      <c r="A132" s="140"/>
      <c r="B132" s="20" t="s">
        <v>427</v>
      </c>
      <c r="C132" s="20" t="s">
        <v>428</v>
      </c>
      <c r="D132" s="19" t="s">
        <v>3</v>
      </c>
      <c r="E132" s="20" t="s">
        <v>427</v>
      </c>
      <c r="F132" s="20" t="s">
        <v>428</v>
      </c>
      <c r="G132" s="19" t="s">
        <v>3</v>
      </c>
      <c r="H132" s="20" t="s">
        <v>427</v>
      </c>
      <c r="I132" s="20" t="s">
        <v>428</v>
      </c>
      <c r="J132" s="19" t="s">
        <v>3</v>
      </c>
    </row>
    <row r="133" spans="1:10" s="3" customFormat="1" ht="15.75" customHeight="1" x14ac:dyDescent="0.2">
      <c r="A133" s="710"/>
      <c r="B133" s="15"/>
      <c r="C133" s="15"/>
      <c r="D133" s="17" t="s">
        <v>4</v>
      </c>
      <c r="E133" s="16"/>
      <c r="F133" s="16"/>
      <c r="G133" s="15" t="s">
        <v>4</v>
      </c>
      <c r="H133" s="16"/>
      <c r="I133" s="16"/>
      <c r="J133" s="15" t="s">
        <v>4</v>
      </c>
    </row>
    <row r="134" spans="1:10" s="419" customFormat="1" ht="15.75" customHeight="1" x14ac:dyDescent="0.2">
      <c r="A134" s="14" t="s">
        <v>391</v>
      </c>
      <c r="B134" s="235">
        <f>'Fremtind Livsforsikring'!B134+'Danica Pensjonsforsikring'!B134+'DNB Livsforsikring'!B134+'Eika Forsikring AS'!B134+'Frende Livsforsikring'!B134+'Frende Skadeforsikring'!B134+'Gjensidige Forsikring'!B134+'Gjensidige Pensjon'!B134+'Handelsbanken Liv'!B134+'If Skadeforsikring NUF'!B134+KLP!B134+'KLP Bedriftspensjon AS'!B134+'KLP Skadeforsikring AS'!B134+'Landkreditt Forsikring'!B134+Insr!B134+'Nordea Liv '!B134+'Oslo Pensjonsforsikring'!B134+'Protector Forsikring'!B134+'SHB Liv'!B134+'Sparebank 1'!B134+'Storebrand Livsforsikring'!B134+'Telenor Forsikring'!B134+'Tryg Forsikring'!B134+'WaterCircle F'!B134</f>
        <v>23675675.884070002</v>
      </c>
      <c r="C134" s="235">
        <f>'Fremtind Livsforsikring'!C134+'Danica Pensjonsforsikring'!C134+'DNB Livsforsikring'!C134+'Eika Forsikring AS'!C134+'Frende Livsforsikring'!C134+'Frende Skadeforsikring'!C134+'Gjensidige Forsikring'!C134+'Gjensidige Pensjon'!C134+'Handelsbanken Liv'!C134+'If Skadeforsikring NUF'!C134+KLP!C134+'KLP Bedriftspensjon AS'!C134+'KLP Skadeforsikring AS'!C134+'Landkreditt Forsikring'!C134+Insr!C134+'Nordea Liv '!C134+'Oslo Pensjonsforsikring'!C134+'Protector Forsikring'!C134+'SHB Liv'!C134+'Sparebank 1'!C134+'Storebrand Livsforsikring'!C134+'Telenor Forsikring'!C134+'Tryg Forsikring'!C134+'WaterCircle F'!C134</f>
        <v>15955095.80614</v>
      </c>
      <c r="D134" s="11">
        <f t="shared" ref="D134:D137" si="51">IF(B134=0, "    ---- ", IF(ABS(ROUND(100/B134*C134-100,1))&lt;999,ROUND(100/B134*C134-100,1),IF(ROUND(100/B134*C134-100,1)&gt;999,999,-999)))</f>
        <v>-32.6</v>
      </c>
      <c r="E134" s="235">
        <f>'Fremtind Livsforsikring'!F134+'Danica Pensjonsforsikring'!F134+'DNB Livsforsikring'!F134+'Eika Forsikring AS'!F134+'Frende Livsforsikring'!F134+'Frende Skadeforsikring'!F134+'Gjensidige Forsikring'!F134+'Gjensidige Pensjon'!F134+'Handelsbanken Liv'!F134+'If Skadeforsikring NUF'!F134+KLP!F134+'KLP Bedriftspensjon AS'!F134+'KLP Skadeforsikring AS'!F134+'Landkreditt Forsikring'!F134+Insr!F134+'Nordea Liv '!F134+'Oslo Pensjonsforsikring'!F134+'Protector Forsikring'!F134+'SHB Liv'!F134+'Sparebank 1'!F134+'Storebrand Livsforsikring'!F134+'Telenor Forsikring'!F134+'Tryg Forsikring'!F134+'WaterCircle F'!F134</f>
        <v>89130.341</v>
      </c>
      <c r="F134" s="235">
        <f>'Fremtind Livsforsikring'!G134+'Danica Pensjonsforsikring'!G134+'DNB Livsforsikring'!G134+'Eika Forsikring AS'!G134+'Frende Livsforsikring'!G134+'Frende Skadeforsikring'!G134+'Gjensidige Forsikring'!G134+'Gjensidige Pensjon'!G134+'Handelsbanken Liv'!G134+'If Skadeforsikring NUF'!G134+KLP!G134+'KLP Bedriftspensjon AS'!G134+'KLP Skadeforsikring AS'!G134+'Landkreditt Forsikring'!G134+Insr!G134+'Nordea Liv '!G134+'Oslo Pensjonsforsikring'!G134+'Protector Forsikring'!G134+'SHB Liv'!G134+'Sparebank 1'!G134+'Storebrand Livsforsikring'!G134+'Telenor Forsikring'!G134+'Tryg Forsikring'!G134+'WaterCircle F'!G134</f>
        <v>32970.711000000003</v>
      </c>
      <c r="G134" s="11">
        <f t="shared" ref="G134:G136" si="52">IF(E134=0, "    ---- ", IF(ABS(ROUND(100/E134*F134-100,1))&lt;999,ROUND(100/E134*F134-100,1),IF(ROUND(100/E134*F134-100,1)&gt;999,999,-999)))</f>
        <v>-63</v>
      </c>
      <c r="H134" s="235">
        <f t="shared" ref="H134:I137" si="53">SUM(B134,E134)</f>
        <v>23764806.22507</v>
      </c>
      <c r="I134" s="235">
        <f t="shared" si="53"/>
        <v>15988066.517139999</v>
      </c>
      <c r="J134" s="11">
        <f t="shared" ref="J134:J137" si="54">IF(H134=0, "    ---- ", IF(ABS(ROUND(100/H134*I134-100,1))&lt;999,ROUND(100/H134*I134-100,1),IF(ROUND(100/H134*I134-100,1)&gt;999,999,-999)))</f>
        <v>-32.700000000000003</v>
      </c>
    </row>
    <row r="135" spans="1:10" s="419" customFormat="1" ht="15.75" customHeight="1" x14ac:dyDescent="0.2">
      <c r="A135" s="13" t="s">
        <v>392</v>
      </c>
      <c r="B135" s="235">
        <f>'Fremtind Livsforsikring'!B135+'Danica Pensjonsforsikring'!B135+'DNB Livsforsikring'!B135+'Eika Forsikring AS'!B135+'Frende Livsforsikring'!B135+'Frende Skadeforsikring'!B135+'Gjensidige Forsikring'!B135+'Gjensidige Pensjon'!B135+'Handelsbanken Liv'!B135+'If Skadeforsikring NUF'!B135+KLP!B135+'KLP Bedriftspensjon AS'!B135+'KLP Skadeforsikring AS'!B135+'Landkreditt Forsikring'!B135+Insr!B135+'Nordea Liv '!B135+'Oslo Pensjonsforsikring'!B135+'Protector Forsikring'!B135+'SHB Liv'!B135+'Sparebank 1'!B135+'Storebrand Livsforsikring'!B135+'Telenor Forsikring'!B135+'Tryg Forsikring'!B135+'WaterCircle F'!B135</f>
        <v>570346836.1523</v>
      </c>
      <c r="C135" s="235">
        <f>'Fremtind Livsforsikring'!C135+'Danica Pensjonsforsikring'!C135+'DNB Livsforsikring'!C135+'Eika Forsikring AS'!C135+'Frende Livsforsikring'!C135+'Frende Skadeforsikring'!C135+'Gjensidige Forsikring'!C135+'Gjensidige Pensjon'!C135+'Handelsbanken Liv'!C135+'If Skadeforsikring NUF'!C135+KLP!C135+'KLP Bedriftspensjon AS'!C135+'KLP Skadeforsikring AS'!C135+'Landkreditt Forsikring'!C135+Insr!C135+'Nordea Liv '!C135+'Oslo Pensjonsforsikring'!C135+'Protector Forsikring'!C135+'SHB Liv'!C135+'Sparebank 1'!C135+'Storebrand Livsforsikring'!C135+'Telenor Forsikring'!C135+'Tryg Forsikring'!C135+'WaterCircle F'!C135</f>
        <v>596977629.90140998</v>
      </c>
      <c r="D135" s="11">
        <f t="shared" si="51"/>
        <v>4.7</v>
      </c>
      <c r="E135" s="235">
        <f>'Fremtind Livsforsikring'!F135+'Danica Pensjonsforsikring'!F135+'DNB Livsforsikring'!F135+'Eika Forsikring AS'!F135+'Frende Livsforsikring'!F135+'Frende Skadeforsikring'!F135+'Gjensidige Forsikring'!F135+'Gjensidige Pensjon'!F135+'Handelsbanken Liv'!F135+'If Skadeforsikring NUF'!F135+KLP!F135+'KLP Bedriftspensjon AS'!F135+'KLP Skadeforsikring AS'!F135+'Landkreditt Forsikring'!F135+Insr!F135+'Nordea Liv '!F135+'Oslo Pensjonsforsikring'!F135+'Protector Forsikring'!F135+'SHB Liv'!F135+'Sparebank 1'!F135+'Storebrand Livsforsikring'!F135+'Telenor Forsikring'!F135+'Tryg Forsikring'!F135+'WaterCircle F'!F135</f>
        <v>2587219.1831499999</v>
      </c>
      <c r="F135" s="235">
        <f>'Fremtind Livsforsikring'!G135+'Danica Pensjonsforsikring'!G135+'DNB Livsforsikring'!G135+'Eika Forsikring AS'!G135+'Frende Livsforsikring'!G135+'Frende Skadeforsikring'!G135+'Gjensidige Forsikring'!G135+'Gjensidige Pensjon'!G135+'Handelsbanken Liv'!G135+'If Skadeforsikring NUF'!G135+KLP!G135+'KLP Bedriftspensjon AS'!G135+'KLP Skadeforsikring AS'!G135+'Landkreditt Forsikring'!G135+Insr!G135+'Nordea Liv '!G135+'Oslo Pensjonsforsikring'!G135+'Protector Forsikring'!G135+'SHB Liv'!G135+'Sparebank 1'!G135+'Storebrand Livsforsikring'!G135+'Telenor Forsikring'!G135+'Tryg Forsikring'!G135+'WaterCircle F'!G135</f>
        <v>1933154.62115</v>
      </c>
      <c r="G135" s="11">
        <f t="shared" si="52"/>
        <v>-25.3</v>
      </c>
      <c r="H135" s="235">
        <f t="shared" si="53"/>
        <v>572934055.33545005</v>
      </c>
      <c r="I135" s="235">
        <f t="shared" si="53"/>
        <v>598910784.52256</v>
      </c>
      <c r="J135" s="11">
        <f t="shared" si="54"/>
        <v>4.5</v>
      </c>
    </row>
    <row r="136" spans="1:10" s="419" customFormat="1" ht="15.75" customHeight="1" x14ac:dyDescent="0.2">
      <c r="A136" s="13" t="s">
        <v>393</v>
      </c>
      <c r="B136" s="235">
        <f>'Fremtind Livsforsikring'!B136+'Danica Pensjonsforsikring'!B136+'DNB Livsforsikring'!B136+'Eika Forsikring AS'!B136+'Frende Livsforsikring'!B136+'Frende Skadeforsikring'!B136+'Gjensidige Forsikring'!B136+'Gjensidige Pensjon'!B136+'Handelsbanken Liv'!B136+'If Skadeforsikring NUF'!B136+KLP!B136+'KLP Bedriftspensjon AS'!B136+'KLP Skadeforsikring AS'!B136+'Landkreditt Forsikring'!B136+Insr!B136+'Nordea Liv '!B136+'Oslo Pensjonsforsikring'!B136+'Protector Forsikring'!B136+'SHB Liv'!B136+'Sparebank 1'!B136+'Storebrand Livsforsikring'!B136+'Telenor Forsikring'!B136+'Tryg Forsikring'!B136+'WaterCircle F'!B136</f>
        <v>106107.522</v>
      </c>
      <c r="C136" s="235">
        <f>'Fremtind Livsforsikring'!C136+'Danica Pensjonsforsikring'!C136+'DNB Livsforsikring'!C136+'Eika Forsikring AS'!C136+'Frende Livsforsikring'!C136+'Frende Skadeforsikring'!C136+'Gjensidige Forsikring'!C136+'Gjensidige Pensjon'!C136+'Handelsbanken Liv'!C136+'If Skadeforsikring NUF'!C136+KLP!C136+'KLP Bedriftspensjon AS'!C136+'KLP Skadeforsikring AS'!C136+'Landkreditt Forsikring'!C136+Insr!C136+'Nordea Liv '!C136+'Oslo Pensjonsforsikring'!C136+'Protector Forsikring'!C136+'SHB Liv'!C136+'Sparebank 1'!C136+'Storebrand Livsforsikring'!C136+'Telenor Forsikring'!C136+'Tryg Forsikring'!C136+'WaterCircle F'!C136</f>
        <v>3328031.82</v>
      </c>
      <c r="D136" s="11">
        <f t="shared" si="51"/>
        <v>999</v>
      </c>
      <c r="E136" s="235"/>
      <c r="F136" s="235">
        <f>'Fremtind Livsforsikring'!G136+'Danica Pensjonsforsikring'!G136+'DNB Livsforsikring'!G136+'Eika Forsikring AS'!G136+'Frende Livsforsikring'!G136+'Frende Skadeforsikring'!G136+'Gjensidige Forsikring'!G136+'Gjensidige Pensjon'!G136+'Handelsbanken Liv'!G136+'If Skadeforsikring NUF'!G136+KLP!G136+'KLP Bedriftspensjon AS'!G136+'KLP Skadeforsikring AS'!G136+'Landkreditt Forsikring'!G136+Insr!G136+'Nordea Liv '!G136+'Oslo Pensjonsforsikring'!G136+'Protector Forsikring'!G136+'SHB Liv'!G136+'Sparebank 1'!G136+'Storebrand Livsforsikring'!G136+'Telenor Forsikring'!G136+'Tryg Forsikring'!G136+'WaterCircle F'!G136</f>
        <v>-462823.85</v>
      </c>
      <c r="G136" s="11" t="str">
        <f t="shared" si="52"/>
        <v xml:space="preserve">    ---- </v>
      </c>
      <c r="H136" s="235">
        <f t="shared" si="53"/>
        <v>106107.522</v>
      </c>
      <c r="I136" s="235">
        <f t="shared" si="53"/>
        <v>2865207.9699999997</v>
      </c>
      <c r="J136" s="11">
        <f t="shared" si="54"/>
        <v>999</v>
      </c>
    </row>
    <row r="137" spans="1:10" s="419" customFormat="1" ht="15.75" customHeight="1" x14ac:dyDescent="0.2">
      <c r="A137" s="41" t="s">
        <v>394</v>
      </c>
      <c r="B137" s="275">
        <f>'Fremtind Livsforsikring'!B137+'Danica Pensjonsforsikring'!B137+'DNB Livsforsikring'!B137+'Eika Forsikring AS'!B137+'Frende Livsforsikring'!B137+'Frende Skadeforsikring'!B137+'Gjensidige Forsikring'!B137+'Gjensidige Pensjon'!B137+'Handelsbanken Liv'!B137+'If Skadeforsikring NUF'!B137+KLP!B137+'KLP Bedriftspensjon AS'!B137+'KLP Skadeforsikring AS'!B137+'Landkreditt Forsikring'!B137+Insr!B137+'Nordea Liv '!B137+'Oslo Pensjonsforsikring'!B137+'Protector Forsikring'!B137+'SHB Liv'!B137+'Sparebank 1'!B137+'Storebrand Livsforsikring'!B137+'Telenor Forsikring'!B137+'Tryg Forsikring'!B137+'WaterCircle F'!B137</f>
        <v>248299.76699999999</v>
      </c>
      <c r="C137" s="275">
        <f>'Fremtind Livsforsikring'!C137+'Danica Pensjonsforsikring'!C137+'DNB Livsforsikring'!C137+'Eika Forsikring AS'!C137+'Frende Livsforsikring'!C137+'Frende Skadeforsikring'!C137+'Gjensidige Forsikring'!C137+'Gjensidige Pensjon'!C137+'Handelsbanken Liv'!C137+'If Skadeforsikring NUF'!C137+KLP!C137+'KLP Bedriftspensjon AS'!C137+'KLP Skadeforsikring AS'!C137+'Landkreditt Forsikring'!C137+Insr!C137+'Nordea Liv '!C137+'Oslo Pensjonsforsikring'!C137+'Protector Forsikring'!C137+'SHB Liv'!C137+'Sparebank 1'!C137+'Storebrand Livsforsikring'!C137+'Telenor Forsikring'!C137+'Tryg Forsikring'!C137+'WaterCircle F'!C137</f>
        <v>7696459.3569999998</v>
      </c>
      <c r="D137" s="9">
        <f t="shared" si="51"/>
        <v>999</v>
      </c>
      <c r="E137" s="275">
        <f>'Fremtind Livsforsikring'!F137+'Danica Pensjonsforsikring'!F137+'DNB Livsforsikring'!F137+'Eika Forsikring AS'!F137+'Frende Livsforsikring'!F137+'Frende Skadeforsikring'!F137+'Gjensidige Forsikring'!F137+'Gjensidige Pensjon'!F137+'Handelsbanken Liv'!F137+'If Skadeforsikring NUF'!F137+KLP!F137+'KLP Bedriftspensjon AS'!F137+'KLP Skadeforsikring AS'!F137+'Landkreditt Forsikring'!F137+Insr!F137+'Nordea Liv '!F137+'Oslo Pensjonsforsikring'!F137+'Protector Forsikring'!F137+'SHB Liv'!F137+'Sparebank 1'!F137+'Storebrand Livsforsikring'!F137+'Telenor Forsikring'!F137+'Tryg Forsikring'!F137+'WaterCircle F'!F137</f>
        <v>0</v>
      </c>
      <c r="F137" s="275">
        <f>'Fremtind Livsforsikring'!G137+'Danica Pensjonsforsikring'!G137+'DNB Livsforsikring'!G137+'Eika Forsikring AS'!G137+'Frende Livsforsikring'!G137+'Frende Skadeforsikring'!G137+'Gjensidige Forsikring'!G137+'Gjensidige Pensjon'!G137+'Handelsbanken Liv'!G137+'If Skadeforsikring NUF'!G137+KLP!G137+'KLP Bedriftspensjon AS'!G137+'KLP Skadeforsikring AS'!G137+'Landkreditt Forsikring'!G137+Insr!G137+'Nordea Liv '!G137+'Oslo Pensjonsforsikring'!G137+'Protector Forsikring'!G137+'SHB Liv'!G137+'Sparebank 1'!G137+'Storebrand Livsforsikring'!G137+'Telenor Forsikring'!G137+'Tryg Forsikring'!G137+'WaterCircle F'!G137</f>
        <v>0</v>
      </c>
      <c r="G137" s="9"/>
      <c r="H137" s="275">
        <f t="shared" si="53"/>
        <v>248299.76699999999</v>
      </c>
      <c r="I137" s="275">
        <f t="shared" si="53"/>
        <v>7696459.3569999998</v>
      </c>
      <c r="J137" s="9">
        <f t="shared" si="54"/>
        <v>999</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8:D18"/>
    <mergeCell ref="E18:G18"/>
    <mergeCell ref="H18:J18"/>
    <mergeCell ref="B2:D2"/>
    <mergeCell ref="E2:G2"/>
    <mergeCell ref="H2:J2"/>
    <mergeCell ref="B4:D4"/>
    <mergeCell ref="E4:G4"/>
    <mergeCell ref="H4:J4"/>
    <mergeCell ref="B63:D63"/>
    <mergeCell ref="E63:G63"/>
    <mergeCell ref="H63:J63"/>
    <mergeCell ref="B19:D19"/>
    <mergeCell ref="E19:G19"/>
    <mergeCell ref="H19:J19"/>
    <mergeCell ref="B62:D62"/>
    <mergeCell ref="E62:G62"/>
    <mergeCell ref="H62:J62"/>
    <mergeCell ref="B42:D42"/>
    <mergeCell ref="E42:G42"/>
    <mergeCell ref="H42:J42"/>
    <mergeCell ref="B131:D131"/>
    <mergeCell ref="E131:G131"/>
    <mergeCell ref="H131:J131"/>
    <mergeCell ref="B130:D130"/>
    <mergeCell ref="E130:G130"/>
    <mergeCell ref="H130:J130"/>
  </mergeCells>
  <conditionalFormatting sqref="H101:I106">
    <cfRule type="expression" dxfId="1676" priority="47">
      <formula>kvartal&lt;4</formula>
    </cfRule>
  </conditionalFormatting>
  <conditionalFormatting sqref="H69:I74">
    <cfRule type="expression" dxfId="1675" priority="55">
      <formula>kvartal&lt;4</formula>
    </cfRule>
  </conditionalFormatting>
  <conditionalFormatting sqref="H80:I85">
    <cfRule type="expression" dxfId="1674" priority="52">
      <formula>kvartal&lt;4</formula>
    </cfRule>
  </conditionalFormatting>
  <conditionalFormatting sqref="H90:I95">
    <cfRule type="expression" dxfId="1673" priority="48">
      <formula>kvartal&lt;4</formula>
    </cfRule>
  </conditionalFormatting>
  <conditionalFormatting sqref="H115:I115">
    <cfRule type="expression" dxfId="1672" priority="46">
      <formula>kvartal&lt;4</formula>
    </cfRule>
  </conditionalFormatting>
  <conditionalFormatting sqref="H123:I123">
    <cfRule type="expression" dxfId="1671" priority="45">
      <formula>kvartal&lt;4</formula>
    </cfRule>
  </conditionalFormatting>
  <conditionalFormatting sqref="A50:A52">
    <cfRule type="expression" dxfId="1670" priority="41">
      <formula>kvartal &lt; 4</formula>
    </cfRule>
  </conditionalFormatting>
  <conditionalFormatting sqref="A69:A74">
    <cfRule type="expression" dxfId="1669" priority="39">
      <formula>kvartal &lt; 4</formula>
    </cfRule>
  </conditionalFormatting>
  <conditionalFormatting sqref="A80:A85">
    <cfRule type="expression" dxfId="1668" priority="38">
      <formula>kvartal &lt; 4</formula>
    </cfRule>
  </conditionalFormatting>
  <conditionalFormatting sqref="A90:A95">
    <cfRule type="expression" dxfId="1667" priority="35">
      <formula>kvartal &lt; 4</formula>
    </cfRule>
  </conditionalFormatting>
  <conditionalFormatting sqref="A101:A106">
    <cfRule type="expression" dxfId="1666" priority="34">
      <formula>kvartal &lt; 4</formula>
    </cfRule>
  </conditionalFormatting>
  <conditionalFormatting sqref="A115">
    <cfRule type="expression" dxfId="1665" priority="33">
      <formula>kvartal &lt; 4</formula>
    </cfRule>
  </conditionalFormatting>
  <conditionalFormatting sqref="A123">
    <cfRule type="expression" dxfId="1664" priority="32">
      <formula>kvartal &lt; 4</formula>
    </cfRule>
  </conditionalFormatting>
  <conditionalFormatting sqref="B50:B52">
    <cfRule type="expression" dxfId="1663" priority="25">
      <formula>kvartal&lt;4</formula>
    </cfRule>
  </conditionalFormatting>
  <conditionalFormatting sqref="B69:C69">
    <cfRule type="expression" dxfId="1662" priority="23">
      <formula>kvartal&lt;4</formula>
    </cfRule>
  </conditionalFormatting>
  <conditionalFormatting sqref="B72:C72">
    <cfRule type="expression" dxfId="1661" priority="22">
      <formula>kvartal&lt;4</formula>
    </cfRule>
  </conditionalFormatting>
  <conditionalFormatting sqref="B80:C80">
    <cfRule type="expression" dxfId="1660" priority="21">
      <formula>kvartal&lt;4</formula>
    </cfRule>
  </conditionalFormatting>
  <conditionalFormatting sqref="B83:C83">
    <cfRule type="expression" dxfId="1659" priority="20">
      <formula>kvartal&lt;4</formula>
    </cfRule>
  </conditionalFormatting>
  <conditionalFormatting sqref="B90:C90">
    <cfRule type="expression" dxfId="1658" priority="15">
      <formula>kvartal&lt;4</formula>
    </cfRule>
  </conditionalFormatting>
  <conditionalFormatting sqref="B93:C93">
    <cfRule type="expression" dxfId="1657" priority="14">
      <formula>kvartal&lt;4</formula>
    </cfRule>
  </conditionalFormatting>
  <conditionalFormatting sqref="B101:C101">
    <cfRule type="expression" dxfId="1656" priority="13">
      <formula>kvartal&lt;4</formula>
    </cfRule>
  </conditionalFormatting>
  <conditionalFormatting sqref="B104:C104">
    <cfRule type="expression" dxfId="1655" priority="12">
      <formula>kvartal&lt;4</formula>
    </cfRule>
  </conditionalFormatting>
  <conditionalFormatting sqref="B115:C115">
    <cfRule type="expression" dxfId="1654" priority="11">
      <formula>kvartal&lt;4</formula>
    </cfRule>
  </conditionalFormatting>
  <conditionalFormatting sqref="B123:C123">
    <cfRule type="expression" dxfId="1653" priority="10">
      <formula>kvartal&lt;4</formula>
    </cfRule>
  </conditionalFormatting>
  <conditionalFormatting sqref="E69:F74">
    <cfRule type="expression" dxfId="1652" priority="9">
      <formula>kvartal&lt;4</formula>
    </cfRule>
  </conditionalFormatting>
  <conditionalFormatting sqref="E80:F85">
    <cfRule type="expression" dxfId="1651" priority="8">
      <formula>kvartal&lt;4</formula>
    </cfRule>
  </conditionalFormatting>
  <conditionalFormatting sqref="E90:F95">
    <cfRule type="expression" dxfId="1650" priority="5">
      <formula>kvartal&lt;4</formula>
    </cfRule>
  </conditionalFormatting>
  <conditionalFormatting sqref="E101:F106">
    <cfRule type="expression" dxfId="1649" priority="4">
      <formula>kvartal&lt;4</formula>
    </cfRule>
  </conditionalFormatting>
  <conditionalFormatting sqref="E115:F115">
    <cfRule type="expression" dxfId="1648" priority="3">
      <formula>kvartal&lt;4</formula>
    </cfRule>
  </conditionalFormatting>
  <conditionalFormatting sqref="E123:F123">
    <cfRule type="expression" dxfId="1647" priority="2">
      <formula>kvartal&lt;4</formula>
    </cfRule>
  </conditionalFormatting>
  <conditionalFormatting sqref="C50:C52">
    <cfRule type="expression" dxfId="1646" priority="1">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N144"/>
  <sheetViews>
    <sheetView showGridLines="0" zoomScale="120" zoomScaleNormal="12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136</v>
      </c>
      <c r="B1" s="707"/>
      <c r="C1" s="247" t="s">
        <v>84</v>
      </c>
      <c r="D1" s="26"/>
      <c r="E1" s="26"/>
      <c r="F1" s="26"/>
      <c r="G1" s="26"/>
      <c r="H1" s="26"/>
      <c r="I1" s="26"/>
      <c r="J1" s="26"/>
      <c r="K1" s="26"/>
      <c r="L1" s="26"/>
      <c r="M1" s="26"/>
    </row>
    <row r="2" spans="1:14" ht="15.75" x14ac:dyDescent="0.25">
      <c r="A2" s="165" t="s">
        <v>28</v>
      </c>
      <c r="B2" s="736"/>
      <c r="C2" s="736"/>
      <c r="D2" s="736"/>
      <c r="E2" s="405"/>
      <c r="F2" s="736"/>
      <c r="G2" s="736"/>
      <c r="H2" s="736"/>
      <c r="I2" s="405"/>
      <c r="J2" s="736"/>
      <c r="K2" s="736"/>
      <c r="L2" s="736"/>
      <c r="M2" s="405"/>
    </row>
    <row r="3" spans="1:14" ht="15.75" x14ac:dyDescent="0.25">
      <c r="A3" s="163"/>
      <c r="B3" s="405"/>
      <c r="C3" s="405"/>
      <c r="D3" s="405"/>
      <c r="E3" s="405"/>
      <c r="F3" s="405"/>
      <c r="G3" s="405"/>
      <c r="H3" s="405"/>
      <c r="I3" s="405"/>
      <c r="J3" s="405"/>
      <c r="K3" s="405"/>
      <c r="L3" s="405"/>
      <c r="M3" s="405"/>
    </row>
    <row r="4" spans="1:14" x14ac:dyDescent="0.2">
      <c r="A4" s="144"/>
      <c r="B4" s="737" t="s">
        <v>0</v>
      </c>
      <c r="C4" s="738"/>
      <c r="D4" s="738"/>
      <c r="E4" s="404"/>
      <c r="F4" s="737" t="s">
        <v>1</v>
      </c>
      <c r="G4" s="738"/>
      <c r="H4" s="738"/>
      <c r="I4" s="407"/>
      <c r="J4" s="737" t="s">
        <v>2</v>
      </c>
      <c r="K4" s="738"/>
      <c r="L4" s="738"/>
      <c r="M4" s="407"/>
    </row>
    <row r="5" spans="1:14"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4" x14ac:dyDescent="0.2">
      <c r="A6" s="709"/>
      <c r="B6" s="156"/>
      <c r="C6" s="156"/>
      <c r="D6" s="245" t="s">
        <v>4</v>
      </c>
      <c r="E6" s="156" t="s">
        <v>30</v>
      </c>
      <c r="F6" s="161"/>
      <c r="G6" s="161"/>
      <c r="H6" s="244" t="s">
        <v>4</v>
      </c>
      <c r="I6" s="156" t="s">
        <v>30</v>
      </c>
      <c r="J6" s="161"/>
      <c r="K6" s="161"/>
      <c r="L6" s="244" t="s">
        <v>4</v>
      </c>
      <c r="M6" s="156" t="s">
        <v>30</v>
      </c>
    </row>
    <row r="7" spans="1:14" ht="15.75" x14ac:dyDescent="0.2">
      <c r="A7" s="14" t="s">
        <v>23</v>
      </c>
      <c r="B7" s="305">
        <v>141183.02799999999</v>
      </c>
      <c r="C7" s="306">
        <v>139643.845</v>
      </c>
      <c r="D7" s="349">
        <f>IF(B7=0, "    ---- ", IF(ABS(ROUND(100/B7*C7-100,1))&lt;999,ROUND(100/B7*C7-100,1),IF(ROUND(100/B7*C7-100,1)&gt;999,999,-999)))</f>
        <v>-1.1000000000000001</v>
      </c>
      <c r="E7" s="11">
        <f>IFERROR(100/'Skjema total MA'!C7*C7,0)</f>
        <v>5.1964487071081695</v>
      </c>
      <c r="F7" s="305">
        <v>151516.96400000001</v>
      </c>
      <c r="G7" s="306">
        <v>135489.68900000001</v>
      </c>
      <c r="H7" s="349">
        <f>IF(F7=0, "    ---- ", IF(ABS(ROUND(100/F7*G7-100,1))&lt;999,ROUND(100/F7*G7-100,1),IF(ROUND(100/F7*G7-100,1)&gt;999,999,-999)))</f>
        <v>-10.6</v>
      </c>
      <c r="I7" s="160">
        <f>IFERROR(100/'Skjema total MA'!F7*G7,0)</f>
        <v>2.8688575821045288</v>
      </c>
      <c r="J7" s="307">
        <f t="shared" ref="J7:K12" si="0">SUM(B7,F7)</f>
        <v>292699.99199999997</v>
      </c>
      <c r="K7" s="308">
        <f t="shared" si="0"/>
        <v>275133.53399999999</v>
      </c>
      <c r="L7" s="426">
        <f>IF(J7=0, "    ---- ", IF(ABS(ROUND(100/J7*K7-100,1))&lt;999,ROUND(100/J7*K7-100,1),IF(ROUND(100/J7*K7-100,1)&gt;999,999,-999)))</f>
        <v>-6</v>
      </c>
      <c r="M7" s="11">
        <f>IFERROR(100/'Skjema total MA'!I7*K7,0)</f>
        <v>3.7129686678470635</v>
      </c>
    </row>
    <row r="8" spans="1:14" ht="15.75" x14ac:dyDescent="0.2">
      <c r="A8" s="21" t="s">
        <v>25</v>
      </c>
      <c r="B8" s="280">
        <v>67470.362999999998</v>
      </c>
      <c r="C8" s="281">
        <v>66649.754000000001</v>
      </c>
      <c r="D8" s="166">
        <f t="shared" ref="D8:D10" si="1">IF(B8=0, "    ---- ", IF(ABS(ROUND(100/B8*C8-100,1))&lt;999,ROUND(100/B8*C8-100,1),IF(ROUND(100/B8*C8-100,1)&gt;999,999,-999)))</f>
        <v>-1.2</v>
      </c>
      <c r="E8" s="27">
        <f>IFERROR(100/'Skjema total MA'!C8*C8,0)</f>
        <v>3.6945220046644298</v>
      </c>
      <c r="F8" s="284"/>
      <c r="G8" s="285"/>
      <c r="H8" s="166"/>
      <c r="I8" s="175"/>
      <c r="J8" s="233">
        <f t="shared" si="0"/>
        <v>67470.362999999998</v>
      </c>
      <c r="K8" s="286">
        <f t="shared" si="0"/>
        <v>66649.754000000001</v>
      </c>
      <c r="L8" s="166">
        <f t="shared" ref="L8:L9" si="2">IF(J8=0, "    ---- ", IF(ABS(ROUND(100/J8*K8-100,1))&lt;999,ROUND(100/J8*K8-100,1),IF(ROUND(100/J8*K8-100,1)&gt;999,999,-999)))</f>
        <v>-1.2</v>
      </c>
      <c r="M8" s="27">
        <f>IFERROR(100/'Skjema total MA'!I8*K8,0)</f>
        <v>3.6945220046644298</v>
      </c>
    </row>
    <row r="9" spans="1:14" ht="15.75" x14ac:dyDescent="0.2">
      <c r="A9" s="21" t="s">
        <v>24</v>
      </c>
      <c r="B9" s="280">
        <v>34863.917000000001</v>
      </c>
      <c r="C9" s="281">
        <v>32864.326000000001</v>
      </c>
      <c r="D9" s="166">
        <f t="shared" si="1"/>
        <v>-5.7</v>
      </c>
      <c r="E9" s="27">
        <f>IFERROR(100/'Skjema total MA'!C9*C9,0)</f>
        <v>6.3204196274273245</v>
      </c>
      <c r="F9" s="284"/>
      <c r="G9" s="285"/>
      <c r="H9" s="166"/>
      <c r="I9" s="175"/>
      <c r="J9" s="233">
        <f t="shared" si="0"/>
        <v>34863.917000000001</v>
      </c>
      <c r="K9" s="286">
        <f t="shared" si="0"/>
        <v>32864.326000000001</v>
      </c>
      <c r="L9" s="166">
        <f t="shared" si="2"/>
        <v>-5.7</v>
      </c>
      <c r="M9" s="27">
        <f>IFERROR(100/'Skjema total MA'!I9*K9,0)</f>
        <v>6.3204196274273245</v>
      </c>
    </row>
    <row r="10" spans="1:14" ht="15.75" x14ac:dyDescent="0.2">
      <c r="A10" s="13" t="s">
        <v>367</v>
      </c>
      <c r="B10" s="309">
        <v>355869.94900000002</v>
      </c>
      <c r="C10" s="310">
        <v>315289.40600000002</v>
      </c>
      <c r="D10" s="171">
        <f t="shared" si="1"/>
        <v>-11.4</v>
      </c>
      <c r="E10" s="11">
        <f>IFERROR(100/'Skjema total MA'!C10*C10,0)</f>
        <v>1.7141034553135939</v>
      </c>
      <c r="F10" s="309">
        <v>2597713.6430000002</v>
      </c>
      <c r="G10" s="310">
        <v>2499070.128</v>
      </c>
      <c r="H10" s="171">
        <f t="shared" ref="H10:H12" si="3">IF(F10=0, "    ---- ", IF(ABS(ROUND(100/F10*G10-100,1))&lt;999,ROUND(100/F10*G10-100,1),IF(ROUND(100/F10*G10-100,1)&gt;999,999,-999)))</f>
        <v>-3.8</v>
      </c>
      <c r="I10" s="160">
        <f>IFERROR(100/'Skjema total MA'!F10*G10,0)</f>
        <v>4.8169732340057578</v>
      </c>
      <c r="J10" s="307">
        <f t="shared" si="0"/>
        <v>2953583.5920000002</v>
      </c>
      <c r="K10" s="308">
        <f t="shared" si="0"/>
        <v>2814359.534</v>
      </c>
      <c r="L10" s="427">
        <f t="shared" ref="L10:L12" si="4">IF(J10=0, "    ---- ", IF(ABS(ROUND(100/J10*K10-100,1))&lt;999,ROUND(100/J10*K10-100,1),IF(ROUND(100/J10*K10-100,1)&gt;999,999,-999)))</f>
        <v>-4.7</v>
      </c>
      <c r="M10" s="11">
        <f>IFERROR(100/'Skjema total MA'!I10*K10,0)</f>
        <v>4.00481791219672</v>
      </c>
    </row>
    <row r="11" spans="1:14" s="43" customFormat="1" ht="15.75" x14ac:dyDescent="0.2">
      <c r="A11" s="13" t="s">
        <v>368</v>
      </c>
      <c r="B11" s="309"/>
      <c r="C11" s="310"/>
      <c r="D11" s="171"/>
      <c r="E11" s="11"/>
      <c r="F11" s="309">
        <v>24591.899000000001</v>
      </c>
      <c r="G11" s="310">
        <v>9382.6659999999993</v>
      </c>
      <c r="H11" s="171">
        <f t="shared" si="3"/>
        <v>-61.8</v>
      </c>
      <c r="I11" s="160">
        <f>IFERROR(100/'Skjema total MA'!F11*G11,0)</f>
        <v>4.3146049908501825</v>
      </c>
      <c r="J11" s="307">
        <f t="shared" si="0"/>
        <v>24591.899000000001</v>
      </c>
      <c r="K11" s="308">
        <f t="shared" si="0"/>
        <v>9382.6659999999993</v>
      </c>
      <c r="L11" s="427">
        <f t="shared" si="4"/>
        <v>-61.8</v>
      </c>
      <c r="M11" s="11">
        <f>IFERROR(100/'Skjema total MA'!I11*K11,0)</f>
        <v>3.975993686154236</v>
      </c>
      <c r="N11" s="143"/>
    </row>
    <row r="12" spans="1:14" s="43" customFormat="1" ht="15.75" x14ac:dyDescent="0.2">
      <c r="A12" s="41" t="s">
        <v>369</v>
      </c>
      <c r="B12" s="311"/>
      <c r="C12" s="312"/>
      <c r="D12" s="169"/>
      <c r="E12" s="36"/>
      <c r="F12" s="311">
        <v>19908.121999999999</v>
      </c>
      <c r="G12" s="312">
        <v>17697.998</v>
      </c>
      <c r="H12" s="169">
        <f t="shared" si="3"/>
        <v>-11.1</v>
      </c>
      <c r="I12" s="169">
        <f>IFERROR(100/'Skjema total MA'!F12*G12,0)</f>
        <v>11.491805839158122</v>
      </c>
      <c r="J12" s="313">
        <f t="shared" si="0"/>
        <v>19908.121999999999</v>
      </c>
      <c r="K12" s="314">
        <f t="shared" si="0"/>
        <v>17697.998</v>
      </c>
      <c r="L12" s="428">
        <f t="shared" si="4"/>
        <v>-11.1</v>
      </c>
      <c r="M12" s="36">
        <f>IFERROR(100/'Skjema total MA'!I12*K12,0)</f>
        <v>11.315539393629667</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277</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405"/>
      <c r="F18" s="739"/>
      <c r="G18" s="739"/>
      <c r="H18" s="739"/>
      <c r="I18" s="405"/>
      <c r="J18" s="739"/>
      <c r="K18" s="739"/>
      <c r="L18" s="739"/>
      <c r="M18" s="405"/>
    </row>
    <row r="19" spans="1:14" x14ac:dyDescent="0.2">
      <c r="A19" s="144"/>
      <c r="B19" s="737" t="s">
        <v>0</v>
      </c>
      <c r="C19" s="738"/>
      <c r="D19" s="738"/>
      <c r="E19" s="404"/>
      <c r="F19" s="737" t="s">
        <v>1</v>
      </c>
      <c r="G19" s="738"/>
      <c r="H19" s="738"/>
      <c r="I19" s="407"/>
      <c r="J19" s="737" t="s">
        <v>2</v>
      </c>
      <c r="K19" s="738"/>
      <c r="L19" s="738"/>
      <c r="M19" s="407"/>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415" t="s">
        <v>30</v>
      </c>
      <c r="F21" s="161"/>
      <c r="G21" s="161"/>
      <c r="H21" s="244" t="s">
        <v>4</v>
      </c>
      <c r="I21" s="156" t="s">
        <v>30</v>
      </c>
      <c r="J21" s="161"/>
      <c r="K21" s="161"/>
      <c r="L21" s="156" t="s">
        <v>4</v>
      </c>
      <c r="M21" s="156" t="s">
        <v>30</v>
      </c>
    </row>
    <row r="22" spans="1:14" ht="15.75" x14ac:dyDescent="0.2">
      <c r="A22" s="14" t="s">
        <v>23</v>
      </c>
      <c r="B22" s="309">
        <v>7662.9260000000004</v>
      </c>
      <c r="C22" s="309">
        <v>7119.3860000000004</v>
      </c>
      <c r="D22" s="349">
        <f t="shared" ref="D22:D29" si="5">IF(B22=0, "    ---- ", IF(ABS(ROUND(100/B22*C22-100,1))&lt;999,ROUND(100/B22*C22-100,1),IF(ROUND(100/B22*C22-100,1)&gt;999,999,-999)))</f>
        <v>-7.1</v>
      </c>
      <c r="E22" s="11">
        <f>IFERROR(100/'Skjema total MA'!C22*C22,0)</f>
        <v>0.72085312144289626</v>
      </c>
      <c r="F22" s="317">
        <v>26797.542000000001</v>
      </c>
      <c r="G22" s="317">
        <v>30217.388999999999</v>
      </c>
      <c r="H22" s="349">
        <f t="shared" ref="H22:H35" si="6">IF(F22=0, "    ---- ", IF(ABS(ROUND(100/F22*G22-100,1))&lt;999,ROUND(100/F22*G22-100,1),IF(ROUND(100/F22*G22-100,1)&gt;999,999,-999)))</f>
        <v>12.8</v>
      </c>
      <c r="I22" s="160">
        <f>IFERROR(100/'Skjema total MA'!F22*G22,0)</f>
        <v>4.7055015715985906</v>
      </c>
      <c r="J22" s="315">
        <f t="shared" ref="J22:K35" si="7">SUM(B22,F22)</f>
        <v>34460.468000000001</v>
      </c>
      <c r="K22" s="315">
        <f t="shared" si="7"/>
        <v>37336.775000000001</v>
      </c>
      <c r="L22" s="426">
        <f t="shared" ref="L22:L35" si="8">IF(J22=0, "    ---- ", IF(ABS(ROUND(100/J22*K22-100,1))&lt;999,ROUND(100/J22*K22-100,1),IF(ROUND(100/J22*K22-100,1)&gt;999,999,-999)))</f>
        <v>8.3000000000000007</v>
      </c>
      <c r="M22" s="24">
        <f>IFERROR(100/'Skjema total MA'!I22*K22,0)</f>
        <v>2.2908739635107573</v>
      </c>
    </row>
    <row r="23" spans="1:14" ht="15.75" x14ac:dyDescent="0.2">
      <c r="A23" s="587" t="s">
        <v>370</v>
      </c>
      <c r="B23" s="280"/>
      <c r="C23" s="280"/>
      <c r="D23" s="166"/>
      <c r="E23" s="11"/>
      <c r="F23" s="289">
        <v>2697.7310000000002</v>
      </c>
      <c r="G23" s="289">
        <v>2249.201</v>
      </c>
      <c r="H23" s="166">
        <f t="shared" si="6"/>
        <v>-16.600000000000001</v>
      </c>
      <c r="I23" s="239">
        <f>IFERROR(100/'Skjema total MA'!F23*G23,0)</f>
        <v>2.5746198793442958</v>
      </c>
      <c r="J23" s="289">
        <f t="shared" ref="J23:J26" si="9">SUM(B23,F23)</f>
        <v>2697.7310000000002</v>
      </c>
      <c r="K23" s="289">
        <f t="shared" ref="K23:K26" si="10">SUM(C23,G23)</f>
        <v>2249.201</v>
      </c>
      <c r="L23" s="166">
        <f t="shared" si="8"/>
        <v>-16.600000000000001</v>
      </c>
      <c r="M23" s="23">
        <f>IFERROR(100/'Skjema total MA'!I23*K23,0)</f>
        <v>0.45306342364041507</v>
      </c>
    </row>
    <row r="24" spans="1:14" ht="15.75" x14ac:dyDescent="0.2">
      <c r="A24" s="587" t="s">
        <v>371</v>
      </c>
      <c r="B24" s="280"/>
      <c r="C24" s="280"/>
      <c r="D24" s="166"/>
      <c r="E24" s="11"/>
      <c r="F24" s="289">
        <v>0</v>
      </c>
      <c r="G24" s="289">
        <v>492.87799999999999</v>
      </c>
      <c r="H24" s="166" t="str">
        <f t="shared" si="6"/>
        <v xml:space="preserve">    ---- </v>
      </c>
      <c r="I24" s="239">
        <f>IFERROR(100/'Skjema total MA'!F24*G24,0)</f>
        <v>52.461851671389034</v>
      </c>
      <c r="J24" s="289">
        <f t="shared" si="9"/>
        <v>0</v>
      </c>
      <c r="K24" s="289">
        <f t="shared" si="10"/>
        <v>492.87799999999999</v>
      </c>
      <c r="L24" s="166" t="str">
        <f t="shared" si="8"/>
        <v xml:space="preserve">    ---- </v>
      </c>
      <c r="M24" s="23">
        <f>IFERROR(100/'Skjema total MA'!I24*K24,0)</f>
        <v>2.7443178663276306</v>
      </c>
    </row>
    <row r="25" spans="1:14" ht="15.75" x14ac:dyDescent="0.2">
      <c r="A25" s="587" t="s">
        <v>372</v>
      </c>
      <c r="B25" s="280"/>
      <c r="C25" s="280"/>
      <c r="D25" s="166"/>
      <c r="E25" s="11"/>
      <c r="F25" s="289">
        <v>760.76800000000003</v>
      </c>
      <c r="G25" s="289">
        <v>8141.6620000000003</v>
      </c>
      <c r="H25" s="166">
        <f t="shared" si="6"/>
        <v>970.2</v>
      </c>
      <c r="I25" s="239">
        <f>IFERROR(100/'Skjema total MA'!F25*G25,0)</f>
        <v>40.957990977909098</v>
      </c>
      <c r="J25" s="289">
        <f t="shared" si="9"/>
        <v>760.76800000000003</v>
      </c>
      <c r="K25" s="289">
        <f t="shared" si="10"/>
        <v>8141.6620000000003</v>
      </c>
      <c r="L25" s="166">
        <f t="shared" si="8"/>
        <v>970.2</v>
      </c>
      <c r="M25" s="23">
        <f>IFERROR(100/'Skjema total MA'!I25*K25,0)</f>
        <v>22.594235964795114</v>
      </c>
    </row>
    <row r="26" spans="1:14" ht="15.75" x14ac:dyDescent="0.2">
      <c r="A26" s="587" t="s">
        <v>373</v>
      </c>
      <c r="B26" s="280"/>
      <c r="C26" s="280"/>
      <c r="D26" s="166"/>
      <c r="E26" s="11"/>
      <c r="F26" s="289">
        <v>23339.043000000001</v>
      </c>
      <c r="G26" s="289">
        <v>19333.648000000001</v>
      </c>
      <c r="H26" s="166">
        <f t="shared" si="6"/>
        <v>-17.2</v>
      </c>
      <c r="I26" s="239">
        <f>IFERROR(100/'Skjema total MA'!F26*G26,0)</f>
        <v>3.6205781291735408</v>
      </c>
      <c r="J26" s="289">
        <f t="shared" si="9"/>
        <v>23339.043000000001</v>
      </c>
      <c r="K26" s="289">
        <f t="shared" si="10"/>
        <v>19333.648000000001</v>
      </c>
      <c r="L26" s="166">
        <f t="shared" si="8"/>
        <v>-17.2</v>
      </c>
      <c r="M26" s="23">
        <f>IFERROR(100/'Skjema total MA'!I26*K26,0)</f>
        <v>3.6205781291735408</v>
      </c>
    </row>
    <row r="27" spans="1:14" x14ac:dyDescent="0.2">
      <c r="A27" s="587" t="s">
        <v>11</v>
      </c>
      <c r="B27" s="280"/>
      <c r="C27" s="280"/>
      <c r="D27" s="166"/>
      <c r="E27" s="11"/>
      <c r="F27" s="289"/>
      <c r="G27" s="289"/>
      <c r="H27" s="166"/>
      <c r="I27" s="239"/>
      <c r="J27" s="289"/>
      <c r="K27" s="289"/>
      <c r="L27" s="166"/>
      <c r="M27" s="23"/>
    </row>
    <row r="28" spans="1:14" ht="15.75" x14ac:dyDescent="0.2">
      <c r="A28" s="49" t="s">
        <v>278</v>
      </c>
      <c r="B28" s="44">
        <v>7662.9260000000004</v>
      </c>
      <c r="C28" s="286">
        <v>7119.3860000000004</v>
      </c>
      <c r="D28" s="166">
        <f t="shared" si="5"/>
        <v>-7.1</v>
      </c>
      <c r="E28" s="11">
        <f>IFERROR(100/'Skjema total MA'!C28*C28,0)</f>
        <v>0.66016168649915585</v>
      </c>
      <c r="F28" s="233"/>
      <c r="G28" s="286"/>
      <c r="H28" s="166"/>
      <c r="I28" s="175"/>
      <c r="J28" s="44">
        <f t="shared" si="7"/>
        <v>7662.9260000000004</v>
      </c>
      <c r="K28" s="44">
        <f t="shared" si="7"/>
        <v>7119.3860000000004</v>
      </c>
      <c r="L28" s="253">
        <f t="shared" si="8"/>
        <v>-7.1</v>
      </c>
      <c r="M28" s="23">
        <f>IFERROR(100/'Skjema total MA'!I28*K28,0)</f>
        <v>0.66016168649915585</v>
      </c>
    </row>
    <row r="29" spans="1:14" s="3" customFormat="1" ht="15.75" x14ac:dyDescent="0.2">
      <c r="A29" s="13" t="s">
        <v>367</v>
      </c>
      <c r="B29" s="235">
        <v>121314.64599999999</v>
      </c>
      <c r="C29" s="235">
        <v>115749.284</v>
      </c>
      <c r="D29" s="171">
        <f t="shared" si="5"/>
        <v>-4.5999999999999996</v>
      </c>
      <c r="E29" s="11">
        <f>IFERROR(100/'Skjema total MA'!C29*C29,0)</f>
        <v>0.24950389434736081</v>
      </c>
      <c r="F29" s="307">
        <v>2099972.5120000001</v>
      </c>
      <c r="G29" s="307">
        <v>2028476.764</v>
      </c>
      <c r="H29" s="171">
        <f t="shared" si="6"/>
        <v>-3.4</v>
      </c>
      <c r="I29" s="160">
        <f>IFERROR(100/'Skjema total MA'!F29*G29,0)</f>
        <v>9.2614421563805838</v>
      </c>
      <c r="J29" s="235">
        <f t="shared" si="7"/>
        <v>2221287.1580000003</v>
      </c>
      <c r="K29" s="235">
        <f t="shared" si="7"/>
        <v>2144226.048</v>
      </c>
      <c r="L29" s="427">
        <f t="shared" si="8"/>
        <v>-3.5</v>
      </c>
      <c r="M29" s="24">
        <f>IFERROR(100/'Skjema total MA'!I29*K29,0)</f>
        <v>3.1396916638483363</v>
      </c>
      <c r="N29" s="148"/>
    </row>
    <row r="30" spans="1:14" s="3" customFormat="1" ht="15.75" x14ac:dyDescent="0.2">
      <c r="A30" s="587" t="s">
        <v>370</v>
      </c>
      <c r="B30" s="280"/>
      <c r="C30" s="280"/>
      <c r="D30" s="166"/>
      <c r="E30" s="11"/>
      <c r="F30" s="289">
        <v>621889.83299999998</v>
      </c>
      <c r="G30" s="289">
        <v>582488.31900000002</v>
      </c>
      <c r="H30" s="166">
        <f t="shared" si="6"/>
        <v>-6.3</v>
      </c>
      <c r="I30" s="239">
        <f>IFERROR(100/'Skjema total MA'!F30*G30,0)</f>
        <v>13.592002802492512</v>
      </c>
      <c r="J30" s="289">
        <f t="shared" ref="J30:J33" si="11">SUM(B30,F30)</f>
        <v>621889.83299999998</v>
      </c>
      <c r="K30" s="289">
        <f t="shared" ref="K30:K33" si="12">SUM(C30,G30)</f>
        <v>582488.31900000002</v>
      </c>
      <c r="L30" s="166">
        <f t="shared" si="8"/>
        <v>-6.3</v>
      </c>
      <c r="M30" s="23">
        <f>IFERROR(100/'Skjema total MA'!I30*K30,0)</f>
        <v>3.1865497388195321</v>
      </c>
      <c r="N30" s="148"/>
    </row>
    <row r="31" spans="1:14" s="3" customFormat="1" ht="15.75" x14ac:dyDescent="0.2">
      <c r="A31" s="587" t="s">
        <v>371</v>
      </c>
      <c r="B31" s="280"/>
      <c r="C31" s="280"/>
      <c r="D31" s="166"/>
      <c r="E31" s="11"/>
      <c r="F31" s="289">
        <v>1250259.3019999999</v>
      </c>
      <c r="G31" s="289">
        <v>1140975.385</v>
      </c>
      <c r="H31" s="166">
        <f t="shared" si="6"/>
        <v>-8.6999999999999993</v>
      </c>
      <c r="I31" s="239">
        <f>IFERROR(100/'Skjema total MA'!F31*G31,0)</f>
        <v>12.524428803953715</v>
      </c>
      <c r="J31" s="289">
        <f t="shared" si="11"/>
        <v>1250259.3019999999</v>
      </c>
      <c r="K31" s="289">
        <f t="shared" si="12"/>
        <v>1140975.385</v>
      </c>
      <c r="L31" s="166">
        <f t="shared" si="8"/>
        <v>-8.6999999999999993</v>
      </c>
      <c r="M31" s="23">
        <f>IFERROR(100/'Skjema total MA'!I31*K31,0)</f>
        <v>3.4299834797547768</v>
      </c>
      <c r="N31" s="148"/>
    </row>
    <row r="32" spans="1:14" ht="15.75" x14ac:dyDescent="0.2">
      <c r="A32" s="587" t="s">
        <v>372</v>
      </c>
      <c r="B32" s="280"/>
      <c r="C32" s="280"/>
      <c r="D32" s="166"/>
      <c r="E32" s="11"/>
      <c r="F32" s="289">
        <v>70097.351999999999</v>
      </c>
      <c r="G32" s="289">
        <v>80340.741999999998</v>
      </c>
      <c r="H32" s="166">
        <f t="shared" si="6"/>
        <v>14.6</v>
      </c>
      <c r="I32" s="239">
        <f>IFERROR(100/'Skjema total MA'!F32*G32,0)</f>
        <v>1.7172753645276766</v>
      </c>
      <c r="J32" s="289">
        <f t="shared" si="11"/>
        <v>70097.351999999999</v>
      </c>
      <c r="K32" s="289">
        <f t="shared" si="12"/>
        <v>80340.741999999998</v>
      </c>
      <c r="L32" s="166">
        <f t="shared" si="8"/>
        <v>14.6</v>
      </c>
      <c r="M32" s="23">
        <f>IFERROR(100/'Skjema total MA'!I32*K32,0)</f>
        <v>1.0535461571620397</v>
      </c>
    </row>
    <row r="33" spans="1:14" ht="15.75" x14ac:dyDescent="0.2">
      <c r="A33" s="587" t="s">
        <v>373</v>
      </c>
      <c r="B33" s="280"/>
      <c r="C33" s="280"/>
      <c r="D33" s="166"/>
      <c r="E33" s="11"/>
      <c r="F33" s="289">
        <v>157726.02499999999</v>
      </c>
      <c r="G33" s="289">
        <v>224672.318</v>
      </c>
      <c r="H33" s="166">
        <f t="shared" si="6"/>
        <v>42.4</v>
      </c>
      <c r="I33" s="239">
        <f>IFERROR(100/'Skjema total MA'!F33*G33,0)</f>
        <v>5.8684478478107707</v>
      </c>
      <c r="J33" s="289">
        <f t="shared" si="11"/>
        <v>157726.02499999999</v>
      </c>
      <c r="K33" s="289">
        <f t="shared" si="12"/>
        <v>224672.318</v>
      </c>
      <c r="L33" s="166">
        <f t="shared" si="8"/>
        <v>42.4</v>
      </c>
      <c r="M33" s="23">
        <f>IFERROR(100/'Skjema total MA'!I33*K33,0)</f>
        <v>5.8684478478107707</v>
      </c>
    </row>
    <row r="34" spans="1:14" ht="15.75" x14ac:dyDescent="0.2">
      <c r="A34" s="13" t="s">
        <v>368</v>
      </c>
      <c r="B34" s="235"/>
      <c r="C34" s="308"/>
      <c r="D34" s="171"/>
      <c r="E34" s="11"/>
      <c r="F34" s="307">
        <v>4064.7020000000002</v>
      </c>
      <c r="G34" s="308">
        <v>7116.1220000000003</v>
      </c>
      <c r="H34" s="171">
        <f t="shared" si="6"/>
        <v>75.099999999999994</v>
      </c>
      <c r="I34" s="160">
        <f>IFERROR(100/'Skjema total MA'!F34*G34,0)</f>
        <v>-369.07228518795051</v>
      </c>
      <c r="J34" s="235">
        <f t="shared" si="7"/>
        <v>4064.7020000000002</v>
      </c>
      <c r="K34" s="235">
        <f t="shared" si="7"/>
        <v>7116.1220000000003</v>
      </c>
      <c r="L34" s="427">
        <f t="shared" si="8"/>
        <v>75.099999999999994</v>
      </c>
      <c r="M34" s="24">
        <f>IFERROR(100/'Skjema total MA'!I34*K34,0)</f>
        <v>74.033579557833889</v>
      </c>
    </row>
    <row r="35" spans="1:14" ht="15.75" x14ac:dyDescent="0.2">
      <c r="A35" s="13" t="s">
        <v>369</v>
      </c>
      <c r="B35" s="235"/>
      <c r="C35" s="308"/>
      <c r="D35" s="171"/>
      <c r="E35" s="11"/>
      <c r="F35" s="307">
        <v>5527.018</v>
      </c>
      <c r="G35" s="308">
        <v>8749.9650000000001</v>
      </c>
      <c r="H35" s="171">
        <f t="shared" si="6"/>
        <v>58.3</v>
      </c>
      <c r="I35" s="160">
        <f>IFERROR(100/'Skjema total MA'!F35*G35,0)</f>
        <v>11.445961522947217</v>
      </c>
      <c r="J35" s="235">
        <f t="shared" si="7"/>
        <v>5527.018</v>
      </c>
      <c r="K35" s="235">
        <f t="shared" si="7"/>
        <v>8749.9650000000001</v>
      </c>
      <c r="L35" s="427">
        <f t="shared" si="8"/>
        <v>58.3</v>
      </c>
      <c r="M35" s="24">
        <f>IFERROR(100/'Skjema total MA'!I35*K35,0)</f>
        <v>57.361073549655238</v>
      </c>
    </row>
    <row r="36" spans="1:14" ht="15.75" x14ac:dyDescent="0.2">
      <c r="A36" s="12" t="s">
        <v>286</v>
      </c>
      <c r="B36" s="235"/>
      <c r="C36" s="308"/>
      <c r="D36" s="171"/>
      <c r="E36" s="11"/>
      <c r="F36" s="318"/>
      <c r="G36" s="319"/>
      <c r="H36" s="171"/>
      <c r="I36" s="429"/>
      <c r="J36" s="235"/>
      <c r="K36" s="235"/>
      <c r="L36" s="427"/>
      <c r="M36" s="24"/>
    </row>
    <row r="37" spans="1:14" ht="15.75" x14ac:dyDescent="0.2">
      <c r="A37" s="12" t="s">
        <v>375</v>
      </c>
      <c r="B37" s="235"/>
      <c r="C37" s="308"/>
      <c r="D37" s="171"/>
      <c r="E37" s="11"/>
      <c r="F37" s="318"/>
      <c r="G37" s="320"/>
      <c r="H37" s="171"/>
      <c r="I37" s="429"/>
      <c r="J37" s="235"/>
      <c r="K37" s="235"/>
      <c r="L37" s="427"/>
      <c r="M37" s="24"/>
    </row>
    <row r="38" spans="1:14" ht="15.75" x14ac:dyDescent="0.2">
      <c r="A38" s="12" t="s">
        <v>376</v>
      </c>
      <c r="B38" s="235"/>
      <c r="C38" s="308"/>
      <c r="D38" s="171"/>
      <c r="E38" s="24"/>
      <c r="F38" s="318"/>
      <c r="G38" s="319"/>
      <c r="H38" s="171"/>
      <c r="I38" s="429"/>
      <c r="J38" s="235"/>
      <c r="K38" s="235"/>
      <c r="L38" s="427"/>
      <c r="M38" s="24"/>
    </row>
    <row r="39" spans="1:14" ht="15.75" x14ac:dyDescent="0.2">
      <c r="A39" s="18" t="s">
        <v>377</v>
      </c>
      <c r="B39" s="275"/>
      <c r="C39" s="314"/>
      <c r="D39" s="169"/>
      <c r="E39" s="36"/>
      <c r="F39" s="321"/>
      <c r="G39" s="322"/>
      <c r="H39" s="169"/>
      <c r="I39" s="169"/>
      <c r="J39" s="235"/>
      <c r="K39" s="235"/>
      <c r="L39" s="428"/>
      <c r="M39" s="36"/>
    </row>
    <row r="40" spans="1:14" ht="15.75" x14ac:dyDescent="0.25">
      <c r="A40" s="47"/>
      <c r="B40" s="252"/>
      <c r="C40" s="252"/>
      <c r="D40" s="740"/>
      <c r="E40" s="740"/>
      <c r="F40" s="740"/>
      <c r="G40" s="740"/>
      <c r="H40" s="740"/>
      <c r="I40" s="740"/>
      <c r="J40" s="740"/>
      <c r="K40" s="740"/>
      <c r="L40" s="740"/>
      <c r="M40" s="406"/>
    </row>
    <row r="41" spans="1:14" x14ac:dyDescent="0.2">
      <c r="A41" s="155"/>
    </row>
    <row r="42" spans="1:14" ht="15.75" x14ac:dyDescent="0.25">
      <c r="A42" s="147" t="s">
        <v>275</v>
      </c>
      <c r="B42" s="736"/>
      <c r="C42" s="736"/>
      <c r="D42" s="736"/>
      <c r="E42" s="405"/>
      <c r="F42" s="741"/>
      <c r="G42" s="741"/>
      <c r="H42" s="741"/>
      <c r="I42" s="406"/>
      <c r="J42" s="741"/>
      <c r="K42" s="741"/>
      <c r="L42" s="741"/>
      <c r="M42" s="406"/>
    </row>
    <row r="43" spans="1:14" ht="15.75" x14ac:dyDescent="0.25">
      <c r="A43" s="163"/>
      <c r="B43" s="402"/>
      <c r="C43" s="402"/>
      <c r="D43" s="402"/>
      <c r="E43" s="402"/>
      <c r="F43" s="406"/>
      <c r="G43" s="406"/>
      <c r="H43" s="406"/>
      <c r="I43" s="406"/>
      <c r="J43" s="406"/>
      <c r="K43" s="406"/>
      <c r="L43" s="406"/>
      <c r="M43" s="406"/>
    </row>
    <row r="44" spans="1:14" ht="15.75" x14ac:dyDescent="0.25">
      <c r="A44" s="246"/>
      <c r="B44" s="737" t="s">
        <v>0</v>
      </c>
      <c r="C44" s="738"/>
      <c r="D44" s="738"/>
      <c r="E44" s="242"/>
      <c r="F44" s="406"/>
      <c r="G44" s="406"/>
      <c r="H44" s="406"/>
      <c r="I44" s="406"/>
      <c r="J44" s="406"/>
      <c r="K44" s="406"/>
      <c r="L44" s="406"/>
      <c r="M44" s="406"/>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v>4214.8370000000004</v>
      </c>
      <c r="C47" s="310">
        <v>4321.6779999999999</v>
      </c>
      <c r="D47" s="426">
        <f t="shared" ref="D47:D48" si="13">IF(B47=0, "    ---- ", IF(ABS(ROUND(100/B47*C47-100,1))&lt;999,ROUND(100/B47*C47-100,1),IF(ROUND(100/B47*C47-100,1)&gt;999,999,-999)))</f>
        <v>2.5</v>
      </c>
      <c r="E47" s="11">
        <f>IFERROR(100/'Skjema total MA'!C47*C47,0)</f>
        <v>0.11832897582657045</v>
      </c>
      <c r="F47" s="145"/>
      <c r="G47" s="33"/>
      <c r="H47" s="159"/>
      <c r="I47" s="159"/>
      <c r="J47" s="37"/>
      <c r="K47" s="37"/>
      <c r="L47" s="159"/>
      <c r="M47" s="159"/>
      <c r="N47" s="148"/>
    </row>
    <row r="48" spans="1:14" s="3" customFormat="1" ht="15.75" x14ac:dyDescent="0.2">
      <c r="A48" s="38" t="s">
        <v>378</v>
      </c>
      <c r="B48" s="280">
        <v>4214.8370000000004</v>
      </c>
      <c r="C48" s="281">
        <v>4321.6779999999999</v>
      </c>
      <c r="D48" s="253">
        <f t="shared" si="13"/>
        <v>2.5</v>
      </c>
      <c r="E48" s="27">
        <f>IFERROR(100/'Skjema total MA'!C48*C48,0)</f>
        <v>0.20893910211327524</v>
      </c>
      <c r="F48" s="145"/>
      <c r="G48" s="33"/>
      <c r="H48" s="145"/>
      <c r="I48" s="145"/>
      <c r="J48" s="33"/>
      <c r="K48" s="33"/>
      <c r="L48" s="159"/>
      <c r="M48" s="159"/>
      <c r="N48" s="148"/>
    </row>
    <row r="49" spans="1:14" s="3" customFormat="1" ht="15.75" x14ac:dyDescent="0.2">
      <c r="A49" s="38" t="s">
        <v>379</v>
      </c>
      <c r="B49" s="44"/>
      <c r="C49" s="286"/>
      <c r="D49" s="253"/>
      <c r="E49" s="27"/>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c r="C53" s="310"/>
      <c r="D53" s="427"/>
      <c r="E53" s="11"/>
      <c r="F53" s="145"/>
      <c r="G53" s="33"/>
      <c r="H53" s="145"/>
      <c r="I53" s="145"/>
      <c r="J53" s="33"/>
      <c r="K53" s="33"/>
      <c r="L53" s="159"/>
      <c r="M53" s="159"/>
      <c r="N53" s="148"/>
    </row>
    <row r="54" spans="1:14" s="3" customFormat="1" ht="15.75" x14ac:dyDescent="0.2">
      <c r="A54" s="38" t="s">
        <v>378</v>
      </c>
      <c r="B54" s="280"/>
      <c r="C54" s="281"/>
      <c r="D54" s="253"/>
      <c r="E54" s="27"/>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c r="C56" s="310"/>
      <c r="D56" s="427"/>
      <c r="E56" s="11"/>
      <c r="F56" s="145"/>
      <c r="G56" s="33"/>
      <c r="H56" s="145"/>
      <c r="I56" s="145"/>
      <c r="J56" s="33"/>
      <c r="K56" s="33"/>
      <c r="L56" s="159"/>
      <c r="M56" s="159"/>
      <c r="N56" s="148"/>
    </row>
    <row r="57" spans="1:14" s="3" customFormat="1" ht="15.75" x14ac:dyDescent="0.2">
      <c r="A57" s="38" t="s">
        <v>378</v>
      </c>
      <c r="B57" s="280"/>
      <c r="C57" s="281"/>
      <c r="D57" s="253"/>
      <c r="E57" s="27"/>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405"/>
      <c r="F62" s="739"/>
      <c r="G62" s="739"/>
      <c r="H62" s="739"/>
      <c r="I62" s="405"/>
      <c r="J62" s="739"/>
      <c r="K62" s="739"/>
      <c r="L62" s="739"/>
      <c r="M62" s="405"/>
    </row>
    <row r="63" spans="1:14" x14ac:dyDescent="0.2">
      <c r="A63" s="144"/>
      <c r="B63" s="737" t="s">
        <v>0</v>
      </c>
      <c r="C63" s="738"/>
      <c r="D63" s="742"/>
      <c r="E63" s="403"/>
      <c r="F63" s="738" t="s">
        <v>1</v>
      </c>
      <c r="G63" s="738"/>
      <c r="H63" s="738"/>
      <c r="I63" s="407"/>
      <c r="J63" s="737" t="s">
        <v>2</v>
      </c>
      <c r="K63" s="738"/>
      <c r="L63" s="738"/>
      <c r="M63" s="407"/>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v>58675.042000000001</v>
      </c>
      <c r="C66" s="352">
        <v>65333.080999999998</v>
      </c>
      <c r="D66" s="349">
        <f t="shared" ref="D66:D124" si="14">IF(B66=0, "    ---- ", IF(ABS(ROUND(100/B66*C66-100,1))&lt;999,ROUND(100/B66*C66-100,1),IF(ROUND(100/B66*C66-100,1)&gt;999,999,-999)))</f>
        <v>11.3</v>
      </c>
      <c r="E66" s="11">
        <f>IFERROR(100/'Skjema total MA'!C66*C66,0)</f>
        <v>1.3895082417580176</v>
      </c>
      <c r="F66" s="351">
        <v>796114</v>
      </c>
      <c r="G66" s="351">
        <v>883846.02500000002</v>
      </c>
      <c r="H66" s="349">
        <f t="shared" ref="H66:H125" si="15">IF(F66=0, "    ---- ", IF(ABS(ROUND(100/F66*G66-100,1))&lt;999,ROUND(100/F66*G66-100,1),IF(ROUND(100/F66*G66-100,1)&gt;999,999,-999)))</f>
        <v>11</v>
      </c>
      <c r="I66" s="11">
        <f>IFERROR(100/'Skjema total MA'!F66*G66,0)</f>
        <v>5.0983489407596005</v>
      </c>
      <c r="J66" s="308">
        <f t="shared" ref="J66:K79" si="16">SUM(B66,F66)</f>
        <v>854789.04200000002</v>
      </c>
      <c r="K66" s="315">
        <f t="shared" si="16"/>
        <v>949179.10600000003</v>
      </c>
      <c r="L66" s="427">
        <f t="shared" ref="L66:L125" si="17">IF(J66=0, "    ---- ", IF(ABS(ROUND(100/J66*K66-100,1))&lt;999,ROUND(100/J66*K66-100,1),IF(ROUND(100/J66*K66-100,1)&gt;999,999,-999)))</f>
        <v>11</v>
      </c>
      <c r="M66" s="11">
        <f>IFERROR(100/'Skjema total MA'!I66*K66,0)</f>
        <v>4.3070479194783875</v>
      </c>
    </row>
    <row r="67" spans="1:14" x14ac:dyDescent="0.2">
      <c r="A67" s="21" t="s">
        <v>9</v>
      </c>
      <c r="B67" s="44">
        <v>58675.042000000001</v>
      </c>
      <c r="C67" s="145">
        <v>65333.080999999998</v>
      </c>
      <c r="D67" s="166">
        <f t="shared" si="14"/>
        <v>11.3</v>
      </c>
      <c r="E67" s="27">
        <f>IFERROR(100/'Skjema total MA'!C67*C67,0)</f>
        <v>1.8853651868273802</v>
      </c>
      <c r="F67" s="233"/>
      <c r="G67" s="145"/>
      <c r="H67" s="166"/>
      <c r="I67" s="27"/>
      <c r="J67" s="286">
        <f t="shared" si="16"/>
        <v>58675.042000000001</v>
      </c>
      <c r="K67" s="44">
        <f t="shared" si="16"/>
        <v>65333.080999999998</v>
      </c>
      <c r="L67" s="253">
        <f t="shared" si="17"/>
        <v>11.3</v>
      </c>
      <c r="M67" s="27">
        <f>IFERROR(100/'Skjema total MA'!I67*K67,0)</f>
        <v>1.8853651868273802</v>
      </c>
    </row>
    <row r="68" spans="1:14" x14ac:dyDescent="0.2">
      <c r="A68" s="21" t="s">
        <v>10</v>
      </c>
      <c r="B68" s="291"/>
      <c r="C68" s="292"/>
      <c r="D68" s="166"/>
      <c r="E68" s="27"/>
      <c r="F68" s="291">
        <v>796114</v>
      </c>
      <c r="G68" s="292">
        <v>883846.02500000002</v>
      </c>
      <c r="H68" s="166">
        <f t="shared" si="15"/>
        <v>11</v>
      </c>
      <c r="I68" s="27">
        <f>IFERROR(100/'Skjema total MA'!F68*G68,0)</f>
        <v>5.3072876521818584</v>
      </c>
      <c r="J68" s="286">
        <f t="shared" si="16"/>
        <v>796114</v>
      </c>
      <c r="K68" s="44">
        <f t="shared" si="16"/>
        <v>883846.02500000002</v>
      </c>
      <c r="L68" s="253">
        <f t="shared" si="17"/>
        <v>11</v>
      </c>
      <c r="M68" s="27">
        <f>IFERROR(100/'Skjema total MA'!I68*K68,0)</f>
        <v>5.273849362049031</v>
      </c>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c r="C76" s="145"/>
      <c r="D76" s="166"/>
      <c r="E76" s="27"/>
      <c r="F76" s="233"/>
      <c r="G76" s="145"/>
      <c r="H76" s="166"/>
      <c r="I76" s="27"/>
      <c r="J76" s="286"/>
      <c r="K76" s="44"/>
      <c r="L76" s="253"/>
      <c r="M76" s="27"/>
      <c r="N76" s="148"/>
    </row>
    <row r="77" spans="1:14" ht="15.75" x14ac:dyDescent="0.2">
      <c r="A77" s="21" t="s">
        <v>384</v>
      </c>
      <c r="B77" s="233">
        <v>58675.042000000001</v>
      </c>
      <c r="C77" s="233">
        <v>65333.080999999998</v>
      </c>
      <c r="D77" s="166">
        <f t="shared" si="14"/>
        <v>11.3</v>
      </c>
      <c r="E77" s="27">
        <f>IFERROR(100/'Skjema total MA'!C77*C77,0)</f>
        <v>1.9012500422944207</v>
      </c>
      <c r="F77" s="233">
        <v>796114</v>
      </c>
      <c r="G77" s="145">
        <v>883846.02500000002</v>
      </c>
      <c r="H77" s="166">
        <f t="shared" si="15"/>
        <v>11</v>
      </c>
      <c r="I77" s="27">
        <f>IFERROR(100/'Skjema total MA'!F77*G77,0)</f>
        <v>5.3100644922162514</v>
      </c>
      <c r="J77" s="286">
        <f t="shared" si="16"/>
        <v>854789.04200000002</v>
      </c>
      <c r="K77" s="44">
        <f t="shared" si="16"/>
        <v>949179.10600000003</v>
      </c>
      <c r="L77" s="253">
        <f t="shared" si="17"/>
        <v>11</v>
      </c>
      <c r="M77" s="27"/>
    </row>
    <row r="78" spans="1:14" x14ac:dyDescent="0.2">
      <c r="A78" s="21" t="s">
        <v>9</v>
      </c>
      <c r="B78" s="233">
        <v>58675.042000000001</v>
      </c>
      <c r="C78" s="145">
        <v>65333.080999999998</v>
      </c>
      <c r="D78" s="166">
        <f t="shared" si="14"/>
        <v>11.3</v>
      </c>
      <c r="E78" s="27">
        <f>IFERROR(100/'Skjema total MA'!C78*C78,0)</f>
        <v>1.9607037766389404</v>
      </c>
      <c r="F78" s="233"/>
      <c r="G78" s="145"/>
      <c r="H78" s="166"/>
      <c r="I78" s="27"/>
      <c r="J78" s="286">
        <f t="shared" si="16"/>
        <v>58675.042000000001</v>
      </c>
      <c r="K78" s="44">
        <f t="shared" si="16"/>
        <v>65333.080999999998</v>
      </c>
      <c r="L78" s="253">
        <f t="shared" si="17"/>
        <v>11.3</v>
      </c>
      <c r="M78" s="27">
        <f>IFERROR(100/'Skjema total MA'!I78*K78,0)</f>
        <v>1.9607037766389404</v>
      </c>
    </row>
    <row r="79" spans="1:14" x14ac:dyDescent="0.2">
      <c r="A79" s="21" t="s">
        <v>10</v>
      </c>
      <c r="B79" s="291"/>
      <c r="C79" s="292"/>
      <c r="D79" s="166"/>
      <c r="E79" s="27"/>
      <c r="F79" s="291">
        <v>796114</v>
      </c>
      <c r="G79" s="292">
        <v>883846.02500000002</v>
      </c>
      <c r="H79" s="166">
        <f t="shared" si="15"/>
        <v>11</v>
      </c>
      <c r="I79" s="27">
        <f>IFERROR(100/'Skjema total MA'!F79*G79,0)</f>
        <v>5.3100644922162514</v>
      </c>
      <c r="J79" s="286">
        <f t="shared" si="16"/>
        <v>796114</v>
      </c>
      <c r="K79" s="44">
        <f t="shared" si="16"/>
        <v>883846.02500000002</v>
      </c>
      <c r="L79" s="253">
        <f t="shared" si="17"/>
        <v>11</v>
      </c>
      <c r="M79" s="27">
        <f>IFERROR(100/'Skjema total MA'!I79*K79,0)</f>
        <v>5.2770295339174638</v>
      </c>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c r="C86" s="145"/>
      <c r="D86" s="166"/>
      <c r="E86" s="27"/>
      <c r="F86" s="233"/>
      <c r="G86" s="145"/>
      <c r="H86" s="166"/>
      <c r="I86" s="27"/>
      <c r="J86" s="286"/>
      <c r="K86" s="44"/>
      <c r="L86" s="253"/>
      <c r="M86" s="27"/>
    </row>
    <row r="87" spans="1:13" ht="15.75" x14ac:dyDescent="0.2">
      <c r="A87" s="13" t="s">
        <v>367</v>
      </c>
      <c r="B87" s="352">
        <v>722269.95200000005</v>
      </c>
      <c r="C87" s="352">
        <v>828512.02300000004</v>
      </c>
      <c r="D87" s="171">
        <f t="shared" si="14"/>
        <v>14.7</v>
      </c>
      <c r="E87" s="11">
        <f>IFERROR(100/'Skjema total MA'!C87*C87,0)</f>
        <v>0.21083716305594094</v>
      </c>
      <c r="F87" s="351">
        <v>14332921.374</v>
      </c>
      <c r="G87" s="351">
        <v>16421366.368000001</v>
      </c>
      <c r="H87" s="171">
        <f t="shared" si="15"/>
        <v>14.6</v>
      </c>
      <c r="I87" s="11">
        <f>IFERROR(100/'Skjema total MA'!F87*G87,0)</f>
        <v>5.1706691810734355</v>
      </c>
      <c r="J87" s="308">
        <f t="shared" ref="J87:K111" si="18">SUM(B87,F87)</f>
        <v>15055191.325999999</v>
      </c>
      <c r="K87" s="235">
        <f t="shared" si="18"/>
        <v>17249878.391000003</v>
      </c>
      <c r="L87" s="427">
        <f t="shared" si="17"/>
        <v>14.6</v>
      </c>
      <c r="M87" s="11">
        <f>IFERROR(100/'Skjema total MA'!I87*K87,0)</f>
        <v>2.4276802159954447</v>
      </c>
    </row>
    <row r="88" spans="1:13" x14ac:dyDescent="0.2">
      <c r="A88" s="21" t="s">
        <v>9</v>
      </c>
      <c r="B88" s="233">
        <v>722269.95200000005</v>
      </c>
      <c r="C88" s="145">
        <v>828512.02300000004</v>
      </c>
      <c r="D88" s="166">
        <f t="shared" si="14"/>
        <v>14.7</v>
      </c>
      <c r="E88" s="27">
        <f>IFERROR(100/'Skjema total MA'!C88*C88,0)</f>
        <v>0.21703086864408655</v>
      </c>
      <c r="F88" s="233"/>
      <c r="G88" s="145"/>
      <c r="H88" s="166"/>
      <c r="I88" s="27"/>
      <c r="J88" s="286">
        <f t="shared" si="18"/>
        <v>722269.95200000005</v>
      </c>
      <c r="K88" s="44">
        <f t="shared" si="18"/>
        <v>828512.02300000004</v>
      </c>
      <c r="L88" s="253">
        <f t="shared" si="17"/>
        <v>14.7</v>
      </c>
      <c r="M88" s="27">
        <f>IFERROR(100/'Skjema total MA'!I88*K88,0)</f>
        <v>0.21703086864408655</v>
      </c>
    </row>
    <row r="89" spans="1:13" x14ac:dyDescent="0.2">
      <c r="A89" s="21" t="s">
        <v>10</v>
      </c>
      <c r="B89" s="233"/>
      <c r="C89" s="145"/>
      <c r="D89" s="166"/>
      <c r="E89" s="27"/>
      <c r="F89" s="233">
        <v>14332921.374</v>
      </c>
      <c r="G89" s="145">
        <v>16421366.368000001</v>
      </c>
      <c r="H89" s="166">
        <f t="shared" si="15"/>
        <v>14.6</v>
      </c>
      <c r="I89" s="27">
        <f>IFERROR(100/'Skjema total MA'!F89*G89,0)</f>
        <v>5.2066719507410912</v>
      </c>
      <c r="J89" s="286">
        <f t="shared" si="18"/>
        <v>14332921.374</v>
      </c>
      <c r="K89" s="44">
        <f t="shared" si="18"/>
        <v>16421366.368000001</v>
      </c>
      <c r="L89" s="253">
        <f t="shared" si="17"/>
        <v>14.6</v>
      </c>
      <c r="M89" s="27">
        <f>IFERROR(100/'Skjema total MA'!I89*K89,0)</f>
        <v>5.154795194757936</v>
      </c>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c r="C97" s="145"/>
      <c r="D97" s="166"/>
      <c r="E97" s="27"/>
      <c r="F97" s="233"/>
      <c r="G97" s="145"/>
      <c r="H97" s="166"/>
      <c r="I97" s="27"/>
      <c r="J97" s="286"/>
      <c r="K97" s="44"/>
      <c r="L97" s="253"/>
      <c r="M97" s="27">
        <f>IFERROR(100/'Skjema total MA'!I97*K97,0)</f>
        <v>0</v>
      </c>
    </row>
    <row r="98" spans="1:13" ht="15.75" x14ac:dyDescent="0.2">
      <c r="A98" s="21" t="s">
        <v>384</v>
      </c>
      <c r="B98" s="233">
        <v>722269.95200000005</v>
      </c>
      <c r="C98" s="233">
        <v>828512.02300000004</v>
      </c>
      <c r="D98" s="166">
        <f t="shared" si="14"/>
        <v>14.7</v>
      </c>
      <c r="E98" s="27">
        <f>IFERROR(100/'Skjema total MA'!C98*C98,0)</f>
        <v>0.21774558216560011</v>
      </c>
      <c r="F98" s="291">
        <v>14332921.374</v>
      </c>
      <c r="G98" s="291">
        <v>16421366.368000001</v>
      </c>
      <c r="H98" s="166">
        <f t="shared" si="15"/>
        <v>14.6</v>
      </c>
      <c r="I98" s="27">
        <f>IFERROR(100/'Skjema total MA'!F98*G98,0)</f>
        <v>5.2212385434668134</v>
      </c>
      <c r="J98" s="286">
        <f t="shared" si="18"/>
        <v>15055191.325999999</v>
      </c>
      <c r="K98" s="44">
        <f t="shared" si="18"/>
        <v>17249878.391000003</v>
      </c>
      <c r="L98" s="253">
        <f t="shared" si="17"/>
        <v>14.6</v>
      </c>
      <c r="M98" s="27">
        <f>IFERROR(100/'Skjema total MA'!I98*K98,0)</f>
        <v>2.4819740905909362</v>
      </c>
    </row>
    <row r="99" spans="1:13" x14ac:dyDescent="0.2">
      <c r="A99" s="21" t="s">
        <v>9</v>
      </c>
      <c r="B99" s="291">
        <v>722269.95200000005</v>
      </c>
      <c r="C99" s="292">
        <v>828512.02300000004</v>
      </c>
      <c r="D99" s="166">
        <f t="shared" si="14"/>
        <v>14.7</v>
      </c>
      <c r="E99" s="27">
        <f>IFERROR(100/'Skjema total MA'!C99*C99,0)</f>
        <v>0.21957725693424154</v>
      </c>
      <c r="F99" s="233"/>
      <c r="G99" s="145"/>
      <c r="H99" s="166"/>
      <c r="I99" s="27"/>
      <c r="J99" s="286">
        <f t="shared" si="18"/>
        <v>722269.95200000005</v>
      </c>
      <c r="K99" s="44">
        <f t="shared" si="18"/>
        <v>828512.02300000004</v>
      </c>
      <c r="L99" s="253">
        <f t="shared" si="17"/>
        <v>14.7</v>
      </c>
      <c r="M99" s="27">
        <f>IFERROR(100/'Skjema total MA'!I99*K99,0)</f>
        <v>0.21957725693424154</v>
      </c>
    </row>
    <row r="100" spans="1:13" x14ac:dyDescent="0.2">
      <c r="A100" s="21" t="s">
        <v>10</v>
      </c>
      <c r="B100" s="291"/>
      <c r="C100" s="292"/>
      <c r="D100" s="166"/>
      <c r="E100" s="27"/>
      <c r="F100" s="233">
        <v>14332921.374</v>
      </c>
      <c r="G100" s="233">
        <v>16421366.368000001</v>
      </c>
      <c r="H100" s="166">
        <f t="shared" si="15"/>
        <v>14.6</v>
      </c>
      <c r="I100" s="27">
        <f>IFERROR(100/'Skjema total MA'!F100*G100,0)</f>
        <v>5.2212385434668134</v>
      </c>
      <c r="J100" s="286">
        <f t="shared" si="18"/>
        <v>14332921.374</v>
      </c>
      <c r="K100" s="44">
        <f t="shared" si="18"/>
        <v>16421366.368000001</v>
      </c>
      <c r="L100" s="253">
        <f t="shared" si="17"/>
        <v>14.6</v>
      </c>
      <c r="M100" s="27">
        <f>IFERROR(100/'Skjema total MA'!I100*K100,0)</f>
        <v>5.1690725666146999</v>
      </c>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c r="C107" s="145"/>
      <c r="D107" s="166"/>
      <c r="E107" s="27"/>
      <c r="F107" s="233"/>
      <c r="G107" s="145"/>
      <c r="H107" s="166"/>
      <c r="I107" s="27"/>
      <c r="J107" s="286"/>
      <c r="K107" s="44"/>
      <c r="L107" s="253"/>
      <c r="M107" s="27"/>
    </row>
    <row r="108" spans="1:13" ht="15.75" x14ac:dyDescent="0.2">
      <c r="A108" s="21" t="s">
        <v>386</v>
      </c>
      <c r="B108" s="233">
        <v>256997.46799999999</v>
      </c>
      <c r="C108" s="233">
        <v>180267.62899999999</v>
      </c>
      <c r="D108" s="166">
        <f t="shared" si="14"/>
        <v>-29.9</v>
      </c>
      <c r="E108" s="27">
        <f>IFERROR(100/'Skjema total MA'!C108*C108,0)</f>
        <v>5.5629753517521356E-2</v>
      </c>
      <c r="F108" s="233">
        <v>180037.04300000001</v>
      </c>
      <c r="G108" s="233">
        <v>180267.62899999999</v>
      </c>
      <c r="H108" s="166">
        <f t="shared" si="15"/>
        <v>0.1</v>
      </c>
      <c r="I108" s="27">
        <f>IFERROR(100/'Skjema total MA'!F108*G108,0)</f>
        <v>1.0884304206659718</v>
      </c>
      <c r="J108" s="286">
        <f t="shared" si="18"/>
        <v>437034.511</v>
      </c>
      <c r="K108" s="44">
        <f t="shared" si="18"/>
        <v>360535.25799999997</v>
      </c>
      <c r="L108" s="253">
        <f t="shared" si="17"/>
        <v>-17.5</v>
      </c>
      <c r="M108" s="27">
        <f>IFERROR(100/'Skjema total MA'!I108*K108,0)</f>
        <v>0.10584953027638346</v>
      </c>
    </row>
    <row r="109" spans="1:13" ht="15.75" x14ac:dyDescent="0.2">
      <c r="A109" s="21" t="s">
        <v>387</v>
      </c>
      <c r="B109" s="233"/>
      <c r="C109" s="233"/>
      <c r="D109" s="166"/>
      <c r="E109" s="27"/>
      <c r="F109" s="233">
        <v>5000449.1380000003</v>
      </c>
      <c r="G109" s="233">
        <v>5668724.0520000001</v>
      </c>
      <c r="H109" s="166">
        <f t="shared" si="15"/>
        <v>13.4</v>
      </c>
      <c r="I109" s="27">
        <f>IFERROR(100/'Skjema total MA'!F109*G109,0)</f>
        <v>5.1621177235403071</v>
      </c>
      <c r="J109" s="286">
        <f t="shared" si="18"/>
        <v>5000449.1380000003</v>
      </c>
      <c r="K109" s="44">
        <f t="shared" si="18"/>
        <v>5668724.0520000001</v>
      </c>
      <c r="L109" s="253">
        <f t="shared" si="17"/>
        <v>13.4</v>
      </c>
      <c r="M109" s="27">
        <f>IFERROR(100/'Skjema total MA'!I109*K109,0)</f>
        <v>5.1126366549405189</v>
      </c>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v>15182.603999999999</v>
      </c>
      <c r="C111" s="159">
        <v>38670.498</v>
      </c>
      <c r="D111" s="171">
        <f t="shared" si="14"/>
        <v>154.69999999999999</v>
      </c>
      <c r="E111" s="11">
        <f>IFERROR(100/'Skjema total MA'!C111*C111,0)</f>
        <v>7.2557815236061876</v>
      </c>
      <c r="F111" s="307">
        <v>582862.85800000001</v>
      </c>
      <c r="G111" s="159">
        <v>549574.45200000005</v>
      </c>
      <c r="H111" s="171">
        <f t="shared" si="15"/>
        <v>-5.7</v>
      </c>
      <c r="I111" s="11">
        <f>IFERROR(100/'Skjema total MA'!F111*G111,0)</f>
        <v>4.6507516133675173</v>
      </c>
      <c r="J111" s="308">
        <f t="shared" si="18"/>
        <v>598045.46200000006</v>
      </c>
      <c r="K111" s="235">
        <f t="shared" si="18"/>
        <v>588244.95000000007</v>
      </c>
      <c r="L111" s="427">
        <f t="shared" si="17"/>
        <v>-1.6</v>
      </c>
      <c r="M111" s="11">
        <f>IFERROR(100/'Skjema total MA'!I111*K111,0)</f>
        <v>4.763172335102543</v>
      </c>
    </row>
    <row r="112" spans="1:13" x14ac:dyDescent="0.2">
      <c r="A112" s="21" t="s">
        <v>9</v>
      </c>
      <c r="B112" s="233">
        <v>15182.603999999999</v>
      </c>
      <c r="C112" s="145">
        <v>38670.498</v>
      </c>
      <c r="D112" s="166">
        <f t="shared" si="14"/>
        <v>154.69999999999999</v>
      </c>
      <c r="E112" s="27">
        <f>IFERROR(100/'Skjema total MA'!C112*C112,0)</f>
        <v>21.285084726622625</v>
      </c>
      <c r="F112" s="233"/>
      <c r="G112" s="145"/>
      <c r="H112" s="166"/>
      <c r="I112" s="27"/>
      <c r="J112" s="286">
        <f t="shared" ref="J112:K125" si="19">SUM(B112,F112)</f>
        <v>15182.603999999999</v>
      </c>
      <c r="K112" s="44">
        <f t="shared" si="19"/>
        <v>38670.498</v>
      </c>
      <c r="L112" s="253">
        <f t="shared" si="17"/>
        <v>154.69999999999999</v>
      </c>
      <c r="M112" s="27">
        <f>IFERROR(100/'Skjema total MA'!I112*K112,0)</f>
        <v>20.974656126077626</v>
      </c>
    </row>
    <row r="113" spans="1:14" x14ac:dyDescent="0.2">
      <c r="A113" s="21" t="s">
        <v>10</v>
      </c>
      <c r="B113" s="233"/>
      <c r="C113" s="145"/>
      <c r="D113" s="166"/>
      <c r="E113" s="27"/>
      <c r="F113" s="233">
        <v>582862.85800000001</v>
      </c>
      <c r="G113" s="145">
        <v>549574.45200000005</v>
      </c>
      <c r="H113" s="166">
        <f t="shared" si="15"/>
        <v>-5.7</v>
      </c>
      <c r="I113" s="27">
        <f>IFERROR(100/'Skjema total MA'!F113*G113,0)</f>
        <v>4.6790131250528706</v>
      </c>
      <c r="J113" s="286">
        <f t="shared" si="19"/>
        <v>582862.85800000001</v>
      </c>
      <c r="K113" s="44">
        <f t="shared" si="19"/>
        <v>549574.45200000005</v>
      </c>
      <c r="L113" s="253">
        <f t="shared" si="17"/>
        <v>-5.7</v>
      </c>
      <c r="M113" s="27">
        <f>IFERROR(100/'Skjema total MA'!I113*K113,0)</f>
        <v>4.6773184508850321</v>
      </c>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c r="C116" s="233"/>
      <c r="D116" s="166"/>
      <c r="E116" s="27"/>
      <c r="F116" s="233"/>
      <c r="G116" s="233"/>
      <c r="H116" s="166"/>
      <c r="I116" s="27"/>
      <c r="J116" s="286"/>
      <c r="K116" s="44"/>
      <c r="L116" s="253"/>
      <c r="M116" s="27"/>
    </row>
    <row r="117" spans="1:14" ht="15.75" x14ac:dyDescent="0.2">
      <c r="A117" s="21" t="s">
        <v>390</v>
      </c>
      <c r="B117" s="233"/>
      <c r="C117" s="233"/>
      <c r="D117" s="166"/>
      <c r="E117" s="27"/>
      <c r="F117" s="233">
        <v>57949.324999999997</v>
      </c>
      <c r="G117" s="233">
        <v>56071.523999999998</v>
      </c>
      <c r="H117" s="166">
        <f t="shared" si="15"/>
        <v>-3.2</v>
      </c>
      <c r="I117" s="27">
        <f>IFERROR(100/'Skjema total MA'!F117*G117,0)</f>
        <v>3.0972746028204288</v>
      </c>
      <c r="J117" s="286">
        <f t="shared" si="19"/>
        <v>57949.324999999997</v>
      </c>
      <c r="K117" s="44">
        <f t="shared" si="19"/>
        <v>56071.523999999998</v>
      </c>
      <c r="L117" s="253">
        <f t="shared" si="17"/>
        <v>-3.2</v>
      </c>
      <c r="M117" s="27">
        <f>IFERROR(100/'Skjema total MA'!I117*K117,0)</f>
        <v>3.0972746028204288</v>
      </c>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v>9072.6509999999998</v>
      </c>
      <c r="C119" s="159">
        <v>8202.3140000000003</v>
      </c>
      <c r="D119" s="171">
        <f t="shared" si="14"/>
        <v>-9.6</v>
      </c>
      <c r="E119" s="11">
        <f>IFERROR(100/'Skjema total MA'!C119*C119,0)</f>
        <v>1.3786200789343943</v>
      </c>
      <c r="F119" s="307">
        <v>339000.09700000001</v>
      </c>
      <c r="G119" s="159">
        <v>354702.03</v>
      </c>
      <c r="H119" s="171">
        <f t="shared" si="15"/>
        <v>4.5999999999999996</v>
      </c>
      <c r="I119" s="11">
        <f>IFERROR(100/'Skjema total MA'!F119*G119,0)</f>
        <v>3.0670114491216647</v>
      </c>
      <c r="J119" s="308">
        <f t="shared" si="19"/>
        <v>348072.74800000002</v>
      </c>
      <c r="K119" s="235">
        <f t="shared" si="19"/>
        <v>362904.34400000004</v>
      </c>
      <c r="L119" s="427">
        <f t="shared" si="17"/>
        <v>4.3</v>
      </c>
      <c r="M119" s="11">
        <f>IFERROR(100/'Skjema total MA'!I119*K119,0)</f>
        <v>2.9844019362231529</v>
      </c>
    </row>
    <row r="120" spans="1:14" x14ac:dyDescent="0.2">
      <c r="A120" s="21" t="s">
        <v>9</v>
      </c>
      <c r="B120" s="233">
        <v>9072.6509999999998</v>
      </c>
      <c r="C120" s="145">
        <v>8202.3140000000003</v>
      </c>
      <c r="D120" s="166">
        <f t="shared" si="14"/>
        <v>-9.6</v>
      </c>
      <c r="E120" s="27">
        <f>IFERROR(100/'Skjema total MA'!C120*C120,0)</f>
        <v>1.7481861645302872</v>
      </c>
      <c r="F120" s="233"/>
      <c r="G120" s="145"/>
      <c r="H120" s="166"/>
      <c r="I120" s="27"/>
      <c r="J120" s="286">
        <f t="shared" si="19"/>
        <v>9072.6509999999998</v>
      </c>
      <c r="K120" s="44">
        <f t="shared" si="19"/>
        <v>8202.3140000000003</v>
      </c>
      <c r="L120" s="253">
        <f t="shared" si="17"/>
        <v>-9.6</v>
      </c>
      <c r="M120" s="27">
        <f>IFERROR(100/'Skjema total MA'!I120*K120,0)</f>
        <v>1.7481861645302872</v>
      </c>
    </row>
    <row r="121" spans="1:14" x14ac:dyDescent="0.2">
      <c r="A121" s="21" t="s">
        <v>10</v>
      </c>
      <c r="B121" s="233"/>
      <c r="C121" s="145"/>
      <c r="D121" s="166"/>
      <c r="E121" s="27"/>
      <c r="F121" s="233">
        <v>339000.09700000001</v>
      </c>
      <c r="G121" s="145">
        <v>354702.03</v>
      </c>
      <c r="H121" s="166">
        <f t="shared" si="15"/>
        <v>4.5999999999999996</v>
      </c>
      <c r="I121" s="27">
        <f>IFERROR(100/'Skjema total MA'!F121*G121,0)</f>
        <v>3.0670114491216647</v>
      </c>
      <c r="J121" s="286">
        <f t="shared" si="19"/>
        <v>339000.09700000001</v>
      </c>
      <c r="K121" s="44">
        <f t="shared" si="19"/>
        <v>354702.03</v>
      </c>
      <c r="L121" s="253">
        <f t="shared" si="17"/>
        <v>4.5999999999999996</v>
      </c>
      <c r="M121" s="27">
        <f>IFERROR(100/'Skjema total MA'!I121*K121,0)</f>
        <v>3.0657716561845416</v>
      </c>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v>1.38</v>
      </c>
      <c r="C124" s="233">
        <v>0</v>
      </c>
      <c r="D124" s="166">
        <f t="shared" si="14"/>
        <v>-100</v>
      </c>
      <c r="E124" s="27">
        <f>IFERROR(100/'Skjema total MA'!C124*C124,0)</f>
        <v>0</v>
      </c>
      <c r="F124" s="233">
        <v>2294.5720000000001</v>
      </c>
      <c r="G124" s="233">
        <v>0</v>
      </c>
      <c r="H124" s="166">
        <f t="shared" si="15"/>
        <v>-100</v>
      </c>
      <c r="I124" s="27">
        <f>IFERROR(100/'Skjema total MA'!F124*G124,0)</f>
        <v>0</v>
      </c>
      <c r="J124" s="286">
        <f t="shared" si="19"/>
        <v>2295.9520000000002</v>
      </c>
      <c r="K124" s="44">
        <f t="shared" si="19"/>
        <v>0</v>
      </c>
      <c r="L124" s="253">
        <f t="shared" si="17"/>
        <v>-100</v>
      </c>
      <c r="M124" s="27">
        <f>IFERROR(100/'Skjema total MA'!I124*K124,0)</f>
        <v>0</v>
      </c>
    </row>
    <row r="125" spans="1:14" ht="15.75" x14ac:dyDescent="0.2">
      <c r="A125" s="21" t="s">
        <v>387</v>
      </c>
      <c r="B125" s="233"/>
      <c r="C125" s="233"/>
      <c r="D125" s="166"/>
      <c r="E125" s="27"/>
      <c r="F125" s="233">
        <v>104786.70600000001</v>
      </c>
      <c r="G125" s="233">
        <v>104000.23</v>
      </c>
      <c r="H125" s="166">
        <f t="shared" si="15"/>
        <v>-0.8</v>
      </c>
      <c r="I125" s="27">
        <f>IFERROR(100/'Skjema total MA'!F125*G125,0)</f>
        <v>5.2853917343289298</v>
      </c>
      <c r="J125" s="286">
        <f t="shared" si="19"/>
        <v>104786.70600000001</v>
      </c>
      <c r="K125" s="44">
        <f t="shared" si="19"/>
        <v>104000.23</v>
      </c>
      <c r="L125" s="253">
        <f t="shared" si="17"/>
        <v>-0.8</v>
      </c>
      <c r="M125" s="27">
        <f>IFERROR(100/'Skjema total MA'!I125*K125,0)</f>
        <v>5.2825370498668116</v>
      </c>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405"/>
      <c r="F130" s="739"/>
      <c r="G130" s="739"/>
      <c r="H130" s="739"/>
      <c r="I130" s="405"/>
      <c r="J130" s="739"/>
      <c r="K130" s="739"/>
      <c r="L130" s="739"/>
      <c r="M130" s="405"/>
    </row>
    <row r="131" spans="1:14" s="3" customFormat="1" x14ac:dyDescent="0.2">
      <c r="A131" s="144"/>
      <c r="B131" s="737" t="s">
        <v>0</v>
      </c>
      <c r="C131" s="738"/>
      <c r="D131" s="738"/>
      <c r="E131" s="404"/>
      <c r="F131" s="737" t="s">
        <v>1</v>
      </c>
      <c r="G131" s="738"/>
      <c r="H131" s="738"/>
      <c r="I131" s="407"/>
      <c r="J131" s="737" t="s">
        <v>2</v>
      </c>
      <c r="K131" s="738"/>
      <c r="L131" s="738"/>
      <c r="M131" s="407"/>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1645" priority="82">
      <formula>kvartal &lt; 4</formula>
    </cfRule>
  </conditionalFormatting>
  <conditionalFormatting sqref="B69">
    <cfRule type="expression" dxfId="1644" priority="61">
      <formula>kvartal &lt; 4</formula>
    </cfRule>
  </conditionalFormatting>
  <conditionalFormatting sqref="C69">
    <cfRule type="expression" dxfId="1643" priority="60">
      <formula>kvartal &lt; 4</formula>
    </cfRule>
  </conditionalFormatting>
  <conditionalFormatting sqref="B72">
    <cfRule type="expression" dxfId="1642" priority="59">
      <formula>kvartal &lt; 4</formula>
    </cfRule>
  </conditionalFormatting>
  <conditionalFormatting sqref="C72">
    <cfRule type="expression" dxfId="1641" priority="58">
      <formula>kvartal &lt; 4</formula>
    </cfRule>
  </conditionalFormatting>
  <conditionalFormatting sqref="B80">
    <cfRule type="expression" dxfId="1640" priority="57">
      <formula>kvartal &lt; 4</formula>
    </cfRule>
  </conditionalFormatting>
  <conditionalFormatting sqref="C80">
    <cfRule type="expression" dxfId="1639" priority="56">
      <formula>kvartal &lt; 4</formula>
    </cfRule>
  </conditionalFormatting>
  <conditionalFormatting sqref="B83">
    <cfRule type="expression" dxfId="1638" priority="55">
      <formula>kvartal &lt; 4</formula>
    </cfRule>
  </conditionalFormatting>
  <conditionalFormatting sqref="C83">
    <cfRule type="expression" dxfId="1637" priority="54">
      <formula>kvartal &lt; 4</formula>
    </cfRule>
  </conditionalFormatting>
  <conditionalFormatting sqref="B90">
    <cfRule type="expression" dxfId="1636" priority="53">
      <formula>kvartal &lt; 4</formula>
    </cfRule>
  </conditionalFormatting>
  <conditionalFormatting sqref="C90">
    <cfRule type="expression" dxfId="1635" priority="52">
      <formula>kvartal &lt; 4</formula>
    </cfRule>
  </conditionalFormatting>
  <conditionalFormatting sqref="B93">
    <cfRule type="expression" dxfId="1634" priority="51">
      <formula>kvartal &lt; 4</formula>
    </cfRule>
  </conditionalFormatting>
  <conditionalFormatting sqref="C93">
    <cfRule type="expression" dxfId="1633" priority="50">
      <formula>kvartal &lt; 4</formula>
    </cfRule>
  </conditionalFormatting>
  <conditionalFormatting sqref="B101">
    <cfRule type="expression" dxfId="1632" priority="49">
      <formula>kvartal &lt; 4</formula>
    </cfRule>
  </conditionalFormatting>
  <conditionalFormatting sqref="C101">
    <cfRule type="expression" dxfId="1631" priority="48">
      <formula>kvartal &lt; 4</formula>
    </cfRule>
  </conditionalFormatting>
  <conditionalFormatting sqref="B104">
    <cfRule type="expression" dxfId="1630" priority="47">
      <formula>kvartal &lt; 4</formula>
    </cfRule>
  </conditionalFormatting>
  <conditionalFormatting sqref="C104">
    <cfRule type="expression" dxfId="1629" priority="46">
      <formula>kvartal &lt; 4</formula>
    </cfRule>
  </conditionalFormatting>
  <conditionalFormatting sqref="B115">
    <cfRule type="expression" dxfId="1628" priority="45">
      <formula>kvartal &lt; 4</formula>
    </cfRule>
  </conditionalFormatting>
  <conditionalFormatting sqref="C115">
    <cfRule type="expression" dxfId="1627" priority="44">
      <formula>kvartal &lt; 4</formula>
    </cfRule>
  </conditionalFormatting>
  <conditionalFormatting sqref="B123">
    <cfRule type="expression" dxfId="1626" priority="43">
      <formula>kvartal &lt; 4</formula>
    </cfRule>
  </conditionalFormatting>
  <conditionalFormatting sqref="C123">
    <cfRule type="expression" dxfId="1625" priority="42">
      <formula>kvartal &lt; 4</formula>
    </cfRule>
  </conditionalFormatting>
  <conditionalFormatting sqref="F70">
    <cfRule type="expression" dxfId="1624" priority="41">
      <formula>kvartal &lt; 4</formula>
    </cfRule>
  </conditionalFormatting>
  <conditionalFormatting sqref="G70">
    <cfRule type="expression" dxfId="1623" priority="40">
      <formula>kvartal &lt; 4</formula>
    </cfRule>
  </conditionalFormatting>
  <conditionalFormatting sqref="F71:G71">
    <cfRule type="expression" dxfId="1622" priority="39">
      <formula>kvartal &lt; 4</formula>
    </cfRule>
  </conditionalFormatting>
  <conditionalFormatting sqref="F73:G74">
    <cfRule type="expression" dxfId="1621" priority="38">
      <formula>kvartal &lt; 4</formula>
    </cfRule>
  </conditionalFormatting>
  <conditionalFormatting sqref="F81:G82">
    <cfRule type="expression" dxfId="1620" priority="37">
      <formula>kvartal &lt; 4</formula>
    </cfRule>
  </conditionalFormatting>
  <conditionalFormatting sqref="F84:G85">
    <cfRule type="expression" dxfId="1619" priority="36">
      <formula>kvartal &lt; 4</formula>
    </cfRule>
  </conditionalFormatting>
  <conditionalFormatting sqref="F91:G92">
    <cfRule type="expression" dxfId="1618" priority="35">
      <formula>kvartal &lt; 4</formula>
    </cfRule>
  </conditionalFormatting>
  <conditionalFormatting sqref="F94:G95">
    <cfRule type="expression" dxfId="1617" priority="34">
      <formula>kvartal &lt; 4</formula>
    </cfRule>
  </conditionalFormatting>
  <conditionalFormatting sqref="F102:G103">
    <cfRule type="expression" dxfId="1616" priority="33">
      <formula>kvartal &lt; 4</formula>
    </cfRule>
  </conditionalFormatting>
  <conditionalFormatting sqref="F105:G106">
    <cfRule type="expression" dxfId="1615" priority="32">
      <formula>kvartal &lt; 4</formula>
    </cfRule>
  </conditionalFormatting>
  <conditionalFormatting sqref="F115">
    <cfRule type="expression" dxfId="1614" priority="31">
      <formula>kvartal &lt; 4</formula>
    </cfRule>
  </conditionalFormatting>
  <conditionalFormatting sqref="G115">
    <cfRule type="expression" dxfId="1613" priority="30">
      <formula>kvartal &lt; 4</formula>
    </cfRule>
  </conditionalFormatting>
  <conditionalFormatting sqref="F123:G123">
    <cfRule type="expression" dxfId="1612" priority="29">
      <formula>kvartal &lt; 4</formula>
    </cfRule>
  </conditionalFormatting>
  <conditionalFormatting sqref="F69:G69">
    <cfRule type="expression" dxfId="1611" priority="28">
      <formula>kvartal &lt; 4</formula>
    </cfRule>
  </conditionalFormatting>
  <conditionalFormatting sqref="F72:G72">
    <cfRule type="expression" dxfId="1610" priority="27">
      <formula>kvartal &lt; 4</formula>
    </cfRule>
  </conditionalFormatting>
  <conditionalFormatting sqref="F80:G80">
    <cfRule type="expression" dxfId="1609" priority="26">
      <formula>kvartal &lt; 4</formula>
    </cfRule>
  </conditionalFormatting>
  <conditionalFormatting sqref="F83:G83">
    <cfRule type="expression" dxfId="1608" priority="25">
      <formula>kvartal &lt; 4</formula>
    </cfRule>
  </conditionalFormatting>
  <conditionalFormatting sqref="F90:G90">
    <cfRule type="expression" dxfId="1607" priority="24">
      <formula>kvartal &lt; 4</formula>
    </cfRule>
  </conditionalFormatting>
  <conditionalFormatting sqref="F93">
    <cfRule type="expression" dxfId="1606" priority="23">
      <formula>kvartal &lt; 4</formula>
    </cfRule>
  </conditionalFormatting>
  <conditionalFormatting sqref="G93">
    <cfRule type="expression" dxfId="1605" priority="22">
      <formula>kvartal &lt; 4</formula>
    </cfRule>
  </conditionalFormatting>
  <conditionalFormatting sqref="F101">
    <cfRule type="expression" dxfId="1604" priority="21">
      <formula>kvartal &lt; 4</formula>
    </cfRule>
  </conditionalFormatting>
  <conditionalFormatting sqref="G101">
    <cfRule type="expression" dxfId="1603" priority="20">
      <formula>kvartal &lt; 4</formula>
    </cfRule>
  </conditionalFormatting>
  <conditionalFormatting sqref="G104">
    <cfRule type="expression" dxfId="1602" priority="19">
      <formula>kvartal &lt; 4</formula>
    </cfRule>
  </conditionalFormatting>
  <conditionalFormatting sqref="F104">
    <cfRule type="expression" dxfId="1601" priority="18">
      <formula>kvartal &lt; 4</formula>
    </cfRule>
  </conditionalFormatting>
  <conditionalFormatting sqref="J69:K73">
    <cfRule type="expression" dxfId="1600" priority="17">
      <formula>kvartal &lt; 4</formula>
    </cfRule>
  </conditionalFormatting>
  <conditionalFormatting sqref="J74:K74">
    <cfRule type="expression" dxfId="1599" priority="16">
      <formula>kvartal &lt; 4</formula>
    </cfRule>
  </conditionalFormatting>
  <conditionalFormatting sqref="J80:K85">
    <cfRule type="expression" dxfId="1598" priority="15">
      <formula>kvartal &lt; 4</formula>
    </cfRule>
  </conditionalFormatting>
  <conditionalFormatting sqref="J90:K95">
    <cfRule type="expression" dxfId="1597" priority="14">
      <formula>kvartal &lt; 4</formula>
    </cfRule>
  </conditionalFormatting>
  <conditionalFormatting sqref="J101:K106">
    <cfRule type="expression" dxfId="1596" priority="13">
      <formula>kvartal &lt; 4</formula>
    </cfRule>
  </conditionalFormatting>
  <conditionalFormatting sqref="J115:K115">
    <cfRule type="expression" dxfId="1595" priority="12">
      <formula>kvartal &lt; 4</formula>
    </cfRule>
  </conditionalFormatting>
  <conditionalFormatting sqref="J123:K123">
    <cfRule type="expression" dxfId="1594" priority="11">
      <formula>kvartal &lt; 4</formula>
    </cfRule>
  </conditionalFormatting>
  <conditionalFormatting sqref="A50:A52">
    <cfRule type="expression" dxfId="1593" priority="8">
      <formula>kvartal &lt; 4</formula>
    </cfRule>
  </conditionalFormatting>
  <conditionalFormatting sqref="A69:A74">
    <cfRule type="expression" dxfId="1592" priority="7">
      <formula>kvartal &lt; 4</formula>
    </cfRule>
  </conditionalFormatting>
  <conditionalFormatting sqref="A80:A85">
    <cfRule type="expression" dxfId="1591" priority="6">
      <formula>kvartal &lt; 4</formula>
    </cfRule>
  </conditionalFormatting>
  <conditionalFormatting sqref="A90:A95">
    <cfRule type="expression" dxfId="1590" priority="5">
      <formula>kvartal &lt; 4</formula>
    </cfRule>
  </conditionalFormatting>
  <conditionalFormatting sqref="A101:A106">
    <cfRule type="expression" dxfId="1589" priority="4">
      <formula>kvartal &lt; 4</formula>
    </cfRule>
  </conditionalFormatting>
  <conditionalFormatting sqref="A115">
    <cfRule type="expression" dxfId="1588" priority="3">
      <formula>kvartal &lt; 4</formula>
    </cfRule>
  </conditionalFormatting>
  <conditionalFormatting sqref="A123">
    <cfRule type="expression" dxfId="1587" priority="2">
      <formula>kvartal &lt; 4</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4"/>
  <sheetViews>
    <sheetView showGridLines="0" zoomScale="120" zoomScaleNormal="12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7" x14ac:dyDescent="0.2">
      <c r="A1" s="172" t="s">
        <v>136</v>
      </c>
      <c r="B1" s="707"/>
      <c r="C1" s="247" t="s">
        <v>85</v>
      </c>
      <c r="D1" s="26"/>
      <c r="E1" s="26"/>
      <c r="F1" s="26"/>
      <c r="G1" s="26"/>
      <c r="H1" s="26"/>
      <c r="I1" s="26"/>
      <c r="J1" s="26"/>
      <c r="K1" s="26"/>
      <c r="L1" s="26"/>
      <c r="M1" s="26"/>
    </row>
    <row r="2" spans="1:17" ht="15.75" x14ac:dyDescent="0.25">
      <c r="A2" s="165" t="s">
        <v>28</v>
      </c>
      <c r="B2" s="736"/>
      <c r="C2" s="736"/>
      <c r="D2" s="736"/>
      <c r="E2" s="298"/>
      <c r="F2" s="736"/>
      <c r="G2" s="736"/>
      <c r="H2" s="736"/>
      <c r="I2" s="298"/>
      <c r="J2" s="736"/>
      <c r="K2" s="736"/>
      <c r="L2" s="736"/>
      <c r="M2" s="298"/>
    </row>
    <row r="3" spans="1:17" ht="15.75" x14ac:dyDescent="0.25">
      <c r="A3" s="163"/>
      <c r="B3" s="298"/>
      <c r="C3" s="298"/>
      <c r="D3" s="298"/>
      <c r="E3" s="298"/>
      <c r="F3" s="298"/>
      <c r="G3" s="298"/>
      <c r="H3" s="298"/>
      <c r="I3" s="298"/>
      <c r="J3" s="298"/>
      <c r="K3" s="298"/>
      <c r="L3" s="298"/>
      <c r="M3" s="298"/>
    </row>
    <row r="4" spans="1:17" x14ac:dyDescent="0.2">
      <c r="A4" s="144"/>
      <c r="B4" s="737" t="s">
        <v>0</v>
      </c>
      <c r="C4" s="738"/>
      <c r="D4" s="738"/>
      <c r="E4" s="300"/>
      <c r="F4" s="737" t="s">
        <v>1</v>
      </c>
      <c r="G4" s="738"/>
      <c r="H4" s="738"/>
      <c r="I4" s="303"/>
      <c r="J4" s="737" t="s">
        <v>2</v>
      </c>
      <c r="K4" s="738"/>
      <c r="L4" s="738"/>
      <c r="M4" s="303"/>
    </row>
    <row r="5" spans="1:17" x14ac:dyDescent="0.2">
      <c r="A5" s="158"/>
      <c r="B5" s="152" t="s">
        <v>427</v>
      </c>
      <c r="C5" s="152" t="s">
        <v>428</v>
      </c>
      <c r="D5" s="244" t="s">
        <v>3</v>
      </c>
      <c r="E5" s="304" t="s">
        <v>29</v>
      </c>
      <c r="F5" s="152" t="s">
        <v>427</v>
      </c>
      <c r="G5" s="152" t="s">
        <v>428</v>
      </c>
      <c r="H5" s="244" t="s">
        <v>3</v>
      </c>
      <c r="I5" s="162" t="s">
        <v>29</v>
      </c>
      <c r="J5" s="152" t="s">
        <v>427</v>
      </c>
      <c r="K5" s="152" t="s">
        <v>428</v>
      </c>
      <c r="L5" s="244" t="s">
        <v>3</v>
      </c>
      <c r="M5" s="162" t="s">
        <v>29</v>
      </c>
    </row>
    <row r="6" spans="1:17" x14ac:dyDescent="0.2">
      <c r="A6" s="709"/>
      <c r="B6" s="156"/>
      <c r="C6" s="156"/>
      <c r="D6" s="245" t="s">
        <v>4</v>
      </c>
      <c r="E6" s="156" t="s">
        <v>30</v>
      </c>
      <c r="F6" s="161"/>
      <c r="G6" s="161"/>
      <c r="H6" s="244" t="s">
        <v>4</v>
      </c>
      <c r="I6" s="156" t="s">
        <v>30</v>
      </c>
      <c r="J6" s="161"/>
      <c r="K6" s="161"/>
      <c r="L6" s="244" t="s">
        <v>4</v>
      </c>
      <c r="M6" s="156" t="s">
        <v>30</v>
      </c>
    </row>
    <row r="7" spans="1:17" ht="15.75" x14ac:dyDescent="0.2">
      <c r="A7" s="14" t="s">
        <v>23</v>
      </c>
      <c r="B7" s="305">
        <v>343382</v>
      </c>
      <c r="C7" s="306">
        <v>166206</v>
      </c>
      <c r="D7" s="349">
        <f>IF(B7=0, "    ---- ", IF(ABS(ROUND(100/B7*C7-100,1))&lt;999,ROUND(100/B7*C7-100,1),IF(ROUND(100/B7*C7-100,1)&gt;999,999,-999)))</f>
        <v>-51.6</v>
      </c>
      <c r="E7" s="11">
        <f>IFERROR(100/'Skjema total MA'!C7*C7,0)</f>
        <v>6.1848837935794476</v>
      </c>
      <c r="F7" s="305">
        <v>259944</v>
      </c>
      <c r="G7" s="306">
        <v>281211.26299999998</v>
      </c>
      <c r="H7" s="349">
        <f>IF(F7=0, "    ---- ", IF(ABS(ROUND(100/F7*G7-100,1))&lt;999,ROUND(100/F7*G7-100,1),IF(ROUND(100/F7*G7-100,1)&gt;999,999,-999)))</f>
        <v>8.1999999999999993</v>
      </c>
      <c r="I7" s="160">
        <f>IFERROR(100/'Skjema total MA'!F7*G7,0)</f>
        <v>5.9543650146745897</v>
      </c>
      <c r="J7" s="307">
        <f t="shared" ref="J7:K12" si="0">SUM(B7,F7)</f>
        <v>603326</v>
      </c>
      <c r="K7" s="308">
        <f t="shared" si="0"/>
        <v>447417.26299999998</v>
      </c>
      <c r="L7" s="426">
        <f>IF(J7=0, "    ---- ", IF(ABS(ROUND(100/J7*K7-100,1))&lt;999,ROUND(100/J7*K7-100,1),IF(ROUND(100/J7*K7-100,1)&gt;999,999,-999)))</f>
        <v>-25.8</v>
      </c>
      <c r="M7" s="11">
        <f>IFERROR(100/'Skjema total MA'!I7*K7,0)</f>
        <v>6.0379636564872143</v>
      </c>
    </row>
    <row r="8" spans="1:17" ht="15.75" x14ac:dyDescent="0.2">
      <c r="A8" s="21" t="s">
        <v>25</v>
      </c>
      <c r="B8" s="280">
        <v>69700.615999999995</v>
      </c>
      <c r="C8" s="281">
        <v>19567.057000000001</v>
      </c>
      <c r="D8" s="166">
        <f t="shared" ref="D8:D12" si="1">IF(B8=0, "    ---- ", IF(ABS(ROUND(100/B8*C8-100,1))&lt;999,ROUND(100/B8*C8-100,1),IF(ROUND(100/B8*C8-100,1)&gt;999,999,-999)))</f>
        <v>-71.900000000000006</v>
      </c>
      <c r="E8" s="27">
        <f>IFERROR(100/'Skjema total MA'!C8*C8,0)</f>
        <v>1.0846390018637302</v>
      </c>
      <c r="F8" s="284"/>
      <c r="G8" s="285"/>
      <c r="H8" s="166"/>
      <c r="I8" s="175"/>
      <c r="J8" s="233">
        <f t="shared" si="0"/>
        <v>69700.615999999995</v>
      </c>
      <c r="K8" s="286">
        <f t="shared" si="0"/>
        <v>19567.057000000001</v>
      </c>
      <c r="L8" s="166">
        <f t="shared" ref="L8:L9" si="2">IF(J8=0, "    ---- ", IF(ABS(ROUND(100/J8*K8-100,1))&lt;999,ROUND(100/J8*K8-100,1),IF(ROUND(100/J8*K8-100,1)&gt;999,999,-999)))</f>
        <v>-71.900000000000006</v>
      </c>
      <c r="M8" s="27">
        <f>IFERROR(100/'Skjema total MA'!I8*K8,0)</f>
        <v>1.0846390018637302</v>
      </c>
    </row>
    <row r="9" spans="1:17" ht="15.75" x14ac:dyDescent="0.2">
      <c r="A9" s="21" t="s">
        <v>24</v>
      </c>
      <c r="B9" s="280">
        <v>26130.769499999999</v>
      </c>
      <c r="C9" s="281">
        <v>11866.216</v>
      </c>
      <c r="D9" s="166">
        <f t="shared" si="1"/>
        <v>-54.6</v>
      </c>
      <c r="E9" s="27">
        <f>IFERROR(100/'Skjema total MA'!C9*C9,0)</f>
        <v>2.2820934927949583</v>
      </c>
      <c r="F9" s="284"/>
      <c r="G9" s="285"/>
      <c r="H9" s="166"/>
      <c r="I9" s="175"/>
      <c r="J9" s="233">
        <f t="shared" si="0"/>
        <v>26130.769499999999</v>
      </c>
      <c r="K9" s="286">
        <f t="shared" si="0"/>
        <v>11866.216</v>
      </c>
      <c r="L9" s="166">
        <f t="shared" si="2"/>
        <v>-54.6</v>
      </c>
      <c r="M9" s="27">
        <f>IFERROR(100/'Skjema total MA'!I9*K9,0)</f>
        <v>2.2820934927949583</v>
      </c>
    </row>
    <row r="10" spans="1:17" ht="15.75" x14ac:dyDescent="0.2">
      <c r="A10" s="13" t="s">
        <v>367</v>
      </c>
      <c r="B10" s="309">
        <v>13517582</v>
      </c>
      <c r="C10" s="310">
        <v>12102375</v>
      </c>
      <c r="D10" s="171">
        <f t="shared" si="1"/>
        <v>-10.5</v>
      </c>
      <c r="E10" s="11">
        <f>IFERROR(100/'Skjema total MA'!C10*C10,0)</f>
        <v>65.795813022023495</v>
      </c>
      <c r="F10" s="309">
        <v>5816710.6239999998</v>
      </c>
      <c r="G10" s="310">
        <v>6001946.9139999999</v>
      </c>
      <c r="H10" s="171">
        <f t="shared" ref="H10:H12" si="3">IF(F10=0, "    ---- ", IF(ABS(ROUND(100/F10*G10-100,1))&lt;999,ROUND(100/F10*G10-100,1),IF(ROUND(100/F10*G10-100,1)&gt;999,999,-999)))</f>
        <v>3.2</v>
      </c>
      <c r="I10" s="160">
        <f>IFERROR(100/'Skjema total MA'!F10*G10,0)</f>
        <v>11.568790052241967</v>
      </c>
      <c r="J10" s="307">
        <f t="shared" si="0"/>
        <v>19334292.623999998</v>
      </c>
      <c r="K10" s="308">
        <f t="shared" si="0"/>
        <v>18104321.914000001</v>
      </c>
      <c r="L10" s="427">
        <f t="shared" ref="L10:L12" si="4">IF(J10=0, "    ---- ", IF(ABS(ROUND(100/J10*K10-100,1))&lt;999,ROUND(100/J10*K10-100,1),IF(ROUND(100/J10*K10-100,1)&gt;999,999,-999)))</f>
        <v>-6.4</v>
      </c>
      <c r="M10" s="11">
        <f>IFERROR(100/'Skjema total MA'!I10*K10,0)</f>
        <v>25.762349057909248</v>
      </c>
      <c r="Q10" s="149"/>
    </row>
    <row r="11" spans="1:17" s="43" customFormat="1" ht="15.75" x14ac:dyDescent="0.2">
      <c r="A11" s="13" t="s">
        <v>368</v>
      </c>
      <c r="B11" s="309">
        <v>25094</v>
      </c>
      <c r="C11" s="310">
        <v>18520</v>
      </c>
      <c r="D11" s="171">
        <f t="shared" si="1"/>
        <v>-26.2</v>
      </c>
      <c r="E11" s="11">
        <f>IFERROR(100/'Skjema total MA'!C11*C11,0)</f>
        <v>100</v>
      </c>
      <c r="F11" s="309">
        <v>12375</v>
      </c>
      <c r="G11" s="310">
        <v>36021</v>
      </c>
      <c r="H11" s="171">
        <f t="shared" si="3"/>
        <v>191.1</v>
      </c>
      <c r="I11" s="160">
        <f>IFERROR(100/'Skjema total MA'!F11*G11,0)</f>
        <v>16.564203220642668</v>
      </c>
      <c r="J11" s="307">
        <f t="shared" si="0"/>
        <v>37469</v>
      </c>
      <c r="K11" s="308">
        <f t="shared" si="0"/>
        <v>54541</v>
      </c>
      <c r="L11" s="427">
        <f t="shared" si="4"/>
        <v>45.6</v>
      </c>
      <c r="M11" s="11">
        <f>IFERROR(100/'Skjema total MA'!I11*K11,0)</f>
        <v>23.112265920638993</v>
      </c>
      <c r="N11" s="143"/>
    </row>
    <row r="12" spans="1:17" s="43" customFormat="1" ht="15.75" x14ac:dyDescent="0.2">
      <c r="A12" s="41" t="s">
        <v>369</v>
      </c>
      <c r="B12" s="311">
        <v>4345</v>
      </c>
      <c r="C12" s="312">
        <v>2399</v>
      </c>
      <c r="D12" s="169">
        <f t="shared" si="1"/>
        <v>-44.8</v>
      </c>
      <c r="E12" s="36">
        <f>IFERROR(100/'Skjema total MA'!C12*C12,0)</f>
        <v>100</v>
      </c>
      <c r="F12" s="311">
        <v>48002</v>
      </c>
      <c r="G12" s="312">
        <v>81928</v>
      </c>
      <c r="H12" s="169">
        <f t="shared" si="3"/>
        <v>70.7</v>
      </c>
      <c r="I12" s="169">
        <f>IFERROR(100/'Skjema total MA'!F12*G12,0)</f>
        <v>53.198145281209023</v>
      </c>
      <c r="J12" s="313">
        <f t="shared" si="0"/>
        <v>52347</v>
      </c>
      <c r="K12" s="314">
        <f t="shared" si="0"/>
        <v>84327</v>
      </c>
      <c r="L12" s="428">
        <f t="shared" si="4"/>
        <v>61.1</v>
      </c>
      <c r="M12" s="36">
        <f>IFERROR(100/'Skjema total MA'!I12*K12,0)</f>
        <v>53.916013011562605</v>
      </c>
      <c r="N12" s="143"/>
      <c r="Q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277</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274</v>
      </c>
      <c r="B17" s="157"/>
      <c r="C17" s="157"/>
      <c r="D17" s="151"/>
      <c r="E17" s="151"/>
      <c r="F17" s="157"/>
      <c r="G17" s="157"/>
      <c r="H17" s="157"/>
      <c r="I17" s="157"/>
      <c r="J17" s="157"/>
      <c r="K17" s="157"/>
      <c r="L17" s="157"/>
      <c r="M17" s="157"/>
    </row>
    <row r="18" spans="1:14" ht="15.75" x14ac:dyDescent="0.25">
      <c r="B18" s="739"/>
      <c r="C18" s="739"/>
      <c r="D18" s="739"/>
      <c r="E18" s="298"/>
      <c r="F18" s="739"/>
      <c r="G18" s="739"/>
      <c r="H18" s="739"/>
      <c r="I18" s="298"/>
      <c r="J18" s="739"/>
      <c r="K18" s="739"/>
      <c r="L18" s="739"/>
      <c r="M18" s="298"/>
    </row>
    <row r="19" spans="1:14" x14ac:dyDescent="0.2">
      <c r="A19" s="144"/>
      <c r="B19" s="737" t="s">
        <v>0</v>
      </c>
      <c r="C19" s="738"/>
      <c r="D19" s="738"/>
      <c r="E19" s="300"/>
      <c r="F19" s="737" t="s">
        <v>1</v>
      </c>
      <c r="G19" s="738"/>
      <c r="H19" s="738"/>
      <c r="I19" s="303"/>
      <c r="J19" s="737" t="s">
        <v>2</v>
      </c>
      <c r="K19" s="738"/>
      <c r="L19" s="738"/>
      <c r="M19" s="303"/>
    </row>
    <row r="20" spans="1:14" x14ac:dyDescent="0.2">
      <c r="A20" s="140" t="s">
        <v>5</v>
      </c>
      <c r="B20" s="152" t="s">
        <v>427</v>
      </c>
      <c r="C20" s="152" t="s">
        <v>428</v>
      </c>
      <c r="D20" s="162" t="s">
        <v>3</v>
      </c>
      <c r="E20" s="304" t="s">
        <v>29</v>
      </c>
      <c r="F20" s="152" t="s">
        <v>427</v>
      </c>
      <c r="G20" s="152" t="s">
        <v>428</v>
      </c>
      <c r="H20" s="162" t="s">
        <v>3</v>
      </c>
      <c r="I20" s="162" t="s">
        <v>29</v>
      </c>
      <c r="J20" s="152" t="s">
        <v>427</v>
      </c>
      <c r="K20" s="152" t="s">
        <v>428</v>
      </c>
      <c r="L20" s="162" t="s">
        <v>3</v>
      </c>
      <c r="M20" s="162" t="s">
        <v>29</v>
      </c>
    </row>
    <row r="21" spans="1:14" x14ac:dyDescent="0.2">
      <c r="A21" s="710"/>
      <c r="B21" s="156"/>
      <c r="C21" s="156"/>
      <c r="D21" s="245" t="s">
        <v>4</v>
      </c>
      <c r="E21" s="156" t="s">
        <v>30</v>
      </c>
      <c r="F21" s="161"/>
      <c r="G21" s="161"/>
      <c r="H21" s="244" t="s">
        <v>4</v>
      </c>
      <c r="I21" s="156" t="s">
        <v>30</v>
      </c>
      <c r="J21" s="161"/>
      <c r="K21" s="161"/>
      <c r="L21" s="156" t="s">
        <v>4</v>
      </c>
      <c r="M21" s="156" t="s">
        <v>30</v>
      </c>
    </row>
    <row r="22" spans="1:14" ht="15.75" x14ac:dyDescent="0.2">
      <c r="A22" s="14" t="s">
        <v>23</v>
      </c>
      <c r="B22" s="309">
        <v>189966.45699999999</v>
      </c>
      <c r="C22" s="309">
        <v>161190.995</v>
      </c>
      <c r="D22" s="349">
        <f t="shared" ref="D22:D39" si="5">IF(B22=0, "    ---- ", IF(ABS(ROUND(100/B22*C22-100,1))&lt;999,ROUND(100/B22*C22-100,1),IF(ROUND(100/B22*C22-100,1)&gt;999,999,-999)))</f>
        <v>-15.1</v>
      </c>
      <c r="E22" s="11">
        <f>IFERROR(100/'Skjema total MA'!C22*C22,0)</f>
        <v>16.320934402803314</v>
      </c>
      <c r="F22" s="317">
        <v>30176.843000000001</v>
      </c>
      <c r="G22" s="317">
        <v>72337.660999999993</v>
      </c>
      <c r="H22" s="349">
        <f t="shared" ref="H22:H35" si="6">IF(F22=0, "    ---- ", IF(ABS(ROUND(100/F22*G22-100,1))&lt;999,ROUND(100/F22*G22-100,1),IF(ROUND(100/F22*G22-100,1)&gt;999,999,-999)))</f>
        <v>139.69999999999999</v>
      </c>
      <c r="I22" s="11">
        <f>IFERROR(100/'Skjema total MA'!F22*G22,0)</f>
        <v>11.264539683467227</v>
      </c>
      <c r="J22" s="315">
        <f t="shared" ref="J22:K35" si="7">SUM(B22,F22)</f>
        <v>220143.3</v>
      </c>
      <c r="K22" s="315">
        <f t="shared" si="7"/>
        <v>233528.65599999999</v>
      </c>
      <c r="L22" s="426">
        <f t="shared" ref="L22:L37" si="8">IF(J22=0, "    ---- ", IF(ABS(ROUND(100/J22*K22-100,1))&lt;999,ROUND(100/J22*K22-100,1),IF(ROUND(100/J22*K22-100,1)&gt;999,999,-999)))</f>
        <v>6.1</v>
      </c>
      <c r="M22" s="24">
        <f>IFERROR(100/'Skjema total MA'!I22*K22,0)</f>
        <v>14.328626876961392</v>
      </c>
    </row>
    <row r="23" spans="1:14" ht="15.75" x14ac:dyDescent="0.2">
      <c r="A23" s="587" t="s">
        <v>370</v>
      </c>
      <c r="B23" s="280">
        <v>159133.91399999999</v>
      </c>
      <c r="C23" s="280">
        <v>131838.848</v>
      </c>
      <c r="D23" s="166">
        <f t="shared" si="5"/>
        <v>-17.2</v>
      </c>
      <c r="E23" s="11">
        <f>IFERROR(100/'Skjema total MA'!C23*C23,0)</f>
        <v>32.227948372809074</v>
      </c>
      <c r="F23" s="289">
        <v>17855.824000000001</v>
      </c>
      <c r="G23" s="289">
        <v>67403.036999999997</v>
      </c>
      <c r="H23" s="166">
        <f t="shared" si="6"/>
        <v>277.5</v>
      </c>
      <c r="I23" s="416">
        <f>IFERROR(100/'Skjema total MA'!F23*G23,0)</f>
        <v>77.155042607743411</v>
      </c>
      <c r="J23" s="289">
        <f t="shared" ref="J23:J25" si="9">SUM(B23,F23)</f>
        <v>176989.73799999998</v>
      </c>
      <c r="K23" s="289">
        <f t="shared" ref="K23:K25" si="10">SUM(C23,G23)</f>
        <v>199241.88500000001</v>
      </c>
      <c r="L23" s="166">
        <f t="shared" si="8"/>
        <v>12.6</v>
      </c>
      <c r="M23" s="23">
        <f>IFERROR(100/'Skjema total MA'!I23*K23,0)</f>
        <v>40.13390112785379</v>
      </c>
    </row>
    <row r="24" spans="1:14" ht="15.75" x14ac:dyDescent="0.2">
      <c r="A24" s="587" t="s">
        <v>371</v>
      </c>
      <c r="B24" s="280">
        <v>12466.335999999999</v>
      </c>
      <c r="C24" s="280">
        <v>13500.983</v>
      </c>
      <c r="D24" s="166">
        <f t="shared" si="5"/>
        <v>8.3000000000000007</v>
      </c>
      <c r="E24" s="11">
        <f>IFERROR(100/'Skjema total MA'!C24*C24,0)</f>
        <v>79.322137272270496</v>
      </c>
      <c r="F24" s="289">
        <v>1363.5440000000001</v>
      </c>
      <c r="G24" s="289">
        <v>15.643000000000001</v>
      </c>
      <c r="H24" s="166">
        <f t="shared" si="6"/>
        <v>-98.9</v>
      </c>
      <c r="I24" s="416">
        <f>IFERROR(100/'Skjema total MA'!F24*G24,0)</f>
        <v>1.665038296892007</v>
      </c>
      <c r="J24" s="289">
        <f t="shared" si="9"/>
        <v>13829.88</v>
      </c>
      <c r="K24" s="289">
        <f t="shared" si="10"/>
        <v>13516.626</v>
      </c>
      <c r="L24" s="166">
        <f t="shared" si="8"/>
        <v>-2.2999999999999998</v>
      </c>
      <c r="M24" s="23">
        <f>IFERROR(100/'Skjema total MA'!I24*K24,0)</f>
        <v>75.259837574954815</v>
      </c>
    </row>
    <row r="25" spans="1:14" ht="15.75" x14ac:dyDescent="0.2">
      <c r="A25" s="587" t="s">
        <v>372</v>
      </c>
      <c r="B25" s="280">
        <v>18366.206999999999</v>
      </c>
      <c r="C25" s="280">
        <v>15851.164000000001</v>
      </c>
      <c r="D25" s="166">
        <f t="shared" si="5"/>
        <v>-13.7</v>
      </c>
      <c r="E25" s="11">
        <f>IFERROR(100/'Skjema total MA'!C25*C25,0)</f>
        <v>98.112175637731823</v>
      </c>
      <c r="F25" s="289">
        <v>10957.475</v>
      </c>
      <c r="G25" s="289">
        <v>4918.9809999999998</v>
      </c>
      <c r="H25" s="166">
        <f t="shared" si="6"/>
        <v>-55.1</v>
      </c>
      <c r="I25" s="416">
        <f>IFERROR(100/'Skjema total MA'!F25*G25,0)</f>
        <v>24.745755770567023</v>
      </c>
      <c r="J25" s="289">
        <f t="shared" si="9"/>
        <v>29323.682000000001</v>
      </c>
      <c r="K25" s="289">
        <f t="shared" si="10"/>
        <v>20770.145</v>
      </c>
      <c r="L25" s="166">
        <f t="shared" si="8"/>
        <v>-29.2</v>
      </c>
      <c r="M25" s="23">
        <f>IFERROR(100/'Skjema total MA'!I25*K25,0)</f>
        <v>57.640019587279532</v>
      </c>
    </row>
    <row r="26" spans="1:14" ht="15.75" x14ac:dyDescent="0.2">
      <c r="A26" s="587" t="s">
        <v>373</v>
      </c>
      <c r="B26" s="280"/>
      <c r="C26" s="280"/>
      <c r="D26" s="166"/>
      <c r="E26" s="11"/>
      <c r="F26" s="289"/>
      <c r="G26" s="289"/>
      <c r="H26" s="166"/>
      <c r="I26" s="416"/>
      <c r="J26" s="289"/>
      <c r="K26" s="289"/>
      <c r="L26" s="166"/>
      <c r="M26" s="23"/>
    </row>
    <row r="27" spans="1:14" x14ac:dyDescent="0.2">
      <c r="A27" s="587" t="s">
        <v>11</v>
      </c>
      <c r="B27" s="280"/>
      <c r="C27" s="280"/>
      <c r="D27" s="166"/>
      <c r="E27" s="11"/>
      <c r="F27" s="289"/>
      <c r="G27" s="289"/>
      <c r="H27" s="166"/>
      <c r="I27" s="416"/>
      <c r="J27" s="289"/>
      <c r="K27" s="289"/>
      <c r="L27" s="166"/>
      <c r="M27" s="23"/>
    </row>
    <row r="28" spans="1:14" ht="15.75" x14ac:dyDescent="0.2">
      <c r="A28" s="49" t="s">
        <v>278</v>
      </c>
      <c r="B28" s="44">
        <v>102640</v>
      </c>
      <c r="C28" s="286">
        <v>58939.673999999999</v>
      </c>
      <c r="D28" s="166">
        <f t="shared" si="5"/>
        <v>-42.6</v>
      </c>
      <c r="E28" s="11">
        <f>IFERROR(100/'Skjema total MA'!C28*C28,0)</f>
        <v>5.4653188617038664</v>
      </c>
      <c r="F28" s="233"/>
      <c r="G28" s="286"/>
      <c r="H28" s="166"/>
      <c r="I28" s="27"/>
      <c r="J28" s="44">
        <f t="shared" si="7"/>
        <v>102640</v>
      </c>
      <c r="K28" s="44">
        <f t="shared" si="7"/>
        <v>58939.673999999999</v>
      </c>
      <c r="L28" s="253">
        <f t="shared" si="8"/>
        <v>-42.6</v>
      </c>
      <c r="M28" s="23">
        <f>IFERROR(100/'Skjema total MA'!I28*K28,0)</f>
        <v>5.4653188617038664</v>
      </c>
    </row>
    <row r="29" spans="1:14" s="3" customFormat="1" ht="15.75" x14ac:dyDescent="0.2">
      <c r="A29" s="13" t="s">
        <v>367</v>
      </c>
      <c r="B29" s="235">
        <v>25460090.129000001</v>
      </c>
      <c r="C29" s="235">
        <v>24383749</v>
      </c>
      <c r="D29" s="171">
        <f t="shared" si="5"/>
        <v>-4.2</v>
      </c>
      <c r="E29" s="11">
        <f>IFERROR(100/'Skjema total MA'!C29*C29,0)</f>
        <v>52.560500800061661</v>
      </c>
      <c r="F29" s="307">
        <v>5391743.4249999998</v>
      </c>
      <c r="G29" s="307">
        <v>5380863.2759999996</v>
      </c>
      <c r="H29" s="171">
        <f t="shared" si="6"/>
        <v>-0.2</v>
      </c>
      <c r="I29" s="11">
        <f>IFERROR(100/'Skjema total MA'!F29*G29,0)</f>
        <v>24.567475884612367</v>
      </c>
      <c r="J29" s="235">
        <f t="shared" si="7"/>
        <v>30851833.554000001</v>
      </c>
      <c r="K29" s="235">
        <f t="shared" si="7"/>
        <v>29764612.276000001</v>
      </c>
      <c r="L29" s="427">
        <f t="shared" si="8"/>
        <v>-3.5</v>
      </c>
      <c r="M29" s="24">
        <f>IFERROR(100/'Skjema total MA'!I29*K29,0)</f>
        <v>43.58295391840845</v>
      </c>
      <c r="N29" s="148"/>
    </row>
    <row r="30" spans="1:14" s="3" customFormat="1" ht="15.75" x14ac:dyDescent="0.2">
      <c r="A30" s="587" t="s">
        <v>370</v>
      </c>
      <c r="B30" s="280">
        <v>4559442.7879999997</v>
      </c>
      <c r="C30" s="280">
        <v>9691145.4199999999</v>
      </c>
      <c r="D30" s="166">
        <f t="shared" si="5"/>
        <v>112.6</v>
      </c>
      <c r="E30" s="11">
        <f>IFERROR(100/'Skjema total MA'!C30*C30,0)</f>
        <v>69.251797813665661</v>
      </c>
      <c r="F30" s="289">
        <v>1897365.1510000001</v>
      </c>
      <c r="G30" s="289">
        <v>2018910.6259999999</v>
      </c>
      <c r="H30" s="166">
        <f t="shared" si="6"/>
        <v>6.4</v>
      </c>
      <c r="I30" s="416">
        <f>IFERROR(100/'Skjema total MA'!F30*G30,0)</f>
        <v>47.110024341233029</v>
      </c>
      <c r="J30" s="289">
        <f t="shared" ref="J30:J32" si="11">SUM(B30,F30)</f>
        <v>6456807.9389999993</v>
      </c>
      <c r="K30" s="289">
        <f t="shared" ref="K30:K32" si="12">SUM(C30,G30)</f>
        <v>11710056.046</v>
      </c>
      <c r="L30" s="166">
        <f t="shared" si="8"/>
        <v>81.400000000000006</v>
      </c>
      <c r="M30" s="23">
        <f>IFERROR(100/'Skjema total MA'!I30*K30,0)</f>
        <v>64.060814299253579</v>
      </c>
      <c r="N30" s="148"/>
    </row>
    <row r="31" spans="1:14" s="3" customFormat="1" ht="15.75" x14ac:dyDescent="0.2">
      <c r="A31" s="587" t="s">
        <v>371</v>
      </c>
      <c r="B31" s="280">
        <v>19759775.335999999</v>
      </c>
      <c r="C31" s="280">
        <v>12189944.630000001</v>
      </c>
      <c r="D31" s="166">
        <f t="shared" si="5"/>
        <v>-38.299999999999997</v>
      </c>
      <c r="E31" s="11">
        <f>IFERROR(100/'Skjema total MA'!C31*C31,0)</f>
        <v>50.466036566119499</v>
      </c>
      <c r="F31" s="289">
        <v>3082973.452</v>
      </c>
      <c r="G31" s="289">
        <v>2925247.4610000001</v>
      </c>
      <c r="H31" s="166">
        <f t="shared" si="6"/>
        <v>-5.0999999999999996</v>
      </c>
      <c r="I31" s="416">
        <f>IFERROR(100/'Skjema total MA'!F31*G31,0)</f>
        <v>32.110292685447263</v>
      </c>
      <c r="J31" s="289">
        <f t="shared" si="11"/>
        <v>22842748.787999999</v>
      </c>
      <c r="K31" s="289">
        <f t="shared" si="12"/>
        <v>15115192.091000002</v>
      </c>
      <c r="L31" s="166">
        <f t="shared" si="8"/>
        <v>-33.799999999999997</v>
      </c>
      <c r="M31" s="23">
        <f>IFERROR(100/'Skjema total MA'!I31*K31,0)</f>
        <v>45.439068929125114</v>
      </c>
      <c r="N31" s="148"/>
    </row>
    <row r="32" spans="1:14" ht="15.75" x14ac:dyDescent="0.2">
      <c r="A32" s="587" t="s">
        <v>372</v>
      </c>
      <c r="B32" s="280">
        <v>1140872.0049999999</v>
      </c>
      <c r="C32" s="280">
        <v>2502658.9500000002</v>
      </c>
      <c r="D32" s="166">
        <f t="shared" si="5"/>
        <v>119.4</v>
      </c>
      <c r="E32" s="11">
        <f>IFERROR(100/'Skjema total MA'!C32*C32,0)</f>
        <v>84.91187082774394</v>
      </c>
      <c r="F32" s="289">
        <v>411404.82199999999</v>
      </c>
      <c r="G32" s="289">
        <v>436705.18900000001</v>
      </c>
      <c r="H32" s="166">
        <f t="shared" si="6"/>
        <v>6.1</v>
      </c>
      <c r="I32" s="416">
        <f>IFERROR(100/'Skjema total MA'!F32*G32,0)</f>
        <v>9.3345299528239725</v>
      </c>
      <c r="J32" s="289">
        <f t="shared" si="11"/>
        <v>1552276.8269999998</v>
      </c>
      <c r="K32" s="289">
        <f t="shared" si="12"/>
        <v>2939364.1390000004</v>
      </c>
      <c r="L32" s="166">
        <f t="shared" si="8"/>
        <v>89.4</v>
      </c>
      <c r="M32" s="23">
        <f>IFERROR(100/'Skjema total MA'!I32*K32,0)</f>
        <v>38.545272498769776</v>
      </c>
    </row>
    <row r="33" spans="1:14" ht="15.75" x14ac:dyDescent="0.2">
      <c r="A33" s="587" t="s">
        <v>373</v>
      </c>
      <c r="B33" s="280"/>
      <c r="C33" s="280"/>
      <c r="D33" s="166"/>
      <c r="E33" s="11"/>
      <c r="F33" s="289"/>
      <c r="G33" s="289"/>
      <c r="H33" s="166"/>
      <c r="I33" s="416"/>
      <c r="J33" s="289"/>
      <c r="K33" s="289"/>
      <c r="L33" s="166"/>
      <c r="M33" s="23"/>
    </row>
    <row r="34" spans="1:14" ht="15.75" x14ac:dyDescent="0.2">
      <c r="A34" s="13" t="s">
        <v>368</v>
      </c>
      <c r="B34" s="235">
        <v>9545</v>
      </c>
      <c r="C34" s="308">
        <v>6178</v>
      </c>
      <c r="D34" s="171">
        <f t="shared" si="5"/>
        <v>-35.299999999999997</v>
      </c>
      <c r="E34" s="11">
        <f>IFERROR(100/'Skjema total MA'!C34*C34,0)</f>
        <v>53.534925516436985</v>
      </c>
      <c r="F34" s="307">
        <v>6324</v>
      </c>
      <c r="G34" s="308">
        <v>-50118</v>
      </c>
      <c r="H34" s="171">
        <f t="shared" si="6"/>
        <v>-892.5</v>
      </c>
      <c r="I34" s="11">
        <f>IFERROR(100/'Skjema total MA'!F34*G34,0)</f>
        <v>2599.3321628057674</v>
      </c>
      <c r="J34" s="235">
        <f t="shared" si="7"/>
        <v>15869</v>
      </c>
      <c r="K34" s="235">
        <f t="shared" si="7"/>
        <v>-43940</v>
      </c>
      <c r="L34" s="427">
        <f t="shared" si="8"/>
        <v>-376.9</v>
      </c>
      <c r="M34" s="24">
        <f>IFERROR(100/'Skjema total MA'!I34*K34,0)</f>
        <v>-457.13599145310059</v>
      </c>
    </row>
    <row r="35" spans="1:14" ht="15.75" x14ac:dyDescent="0.2">
      <c r="A35" s="13" t="s">
        <v>369</v>
      </c>
      <c r="B35" s="235">
        <v>-13063</v>
      </c>
      <c r="C35" s="308">
        <v>-63981</v>
      </c>
      <c r="D35" s="171">
        <f t="shared" si="5"/>
        <v>389.8</v>
      </c>
      <c r="E35" s="11">
        <f>IFERROR(100/'Skjema total MA'!C35*C35,0)</f>
        <v>104.55832372339883</v>
      </c>
      <c r="F35" s="307">
        <v>19782</v>
      </c>
      <c r="G35" s="308">
        <v>28789</v>
      </c>
      <c r="H35" s="171">
        <f t="shared" si="6"/>
        <v>45.5</v>
      </c>
      <c r="I35" s="11">
        <f>IFERROR(100/'Skjema total MA'!F35*G35,0)</f>
        <v>37.659326212633701</v>
      </c>
      <c r="J35" s="235">
        <f t="shared" si="7"/>
        <v>6719</v>
      </c>
      <c r="K35" s="235">
        <f t="shared" si="7"/>
        <v>-35192</v>
      </c>
      <c r="L35" s="427">
        <f t="shared" si="8"/>
        <v>-623.79999999999995</v>
      </c>
      <c r="M35" s="24">
        <f>IFERROR(100/'Skjema total MA'!I35*K35,0)</f>
        <v>-230.70388285661338</v>
      </c>
    </row>
    <row r="36" spans="1:14" ht="15.75" x14ac:dyDescent="0.2">
      <c r="A36" s="12" t="s">
        <v>286</v>
      </c>
      <c r="B36" s="235">
        <v>2112</v>
      </c>
      <c r="C36" s="308">
        <v>1916</v>
      </c>
      <c r="D36" s="171">
        <f t="shared" si="5"/>
        <v>-9.3000000000000007</v>
      </c>
      <c r="E36" s="11">
        <f>100/'Skjema total MA'!C36*C36</f>
        <v>98.074946458040714</v>
      </c>
      <c r="F36" s="318"/>
      <c r="G36" s="319"/>
      <c r="H36" s="171"/>
      <c r="I36" s="433"/>
      <c r="J36" s="235">
        <f t="shared" ref="J36:J39" si="13">SUM(B36,F36)</f>
        <v>2112</v>
      </c>
      <c r="K36" s="235">
        <f t="shared" ref="K36:K39" si="14">SUM(C36,G36)</f>
        <v>1916</v>
      </c>
      <c r="L36" s="171">
        <f t="shared" si="8"/>
        <v>-9.3000000000000007</v>
      </c>
      <c r="M36" s="24">
        <f>IFERROR(100/'Skjema total MA'!I36*K36,0)</f>
        <v>98.074946458040714</v>
      </c>
    </row>
    <row r="37" spans="1:14" ht="15.75" x14ac:dyDescent="0.2">
      <c r="A37" s="12" t="s">
        <v>375</v>
      </c>
      <c r="B37" s="235">
        <v>3283883</v>
      </c>
      <c r="C37" s="308">
        <v>3121615</v>
      </c>
      <c r="D37" s="171">
        <f t="shared" si="5"/>
        <v>-4.9000000000000004</v>
      </c>
      <c r="E37" s="11">
        <f>100/'Skjema total MA'!C37*C37</f>
        <v>87.231564224103536</v>
      </c>
      <c r="F37" s="318"/>
      <c r="G37" s="320"/>
      <c r="H37" s="171"/>
      <c r="I37" s="433"/>
      <c r="J37" s="235">
        <f t="shared" si="13"/>
        <v>3283883</v>
      </c>
      <c r="K37" s="235">
        <f t="shared" si="14"/>
        <v>3121615</v>
      </c>
      <c r="L37" s="171">
        <f t="shared" si="8"/>
        <v>-4.9000000000000004</v>
      </c>
      <c r="M37" s="24">
        <f>IFERROR(100/'Skjema total MA'!I37*K37,0)</f>
        <v>87.231564224103536</v>
      </c>
    </row>
    <row r="38" spans="1:14" ht="15.75" x14ac:dyDescent="0.2">
      <c r="A38" s="12" t="s">
        <v>376</v>
      </c>
      <c r="B38" s="235"/>
      <c r="C38" s="308"/>
      <c r="D38" s="171"/>
      <c r="E38" s="24"/>
      <c r="F38" s="318"/>
      <c r="G38" s="319"/>
      <c r="H38" s="171"/>
      <c r="I38" s="433"/>
      <c r="J38" s="235"/>
      <c r="K38" s="235"/>
      <c r="L38" s="427"/>
      <c r="M38" s="24"/>
    </row>
    <row r="39" spans="1:14" ht="15.75" x14ac:dyDescent="0.2">
      <c r="A39" s="18" t="s">
        <v>377</v>
      </c>
      <c r="B39" s="275">
        <v>2</v>
      </c>
      <c r="C39" s="314">
        <v>0</v>
      </c>
      <c r="D39" s="169">
        <f t="shared" si="5"/>
        <v>-100</v>
      </c>
      <c r="E39" s="36">
        <f>IFERROR(100/'Skjema total MA'!C38*C39,0)</f>
        <v>0</v>
      </c>
      <c r="F39" s="321"/>
      <c r="G39" s="322"/>
      <c r="H39" s="169"/>
      <c r="I39" s="36"/>
      <c r="J39" s="235">
        <f t="shared" si="13"/>
        <v>2</v>
      </c>
      <c r="K39" s="235">
        <f t="shared" si="14"/>
        <v>0</v>
      </c>
      <c r="L39" s="428"/>
      <c r="M39" s="36">
        <f>IFERROR(100/'Skjema total MA'!I39*K39,0)</f>
        <v>0</v>
      </c>
    </row>
    <row r="40" spans="1:14" ht="15.75" x14ac:dyDescent="0.25">
      <c r="A40" s="47"/>
      <c r="B40" s="252"/>
      <c r="C40" s="252"/>
      <c r="D40" s="740"/>
      <c r="E40" s="740"/>
      <c r="F40" s="740"/>
      <c r="G40" s="740"/>
      <c r="H40" s="740"/>
      <c r="I40" s="740"/>
      <c r="J40" s="740"/>
      <c r="K40" s="740"/>
      <c r="L40" s="740"/>
      <c r="M40" s="301"/>
    </row>
    <row r="41" spans="1:14" x14ac:dyDescent="0.2">
      <c r="A41" s="155"/>
    </row>
    <row r="42" spans="1:14" ht="15.75" x14ac:dyDescent="0.25">
      <c r="A42" s="147" t="s">
        <v>275</v>
      </c>
      <c r="B42" s="736"/>
      <c r="C42" s="736"/>
      <c r="D42" s="736"/>
      <c r="E42" s="298"/>
      <c r="F42" s="741"/>
      <c r="G42" s="741"/>
      <c r="H42" s="741"/>
      <c r="I42" s="301"/>
      <c r="J42" s="741"/>
      <c r="K42" s="741"/>
      <c r="L42" s="741"/>
      <c r="M42" s="301"/>
    </row>
    <row r="43" spans="1:14" ht="15.75" x14ac:dyDescent="0.25">
      <c r="A43" s="163"/>
      <c r="B43" s="302"/>
      <c r="C43" s="302"/>
      <c r="D43" s="302"/>
      <c r="E43" s="302"/>
      <c r="F43" s="301"/>
      <c r="G43" s="301"/>
      <c r="H43" s="301"/>
      <c r="I43" s="301"/>
      <c r="J43" s="301"/>
      <c r="K43" s="301"/>
      <c r="L43" s="301"/>
      <c r="M43" s="301"/>
    </row>
    <row r="44" spans="1:14" ht="15.75" x14ac:dyDescent="0.25">
      <c r="A44" s="246"/>
      <c r="B44" s="737" t="s">
        <v>0</v>
      </c>
      <c r="C44" s="738"/>
      <c r="D44" s="738"/>
      <c r="E44" s="242"/>
      <c r="F44" s="301"/>
      <c r="G44" s="301"/>
      <c r="H44" s="301"/>
      <c r="I44" s="301"/>
      <c r="J44" s="301"/>
      <c r="K44" s="301"/>
      <c r="L44" s="301"/>
      <c r="M44" s="301"/>
    </row>
    <row r="45" spans="1:14" s="3" customFormat="1" x14ac:dyDescent="0.2">
      <c r="A45" s="140"/>
      <c r="B45" s="152" t="s">
        <v>427</v>
      </c>
      <c r="C45" s="152" t="s">
        <v>428</v>
      </c>
      <c r="D45" s="162" t="s">
        <v>3</v>
      </c>
      <c r="E45" s="162" t="s">
        <v>29</v>
      </c>
      <c r="F45" s="174"/>
      <c r="G45" s="174"/>
      <c r="H45" s="173"/>
      <c r="I45" s="173"/>
      <c r="J45" s="174"/>
      <c r="K45" s="174"/>
      <c r="L45" s="173"/>
      <c r="M45" s="173"/>
      <c r="N45" s="148"/>
    </row>
    <row r="46" spans="1:14" s="3" customFormat="1" x14ac:dyDescent="0.2">
      <c r="A46" s="710"/>
      <c r="B46" s="243"/>
      <c r="C46" s="243"/>
      <c r="D46" s="244" t="s">
        <v>4</v>
      </c>
      <c r="E46" s="156" t="s">
        <v>30</v>
      </c>
      <c r="F46" s="173"/>
      <c r="G46" s="173"/>
      <c r="H46" s="173"/>
      <c r="I46" s="173"/>
      <c r="J46" s="173"/>
      <c r="K46" s="173"/>
      <c r="L46" s="173"/>
      <c r="M46" s="173"/>
      <c r="N46" s="148"/>
    </row>
    <row r="47" spans="1:14" s="3" customFormat="1" ht="15.75" x14ac:dyDescent="0.2">
      <c r="A47" s="14" t="s">
        <v>23</v>
      </c>
      <c r="B47" s="309">
        <v>549132</v>
      </c>
      <c r="C47" s="310">
        <v>468756</v>
      </c>
      <c r="D47" s="426">
        <f t="shared" ref="D47:D57" si="15">IF(B47=0, "    ---- ", IF(ABS(ROUND(100/B47*C47-100,1))&lt;999,ROUND(100/B47*C47-100,1),IF(ROUND(100/B47*C47-100,1)&gt;999,999,-999)))</f>
        <v>-14.6</v>
      </c>
      <c r="E47" s="11">
        <f>IFERROR(100/'Skjema total MA'!C47*C47,0)</f>
        <v>12.834694623838208</v>
      </c>
      <c r="F47" s="145"/>
      <c r="G47" s="33"/>
      <c r="H47" s="159"/>
      <c r="I47" s="159"/>
      <c r="J47" s="37"/>
      <c r="K47" s="37"/>
      <c r="L47" s="159"/>
      <c r="M47" s="159"/>
      <c r="N47" s="148"/>
    </row>
    <row r="48" spans="1:14" s="3" customFormat="1" ht="15.75" x14ac:dyDescent="0.2">
      <c r="A48" s="38" t="s">
        <v>378</v>
      </c>
      <c r="B48" s="280">
        <v>377216</v>
      </c>
      <c r="C48" s="281">
        <v>468756</v>
      </c>
      <c r="D48" s="253">
        <f t="shared" si="15"/>
        <v>24.3</v>
      </c>
      <c r="E48" s="27">
        <f>IFERROR(100/'Skjema total MA'!C48*C48,0)</f>
        <v>22.662830907395332</v>
      </c>
      <c r="F48" s="145"/>
      <c r="G48" s="33"/>
      <c r="H48" s="145"/>
      <c r="I48" s="145"/>
      <c r="J48" s="33"/>
      <c r="K48" s="33"/>
      <c r="L48" s="159"/>
      <c r="M48" s="159"/>
      <c r="N48" s="148"/>
    </row>
    <row r="49" spans="1:14" s="3" customFormat="1" ht="15.75" x14ac:dyDescent="0.2">
      <c r="A49" s="38" t="s">
        <v>379</v>
      </c>
      <c r="B49" s="44">
        <v>171916</v>
      </c>
      <c r="C49" s="286">
        <v>0</v>
      </c>
      <c r="D49" s="253">
        <f>IF(B49=0, "    ---- ", IF(ABS(ROUND(100/B49*C49-100,1))&lt;999,ROUND(100/B49*C49-100,1),IF(ROUND(100/B49*C49-100,1)&gt;999,999,-999)))</f>
        <v>-100</v>
      </c>
      <c r="E49" s="27">
        <f>IFERROR(100/'Skjema total MA'!C49*C49,0)</f>
        <v>0</v>
      </c>
      <c r="F49" s="145"/>
      <c r="G49" s="33"/>
      <c r="H49" s="145"/>
      <c r="I49" s="145"/>
      <c r="J49" s="37"/>
      <c r="K49" s="37"/>
      <c r="L49" s="159"/>
      <c r="M49" s="159"/>
      <c r="N49" s="148"/>
    </row>
    <row r="50" spans="1:14" s="3" customFormat="1" x14ac:dyDescent="0.2">
      <c r="A50" s="295" t="s">
        <v>6</v>
      </c>
      <c r="B50" s="289"/>
      <c r="C50" s="290"/>
      <c r="D50" s="253"/>
      <c r="E50" s="23"/>
      <c r="F50" s="145"/>
      <c r="G50" s="33"/>
      <c r="H50" s="145"/>
      <c r="I50" s="145"/>
      <c r="J50" s="33"/>
      <c r="K50" s="33"/>
      <c r="L50" s="159"/>
      <c r="M50" s="159"/>
      <c r="N50" s="148"/>
    </row>
    <row r="51" spans="1:14" s="3" customFormat="1" x14ac:dyDescent="0.2">
      <c r="A51" s="295" t="s">
        <v>7</v>
      </c>
      <c r="B51" s="289"/>
      <c r="C51" s="290"/>
      <c r="D51" s="253"/>
      <c r="E51" s="23"/>
      <c r="F51" s="145"/>
      <c r="G51" s="33"/>
      <c r="H51" s="145"/>
      <c r="I51" s="145"/>
      <c r="J51" s="33"/>
      <c r="K51" s="33"/>
      <c r="L51" s="159"/>
      <c r="M51" s="159"/>
      <c r="N51" s="148"/>
    </row>
    <row r="52" spans="1:14" s="3" customFormat="1" x14ac:dyDescent="0.2">
      <c r="A52" s="295" t="s">
        <v>8</v>
      </c>
      <c r="B52" s="289"/>
      <c r="C52" s="290"/>
      <c r="D52" s="253"/>
      <c r="E52" s="23"/>
      <c r="F52" s="145"/>
      <c r="G52" s="33"/>
      <c r="H52" s="145"/>
      <c r="I52" s="145"/>
      <c r="J52" s="33"/>
      <c r="K52" s="33"/>
      <c r="L52" s="159"/>
      <c r="M52" s="159"/>
      <c r="N52" s="148"/>
    </row>
    <row r="53" spans="1:14" s="3" customFormat="1" ht="15.75" x14ac:dyDescent="0.2">
      <c r="A53" s="39" t="s">
        <v>380</v>
      </c>
      <c r="B53" s="309">
        <v>66162</v>
      </c>
      <c r="C53" s="310">
        <v>50856</v>
      </c>
      <c r="D53" s="427">
        <f t="shared" si="15"/>
        <v>-23.1</v>
      </c>
      <c r="E53" s="11">
        <f>IFERROR(100/'Skjema total MA'!C53*C53,0)</f>
        <v>38.815487425277269</v>
      </c>
      <c r="F53" s="145"/>
      <c r="G53" s="33"/>
      <c r="H53" s="145"/>
      <c r="I53" s="145"/>
      <c r="J53" s="33"/>
      <c r="K53" s="33"/>
      <c r="L53" s="159"/>
      <c r="M53" s="159"/>
      <c r="N53" s="148"/>
    </row>
    <row r="54" spans="1:14" s="3" customFormat="1" ht="15.75" x14ac:dyDescent="0.2">
      <c r="A54" s="38" t="s">
        <v>378</v>
      </c>
      <c r="B54" s="280">
        <v>66162</v>
      </c>
      <c r="C54" s="281">
        <v>50856</v>
      </c>
      <c r="D54" s="253">
        <f t="shared" si="15"/>
        <v>-23.1</v>
      </c>
      <c r="E54" s="27">
        <f>IFERROR(100/'Skjema total MA'!C54*C54,0)</f>
        <v>38.815487425277269</v>
      </c>
      <c r="F54" s="145"/>
      <c r="G54" s="33"/>
      <c r="H54" s="145"/>
      <c r="I54" s="145"/>
      <c r="J54" s="33"/>
      <c r="K54" s="33"/>
      <c r="L54" s="159"/>
      <c r="M54" s="159"/>
      <c r="N54" s="148"/>
    </row>
    <row r="55" spans="1:14" s="3" customFormat="1" ht="15.75" x14ac:dyDescent="0.2">
      <c r="A55" s="38" t="s">
        <v>379</v>
      </c>
      <c r="B55" s="280"/>
      <c r="C55" s="281"/>
      <c r="D55" s="253"/>
      <c r="E55" s="27"/>
      <c r="F55" s="145"/>
      <c r="G55" s="33"/>
      <c r="H55" s="145"/>
      <c r="I55" s="145"/>
      <c r="J55" s="33"/>
      <c r="K55" s="33"/>
      <c r="L55" s="159"/>
      <c r="M55" s="159"/>
      <c r="N55" s="148"/>
    </row>
    <row r="56" spans="1:14" s="3" customFormat="1" ht="15.75" x14ac:dyDescent="0.2">
      <c r="A56" s="39" t="s">
        <v>381</v>
      </c>
      <c r="B56" s="309">
        <v>7999</v>
      </c>
      <c r="C56" s="310">
        <v>8158</v>
      </c>
      <c r="D56" s="427">
        <f t="shared" si="15"/>
        <v>2</v>
      </c>
      <c r="E56" s="11">
        <f>IFERROR(100/'Skjema total MA'!C56*C56,0)</f>
        <v>7.3260921285630207</v>
      </c>
      <c r="F56" s="145"/>
      <c r="G56" s="33"/>
      <c r="H56" s="145"/>
      <c r="I56" s="145"/>
      <c r="J56" s="33"/>
      <c r="K56" s="33"/>
      <c r="L56" s="159"/>
      <c r="M56" s="159"/>
      <c r="N56" s="148"/>
    </row>
    <row r="57" spans="1:14" s="3" customFormat="1" ht="15.75" x14ac:dyDescent="0.2">
      <c r="A57" s="38" t="s">
        <v>378</v>
      </c>
      <c r="B57" s="280">
        <v>7999</v>
      </c>
      <c r="C57" s="281">
        <v>8158</v>
      </c>
      <c r="D57" s="253">
        <f t="shared" si="15"/>
        <v>2</v>
      </c>
      <c r="E57" s="27">
        <f>IFERROR(100/'Skjema total MA'!C57*C57,0)</f>
        <v>7.3263158219926536</v>
      </c>
      <c r="F57" s="145"/>
      <c r="G57" s="33"/>
      <c r="H57" s="145"/>
      <c r="I57" s="145"/>
      <c r="J57" s="33"/>
      <c r="K57" s="33"/>
      <c r="L57" s="159"/>
      <c r="M57" s="159"/>
      <c r="N57" s="148"/>
    </row>
    <row r="58" spans="1:14" s="3" customFormat="1" ht="15.75" x14ac:dyDescent="0.2">
      <c r="A58" s="46" t="s">
        <v>379</v>
      </c>
      <c r="B58" s="282"/>
      <c r="C58" s="283"/>
      <c r="D58" s="254"/>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276</v>
      </c>
      <c r="C61" s="26"/>
      <c r="D61" s="26"/>
      <c r="E61" s="26"/>
      <c r="F61" s="26"/>
      <c r="G61" s="26"/>
      <c r="H61" s="26"/>
      <c r="I61" s="26"/>
      <c r="J61" s="26"/>
      <c r="K61" s="26"/>
      <c r="L61" s="26"/>
      <c r="M61" s="26"/>
    </row>
    <row r="62" spans="1:14" ht="15.75" x14ac:dyDescent="0.25">
      <c r="B62" s="739"/>
      <c r="C62" s="739"/>
      <c r="D62" s="739"/>
      <c r="E62" s="298"/>
      <c r="F62" s="739"/>
      <c r="G62" s="739"/>
      <c r="H62" s="739"/>
      <c r="I62" s="298"/>
      <c r="J62" s="739"/>
      <c r="K62" s="739"/>
      <c r="L62" s="739"/>
      <c r="M62" s="298"/>
    </row>
    <row r="63" spans="1:14" x14ac:dyDescent="0.2">
      <c r="A63" s="144"/>
      <c r="B63" s="737" t="s">
        <v>0</v>
      </c>
      <c r="C63" s="738"/>
      <c r="D63" s="742"/>
      <c r="E63" s="299"/>
      <c r="F63" s="738" t="s">
        <v>1</v>
      </c>
      <c r="G63" s="738"/>
      <c r="H63" s="738"/>
      <c r="I63" s="303"/>
      <c r="J63" s="737" t="s">
        <v>2</v>
      </c>
      <c r="K63" s="738"/>
      <c r="L63" s="738"/>
      <c r="M63" s="303"/>
    </row>
    <row r="64" spans="1:14" x14ac:dyDescent="0.2">
      <c r="A64" s="140"/>
      <c r="B64" s="152" t="s">
        <v>427</v>
      </c>
      <c r="C64" s="152" t="s">
        <v>428</v>
      </c>
      <c r="D64" s="244" t="s">
        <v>3</v>
      </c>
      <c r="E64" s="304" t="s">
        <v>29</v>
      </c>
      <c r="F64" s="152" t="s">
        <v>427</v>
      </c>
      <c r="G64" s="152" t="s">
        <v>428</v>
      </c>
      <c r="H64" s="244" t="s">
        <v>3</v>
      </c>
      <c r="I64" s="304" t="s">
        <v>29</v>
      </c>
      <c r="J64" s="152" t="s">
        <v>427</v>
      </c>
      <c r="K64" s="152" t="s">
        <v>428</v>
      </c>
      <c r="L64" s="244" t="s">
        <v>3</v>
      </c>
      <c r="M64" s="162" t="s">
        <v>29</v>
      </c>
    </row>
    <row r="65" spans="1:14" x14ac:dyDescent="0.2">
      <c r="A65" s="710"/>
      <c r="B65" s="156"/>
      <c r="C65" s="156"/>
      <c r="D65" s="245" t="s">
        <v>4</v>
      </c>
      <c r="E65" s="156" t="s">
        <v>30</v>
      </c>
      <c r="F65" s="161"/>
      <c r="G65" s="161"/>
      <c r="H65" s="244" t="s">
        <v>4</v>
      </c>
      <c r="I65" s="156" t="s">
        <v>30</v>
      </c>
      <c r="J65" s="161"/>
      <c r="K65" s="205"/>
      <c r="L65" s="156" t="s">
        <v>4</v>
      </c>
      <c r="M65" s="156" t="s">
        <v>30</v>
      </c>
    </row>
    <row r="66" spans="1:14" ht="15.75" x14ac:dyDescent="0.2">
      <c r="A66" s="14" t="s">
        <v>23</v>
      </c>
      <c r="B66" s="352">
        <v>1628001</v>
      </c>
      <c r="C66" s="352">
        <v>1235977</v>
      </c>
      <c r="D66" s="349">
        <f t="shared" ref="D66:D111" si="16">IF(B66=0, "    ---- ", IF(ABS(ROUND(100/B66*C66-100,1))&lt;999,ROUND(100/B66*C66-100,1),IF(ROUND(100/B66*C66-100,1)&gt;999,999,-999)))</f>
        <v>-24.1</v>
      </c>
      <c r="E66" s="11">
        <f>IFERROR(100/'Skjema total MA'!C66*C66,0)</f>
        <v>26.286839711774029</v>
      </c>
      <c r="F66" s="351">
        <v>4512273</v>
      </c>
      <c r="G66" s="351">
        <v>4529377.4950000001</v>
      </c>
      <c r="H66" s="349">
        <f t="shared" ref="H66:H111" si="17">IF(F66=0, "    ---- ", IF(ABS(ROUND(100/F66*G66-100,1))&lt;999,ROUND(100/F66*G66-100,1),IF(ROUND(100/F66*G66-100,1)&gt;999,999,-999)))</f>
        <v>0.4</v>
      </c>
      <c r="I66" s="11">
        <f>IFERROR(100/'Skjema total MA'!F66*G66,0)</f>
        <v>26.127115244913416</v>
      </c>
      <c r="J66" s="308">
        <f t="shared" ref="J66:K86" si="18">SUM(B66,F66)</f>
        <v>6140274</v>
      </c>
      <c r="K66" s="315">
        <f t="shared" si="18"/>
        <v>5765354.4950000001</v>
      </c>
      <c r="L66" s="427">
        <f t="shared" ref="L66:L111" si="19">IF(J66=0, "    ---- ", IF(ABS(ROUND(100/J66*K66-100,1))&lt;999,ROUND(100/J66*K66-100,1),IF(ROUND(100/J66*K66-100,1)&gt;999,999,-999)))</f>
        <v>-6.1</v>
      </c>
      <c r="M66" s="11">
        <f>IFERROR(100/'Skjema total MA'!I66*K66,0)</f>
        <v>26.161193315126681</v>
      </c>
    </row>
    <row r="67" spans="1:14" x14ac:dyDescent="0.2">
      <c r="A67" s="21" t="s">
        <v>9</v>
      </c>
      <c r="B67" s="44">
        <v>1473312</v>
      </c>
      <c r="C67" s="145">
        <v>1104633</v>
      </c>
      <c r="D67" s="166">
        <f t="shared" si="16"/>
        <v>-25</v>
      </c>
      <c r="E67" s="27">
        <f>IFERROR(100/'Skjema total MA'!C67*C67,0)</f>
        <v>31.877213970984922</v>
      </c>
      <c r="F67" s="233"/>
      <c r="G67" s="145"/>
      <c r="H67" s="166"/>
      <c r="I67" s="27"/>
      <c r="J67" s="286">
        <f t="shared" si="18"/>
        <v>1473312</v>
      </c>
      <c r="K67" s="44">
        <f t="shared" si="18"/>
        <v>1104633</v>
      </c>
      <c r="L67" s="253">
        <f t="shared" si="19"/>
        <v>-25</v>
      </c>
      <c r="M67" s="27">
        <f>IFERROR(100/'Skjema total MA'!I67*K67,0)</f>
        <v>31.877213970984922</v>
      </c>
    </row>
    <row r="68" spans="1:14" x14ac:dyDescent="0.2">
      <c r="A68" s="21" t="s">
        <v>10</v>
      </c>
      <c r="B68" s="291"/>
      <c r="C68" s="292"/>
      <c r="D68" s="166"/>
      <c r="E68" s="27"/>
      <c r="F68" s="291">
        <v>4512273</v>
      </c>
      <c r="G68" s="292">
        <v>4529377.4950000001</v>
      </c>
      <c r="H68" s="166">
        <f t="shared" si="17"/>
        <v>0.4</v>
      </c>
      <c r="I68" s="27">
        <f>IFERROR(100/'Skjema total MA'!F68*G68,0)</f>
        <v>27.197847330120531</v>
      </c>
      <c r="J68" s="286">
        <f t="shared" si="18"/>
        <v>4512273</v>
      </c>
      <c r="K68" s="44">
        <f t="shared" si="18"/>
        <v>4529377.4950000001</v>
      </c>
      <c r="L68" s="253">
        <f t="shared" si="19"/>
        <v>0.4</v>
      </c>
      <c r="M68" s="27">
        <f>IFERROR(100/'Skjema total MA'!I68*K68,0)</f>
        <v>27.026488705976799</v>
      </c>
    </row>
    <row r="69" spans="1:14" ht="15.75" x14ac:dyDescent="0.2">
      <c r="A69" s="295" t="s">
        <v>382</v>
      </c>
      <c r="B69" s="280"/>
      <c r="C69" s="280"/>
      <c r="D69" s="166"/>
      <c r="E69" s="416"/>
      <c r="F69" s="280"/>
      <c r="G69" s="280"/>
      <c r="H69" s="166"/>
      <c r="I69" s="416"/>
      <c r="J69" s="289"/>
      <c r="K69" s="289"/>
      <c r="L69" s="166"/>
      <c r="M69" s="23"/>
    </row>
    <row r="70" spans="1:14" x14ac:dyDescent="0.2">
      <c r="A70" s="295" t="s">
        <v>12</v>
      </c>
      <c r="B70" s="293"/>
      <c r="C70" s="294"/>
      <c r="D70" s="166"/>
      <c r="E70" s="416"/>
      <c r="F70" s="280"/>
      <c r="G70" s="280"/>
      <c r="H70" s="166"/>
      <c r="I70" s="416"/>
      <c r="J70" s="289"/>
      <c r="K70" s="289"/>
      <c r="L70" s="166"/>
      <c r="M70" s="23"/>
    </row>
    <row r="71" spans="1:14" x14ac:dyDescent="0.2">
      <c r="A71" s="295" t="s">
        <v>13</v>
      </c>
      <c r="B71" s="234"/>
      <c r="C71" s="288"/>
      <c r="D71" s="166"/>
      <c r="E71" s="416"/>
      <c r="F71" s="280"/>
      <c r="G71" s="280"/>
      <c r="H71" s="166"/>
      <c r="I71" s="416"/>
      <c r="J71" s="289"/>
      <c r="K71" s="289"/>
      <c r="L71" s="166"/>
      <c r="M71" s="23"/>
    </row>
    <row r="72" spans="1:14" ht="15.75" x14ac:dyDescent="0.2">
      <c r="A72" s="295" t="s">
        <v>383</v>
      </c>
      <c r="B72" s="280"/>
      <c r="C72" s="280"/>
      <c r="D72" s="166"/>
      <c r="E72" s="416"/>
      <c r="F72" s="280"/>
      <c r="G72" s="280"/>
      <c r="H72" s="166"/>
      <c r="I72" s="416"/>
      <c r="J72" s="289"/>
      <c r="K72" s="289"/>
      <c r="L72" s="166"/>
      <c r="M72" s="23"/>
    </row>
    <row r="73" spans="1:14" x14ac:dyDescent="0.2">
      <c r="A73" s="295" t="s">
        <v>12</v>
      </c>
      <c r="B73" s="234"/>
      <c r="C73" s="288"/>
      <c r="D73" s="166"/>
      <c r="E73" s="416"/>
      <c r="F73" s="280"/>
      <c r="G73" s="280"/>
      <c r="H73" s="166"/>
      <c r="I73" s="416"/>
      <c r="J73" s="289"/>
      <c r="K73" s="289"/>
      <c r="L73" s="166"/>
      <c r="M73" s="23"/>
    </row>
    <row r="74" spans="1:14" s="3" customFormat="1" x14ac:dyDescent="0.2">
      <c r="A74" s="295" t="s">
        <v>13</v>
      </c>
      <c r="B74" s="234"/>
      <c r="C74" s="288"/>
      <c r="D74" s="166"/>
      <c r="E74" s="416"/>
      <c r="F74" s="280"/>
      <c r="G74" s="280"/>
      <c r="H74" s="166"/>
      <c r="I74" s="416"/>
      <c r="J74" s="289"/>
      <c r="K74" s="289"/>
      <c r="L74" s="166"/>
      <c r="M74" s="23"/>
      <c r="N74" s="148"/>
    </row>
    <row r="75" spans="1:14" s="3" customFormat="1" x14ac:dyDescent="0.2">
      <c r="A75" s="21" t="s">
        <v>352</v>
      </c>
      <c r="B75" s="233"/>
      <c r="C75" s="145"/>
      <c r="D75" s="166"/>
      <c r="E75" s="27"/>
      <c r="F75" s="233"/>
      <c r="G75" s="145"/>
      <c r="H75" s="166"/>
      <c r="I75" s="27"/>
      <c r="J75" s="286"/>
      <c r="K75" s="44"/>
      <c r="L75" s="253"/>
      <c r="M75" s="27"/>
      <c r="N75" s="148"/>
    </row>
    <row r="76" spans="1:14" s="3" customFormat="1" x14ac:dyDescent="0.2">
      <c r="A76" s="21" t="s">
        <v>351</v>
      </c>
      <c r="B76" s="233">
        <v>154689</v>
      </c>
      <c r="C76" s="145">
        <v>131344</v>
      </c>
      <c r="D76" s="166">
        <f t="shared" ref="D76" si="20">IF(B76=0, "    ---- ", IF(ABS(ROUND(100/B76*C76-100,1))&lt;999,ROUND(100/B76*C76-100,1),IF(ROUND(100/B76*C76-100,1)&gt;999,999,-999)))</f>
        <v>-15.1</v>
      </c>
      <c r="E76" s="27">
        <f>IFERROR(100/'Skjema total MA'!C76*C76,0)</f>
        <v>14.55033633266396</v>
      </c>
      <c r="F76" s="233"/>
      <c r="G76" s="145"/>
      <c r="H76" s="166"/>
      <c r="I76" s="27"/>
      <c r="J76" s="286">
        <f t="shared" ref="J76" si="21">SUM(B76,F76)</f>
        <v>154689</v>
      </c>
      <c r="K76" s="44">
        <f t="shared" ref="K76" si="22">SUM(C76,G76)</f>
        <v>131344</v>
      </c>
      <c r="L76" s="253">
        <f t="shared" ref="L76" si="23">IF(J76=0, "    ---- ", IF(ABS(ROUND(100/J76*K76-100,1))&lt;999,ROUND(100/J76*K76-100,1),IF(ROUND(100/J76*K76-100,1)&gt;999,999,-999)))</f>
        <v>-15.1</v>
      </c>
      <c r="M76" s="27">
        <f>IFERROR(100/'Skjema total MA'!I76*K76,0)</f>
        <v>14.55033633266396</v>
      </c>
      <c r="N76" s="148"/>
    </row>
    <row r="77" spans="1:14" ht="15.75" x14ac:dyDescent="0.2">
      <c r="A77" s="21" t="s">
        <v>384</v>
      </c>
      <c r="B77" s="233">
        <v>1447277</v>
      </c>
      <c r="C77" s="233">
        <v>1075818</v>
      </c>
      <c r="D77" s="166">
        <f t="shared" si="16"/>
        <v>-25.7</v>
      </c>
      <c r="E77" s="27">
        <f>IFERROR(100/'Skjema total MA'!C77*C77,0)</f>
        <v>31.307248742809161</v>
      </c>
      <c r="F77" s="233">
        <v>4512273</v>
      </c>
      <c r="G77" s="145">
        <v>4529377.4950000001</v>
      </c>
      <c r="H77" s="166">
        <f t="shared" si="17"/>
        <v>0.4</v>
      </c>
      <c r="I77" s="27">
        <f>IFERROR(100/'Skjema total MA'!F77*G77,0)</f>
        <v>27.212077587884032</v>
      </c>
      <c r="J77" s="286">
        <f t="shared" si="18"/>
        <v>5959550</v>
      </c>
      <c r="K77" s="44">
        <f t="shared" si="18"/>
        <v>5605195.4950000001</v>
      </c>
      <c r="L77" s="253">
        <f t="shared" si="19"/>
        <v>-5.9</v>
      </c>
      <c r="M77" s="27">
        <f>IFERROR(100/'Skjema total MA'!I77*K77,0)</f>
        <v>27.912853941354076</v>
      </c>
    </row>
    <row r="78" spans="1:14" x14ac:dyDescent="0.2">
      <c r="A78" s="21" t="s">
        <v>9</v>
      </c>
      <c r="B78" s="233">
        <v>1447277</v>
      </c>
      <c r="C78" s="145">
        <v>1075818</v>
      </c>
      <c r="D78" s="166">
        <f t="shared" si="16"/>
        <v>-25.7</v>
      </c>
      <c r="E78" s="27">
        <f>IFERROR(100/'Skjema total MA'!C78*C78,0)</f>
        <v>32.286253507256937</v>
      </c>
      <c r="F78" s="233"/>
      <c r="G78" s="145"/>
      <c r="H78" s="166"/>
      <c r="I78" s="27"/>
      <c r="J78" s="286">
        <f t="shared" si="18"/>
        <v>1447277</v>
      </c>
      <c r="K78" s="44">
        <f t="shared" si="18"/>
        <v>1075818</v>
      </c>
      <c r="L78" s="253">
        <f t="shared" si="19"/>
        <v>-25.7</v>
      </c>
      <c r="M78" s="27">
        <f>IFERROR(100/'Skjema total MA'!I78*K78,0)</f>
        <v>32.286253507256937</v>
      </c>
    </row>
    <row r="79" spans="1:14" x14ac:dyDescent="0.2">
      <c r="A79" s="21" t="s">
        <v>10</v>
      </c>
      <c r="B79" s="291"/>
      <c r="C79" s="292"/>
      <c r="D79" s="166"/>
      <c r="E79" s="27"/>
      <c r="F79" s="291">
        <v>4512273</v>
      </c>
      <c r="G79" s="292">
        <v>4529377.4950000001</v>
      </c>
      <c r="H79" s="166">
        <f t="shared" si="17"/>
        <v>0.4</v>
      </c>
      <c r="I79" s="27">
        <f>IFERROR(100/'Skjema total MA'!F79*G79,0)</f>
        <v>27.212077587884032</v>
      </c>
      <c r="J79" s="286">
        <f t="shared" si="18"/>
        <v>4512273</v>
      </c>
      <c r="K79" s="44">
        <f t="shared" si="18"/>
        <v>4529377.4950000001</v>
      </c>
      <c r="L79" s="253">
        <f t="shared" si="19"/>
        <v>0.4</v>
      </c>
      <c r="M79" s="27">
        <f>IFERROR(100/'Skjema total MA'!I79*K79,0)</f>
        <v>27.042785887254627</v>
      </c>
    </row>
    <row r="80" spans="1:14" ht="15.75" x14ac:dyDescent="0.2">
      <c r="A80" s="295" t="s">
        <v>382</v>
      </c>
      <c r="B80" s="280"/>
      <c r="C80" s="280"/>
      <c r="D80" s="166"/>
      <c r="E80" s="416"/>
      <c r="F80" s="280"/>
      <c r="G80" s="280"/>
      <c r="H80" s="166"/>
      <c r="I80" s="416"/>
      <c r="J80" s="289"/>
      <c r="K80" s="289"/>
      <c r="L80" s="166"/>
      <c r="M80" s="23"/>
    </row>
    <row r="81" spans="1:13" x14ac:dyDescent="0.2">
      <c r="A81" s="295" t="s">
        <v>12</v>
      </c>
      <c r="B81" s="234"/>
      <c r="C81" s="288"/>
      <c r="D81" s="166"/>
      <c r="E81" s="416"/>
      <c r="F81" s="280"/>
      <c r="G81" s="280"/>
      <c r="H81" s="166"/>
      <c r="I81" s="416"/>
      <c r="J81" s="289"/>
      <c r="K81" s="289"/>
      <c r="L81" s="166"/>
      <c r="M81" s="23"/>
    </row>
    <row r="82" spans="1:13" x14ac:dyDescent="0.2">
      <c r="A82" s="295" t="s">
        <v>13</v>
      </c>
      <c r="B82" s="234"/>
      <c r="C82" s="288"/>
      <c r="D82" s="166"/>
      <c r="E82" s="416"/>
      <c r="F82" s="280"/>
      <c r="G82" s="280"/>
      <c r="H82" s="166"/>
      <c r="I82" s="416"/>
      <c r="J82" s="289"/>
      <c r="K82" s="289"/>
      <c r="L82" s="166"/>
      <c r="M82" s="23"/>
    </row>
    <row r="83" spans="1:13" ht="15.75" x14ac:dyDescent="0.2">
      <c r="A83" s="295" t="s">
        <v>383</v>
      </c>
      <c r="B83" s="280"/>
      <c r="C83" s="280"/>
      <c r="D83" s="166"/>
      <c r="E83" s="416"/>
      <c r="F83" s="280"/>
      <c r="G83" s="280"/>
      <c r="H83" s="166"/>
      <c r="I83" s="416"/>
      <c r="J83" s="289"/>
      <c r="K83" s="289"/>
      <c r="L83" s="166"/>
      <c r="M83" s="23"/>
    </row>
    <row r="84" spans="1:13" x14ac:dyDescent="0.2">
      <c r="A84" s="295" t="s">
        <v>12</v>
      </c>
      <c r="B84" s="234"/>
      <c r="C84" s="288"/>
      <c r="D84" s="166"/>
      <c r="E84" s="416"/>
      <c r="F84" s="280"/>
      <c r="G84" s="280"/>
      <c r="H84" s="166"/>
      <c r="I84" s="416"/>
      <c r="J84" s="289"/>
      <c r="K84" s="289"/>
      <c r="L84" s="166"/>
      <c r="M84" s="23"/>
    </row>
    <row r="85" spans="1:13" x14ac:dyDescent="0.2">
      <c r="A85" s="295" t="s">
        <v>13</v>
      </c>
      <c r="B85" s="234"/>
      <c r="C85" s="288"/>
      <c r="D85" s="166"/>
      <c r="E85" s="416"/>
      <c r="F85" s="280"/>
      <c r="G85" s="280"/>
      <c r="H85" s="166"/>
      <c r="I85" s="416"/>
      <c r="J85" s="289"/>
      <c r="K85" s="289"/>
      <c r="L85" s="166"/>
      <c r="M85" s="23"/>
    </row>
    <row r="86" spans="1:13" ht="15.75" x14ac:dyDescent="0.2">
      <c r="A86" s="21" t="s">
        <v>385</v>
      </c>
      <c r="B86" s="233">
        <v>26035</v>
      </c>
      <c r="C86" s="145">
        <v>28815</v>
      </c>
      <c r="D86" s="166">
        <f t="shared" si="16"/>
        <v>10.7</v>
      </c>
      <c r="E86" s="27">
        <f>IFERROR(100/'Skjema total MA'!C86*C86,0)</f>
        <v>21.417177178141415</v>
      </c>
      <c r="F86" s="233"/>
      <c r="G86" s="145"/>
      <c r="H86" s="166"/>
      <c r="I86" s="27"/>
      <c r="J86" s="286">
        <f t="shared" si="18"/>
        <v>26035</v>
      </c>
      <c r="K86" s="44">
        <f t="shared" si="18"/>
        <v>28815</v>
      </c>
      <c r="L86" s="253">
        <f t="shared" si="19"/>
        <v>10.7</v>
      </c>
      <c r="M86" s="27">
        <f>IFERROR(100/'Skjema total MA'!I86*K86,0)</f>
        <v>20.115144695205416</v>
      </c>
    </row>
    <row r="87" spans="1:13" ht="15.75" x14ac:dyDescent="0.2">
      <c r="A87" s="13" t="s">
        <v>367</v>
      </c>
      <c r="B87" s="352">
        <v>157339571</v>
      </c>
      <c r="C87" s="352">
        <v>156254661</v>
      </c>
      <c r="D87" s="171">
        <f t="shared" si="16"/>
        <v>-0.7</v>
      </c>
      <c r="E87" s="11">
        <f>IFERROR(100/'Skjema total MA'!C87*C87,0)</f>
        <v>39.76320020102807</v>
      </c>
      <c r="F87" s="351">
        <v>78506547.978</v>
      </c>
      <c r="G87" s="351">
        <v>83811099.880999997</v>
      </c>
      <c r="H87" s="171">
        <f t="shared" si="17"/>
        <v>6.8</v>
      </c>
      <c r="I87" s="11">
        <f>IFERROR(100/'Skjema total MA'!F87*G87,0)</f>
        <v>26.389976417007137</v>
      </c>
      <c r="J87" s="308">
        <f t="shared" ref="J87:K111" si="24">SUM(B87,F87)</f>
        <v>235846118.97799999</v>
      </c>
      <c r="K87" s="235">
        <f t="shared" si="24"/>
        <v>240065760.88099998</v>
      </c>
      <c r="L87" s="427">
        <f t="shared" si="19"/>
        <v>1.8</v>
      </c>
      <c r="M87" s="11">
        <f>IFERROR(100/'Skjema total MA'!I87*K87,0)</f>
        <v>33.785913443469255</v>
      </c>
    </row>
    <row r="88" spans="1:13" x14ac:dyDescent="0.2">
      <c r="A88" s="21" t="s">
        <v>9</v>
      </c>
      <c r="B88" s="233">
        <v>157212884</v>
      </c>
      <c r="C88" s="145">
        <v>156121414</v>
      </c>
      <c r="D88" s="166">
        <f t="shared" si="16"/>
        <v>-0.7</v>
      </c>
      <c r="E88" s="27">
        <f>IFERROR(100/'Skjema total MA'!C88*C88,0)</f>
        <v>40.896408445195313</v>
      </c>
      <c r="F88" s="233"/>
      <c r="G88" s="145"/>
      <c r="H88" s="166"/>
      <c r="I88" s="27"/>
      <c r="J88" s="286">
        <f t="shared" si="24"/>
        <v>157212884</v>
      </c>
      <c r="K88" s="44">
        <f t="shared" si="24"/>
        <v>156121414</v>
      </c>
      <c r="L88" s="253">
        <f t="shared" si="19"/>
        <v>-0.7</v>
      </c>
      <c r="M88" s="27">
        <f>IFERROR(100/'Skjema total MA'!I88*K88,0)</f>
        <v>40.896408445195313</v>
      </c>
    </row>
    <row r="89" spans="1:13" x14ac:dyDescent="0.2">
      <c r="A89" s="21" t="s">
        <v>10</v>
      </c>
      <c r="B89" s="233">
        <v>96662</v>
      </c>
      <c r="C89" s="145">
        <v>97401</v>
      </c>
      <c r="D89" s="166">
        <f t="shared" si="16"/>
        <v>0.8</v>
      </c>
      <c r="E89" s="27">
        <f>IFERROR(100/'Skjema total MA'!C89*C89,0)</f>
        <v>3.0686894859806602</v>
      </c>
      <c r="F89" s="233">
        <v>78506547.978</v>
      </c>
      <c r="G89" s="145">
        <v>83811099.880999997</v>
      </c>
      <c r="H89" s="166">
        <f t="shared" si="17"/>
        <v>6.8</v>
      </c>
      <c r="I89" s="27">
        <f>IFERROR(100/'Skjema total MA'!F89*G89,0)</f>
        <v>26.57372676134441</v>
      </c>
      <c r="J89" s="286">
        <f t="shared" si="24"/>
        <v>78603209.978</v>
      </c>
      <c r="K89" s="44">
        <f t="shared" si="24"/>
        <v>83908500.880999997</v>
      </c>
      <c r="L89" s="253">
        <f t="shared" si="19"/>
        <v>6.7</v>
      </c>
      <c r="M89" s="27">
        <f>IFERROR(100/'Skjema total MA'!I89*K89,0)</f>
        <v>26.339533961289963</v>
      </c>
    </row>
    <row r="90" spans="1:13" ht="15.75" x14ac:dyDescent="0.2">
      <c r="A90" s="295" t="s">
        <v>382</v>
      </c>
      <c r="B90" s="280"/>
      <c r="C90" s="280"/>
      <c r="D90" s="166"/>
      <c r="E90" s="416"/>
      <c r="F90" s="280"/>
      <c r="G90" s="280"/>
      <c r="H90" s="166"/>
      <c r="I90" s="416"/>
      <c r="J90" s="289"/>
      <c r="K90" s="289"/>
      <c r="L90" s="166"/>
      <c r="M90" s="23"/>
    </row>
    <row r="91" spans="1:13" x14ac:dyDescent="0.2">
      <c r="A91" s="295" t="s">
        <v>12</v>
      </c>
      <c r="B91" s="234"/>
      <c r="C91" s="288"/>
      <c r="D91" s="166"/>
      <c r="E91" s="416"/>
      <c r="F91" s="280"/>
      <c r="G91" s="280"/>
      <c r="H91" s="166"/>
      <c r="I91" s="416"/>
      <c r="J91" s="289"/>
      <c r="K91" s="289"/>
      <c r="L91" s="166"/>
      <c r="M91" s="23"/>
    </row>
    <row r="92" spans="1:13" x14ac:dyDescent="0.2">
      <c r="A92" s="295" t="s">
        <v>13</v>
      </c>
      <c r="B92" s="234"/>
      <c r="C92" s="288"/>
      <c r="D92" s="166"/>
      <c r="E92" s="416"/>
      <c r="F92" s="280"/>
      <c r="G92" s="280"/>
      <c r="H92" s="166"/>
      <c r="I92" s="416"/>
      <c r="J92" s="289"/>
      <c r="K92" s="289"/>
      <c r="L92" s="166"/>
      <c r="M92" s="23"/>
    </row>
    <row r="93" spans="1:13" ht="15.75" x14ac:dyDescent="0.2">
      <c r="A93" s="295" t="s">
        <v>383</v>
      </c>
      <c r="B93" s="280"/>
      <c r="C93" s="280"/>
      <c r="D93" s="166"/>
      <c r="E93" s="416"/>
      <c r="F93" s="280"/>
      <c r="G93" s="280"/>
      <c r="H93" s="166"/>
      <c r="I93" s="416"/>
      <c r="J93" s="289"/>
      <c r="K93" s="289"/>
      <c r="L93" s="166"/>
      <c r="M93" s="23"/>
    </row>
    <row r="94" spans="1:13" x14ac:dyDescent="0.2">
      <c r="A94" s="295" t="s">
        <v>12</v>
      </c>
      <c r="B94" s="234"/>
      <c r="C94" s="288"/>
      <c r="D94" s="166"/>
      <c r="E94" s="416"/>
      <c r="F94" s="280"/>
      <c r="G94" s="280"/>
      <c r="H94" s="166"/>
      <c r="I94" s="416"/>
      <c r="J94" s="289"/>
      <c r="K94" s="289"/>
      <c r="L94" s="166"/>
      <c r="M94" s="23"/>
    </row>
    <row r="95" spans="1:13" x14ac:dyDescent="0.2">
      <c r="A95" s="295" t="s">
        <v>13</v>
      </c>
      <c r="B95" s="234"/>
      <c r="C95" s="288"/>
      <c r="D95" s="166"/>
      <c r="E95" s="416"/>
      <c r="F95" s="280"/>
      <c r="G95" s="280"/>
      <c r="H95" s="166"/>
      <c r="I95" s="416"/>
      <c r="J95" s="289"/>
      <c r="K95" s="289"/>
      <c r="L95" s="166"/>
      <c r="M95" s="23"/>
    </row>
    <row r="96" spans="1:13" x14ac:dyDescent="0.2">
      <c r="A96" s="21" t="s">
        <v>350</v>
      </c>
      <c r="B96" s="233"/>
      <c r="C96" s="145"/>
      <c r="D96" s="166"/>
      <c r="E96" s="27"/>
      <c r="F96" s="233"/>
      <c r="G96" s="145"/>
      <c r="H96" s="166"/>
      <c r="I96" s="27"/>
      <c r="J96" s="286"/>
      <c r="K96" s="44"/>
      <c r="L96" s="253"/>
      <c r="M96" s="27"/>
    </row>
    <row r="97" spans="1:13" x14ac:dyDescent="0.2">
      <c r="A97" s="21" t="s">
        <v>349</v>
      </c>
      <c r="B97" s="233">
        <v>30025</v>
      </c>
      <c r="C97" s="145">
        <v>35846</v>
      </c>
      <c r="D97" s="166">
        <f t="shared" ref="D97" si="25">IF(B97=0, "    ---- ", IF(ABS(ROUND(100/B97*C97-100,1))&lt;999,ROUND(100/B97*C97-100,1),IF(ROUND(100/B97*C97-100,1)&gt;999,999,-999)))</f>
        <v>19.399999999999999</v>
      </c>
      <c r="E97" s="27">
        <f>IFERROR(100/'Skjema total MA'!C98*C97,0)</f>
        <v>9.4208749198900904E-3</v>
      </c>
      <c r="F97" s="233"/>
      <c r="G97" s="145"/>
      <c r="H97" s="166"/>
      <c r="I97" s="27"/>
      <c r="J97" s="286">
        <f t="shared" ref="J97" si="26">SUM(B97,F97)</f>
        <v>30025</v>
      </c>
      <c r="K97" s="44">
        <f t="shared" ref="K97" si="27">SUM(C97,G97)</f>
        <v>35846</v>
      </c>
      <c r="L97" s="253">
        <f t="shared" ref="L97" si="28">IF(J97=0, "    ---- ", IF(ABS(ROUND(100/J97*K97-100,1))&lt;999,ROUND(100/J97*K97-100,1),IF(ROUND(100/J97*K97-100,1)&gt;999,999,-999)))</f>
        <v>19.399999999999999</v>
      </c>
      <c r="M97" s="27">
        <f>IFERROR(100/'Skjema total MA'!I97*K97,0)</f>
        <v>0.56385006043135177</v>
      </c>
    </row>
    <row r="98" spans="1:13" ht="15.75" x14ac:dyDescent="0.2">
      <c r="A98" s="21" t="s">
        <v>384</v>
      </c>
      <c r="B98" s="233">
        <v>155909493</v>
      </c>
      <c r="C98" s="233">
        <v>155076093</v>
      </c>
      <c r="D98" s="166">
        <f t="shared" si="16"/>
        <v>-0.5</v>
      </c>
      <c r="E98" s="27">
        <f>IFERROR(100/'Skjema total MA'!C98*C98,0)</f>
        <v>40.756359850980388</v>
      </c>
      <c r="F98" s="291">
        <v>78395248.194999993</v>
      </c>
      <c r="G98" s="291">
        <v>83710065.880999997</v>
      </c>
      <c r="H98" s="166">
        <f t="shared" si="17"/>
        <v>6.8</v>
      </c>
      <c r="I98" s="27">
        <f>IFERROR(100/'Skjema total MA'!F98*G98,0)</f>
        <v>26.615947337106714</v>
      </c>
      <c r="J98" s="286">
        <f t="shared" si="24"/>
        <v>234304741.19499999</v>
      </c>
      <c r="K98" s="44">
        <f t="shared" si="24"/>
        <v>238786158.88099998</v>
      </c>
      <c r="L98" s="253">
        <f t="shared" si="19"/>
        <v>1.9</v>
      </c>
      <c r="M98" s="27">
        <f>IFERROR(100/'Skjema total MA'!I98*K98,0)</f>
        <v>34.357405084292608</v>
      </c>
    </row>
    <row r="99" spans="1:13" x14ac:dyDescent="0.2">
      <c r="A99" s="21" t="s">
        <v>9</v>
      </c>
      <c r="B99" s="291">
        <v>155812831</v>
      </c>
      <c r="C99" s="292">
        <v>154978692</v>
      </c>
      <c r="D99" s="166">
        <f t="shared" si="16"/>
        <v>-0.5</v>
      </c>
      <c r="E99" s="27">
        <f>IFERROR(100/'Skjema total MA'!C99*C99,0)</f>
        <v>41.073388349147329</v>
      </c>
      <c r="F99" s="233"/>
      <c r="G99" s="145"/>
      <c r="H99" s="166"/>
      <c r="I99" s="27"/>
      <c r="J99" s="286">
        <f t="shared" si="24"/>
        <v>155812831</v>
      </c>
      <c r="K99" s="44">
        <f t="shared" si="24"/>
        <v>154978692</v>
      </c>
      <c r="L99" s="253">
        <f t="shared" si="19"/>
        <v>-0.5</v>
      </c>
      <c r="M99" s="27">
        <f>IFERROR(100/'Skjema total MA'!I99*K99,0)</f>
        <v>41.073388349147329</v>
      </c>
    </row>
    <row r="100" spans="1:13" x14ac:dyDescent="0.2">
      <c r="A100" s="21" t="s">
        <v>10</v>
      </c>
      <c r="B100" s="291">
        <v>96662</v>
      </c>
      <c r="C100" s="292">
        <v>97401</v>
      </c>
      <c r="D100" s="166">
        <f t="shared" si="16"/>
        <v>0.8</v>
      </c>
      <c r="E100" s="27">
        <f>IFERROR(100/'Skjema total MA'!C100*C100,0)</f>
        <v>3.0686894859806602</v>
      </c>
      <c r="F100" s="233">
        <v>78395248.194999993</v>
      </c>
      <c r="G100" s="233">
        <v>83710065.880999997</v>
      </c>
      <c r="H100" s="166">
        <f t="shared" si="17"/>
        <v>6.8</v>
      </c>
      <c r="I100" s="27">
        <f>IFERROR(100/'Skjema total MA'!F100*G100,0)</f>
        <v>26.615947337106714</v>
      </c>
      <c r="J100" s="286">
        <f t="shared" si="24"/>
        <v>78491910.194999993</v>
      </c>
      <c r="K100" s="44">
        <f t="shared" si="24"/>
        <v>83807466.880999997</v>
      </c>
      <c r="L100" s="253">
        <f t="shared" si="19"/>
        <v>6.8</v>
      </c>
      <c r="M100" s="27">
        <f>IFERROR(100/'Skjema total MA'!I100*K100,0)</f>
        <v>26.380684056609869</v>
      </c>
    </row>
    <row r="101" spans="1:13" ht="15.75" x14ac:dyDescent="0.2">
      <c r="A101" s="295" t="s">
        <v>382</v>
      </c>
      <c r="B101" s="280"/>
      <c r="C101" s="280"/>
      <c r="D101" s="166"/>
      <c r="E101" s="416"/>
      <c r="F101" s="280"/>
      <c r="G101" s="280"/>
      <c r="H101" s="166"/>
      <c r="I101" s="416"/>
      <c r="J101" s="289"/>
      <c r="K101" s="289"/>
      <c r="L101" s="166"/>
      <c r="M101" s="23"/>
    </row>
    <row r="102" spans="1:13" x14ac:dyDescent="0.2">
      <c r="A102" s="295" t="s">
        <v>12</v>
      </c>
      <c r="B102" s="234"/>
      <c r="C102" s="288"/>
      <c r="D102" s="166"/>
      <c r="E102" s="416"/>
      <c r="F102" s="280"/>
      <c r="G102" s="280"/>
      <c r="H102" s="166"/>
      <c r="I102" s="416"/>
      <c r="J102" s="289"/>
      <c r="K102" s="289"/>
      <c r="L102" s="166"/>
      <c r="M102" s="23"/>
    </row>
    <row r="103" spans="1:13" x14ac:dyDescent="0.2">
      <c r="A103" s="295" t="s">
        <v>13</v>
      </c>
      <c r="B103" s="234"/>
      <c r="C103" s="288"/>
      <c r="D103" s="166"/>
      <c r="E103" s="416"/>
      <c r="F103" s="280"/>
      <c r="G103" s="280"/>
      <c r="H103" s="166"/>
      <c r="I103" s="416"/>
      <c r="J103" s="289"/>
      <c r="K103" s="289"/>
      <c r="L103" s="166"/>
      <c r="M103" s="23"/>
    </row>
    <row r="104" spans="1:13" ht="15.75" x14ac:dyDescent="0.2">
      <c r="A104" s="295" t="s">
        <v>383</v>
      </c>
      <c r="B104" s="280"/>
      <c r="C104" s="280"/>
      <c r="D104" s="166"/>
      <c r="E104" s="416"/>
      <c r="F104" s="280"/>
      <c r="G104" s="280"/>
      <c r="H104" s="166"/>
      <c r="I104" s="416"/>
      <c r="J104" s="289"/>
      <c r="K104" s="289"/>
      <c r="L104" s="166"/>
      <c r="M104" s="23"/>
    </row>
    <row r="105" spans="1:13" x14ac:dyDescent="0.2">
      <c r="A105" s="295" t="s">
        <v>12</v>
      </c>
      <c r="B105" s="234"/>
      <c r="C105" s="288"/>
      <c r="D105" s="166"/>
      <c r="E105" s="416"/>
      <c r="F105" s="280"/>
      <c r="G105" s="280"/>
      <c r="H105" s="166"/>
      <c r="I105" s="416"/>
      <c r="J105" s="289"/>
      <c r="K105" s="289"/>
      <c r="L105" s="166"/>
      <c r="M105" s="23"/>
    </row>
    <row r="106" spans="1:13" x14ac:dyDescent="0.2">
      <c r="A106" s="295" t="s">
        <v>13</v>
      </c>
      <c r="B106" s="234"/>
      <c r="C106" s="288"/>
      <c r="D106" s="166"/>
      <c r="E106" s="416"/>
      <c r="F106" s="280"/>
      <c r="G106" s="280"/>
      <c r="H106" s="166"/>
      <c r="I106" s="416"/>
      <c r="J106" s="289"/>
      <c r="K106" s="289"/>
      <c r="L106" s="166"/>
      <c r="M106" s="23"/>
    </row>
    <row r="107" spans="1:13" ht="15.75" x14ac:dyDescent="0.2">
      <c r="A107" s="21" t="s">
        <v>385</v>
      </c>
      <c r="B107" s="233">
        <v>1400052.878</v>
      </c>
      <c r="C107" s="145">
        <v>1142721.5519999999</v>
      </c>
      <c r="D107" s="166">
        <f t="shared" si="16"/>
        <v>-18.399999999999999</v>
      </c>
      <c r="E107" s="27">
        <f>IFERROR(100/'Skjema total MA'!C107*C107,0)</f>
        <v>25.81225118890411</v>
      </c>
      <c r="F107" s="233">
        <v>111299.783</v>
      </c>
      <c r="G107" s="145">
        <v>101034</v>
      </c>
      <c r="H107" s="166">
        <f t="shared" si="17"/>
        <v>-9.1999999999999993</v>
      </c>
      <c r="I107" s="27">
        <f>IFERROR(100/'Skjema total MA'!F107*G107,0)</f>
        <v>11.482435908023072</v>
      </c>
      <c r="J107" s="286">
        <f t="shared" si="24"/>
        <v>1511352.6610000001</v>
      </c>
      <c r="K107" s="44">
        <f t="shared" si="24"/>
        <v>1243755.5519999999</v>
      </c>
      <c r="L107" s="253">
        <f t="shared" si="19"/>
        <v>-17.7</v>
      </c>
      <c r="M107" s="27">
        <f>IFERROR(100/'Skjema total MA'!I107*K107,0)</f>
        <v>23.436346635298321</v>
      </c>
    </row>
    <row r="108" spans="1:13" ht="15.75" x14ac:dyDescent="0.2">
      <c r="A108" s="21" t="s">
        <v>386</v>
      </c>
      <c r="B108" s="233">
        <v>133940004</v>
      </c>
      <c r="C108" s="233">
        <v>136057053</v>
      </c>
      <c r="D108" s="166">
        <f t="shared" si="16"/>
        <v>1.6</v>
      </c>
      <c r="E108" s="27">
        <f>IFERROR(100/'Skjema total MA'!C108*C108,0)</f>
        <v>41.986574986851025</v>
      </c>
      <c r="F108" s="233">
        <v>418692.402</v>
      </c>
      <c r="G108" s="233">
        <v>548408.522</v>
      </c>
      <c r="H108" s="166">
        <f t="shared" si="17"/>
        <v>31</v>
      </c>
      <c r="I108" s="27">
        <f>IFERROR(100/'Skjema total MA'!F108*G108,0)</f>
        <v>3.3112130092822376</v>
      </c>
      <c r="J108" s="286">
        <f t="shared" si="24"/>
        <v>134358696.40200001</v>
      </c>
      <c r="K108" s="44">
        <f t="shared" si="24"/>
        <v>136605461.52200001</v>
      </c>
      <c r="L108" s="253">
        <f t="shared" si="19"/>
        <v>1.7</v>
      </c>
      <c r="M108" s="27">
        <f>IFERROR(100/'Skjema total MA'!I108*K108,0)</f>
        <v>40.105991340498178</v>
      </c>
    </row>
    <row r="109" spans="1:13" ht="15.75" x14ac:dyDescent="0.2">
      <c r="A109" s="21" t="s">
        <v>387</v>
      </c>
      <c r="B109" s="233">
        <v>96662</v>
      </c>
      <c r="C109" s="233">
        <v>97401</v>
      </c>
      <c r="D109" s="166">
        <f t="shared" si="16"/>
        <v>0.8</v>
      </c>
      <c r="E109" s="27">
        <f>IFERROR(100/'Skjema total MA'!C109*C109,0)</f>
        <v>9.1645651519544238</v>
      </c>
      <c r="F109" s="233">
        <v>26212880</v>
      </c>
      <c r="G109" s="233">
        <v>29957349.412999999</v>
      </c>
      <c r="H109" s="166">
        <f t="shared" si="17"/>
        <v>14.3</v>
      </c>
      <c r="I109" s="27">
        <f>IFERROR(100/'Skjema total MA'!F109*G109,0)</f>
        <v>27.280100942746881</v>
      </c>
      <c r="J109" s="286">
        <f t="shared" si="24"/>
        <v>26309542</v>
      </c>
      <c r="K109" s="44">
        <f t="shared" si="24"/>
        <v>30054750.412999999</v>
      </c>
      <c r="L109" s="253">
        <f t="shared" si="19"/>
        <v>14.2</v>
      </c>
      <c r="M109" s="27">
        <f>IFERROR(100/'Skjema total MA'!I109*K109,0)</f>
        <v>27.106455916191504</v>
      </c>
    </row>
    <row r="110" spans="1:13" ht="15.75" x14ac:dyDescent="0.2">
      <c r="A110" s="21" t="s">
        <v>388</v>
      </c>
      <c r="B110" s="233"/>
      <c r="C110" s="233"/>
      <c r="D110" s="166"/>
      <c r="E110" s="27"/>
      <c r="F110" s="233"/>
      <c r="G110" s="233"/>
      <c r="H110" s="166"/>
      <c r="I110" s="27"/>
      <c r="J110" s="286"/>
      <c r="K110" s="44"/>
      <c r="L110" s="253"/>
      <c r="M110" s="27"/>
    </row>
    <row r="111" spans="1:13" ht="15.75" x14ac:dyDescent="0.2">
      <c r="A111" s="13" t="s">
        <v>368</v>
      </c>
      <c r="B111" s="307">
        <v>126164</v>
      </c>
      <c r="C111" s="159">
        <v>110839</v>
      </c>
      <c r="D111" s="171">
        <f t="shared" si="16"/>
        <v>-12.1</v>
      </c>
      <c r="E111" s="11">
        <f>IFERROR(100/'Skjema total MA'!C111*C111,0)</f>
        <v>20.796824708463443</v>
      </c>
      <c r="F111" s="307">
        <v>2004664</v>
      </c>
      <c r="G111" s="159">
        <v>1398876</v>
      </c>
      <c r="H111" s="171">
        <f t="shared" si="17"/>
        <v>-30.2</v>
      </c>
      <c r="I111" s="11">
        <f>IFERROR(100/'Skjema total MA'!F111*G111,0)</f>
        <v>11.837931676454819</v>
      </c>
      <c r="J111" s="308">
        <f t="shared" si="24"/>
        <v>2130828</v>
      </c>
      <c r="K111" s="235">
        <f t="shared" si="24"/>
        <v>1509715</v>
      </c>
      <c r="L111" s="427">
        <f t="shared" si="19"/>
        <v>-29.1</v>
      </c>
      <c r="M111" s="11">
        <f>IFERROR(100/'Skjema total MA'!I111*K111,0)</f>
        <v>12.224554961142182</v>
      </c>
    </row>
    <row r="112" spans="1:13" x14ac:dyDescent="0.2">
      <c r="A112" s="21" t="s">
        <v>9</v>
      </c>
      <c r="B112" s="233">
        <v>126164</v>
      </c>
      <c r="C112" s="145">
        <v>110839</v>
      </c>
      <c r="D112" s="166">
        <f t="shared" ref="D112:D124" si="29">IF(B112=0, "    ---- ", IF(ABS(ROUND(100/B112*C112-100,1))&lt;999,ROUND(100/B112*C112-100,1),IF(ROUND(100/B112*C112-100,1)&gt;999,999,-999)))</f>
        <v>-12.1</v>
      </c>
      <c r="E112" s="27">
        <f>IFERROR(100/'Skjema total MA'!C112*C112,0)</f>
        <v>61.008200773988619</v>
      </c>
      <c r="F112" s="233"/>
      <c r="G112" s="145"/>
      <c r="H112" s="166"/>
      <c r="I112" s="27"/>
      <c r="J112" s="286">
        <f t="shared" ref="J112:K125" si="30">SUM(B112,F112)</f>
        <v>126164</v>
      </c>
      <c r="K112" s="44">
        <f t="shared" si="30"/>
        <v>110839</v>
      </c>
      <c r="L112" s="253">
        <f t="shared" ref="L112:L125" si="31">IF(J112=0, "    ---- ", IF(ABS(ROUND(100/J112*K112-100,1))&lt;999,ROUND(100/J112*K112-100,1),IF(ROUND(100/J112*K112-100,1)&gt;999,999,-999)))</f>
        <v>-12.1</v>
      </c>
      <c r="M112" s="27">
        <f>IFERROR(100/'Skjema total MA'!I112*K112,0)</f>
        <v>60.118437325485644</v>
      </c>
    </row>
    <row r="113" spans="1:14" x14ac:dyDescent="0.2">
      <c r="A113" s="21" t="s">
        <v>10</v>
      </c>
      <c r="B113" s="233"/>
      <c r="C113" s="145"/>
      <c r="D113" s="166"/>
      <c r="E113" s="27"/>
      <c r="F113" s="233">
        <v>2004664</v>
      </c>
      <c r="G113" s="145">
        <v>1398876</v>
      </c>
      <c r="H113" s="166">
        <f t="shared" ref="H113:H125" si="32">IF(F113=0, "    ---- ", IF(ABS(ROUND(100/F113*G113-100,1))&lt;999,ROUND(100/F113*G113-100,1),IF(ROUND(100/F113*G113-100,1)&gt;999,999,-999)))</f>
        <v>-30.2</v>
      </c>
      <c r="I113" s="27">
        <f>IFERROR(100/'Skjema total MA'!F113*G113,0)</f>
        <v>11.909867972395228</v>
      </c>
      <c r="J113" s="286">
        <f t="shared" si="30"/>
        <v>2004664</v>
      </c>
      <c r="K113" s="44">
        <f t="shared" si="30"/>
        <v>1398876</v>
      </c>
      <c r="L113" s="253">
        <f t="shared" si="31"/>
        <v>-30.2</v>
      </c>
      <c r="M113" s="27">
        <f>IFERROR(100/'Skjema total MA'!I113*K113,0)</f>
        <v>11.905554382102626</v>
      </c>
    </row>
    <row r="114" spans="1:14" x14ac:dyDescent="0.2">
      <c r="A114" s="21" t="s">
        <v>26</v>
      </c>
      <c r="B114" s="233"/>
      <c r="C114" s="145"/>
      <c r="D114" s="166"/>
      <c r="E114" s="27"/>
      <c r="F114" s="233"/>
      <c r="G114" s="145"/>
      <c r="H114" s="166"/>
      <c r="I114" s="27"/>
      <c r="J114" s="286"/>
      <c r="K114" s="44"/>
      <c r="L114" s="253"/>
      <c r="M114" s="27"/>
    </row>
    <row r="115" spans="1:14" x14ac:dyDescent="0.2">
      <c r="A115" s="295" t="s">
        <v>15</v>
      </c>
      <c r="B115" s="280"/>
      <c r="C115" s="280"/>
      <c r="D115" s="166"/>
      <c r="E115" s="416"/>
      <c r="F115" s="280"/>
      <c r="G115" s="280"/>
      <c r="H115" s="166"/>
      <c r="I115" s="416"/>
      <c r="J115" s="289"/>
      <c r="K115" s="289"/>
      <c r="L115" s="166"/>
      <c r="M115" s="23"/>
    </row>
    <row r="116" spans="1:14" ht="15.75" x14ac:dyDescent="0.2">
      <c r="A116" s="21" t="s">
        <v>389</v>
      </c>
      <c r="B116" s="233">
        <v>47860.161049999901</v>
      </c>
      <c r="C116" s="233">
        <v>41310</v>
      </c>
      <c r="D116" s="166">
        <f t="shared" si="29"/>
        <v>-13.7</v>
      </c>
      <c r="E116" s="27">
        <f>IFERROR(100/'Skjema total MA'!C116*C116,0)</f>
        <v>88.588336177874581</v>
      </c>
      <c r="F116" s="233"/>
      <c r="G116" s="233"/>
      <c r="H116" s="166"/>
      <c r="I116" s="27"/>
      <c r="J116" s="286">
        <f t="shared" si="30"/>
        <v>47860.161049999901</v>
      </c>
      <c r="K116" s="44">
        <f t="shared" si="30"/>
        <v>41310</v>
      </c>
      <c r="L116" s="253">
        <f t="shared" si="31"/>
        <v>-13.7</v>
      </c>
      <c r="M116" s="27">
        <f>IFERROR(100/'Skjema total MA'!I116*K116,0)</f>
        <v>83.758614606967114</v>
      </c>
    </row>
    <row r="117" spans="1:14" ht="15.75" x14ac:dyDescent="0.2">
      <c r="A117" s="21" t="s">
        <v>390</v>
      </c>
      <c r="B117" s="233"/>
      <c r="C117" s="233"/>
      <c r="D117" s="166"/>
      <c r="E117" s="27"/>
      <c r="F117" s="233">
        <v>238086.58600000001</v>
      </c>
      <c r="G117" s="233">
        <v>436466.21299999999</v>
      </c>
      <c r="H117" s="166">
        <f t="shared" si="32"/>
        <v>83.3</v>
      </c>
      <c r="I117" s="27">
        <f>IFERROR(100/'Skjema total MA'!F117*G117,0)</f>
        <v>24.109487669964377</v>
      </c>
      <c r="J117" s="286">
        <f t="shared" si="30"/>
        <v>238086.58600000001</v>
      </c>
      <c r="K117" s="44">
        <f t="shared" si="30"/>
        <v>436466.21299999999</v>
      </c>
      <c r="L117" s="253">
        <f t="shared" si="31"/>
        <v>83.3</v>
      </c>
      <c r="M117" s="27">
        <f>IFERROR(100/'Skjema total MA'!I117*K117,0)</f>
        <v>24.109487669964377</v>
      </c>
    </row>
    <row r="118" spans="1:14" ht="15.75" x14ac:dyDescent="0.2">
      <c r="A118" s="21" t="s">
        <v>388</v>
      </c>
      <c r="B118" s="233"/>
      <c r="C118" s="233"/>
      <c r="D118" s="166"/>
      <c r="E118" s="27"/>
      <c r="F118" s="233"/>
      <c r="G118" s="233"/>
      <c r="H118" s="166"/>
      <c r="I118" s="27"/>
      <c r="J118" s="286"/>
      <c r="K118" s="44"/>
      <c r="L118" s="253"/>
      <c r="M118" s="27"/>
    </row>
    <row r="119" spans="1:14" ht="15.75" x14ac:dyDescent="0.2">
      <c r="A119" s="13" t="s">
        <v>369</v>
      </c>
      <c r="B119" s="307">
        <v>64879</v>
      </c>
      <c r="C119" s="159">
        <v>345240</v>
      </c>
      <c r="D119" s="171">
        <f t="shared" si="29"/>
        <v>432.1</v>
      </c>
      <c r="E119" s="11">
        <f>IFERROR(100/'Skjema total MA'!C119*C119,0)</f>
        <v>58.026892905015622</v>
      </c>
      <c r="F119" s="307">
        <v>1545556</v>
      </c>
      <c r="G119" s="159">
        <v>5059584</v>
      </c>
      <c r="H119" s="171">
        <f t="shared" si="32"/>
        <v>227.4</v>
      </c>
      <c r="I119" s="11">
        <f>IFERROR(100/'Skjema total MA'!F119*G119,0)</f>
        <v>43.748839147587589</v>
      </c>
      <c r="J119" s="308">
        <f t="shared" si="30"/>
        <v>1610435</v>
      </c>
      <c r="K119" s="235">
        <f t="shared" si="30"/>
        <v>5404824</v>
      </c>
      <c r="L119" s="427">
        <f t="shared" si="31"/>
        <v>235.6</v>
      </c>
      <c r="M119" s="11">
        <f>IFERROR(100/'Skjema total MA'!I119*K119,0)</f>
        <v>44.447434915646433</v>
      </c>
    </row>
    <row r="120" spans="1:14" x14ac:dyDescent="0.2">
      <c r="A120" s="21" t="s">
        <v>9</v>
      </c>
      <c r="B120" s="233">
        <v>64879</v>
      </c>
      <c r="C120" s="145">
        <v>345240</v>
      </c>
      <c r="D120" s="166">
        <f t="shared" si="29"/>
        <v>432.1</v>
      </c>
      <c r="E120" s="27">
        <f>IFERROR(100/'Skjema total MA'!C120*C120,0)</f>
        <v>73.582136875330107</v>
      </c>
      <c r="F120" s="233"/>
      <c r="G120" s="145"/>
      <c r="H120" s="166"/>
      <c r="I120" s="27"/>
      <c r="J120" s="286">
        <f t="shared" si="30"/>
        <v>64879</v>
      </c>
      <c r="K120" s="44">
        <f t="shared" si="30"/>
        <v>345240</v>
      </c>
      <c r="L120" s="253">
        <f t="shared" si="31"/>
        <v>432.1</v>
      </c>
      <c r="M120" s="27">
        <f>IFERROR(100/'Skjema total MA'!I120*K120,0)</f>
        <v>73.582136875330107</v>
      </c>
    </row>
    <row r="121" spans="1:14" x14ac:dyDescent="0.2">
      <c r="A121" s="21" t="s">
        <v>10</v>
      </c>
      <c r="B121" s="233"/>
      <c r="C121" s="145"/>
      <c r="D121" s="166"/>
      <c r="E121" s="27"/>
      <c r="F121" s="233">
        <v>1545556</v>
      </c>
      <c r="G121" s="145">
        <v>5059584</v>
      </c>
      <c r="H121" s="166">
        <f t="shared" si="32"/>
        <v>227.4</v>
      </c>
      <c r="I121" s="27">
        <f>IFERROR(100/'Skjema total MA'!F121*G121,0)</f>
        <v>43.748839147587589</v>
      </c>
      <c r="J121" s="286">
        <f t="shared" si="30"/>
        <v>1545556</v>
      </c>
      <c r="K121" s="44">
        <f t="shared" si="30"/>
        <v>5059584</v>
      </c>
      <c r="L121" s="253">
        <f t="shared" si="31"/>
        <v>227.4</v>
      </c>
      <c r="M121" s="27">
        <f>IFERROR(100/'Skjema total MA'!I121*K121,0)</f>
        <v>43.731154341814189</v>
      </c>
    </row>
    <row r="122" spans="1:14" x14ac:dyDescent="0.2">
      <c r="A122" s="21" t="s">
        <v>26</v>
      </c>
      <c r="B122" s="233"/>
      <c r="C122" s="145"/>
      <c r="D122" s="166"/>
      <c r="E122" s="27"/>
      <c r="F122" s="233"/>
      <c r="G122" s="145"/>
      <c r="H122" s="166"/>
      <c r="I122" s="27"/>
      <c r="J122" s="286"/>
      <c r="K122" s="44"/>
      <c r="L122" s="253"/>
      <c r="M122" s="27"/>
    </row>
    <row r="123" spans="1:14" x14ac:dyDescent="0.2">
      <c r="A123" s="295" t="s">
        <v>14</v>
      </c>
      <c r="B123" s="280"/>
      <c r="C123" s="280"/>
      <c r="D123" s="166"/>
      <c r="E123" s="416"/>
      <c r="F123" s="280"/>
      <c r="G123" s="280"/>
      <c r="H123" s="166"/>
      <c r="I123" s="416"/>
      <c r="J123" s="289"/>
      <c r="K123" s="289"/>
      <c r="L123" s="166"/>
      <c r="M123" s="23"/>
    </row>
    <row r="124" spans="1:14" ht="15.75" x14ac:dyDescent="0.2">
      <c r="A124" s="21" t="s">
        <v>395</v>
      </c>
      <c r="B124" s="233">
        <v>34626.351999999999</v>
      </c>
      <c r="C124" s="233">
        <v>33611</v>
      </c>
      <c r="D124" s="166">
        <f t="shared" si="29"/>
        <v>-2.9</v>
      </c>
      <c r="E124" s="27">
        <f>IFERROR(100/'Skjema total MA'!C124*C124,0)</f>
        <v>93.36187901510452</v>
      </c>
      <c r="F124" s="233"/>
      <c r="G124" s="233"/>
      <c r="H124" s="166"/>
      <c r="I124" s="27"/>
      <c r="J124" s="286">
        <f t="shared" si="30"/>
        <v>34626.351999999999</v>
      </c>
      <c r="K124" s="44">
        <f t="shared" si="30"/>
        <v>33611</v>
      </c>
      <c r="L124" s="253">
        <f t="shared" si="31"/>
        <v>-2.9</v>
      </c>
      <c r="M124" s="27">
        <f>IFERROR(100/'Skjema total MA'!I124*K124,0)</f>
        <v>74.0856012602774</v>
      </c>
    </row>
    <row r="125" spans="1:14" ht="15.75" x14ac:dyDescent="0.2">
      <c r="A125" s="21" t="s">
        <v>387</v>
      </c>
      <c r="B125" s="233"/>
      <c r="C125" s="233"/>
      <c r="D125" s="166"/>
      <c r="E125" s="27"/>
      <c r="F125" s="233">
        <v>407025.478</v>
      </c>
      <c r="G125" s="233">
        <v>570731.01</v>
      </c>
      <c r="H125" s="166">
        <f t="shared" si="32"/>
        <v>40.200000000000003</v>
      </c>
      <c r="I125" s="27">
        <f>IFERROR(100/'Skjema total MA'!F125*G125,0)</f>
        <v>29.005098957754246</v>
      </c>
      <c r="J125" s="286">
        <f t="shared" si="30"/>
        <v>407025.478</v>
      </c>
      <c r="K125" s="44">
        <f t="shared" si="30"/>
        <v>570731.01</v>
      </c>
      <c r="L125" s="253">
        <f t="shared" si="31"/>
        <v>40.200000000000003</v>
      </c>
      <c r="M125" s="27">
        <f>IFERROR(100/'Skjema total MA'!I125*K125,0)</f>
        <v>28.989433060224059</v>
      </c>
    </row>
    <row r="126" spans="1:14" ht="15.75" x14ac:dyDescent="0.2">
      <c r="A126" s="10" t="s">
        <v>388</v>
      </c>
      <c r="B126" s="45"/>
      <c r="C126" s="45"/>
      <c r="D126" s="167"/>
      <c r="E126" s="417"/>
      <c r="F126" s="45"/>
      <c r="G126" s="45"/>
      <c r="H126" s="167"/>
      <c r="I126" s="22"/>
      <c r="J126" s="287"/>
      <c r="K126" s="45"/>
      <c r="L126" s="254"/>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39"/>
      <c r="C130" s="739"/>
      <c r="D130" s="739"/>
      <c r="E130" s="298"/>
      <c r="F130" s="739"/>
      <c r="G130" s="739"/>
      <c r="H130" s="739"/>
      <c r="I130" s="298"/>
      <c r="J130" s="739"/>
      <c r="K130" s="739"/>
      <c r="L130" s="739"/>
      <c r="M130" s="298"/>
    </row>
    <row r="131" spans="1:14" s="3" customFormat="1" x14ac:dyDescent="0.2">
      <c r="A131" s="144"/>
      <c r="B131" s="737" t="s">
        <v>0</v>
      </c>
      <c r="C131" s="738"/>
      <c r="D131" s="738"/>
      <c r="E131" s="300"/>
      <c r="F131" s="737" t="s">
        <v>1</v>
      </c>
      <c r="G131" s="738"/>
      <c r="H131" s="738"/>
      <c r="I131" s="303"/>
      <c r="J131" s="737" t="s">
        <v>2</v>
      </c>
      <c r="K131" s="738"/>
      <c r="L131" s="738"/>
      <c r="M131" s="303"/>
      <c r="N131" s="148"/>
    </row>
    <row r="132" spans="1:14" s="3" customFormat="1" x14ac:dyDescent="0.2">
      <c r="A132" s="140"/>
      <c r="B132" s="152" t="s">
        <v>427</v>
      </c>
      <c r="C132" s="152" t="s">
        <v>428</v>
      </c>
      <c r="D132" s="244" t="s">
        <v>3</v>
      </c>
      <c r="E132" s="304" t="s">
        <v>29</v>
      </c>
      <c r="F132" s="152" t="s">
        <v>427</v>
      </c>
      <c r="G132" s="152" t="s">
        <v>428</v>
      </c>
      <c r="H132" s="205" t="s">
        <v>3</v>
      </c>
      <c r="I132" s="162" t="s">
        <v>29</v>
      </c>
      <c r="J132" s="152" t="s">
        <v>427</v>
      </c>
      <c r="K132" s="152" t="s">
        <v>428</v>
      </c>
      <c r="L132" s="245" t="s">
        <v>3</v>
      </c>
      <c r="M132" s="162" t="s">
        <v>29</v>
      </c>
      <c r="N132" s="148"/>
    </row>
    <row r="133" spans="1:14" s="3" customFormat="1" x14ac:dyDescent="0.2">
      <c r="A133" s="710"/>
      <c r="B133" s="156"/>
      <c r="C133" s="156"/>
      <c r="D133" s="245" t="s">
        <v>4</v>
      </c>
      <c r="E133" s="156" t="s">
        <v>30</v>
      </c>
      <c r="F133" s="161"/>
      <c r="G133" s="161"/>
      <c r="H133" s="205" t="s">
        <v>4</v>
      </c>
      <c r="I133" s="156" t="s">
        <v>30</v>
      </c>
      <c r="J133" s="156"/>
      <c r="K133" s="156"/>
      <c r="L133" s="150" t="s">
        <v>4</v>
      </c>
      <c r="M133" s="156" t="s">
        <v>30</v>
      </c>
      <c r="N133" s="148"/>
    </row>
    <row r="134" spans="1:14" s="3" customFormat="1" ht="15.75" x14ac:dyDescent="0.2">
      <c r="A134" s="14" t="s">
        <v>391</v>
      </c>
      <c r="B134" s="235"/>
      <c r="C134" s="308"/>
      <c r="D134" s="349"/>
      <c r="E134" s="11"/>
      <c r="F134" s="315"/>
      <c r="G134" s="316"/>
      <c r="H134" s="430"/>
      <c r="I134" s="24"/>
      <c r="J134" s="317"/>
      <c r="K134" s="317"/>
      <c r="L134" s="426"/>
      <c r="M134" s="11"/>
      <c r="N134" s="148"/>
    </row>
    <row r="135" spans="1:14" s="3" customFormat="1" ht="15.75" x14ac:dyDescent="0.2">
      <c r="A135" s="13" t="s">
        <v>396</v>
      </c>
      <c r="B135" s="235"/>
      <c r="C135" s="308"/>
      <c r="D135" s="171"/>
      <c r="E135" s="11"/>
      <c r="F135" s="235"/>
      <c r="G135" s="308"/>
      <c r="H135" s="431"/>
      <c r="I135" s="24"/>
      <c r="J135" s="307"/>
      <c r="K135" s="307"/>
      <c r="L135" s="427"/>
      <c r="M135" s="11"/>
      <c r="N135" s="148"/>
    </row>
    <row r="136" spans="1:14" s="3" customFormat="1" ht="15.75" x14ac:dyDescent="0.2">
      <c r="A136" s="13" t="s">
        <v>393</v>
      </c>
      <c r="B136" s="235"/>
      <c r="C136" s="308"/>
      <c r="D136" s="171"/>
      <c r="E136" s="11"/>
      <c r="F136" s="235"/>
      <c r="G136" s="308"/>
      <c r="H136" s="431"/>
      <c r="I136" s="24"/>
      <c r="J136" s="307"/>
      <c r="K136" s="307"/>
      <c r="L136" s="427"/>
      <c r="M136" s="11"/>
      <c r="N136" s="148"/>
    </row>
    <row r="137" spans="1:14" s="3" customFormat="1" ht="15.75" x14ac:dyDescent="0.2">
      <c r="A137" s="41" t="s">
        <v>394</v>
      </c>
      <c r="B137" s="275"/>
      <c r="C137" s="314"/>
      <c r="D137" s="169"/>
      <c r="E137" s="9"/>
      <c r="F137" s="275"/>
      <c r="G137" s="314"/>
      <c r="H137" s="432"/>
      <c r="I137" s="36"/>
      <c r="J137" s="313"/>
      <c r="K137" s="313"/>
      <c r="L137" s="428"/>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586" priority="132">
      <formula>kvartal &lt; 4</formula>
    </cfRule>
  </conditionalFormatting>
  <conditionalFormatting sqref="B69">
    <cfRule type="expression" dxfId="1585" priority="100">
      <formula>kvartal &lt; 4</formula>
    </cfRule>
  </conditionalFormatting>
  <conditionalFormatting sqref="C69">
    <cfRule type="expression" dxfId="1584" priority="99">
      <formula>kvartal &lt; 4</formula>
    </cfRule>
  </conditionalFormatting>
  <conditionalFormatting sqref="B72">
    <cfRule type="expression" dxfId="1583" priority="98">
      <formula>kvartal &lt; 4</formula>
    </cfRule>
  </conditionalFormatting>
  <conditionalFormatting sqref="C72">
    <cfRule type="expression" dxfId="1582" priority="97">
      <formula>kvartal &lt; 4</formula>
    </cfRule>
  </conditionalFormatting>
  <conditionalFormatting sqref="B80">
    <cfRule type="expression" dxfId="1581" priority="96">
      <formula>kvartal &lt; 4</formula>
    </cfRule>
  </conditionalFormatting>
  <conditionalFormatting sqref="C80">
    <cfRule type="expression" dxfId="1580" priority="95">
      <formula>kvartal &lt; 4</formula>
    </cfRule>
  </conditionalFormatting>
  <conditionalFormatting sqref="B83">
    <cfRule type="expression" dxfId="1579" priority="94">
      <formula>kvartal &lt; 4</formula>
    </cfRule>
  </conditionalFormatting>
  <conditionalFormatting sqref="C83">
    <cfRule type="expression" dxfId="1578" priority="93">
      <formula>kvartal &lt; 4</formula>
    </cfRule>
  </conditionalFormatting>
  <conditionalFormatting sqref="B90">
    <cfRule type="expression" dxfId="1577" priority="84">
      <formula>kvartal &lt; 4</formula>
    </cfRule>
  </conditionalFormatting>
  <conditionalFormatting sqref="C90">
    <cfRule type="expression" dxfId="1576" priority="83">
      <formula>kvartal &lt; 4</formula>
    </cfRule>
  </conditionalFormatting>
  <conditionalFormatting sqref="B93">
    <cfRule type="expression" dxfId="1575" priority="82">
      <formula>kvartal &lt; 4</formula>
    </cfRule>
  </conditionalFormatting>
  <conditionalFormatting sqref="C93">
    <cfRule type="expression" dxfId="1574" priority="81">
      <formula>kvartal &lt; 4</formula>
    </cfRule>
  </conditionalFormatting>
  <conditionalFormatting sqref="B101">
    <cfRule type="expression" dxfId="1573" priority="80">
      <formula>kvartal &lt; 4</formula>
    </cfRule>
  </conditionalFormatting>
  <conditionalFormatting sqref="C101">
    <cfRule type="expression" dxfId="1572" priority="79">
      <formula>kvartal &lt; 4</formula>
    </cfRule>
  </conditionalFormatting>
  <conditionalFormatting sqref="B104">
    <cfRule type="expression" dxfId="1571" priority="78">
      <formula>kvartal &lt; 4</formula>
    </cfRule>
  </conditionalFormatting>
  <conditionalFormatting sqref="C104">
    <cfRule type="expression" dxfId="1570" priority="77">
      <formula>kvartal &lt; 4</formula>
    </cfRule>
  </conditionalFormatting>
  <conditionalFormatting sqref="B115">
    <cfRule type="expression" dxfId="1569" priority="76">
      <formula>kvartal &lt; 4</formula>
    </cfRule>
  </conditionalFormatting>
  <conditionalFormatting sqref="C115">
    <cfRule type="expression" dxfId="1568" priority="75">
      <formula>kvartal &lt; 4</formula>
    </cfRule>
  </conditionalFormatting>
  <conditionalFormatting sqref="B123">
    <cfRule type="expression" dxfId="1567" priority="74">
      <formula>kvartal &lt; 4</formula>
    </cfRule>
  </conditionalFormatting>
  <conditionalFormatting sqref="C123">
    <cfRule type="expression" dxfId="1566" priority="73">
      <formula>kvartal &lt; 4</formula>
    </cfRule>
  </conditionalFormatting>
  <conditionalFormatting sqref="F70">
    <cfRule type="expression" dxfId="1565" priority="72">
      <formula>kvartal &lt; 4</formula>
    </cfRule>
  </conditionalFormatting>
  <conditionalFormatting sqref="G70">
    <cfRule type="expression" dxfId="1564" priority="71">
      <formula>kvartal &lt; 4</formula>
    </cfRule>
  </conditionalFormatting>
  <conditionalFormatting sqref="F71:G71">
    <cfRule type="expression" dxfId="1563" priority="70">
      <formula>kvartal &lt; 4</formula>
    </cfRule>
  </conditionalFormatting>
  <conditionalFormatting sqref="F73:G74">
    <cfRule type="expression" dxfId="1562" priority="69">
      <formula>kvartal &lt; 4</formula>
    </cfRule>
  </conditionalFormatting>
  <conditionalFormatting sqref="F81:G82">
    <cfRule type="expression" dxfId="1561" priority="68">
      <formula>kvartal &lt; 4</formula>
    </cfRule>
  </conditionalFormatting>
  <conditionalFormatting sqref="F84:G85">
    <cfRule type="expression" dxfId="1560" priority="67">
      <formula>kvartal &lt; 4</formula>
    </cfRule>
  </conditionalFormatting>
  <conditionalFormatting sqref="F91:G92">
    <cfRule type="expression" dxfId="1559" priority="62">
      <formula>kvartal &lt; 4</formula>
    </cfRule>
  </conditionalFormatting>
  <conditionalFormatting sqref="F94:G95">
    <cfRule type="expression" dxfId="1558" priority="61">
      <formula>kvartal &lt; 4</formula>
    </cfRule>
  </conditionalFormatting>
  <conditionalFormatting sqref="F102:G103">
    <cfRule type="expression" dxfId="1557" priority="60">
      <formula>kvartal &lt; 4</formula>
    </cfRule>
  </conditionalFormatting>
  <conditionalFormatting sqref="F105:G106">
    <cfRule type="expression" dxfId="1556" priority="59">
      <formula>kvartal &lt; 4</formula>
    </cfRule>
  </conditionalFormatting>
  <conditionalFormatting sqref="F115">
    <cfRule type="expression" dxfId="1555" priority="58">
      <formula>kvartal &lt; 4</formula>
    </cfRule>
  </conditionalFormatting>
  <conditionalFormatting sqref="G115">
    <cfRule type="expression" dxfId="1554" priority="57">
      <formula>kvartal &lt; 4</formula>
    </cfRule>
  </conditionalFormatting>
  <conditionalFormatting sqref="F123:G123">
    <cfRule type="expression" dxfId="1553" priority="56">
      <formula>kvartal &lt; 4</formula>
    </cfRule>
  </conditionalFormatting>
  <conditionalFormatting sqref="F69:G69">
    <cfRule type="expression" dxfId="1552" priority="55">
      <formula>kvartal &lt; 4</formula>
    </cfRule>
  </conditionalFormatting>
  <conditionalFormatting sqref="F72:G72">
    <cfRule type="expression" dxfId="1551" priority="54">
      <formula>kvartal &lt; 4</formula>
    </cfRule>
  </conditionalFormatting>
  <conditionalFormatting sqref="F80:G80">
    <cfRule type="expression" dxfId="1550" priority="53">
      <formula>kvartal &lt; 4</formula>
    </cfRule>
  </conditionalFormatting>
  <conditionalFormatting sqref="F83:G83">
    <cfRule type="expression" dxfId="1549" priority="52">
      <formula>kvartal &lt; 4</formula>
    </cfRule>
  </conditionalFormatting>
  <conditionalFormatting sqref="F90:G90">
    <cfRule type="expression" dxfId="1548" priority="46">
      <formula>kvartal &lt; 4</formula>
    </cfRule>
  </conditionalFormatting>
  <conditionalFormatting sqref="F93">
    <cfRule type="expression" dxfId="1547" priority="45">
      <formula>kvartal &lt; 4</formula>
    </cfRule>
  </conditionalFormatting>
  <conditionalFormatting sqref="G93">
    <cfRule type="expression" dxfId="1546" priority="44">
      <formula>kvartal &lt; 4</formula>
    </cfRule>
  </conditionalFormatting>
  <conditionalFormatting sqref="F101">
    <cfRule type="expression" dxfId="1545" priority="43">
      <formula>kvartal &lt; 4</formula>
    </cfRule>
  </conditionalFormatting>
  <conditionalFormatting sqref="G101">
    <cfRule type="expression" dxfId="1544" priority="42">
      <formula>kvartal &lt; 4</formula>
    </cfRule>
  </conditionalFormatting>
  <conditionalFormatting sqref="G104">
    <cfRule type="expression" dxfId="1543" priority="41">
      <formula>kvartal &lt; 4</formula>
    </cfRule>
  </conditionalFormatting>
  <conditionalFormatting sqref="F104">
    <cfRule type="expression" dxfId="1542" priority="40">
      <formula>kvartal &lt; 4</formula>
    </cfRule>
  </conditionalFormatting>
  <conditionalFormatting sqref="J69:K73">
    <cfRule type="expression" dxfId="1541" priority="39">
      <formula>kvartal &lt; 4</formula>
    </cfRule>
  </conditionalFormatting>
  <conditionalFormatting sqref="J74:K74">
    <cfRule type="expression" dxfId="1540" priority="38">
      <formula>kvartal &lt; 4</formula>
    </cfRule>
  </conditionalFormatting>
  <conditionalFormatting sqref="J80:K85">
    <cfRule type="expression" dxfId="1539" priority="37">
      <formula>kvartal &lt; 4</formula>
    </cfRule>
  </conditionalFormatting>
  <conditionalFormatting sqref="J90:K95">
    <cfRule type="expression" dxfId="1538" priority="34">
      <formula>kvartal &lt; 4</formula>
    </cfRule>
  </conditionalFormatting>
  <conditionalFormatting sqref="J101:K106">
    <cfRule type="expression" dxfId="1537" priority="33">
      <formula>kvartal &lt; 4</formula>
    </cfRule>
  </conditionalFormatting>
  <conditionalFormatting sqref="J115:K115">
    <cfRule type="expression" dxfId="1536" priority="32">
      <formula>kvartal &lt; 4</formula>
    </cfRule>
  </conditionalFormatting>
  <conditionalFormatting sqref="J123:K123">
    <cfRule type="expression" dxfId="1535" priority="31">
      <formula>kvartal &lt; 4</formula>
    </cfRule>
  </conditionalFormatting>
  <conditionalFormatting sqref="A50:A52">
    <cfRule type="expression" dxfId="1534" priority="12">
      <formula>kvartal &lt; 4</formula>
    </cfRule>
  </conditionalFormatting>
  <conditionalFormatting sqref="A69:A74">
    <cfRule type="expression" dxfId="1533" priority="10">
      <formula>kvartal &lt; 4</formula>
    </cfRule>
  </conditionalFormatting>
  <conditionalFormatting sqref="A80:A85">
    <cfRule type="expression" dxfId="1532" priority="9">
      <formula>kvartal &lt; 4</formula>
    </cfRule>
  </conditionalFormatting>
  <conditionalFormatting sqref="A90:A95">
    <cfRule type="expression" dxfId="1531" priority="6">
      <formula>kvartal &lt; 4</formula>
    </cfRule>
  </conditionalFormatting>
  <conditionalFormatting sqref="A101:A106">
    <cfRule type="expression" dxfId="1530" priority="5">
      <formula>kvartal &lt; 4</formula>
    </cfRule>
  </conditionalFormatting>
  <conditionalFormatting sqref="A115">
    <cfRule type="expression" dxfId="1529" priority="4">
      <formula>kvartal &lt; 4</formula>
    </cfRule>
  </conditionalFormatting>
  <conditionalFormatting sqref="A123">
    <cfRule type="expression" dxfId="1528" priority="3">
      <formula>kvartal &lt; 4</formula>
    </cfRule>
  </conditionalFormatting>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A g E A A B Q S w M E F A A C A A g A Z V Q k U d v V b l W o A A A A + A A A A B I A H A B D b 2 5 m a W c v U G F j a 2 F n Z S 5 4 b W w g o h g A K K A U A A A A A A A A A A A A A A A A A A A A A A A A A A A A h Y 9 B D o I w F E S v Q r q n L Y i B k E 9 Z u B U 1 M T F u a 6 3 Q C M X Q Y r m b C 4 / k F S R R 1 J 3 L m b x J 3 j x u d 8 i H p v a u s j O q 1 R k K M E W e 1 K I 9 K l 1 m q L c n P 0 E 5 g w 0 X Z 1 5 K b 4 S 1 S Q e j M l R Z e 0 k J c c 5 h N 8 N t V 5 K Q 0 o D s i + V W V L L h v t L G c i 0 k + q y O / 1 e I w e 4 l w 0 I c J 3 g e R x R H S Q B k q q F Q + o u E o z G m Q H 5 K W P S 1 7 T v J 9 M F f r Y F M E c j 7 B X s C U E s D B B Q A A g A I A G V U J 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l V C R R B v r 5 6 f 4 A A A B i A Q A A E w A c A E Z v c m 1 1 b G F z L 1 N l Y 3 R p b 2 4 x L m 0 g o h g A K K A U A A A A A A A A A A A A A A A A A A A A A A A A A A A A f Y / B S s N A E I b P D f Q d h j 2 U B t I Q P Q k h I K R B p F C U B C 2 s S 9 g 0 A 8 Z s s n W y K Z X S o 4 / i k / T F u r F F 8 e J c Z m D + b / 7 5 O 1 y b S r e Q n v t V O H b G T v c q C U u Y S y M h A o X G A V s P k m S D B u k J q a z s I t m t U f l x T 4 S t e d Z U F 1 r X U 3 f P l 1 Y X s R 8 9 M n H g s W 6 N l Q k P v o 8 t K l W i v Z G + K 3 / w K W S H U 5 b d z d L V / C a Z B c H 1 y 7 0 F q J W K e c B U t c 0 b a S f + 2 C N 9 R C x Z J T H w s t D C 5 5 s c h 0 / y D W F n L W T 3 p l v h j E a 3 x y + y F g w m s O y b A s n P d I Y 7 M / 2 b h B 8 / S e y D g w s T 5 g 1 Y v Z V k p L q g / 7 O L s / b C A w u Z c J 2 q / c 0 Y n g B Q S w E C L Q A U A A I A C A B l V C R R 2 9 V u V a g A A A D 4 A A A A E g A A A A A A A A A A A A A A A A A A A A A A Q 2 9 u Z m l n L 1 B h Y 2 t h Z 2 U u e G 1 s U E s B A i 0 A F A A C A A g A Z V Q k U Q / K 6 a u k A A A A 6 Q A A A B M A A A A A A A A A A A A A A A A A 9 A A A A F t D b 2 5 0 Z W 5 0 X 1 R 5 c G V z X S 5 4 b W x Q S w E C L Q A U A A I A C A B l V C R R B v r 5 6 f 4 A A A B i A Q A A E w A A A A A A A A A A A A A A A A D l A Q A A R m 9 y b X V s Y X M v U 2 V j d G l v b j E u b V B L B Q Y A A A A A A w A D A M I A A A A w 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7 H C w A A A A A A A K U 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5 h d m l n Y X R p b 2 5 T d G V w T m F t Z S I g V m F s d W U 9 I n N O Y X Z p Z 2 F 0 a W 9 u I i A v P j x F b n R y e S B U e X B l P S J G a W x s R W 5 h Y m x l Z C I g V m F s d W U 9 I m w w I i A v P j x F b n R y e S B U e X B l P S J G a W x s V G 9 E Y X R h T W 9 k Z W x F b m F i b G V k I i B W Y W x 1 Z T 0 i b D A i I C 8 + P E V u d H J 5 I F R 5 c G U 9 I k 5 h b W V V c G R h d G V k Q W Z 0 Z X J G a W x s I i B W Y W x 1 Z T 0 i b D A i I C 8 + P E V u d H J 5 I F R 5 c G U 9 I l J l c 3 V s d F R 5 c G U i I F Z h b H V l P S J z R X h j Z X B 0 a W 9 u I i A v P j x F b n R y e S B U e X B l P S J G a W x s Z W R D b 2 1 w b G V 0 Z V J l c 3 V s d F R v V 2 9 y a 3 N o Z W V 0 I i B W Y W x 1 Z T 0 i b D E i I C 8 + P E V u d H J 5 I F R 5 c G U 9 I l J l Y 2 9 2 Z X J 5 V G F y Z 2 V 0 U 2 h l Z X Q i I F Z h b H V l P S J z Q X J r M i I g L z 4 8 R W 5 0 c n k g V H l w Z T 0 i U m V j b 3 Z l c n l U Y X J n Z X R D b 2 x 1 b W 4 i I F Z h b H V l P S J s M S I g L z 4 8 R W 5 0 c n k g V H l w Z T 0 i U m V j b 3 Z l c n l U Y X J n Z X R S b 3 c i I F Z h b H V l P S J s M S I g L z 4 8 R W 5 0 c n k g V H l w Z T 0 i U X V l c n l J R C I g V m F s d W U 9 I n M 0 Z T g z Y W R k O S 1 l Y 2 N i L T R l Z j Y t O W N m O C 0 2 Y j I 5 O G R m M D Q 0 Y z k i I C 8 + P E V u d H J 5 I F R 5 c G U 9 I k J 1 Z m Z l c k 5 l e H R S Z W Z y Z X N o I i B W Y W x 1 Z T 0 i b D E i I C 8 + P E V u d H J 5 I F R 5 c G U 9 I k Z p b G x M Y X N 0 V X B k Y X R l Z C I g V m F s d W U 9 I m Q y M D I w L T A 5 L T A y V D E z O j U w O j I 5 L j Y 0 O D U 0 N z h a I i A v P j x F b n R y e S B U e X B l P S J G a W x s R X J y b 3 J D b 3 V u d C I g V m F s d W U 9 I m w w I i A v P j x F b n R y e S B U e X B l P S J G a W x s Q 2 9 s d W 1 u V H l w Z X M i I F Z h b H V l P S J z Q m d J Q 0 F n S U N B Z 1 U 9 I i A v P j x F b n R y e S B U e X B l P S J G a W x s R X J y b 3 J D b 2 R l I i B W Y W x 1 Z T 0 i c 1 V u a 2 5 v d 2 4 i I C 8 + P E V u d H J 5 I F R 5 c G U 9 I k Z p b G x D b 2 x 1 b W 5 O Y W 1 l c y I g V m F s d W U 9 I n N b J n F 1 b 3 Q 7 c 8 O 4 a 2 V u w 7 h r a 2 V s J n F 1 b 3 Q 7 L C Z x d W 9 0 O 3 N l b H N r Y X B f a W Q m c X V v d D s s J n F 1 b 3 Q 7 w 6 V y J n F 1 b 3 Q 7 L C Z x d W 9 0 O 2 t 2 Y X J 0 Y W w m c X V v d D s s J n F 1 b 3 Q 7 d G F i Z W x s X 2 l k J n F 1 b 3 Q 7 L C Z x d W 9 0 O 3 J h Z F 9 p Z C Z x d W 9 0 O y w m c X V v d D t r Y X R l Z 2 9 y a V 9 p Z C Z x d W 9 0 O y w m c X V v d D t 2 Z X J k a S Z x d W 9 0 O 1 0 i I C 8 + P E V u d H J 5 I F R 5 c G U 9 I k Z p b G x D b 3 V u d C I g V m F s d W U 9 I m w 3 M T c 2 I i A v P j x F b n R y e S B U e X B l P S J G a W x s U 3 R h d H V z I i B W Y W x 1 Z T 0 i c 0 N v b X B s Z X R l I i A v P j x F b n R y e S B U e X B l P S J B Z G R l Z F R v R G F 0 Y U 1 v Z G V s I i B W Y W x 1 Z T 0 i b D A i I C 8 + P E V u d H J 5 I F R 5 c G U 9 I l J l b G F 0 a W 9 u c 2 h p c E l u Z m 9 D b 2 5 0 Y W l u Z X I i I F Z h b H V l P S J z e y Z x d W 9 0 O 2 N v b H V t b k N v d W 5 0 J n F 1 b 3 Q 7 O j g s J n F 1 b 3 Q 7 a 2 V 5 Q 2 9 s d W 1 u T m F t Z X M m c X V v d D s 6 W 1 0 s J n F 1 b 3 Q 7 c X V l c n l S Z W x h d G l v b n N o a X B z J n F 1 b 3 Q 7 O l t d L C Z x d W 9 0 O 2 N v b H V t b k l k Z W 5 0 a X R p Z X M m c X V v d D s 6 W y Z x d W 9 0 O 1 N l Y 3 R p b 2 4 x L 0 R h d G E v S 2 l s Z G U u e 3 P D u G t l b s O 4 a 2 t l b C w w f S Z x d W 9 0 O y w m c X V v d D t T Z W N 0 a W 9 u M S 9 E Y X R h L 0 t p b G R l L n t z Z W x z a 2 F w X 2 l k L D F 9 J n F 1 b 3 Q 7 L C Z x d W 9 0 O 1 N l Y 3 R p b 2 4 x L 0 R h d G E v S 2 l s Z G U u e 8 O l c i w y f S Z x d W 9 0 O y w m c X V v d D t T Z W N 0 a W 9 u M S 9 E Y X R h L 0 t p b G R l L n t r d m F y d G F s L D N 9 J n F 1 b 3 Q 7 L C Z x d W 9 0 O 1 N l Y 3 R p b 2 4 x L 0 R h d G E v S 2 l s Z G U u e 3 R h Y m V s b F 9 p Z C w 0 f S Z x d W 9 0 O y w m c X V v d D t T Z W N 0 a W 9 u M S 9 E Y X R h L 0 t p b G R l L n t y Y W R f a W Q s N X 0 m c X V v d D s s J n F 1 b 3 Q 7 U 2 V j d G l v b j E v R G F 0 Y S 9 L a W x k Z S 5 7 a 2 F 0 Z W d v c m l f a W Q s N n 0 m c X V v d D s s J n F 1 b 3 Q 7 U 2 V j d G l v b j E v R G F 0 Y S 9 L a W x k Z S 5 7 d m V y Z G k s N 3 0 m c X V v d D t d L C Z x d W 9 0 O 0 N v b H V t b k N v d W 5 0 J n F 1 b 3 Q 7 O j g s J n F 1 b 3 Q 7 S 2 V 5 Q 2 9 s d W 1 u T m F t Z X M m c X V v d D s 6 W 1 0 s J n F 1 b 3 Q 7 Q 2 9 s d W 1 u S W R l b n R p d G l l c y Z x d W 9 0 O z p b J n F 1 b 3 Q 7 U 2 V j d G l v b j E v R G F 0 Y S 9 L a W x k Z S 5 7 c 8 O 4 a 2 V u w 7 h r a 2 V s L D B 9 J n F 1 b 3 Q 7 L C Z x d W 9 0 O 1 N l Y 3 R p b 2 4 x L 0 R h d G E v S 2 l s Z G U u e 3 N l b H N r Y X B f a W Q s M X 0 m c X V v d D s s J n F 1 b 3 Q 7 U 2 V j d G l v b j E v R G F 0 Y S 9 L a W x k Z S 5 7 w 6 V y L D J 9 J n F 1 b 3 Q 7 L C Z x d W 9 0 O 1 N l Y 3 R p b 2 4 x L 0 R h d G E v S 2 l s Z G U u e 2 t 2 Y X J 0 Y W w s M 3 0 m c X V v d D s s J n F 1 b 3 Q 7 U 2 V j d G l v b j E v R G F 0 Y S 9 L a W x k Z S 5 7 d G F i Z W x s X 2 l k L D R 9 J n F 1 b 3 Q 7 L C Z x d W 9 0 O 1 N l Y 3 R p b 2 4 x L 0 R h d G E v S 2 l s Z G U u e 3 J h Z F 9 p Z C w 1 f S Z x d W 9 0 O y w m c X V v d D t T Z W N 0 a W 9 u M S 9 E Y X R h L 0 t p b G R l L n t r Y X R l Z 2 9 y a V 9 p Z C w 2 f S Z x d W 9 0 O y w m c X V v d D t T Z W N 0 a W 9 u M S 9 E Y X R h L 0 t p b G R l L n t 2 Z X J k a S w 3 f S Z x d W 9 0 O 1 0 s J n F 1 b 3 Q 7 U m V s Y X R p b 2 5 z a G l w S W 5 m b y Z x d W 9 0 O z p b X X 0 i I C 8 + P E V u d H J 5 I F R 5 c G U 9 I k Z p b G x P Y m p l Y 3 R U e X B l I i B W Y W x 1 Z T 0 i c 0 N v b m 5 l Y 3 R p b 2 5 P b m x 5 I i A v P j w v U 3 R h Y m x l R W 5 0 c m l l c z 4 8 L 0 l 0 Z W 0 + P E l 0 Z W 0 + P E l 0 Z W 1 M b 2 N h d G l v b j 4 8 S X R l b V R 5 c G U + R m 9 y b X V s Y T w v S X R l b V R 5 c G U + P E l 0 Z W 1 Q Y X R o P l N l Y 3 R p b 2 4 x L 0 R h d G E v S 2 l s Z G U 8 L 0 l 0 Z W 1 Q Y X R o P j w v S X R l b U x v Y 2 F 0 a W 9 u P j x T d G F i b G V F b n R y a W V z I C 8 + P C 9 J d G V t P j x J d G V t P j x J d G V t T G 9 j Y X R p b 2 4 + P E l 0 Z W 1 U e X B l P k Z v c m 1 1 b G E 8 L 0 l 0 Z W 1 U e X B l P j x J d G V t U G F 0 a D 5 T Z W N 0 a W 9 u M S 9 E Y X R h L 1 B h c m F t Z X R l c l Z l c m R p P C 9 J d G V t U G F 0 a D 4 8 L 0 l 0 Z W 1 M b 2 N h d G l v b j 4 8 U 3 R h Y m x l R W 5 0 c m l l c y A v P j w v S X R l b T 4 8 L 0 l 0 Z W 1 z P j w v T G 9 j Y W x Q Y W N r Y W d l T W V 0 Y W R h d G F G a W x l P h Y A A A B Q S w U G A A A A A A A A A A A A A A A A A A A A A A A A 2 g A A A A E A A A D Q j J 3 f A R X R E Y x 6 A M B P w p f r A Q A A A I N W A 6 r r l c F E s 7 X d r U A V 2 0 w A A A A A A g A A A A A A A 2 Y A A M A A A A A Q A A A A S W R K + D V F h u W 3 T F 2 a H Q l s r A A A A A A E g A A A o A A A A B A A A A B R Y Z w 7 m M d Y n z 1 d 6 o J C d N a e U A A A A D Y 7 w J l u n a B 6 E 6 s H e M N H Z h f v O F v D D I E N T a 5 j I s r e K b 3 l e y B P c s P 1 5 T m X z H 1 q a Q m f S R k 4 D X h p w x w O F Z B j I m P b D p N p D d g 1 O s 2 c i Y T N o u K i s H i D F A A A A O 5 i 6 B F T 8 Y R 7 S 9 1 Q U O P w h n z g x B R l < / 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2020-123998358-363</_dlc_DocId>
    <_dlc_DocIdUrl xmlns="6edf9311-6556-4af2-85ff-d57844cfe120">
      <Url>https://finansnorge.sharepoint.com/sites/intranett/arkiv/_layouts/15/DocIdRedir.aspx?ID=2020-123998358-363</Url>
      <Description>2020-123998358-363</Description>
    </_dlc_DocIdUrl>
  </documentManagement>
</p:properties>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customXml/itemProps2.xml><?xml version="1.0" encoding="utf-8"?>
<ds:datastoreItem xmlns:ds="http://schemas.openxmlformats.org/officeDocument/2006/customXml" ds:itemID="{C25B5800-7556-4706-91A7-62A678D54F9B}"/>
</file>

<file path=customXml/itemProps3.xml><?xml version="1.0" encoding="utf-8"?>
<ds:datastoreItem xmlns:ds="http://schemas.openxmlformats.org/officeDocument/2006/customXml" ds:itemID="{C04D8251-A221-47F2-9A82-C8855A0C1BB9}"/>
</file>

<file path=customXml/itemProps4.xml><?xml version="1.0" encoding="utf-8"?>
<ds:datastoreItem xmlns:ds="http://schemas.openxmlformats.org/officeDocument/2006/customXml" ds:itemID="{A408F5AE-C324-4076-AA71-37298EB1E3F8}"/>
</file>

<file path=customXml/itemProps5.xml><?xml version="1.0" encoding="utf-8"?>
<ds:datastoreItem xmlns:ds="http://schemas.openxmlformats.org/officeDocument/2006/customXml" ds:itemID="{BBB77928-BCBD-40D9-A585-9EA9B2B334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35</vt:i4>
      </vt:variant>
      <vt:variant>
        <vt:lpstr>Navngitte områder</vt:lpstr>
      </vt:variant>
      <vt:variant>
        <vt:i4>4</vt:i4>
      </vt:variant>
    </vt:vector>
  </HeadingPairs>
  <TitlesOfParts>
    <vt:vector size="39" baseType="lpstr">
      <vt:lpstr>Forside</vt:lpstr>
      <vt:lpstr>Innhold</vt:lpstr>
      <vt:lpstr>Figurer</vt:lpstr>
      <vt:lpstr>Tabel 1.1</vt:lpstr>
      <vt:lpstr>Tabell 1.2</vt:lpstr>
      <vt:lpstr>Tabell 1.3</vt:lpstr>
      <vt:lpstr>Skjema total MA</vt:lpstr>
      <vt:lpstr>Danica Pensjonsforsikring</vt:lpstr>
      <vt:lpstr>DNB Livsforsikring</vt:lpstr>
      <vt:lpstr>Eika Forsikring AS</vt:lpstr>
      <vt:lpstr>Fremtind Livsforsikring</vt:lpstr>
      <vt:lpstr>Frende Livsforsikring</vt:lpstr>
      <vt:lpstr>Frende Skadeforsikring</vt:lpstr>
      <vt:lpstr>Gjensidige Forsikring</vt:lpstr>
      <vt:lpstr>Gjensidige Pensjon</vt:lpstr>
      <vt:lpstr>Handelsbanken Liv</vt:lpstr>
      <vt:lpstr>If Skadeforsikring NUF</vt:lpstr>
      <vt:lpstr>Insr</vt:lpstr>
      <vt:lpstr>KLP</vt:lpstr>
      <vt:lpstr>KLP Bedriftspensjon AS</vt:lpstr>
      <vt:lpstr>KLP Skadeforsikring AS</vt:lpstr>
      <vt:lpstr>Landkreditt Forsikring</vt:lpstr>
      <vt:lpstr>Nordea Liv </vt:lpstr>
      <vt:lpstr>Oslo Pensjonsforsikring</vt:lpstr>
      <vt:lpstr>Protector Forsikring</vt:lpstr>
      <vt:lpstr>SHB Liv</vt:lpstr>
      <vt:lpstr>Sparebank 1</vt:lpstr>
      <vt:lpstr>Storebrand Livsforsikring</vt:lpstr>
      <vt:lpstr>Telenor Forsikring</vt:lpstr>
      <vt:lpstr>Tryg Forsikring</vt:lpstr>
      <vt:lpstr>WaterCircle F</vt:lpstr>
      <vt:lpstr>Tabell 4</vt:lpstr>
      <vt:lpstr>Tabell 6</vt:lpstr>
      <vt:lpstr>Tabell 8</vt:lpstr>
      <vt:lpstr>Noter og kommentarer</vt:lpstr>
      <vt:lpstr>'Fremtind Livsforsikring'!Utskriftsområde</vt:lpstr>
      <vt:lpstr>Insr!Utskriftsområde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2020-09-04T12:16:29Z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bd5f72d5-655d-4998-b412-7ade3e22f866</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