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31.xml" ContentType="application/vnd.openxmlformats-officedocument.spreadsheetml.worksheet+xml"/>
  <Override PartName="/xl/worksheets/sheet29.xml" ContentType="application/vnd.openxmlformats-officedocument.spreadsheetml.worksheet+xml"/>
  <Override PartName="/xl/worksheets/sheet9.xml" ContentType="application/vnd.openxmlformats-officedocument.spreadsheetml.worksheet+xml"/>
  <Override PartName="/xl/worksheets/sheet3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nnections.xml" ContentType="application/vnd.openxmlformats-officedocument.spreadsheetml.connection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vfile01\finansnorge\SFA\Statistikk og analyse\Livstatistikk\Faste statistikker\MA\2017\Q2\Publisering\"/>
    </mc:Choice>
  </mc:AlternateContent>
  <bookViews>
    <workbookView xWindow="4275" yWindow="4305" windowWidth="10710" windowHeight="3225" tabRatio="835" activeTab="1"/>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ilver Pensjonsforsikring AS" sheetId="36" r:id="rId26"/>
    <sheet name="Sparebank 1" sheetId="33" r:id="rId27"/>
    <sheet name="Storebrand Livsforsikring" sheetId="37" r:id="rId28"/>
    <sheet name="Telenor Forsikring" sheetId="38" r:id="rId29"/>
    <sheet name="Tryg Forsikring" sheetId="39" r:id="rId30"/>
    <sheet name="Tabell 4" sheetId="65" r:id="rId31"/>
    <sheet name="Tabell 6" sheetId="63" r:id="rId32"/>
    <sheet name="Tabell 8" sheetId="64" r:id="rId33"/>
    <sheet name="Noter og kommentarer" sheetId="3" r:id="rId34"/>
  </sheets>
  <externalReferences>
    <externalReference r:id="rId35"/>
    <externalReference r:id="rId36"/>
  </externalReferences>
  <definedNames>
    <definedName name="Dag">#REF!</definedName>
    <definedName name="Dager">#REF!</definedName>
    <definedName name="dato" localSheetId="30">#REF!</definedName>
    <definedName name="dato">#REF!</definedName>
    <definedName name="Feilmelding" localSheetId="30">#REF!</definedName>
    <definedName name="Feilmelding">#REF!</definedName>
    <definedName name="FilNavn">[1]Oppslagstabeller!$N$5</definedName>
    <definedName name="Fjorårstall" localSheetId="30">#REF!</definedName>
    <definedName name="Fjorårstall">#REF!</definedName>
    <definedName name="Koder2a">[2]!Tabell2[#All]</definedName>
    <definedName name="Kvartal" localSheetId="30">#REF!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Group'!$A$1:$M$135</definedName>
    <definedName name="_xlnm.Print_Area" localSheetId="21">'NEMI Forsikring'!$A$1:$M$135</definedName>
    <definedName name="_xlnm.Print_Area" localSheetId="33">'Noter og kommentarer'!$A$1:$L$43</definedName>
    <definedName name="_xlnm.Print_Area" localSheetId="6">'Skjema total MA'!$A$1:$J$136</definedName>
    <definedName name="År" localSheetId="30">#REF!</definedName>
    <definedName name="år">#REF!</definedName>
    <definedName name="ÅrFratrekk">#REF!</definedName>
  </definedNames>
  <calcPr calcId="171027"/>
</workbook>
</file>

<file path=xl/calcChain.xml><?xml version="1.0" encoding="utf-8"?>
<calcChain xmlns="http://schemas.openxmlformats.org/spreadsheetml/2006/main">
  <c r="K27" i="37" l="1"/>
  <c r="J27" i="37"/>
  <c r="D8" i="4" l="1"/>
  <c r="B9" i="4"/>
  <c r="B8" i="4"/>
  <c r="C9" i="4"/>
  <c r="J9" i="37"/>
  <c r="J8" i="37"/>
  <c r="K9" i="37"/>
  <c r="K8" i="37"/>
  <c r="C27" i="58" l="1"/>
  <c r="B27" i="58"/>
  <c r="AN45" i="63"/>
  <c r="AK45" i="63"/>
  <c r="AH45" i="63"/>
  <c r="AB45" i="63"/>
  <c r="Y45" i="63"/>
  <c r="S45" i="63"/>
  <c r="M45" i="63"/>
  <c r="J45" i="63"/>
  <c r="S50" i="63"/>
  <c r="AN50" i="63"/>
  <c r="J74" i="63"/>
  <c r="M74" i="63"/>
  <c r="S74" i="63"/>
  <c r="V74" i="63"/>
  <c r="Y74" i="63"/>
  <c r="AB74" i="63"/>
  <c r="AH74" i="63"/>
  <c r="AK74" i="63"/>
  <c r="AN74" i="63"/>
  <c r="AN69" i="63"/>
  <c r="AH69" i="63"/>
  <c r="AE69" i="63"/>
  <c r="AB69" i="63"/>
  <c r="Y69" i="63"/>
  <c r="V69" i="63"/>
  <c r="S69" i="63"/>
  <c r="P69" i="63"/>
  <c r="M69" i="63"/>
  <c r="J69" i="63"/>
  <c r="G69" i="63"/>
  <c r="G74" i="63"/>
  <c r="D74" i="63"/>
  <c r="D69" i="63"/>
  <c r="D45" i="63"/>
  <c r="D21" i="63"/>
  <c r="L63" i="65"/>
  <c r="AD29" i="65"/>
  <c r="AC29" i="65"/>
  <c r="AK69" i="63" l="1"/>
  <c r="AK68" i="63"/>
  <c r="V45" i="63"/>
  <c r="AN45" i="65" l="1"/>
  <c r="AE45" i="65"/>
  <c r="AS44" i="65"/>
  <c r="AR44" i="65"/>
  <c r="AP44" i="65"/>
  <c r="AO44" i="65"/>
  <c r="AQ44" i="65" s="1"/>
  <c r="AN44" i="65"/>
  <c r="AK44" i="65"/>
  <c r="V44" i="65"/>
  <c r="S44" i="65"/>
  <c r="AN43" i="65"/>
  <c r="AE43" i="65"/>
  <c r="AS42" i="65"/>
  <c r="AR42" i="65"/>
  <c r="AP42" i="65"/>
  <c r="AO42" i="65"/>
  <c r="AN42" i="65"/>
  <c r="AK42" i="65"/>
  <c r="AB42" i="65"/>
  <c r="Y42" i="65"/>
  <c r="S42" i="65"/>
  <c r="M42" i="65"/>
  <c r="J42" i="65"/>
  <c r="G42" i="65"/>
  <c r="D42" i="65"/>
  <c r="AN41" i="65"/>
  <c r="AE41" i="65"/>
  <c r="AN40" i="65"/>
  <c r="AJ40" i="65"/>
  <c r="AI40" i="65"/>
  <c r="AK40" i="65" s="1"/>
  <c r="AF40" i="65"/>
  <c r="AH40" i="65" s="1"/>
  <c r="AA40" i="65"/>
  <c r="X40" i="65"/>
  <c r="U40" i="65"/>
  <c r="L40" i="65"/>
  <c r="M40" i="65" s="1"/>
  <c r="I40" i="65"/>
  <c r="H40" i="65"/>
  <c r="F40" i="65"/>
  <c r="G40" i="65" s="1"/>
  <c r="C40" i="65"/>
  <c r="B40" i="65"/>
  <c r="AS39" i="65"/>
  <c r="AR39" i="65"/>
  <c r="AP39" i="65"/>
  <c r="AO39" i="65"/>
  <c r="AN39" i="65"/>
  <c r="AK39" i="65"/>
  <c r="AH39" i="65"/>
  <c r="AB39" i="65"/>
  <c r="Y39" i="65"/>
  <c r="V39" i="65"/>
  <c r="S39" i="65"/>
  <c r="M39" i="65"/>
  <c r="G39" i="65"/>
  <c r="AS38" i="65"/>
  <c r="AR38" i="65"/>
  <c r="AP38" i="65"/>
  <c r="AO38" i="65"/>
  <c r="AN38" i="65"/>
  <c r="AK38" i="65"/>
  <c r="AH38" i="65"/>
  <c r="AB38" i="65"/>
  <c r="V38" i="65"/>
  <c r="S38" i="65"/>
  <c r="M38" i="65"/>
  <c r="J38" i="65"/>
  <c r="G38" i="65"/>
  <c r="AS37" i="65"/>
  <c r="AR37" i="65"/>
  <c r="AP37" i="65"/>
  <c r="AO37" i="65"/>
  <c r="AN37" i="65"/>
  <c r="AK37" i="65"/>
  <c r="AH37" i="65"/>
  <c r="AB37" i="65"/>
  <c r="Y37" i="65"/>
  <c r="V37" i="65"/>
  <c r="S37" i="65"/>
  <c r="M37" i="65"/>
  <c r="J37" i="65"/>
  <c r="G37" i="65"/>
  <c r="D37" i="65"/>
  <c r="L34" i="65"/>
  <c r="AS33" i="65"/>
  <c r="AR33" i="65"/>
  <c r="AP33" i="65"/>
  <c r="AO33" i="65"/>
  <c r="AN33" i="65"/>
  <c r="AK33" i="65"/>
  <c r="AH33" i="65"/>
  <c r="AB33" i="65"/>
  <c r="Y33" i="65"/>
  <c r="V33" i="65"/>
  <c r="S33" i="65"/>
  <c r="G33" i="65"/>
  <c r="AS32" i="65"/>
  <c r="AR32" i="65"/>
  <c r="AP32" i="65"/>
  <c r="AO32" i="65"/>
  <c r="AN32" i="65"/>
  <c r="AK32" i="65"/>
  <c r="AH32" i="65"/>
  <c r="AE32" i="65"/>
  <c r="Y32" i="65"/>
  <c r="V32" i="65"/>
  <c r="S32" i="65"/>
  <c r="M32" i="65"/>
  <c r="J32" i="65"/>
  <c r="G32" i="65"/>
  <c r="D32" i="65"/>
  <c r="AS31" i="65"/>
  <c r="AR31" i="65"/>
  <c r="AP31" i="65"/>
  <c r="AO31" i="65"/>
  <c r="AN31" i="65"/>
  <c r="AK31" i="65"/>
  <c r="AH31" i="65"/>
  <c r="AB31" i="65"/>
  <c r="Y31" i="65"/>
  <c r="V31" i="65"/>
  <c r="S31" i="65"/>
  <c r="M31" i="65"/>
  <c r="G31" i="65"/>
  <c r="AS30" i="65"/>
  <c r="AR30" i="65"/>
  <c r="AP30" i="65"/>
  <c r="AO30" i="65"/>
  <c r="AN30" i="65"/>
  <c r="AK30" i="65"/>
  <c r="AH30" i="65"/>
  <c r="AE30" i="65"/>
  <c r="Y30" i="65"/>
  <c r="V30" i="65"/>
  <c r="S30" i="65"/>
  <c r="M30" i="65"/>
  <c r="J30" i="65"/>
  <c r="G30" i="65"/>
  <c r="D30" i="65"/>
  <c r="AM29" i="65"/>
  <c r="AJ29" i="65"/>
  <c r="AG29" i="65"/>
  <c r="AA29" i="65"/>
  <c r="X29" i="65"/>
  <c r="U29" i="65"/>
  <c r="T29" i="65"/>
  <c r="O29" i="65"/>
  <c r="N29" i="65"/>
  <c r="I29" i="65"/>
  <c r="F29" i="65"/>
  <c r="C29" i="65"/>
  <c r="AS28" i="65"/>
  <c r="AR28" i="65"/>
  <c r="AP28" i="65"/>
  <c r="AO28" i="65"/>
  <c r="AN28" i="65"/>
  <c r="AK28" i="65"/>
  <c r="S28" i="65"/>
  <c r="G28" i="65"/>
  <c r="AS27" i="65"/>
  <c r="AR27" i="65"/>
  <c r="AP27" i="65"/>
  <c r="AO27" i="65"/>
  <c r="AN27" i="65"/>
  <c r="J27" i="65"/>
  <c r="G27" i="65"/>
  <c r="D27" i="65"/>
  <c r="AS26" i="65"/>
  <c r="AR26" i="65"/>
  <c r="AP26" i="65"/>
  <c r="AO26" i="65"/>
  <c r="AN26" i="65"/>
  <c r="AK26" i="65"/>
  <c r="AB26" i="65"/>
  <c r="Y26" i="65"/>
  <c r="V26" i="65"/>
  <c r="S26" i="65"/>
  <c r="M26" i="65"/>
  <c r="G26" i="65"/>
  <c r="AS25" i="65"/>
  <c r="AR25" i="65"/>
  <c r="AP25" i="65"/>
  <c r="AO25" i="65"/>
  <c r="AN25" i="65"/>
  <c r="AK25" i="65"/>
  <c r="AH25" i="65"/>
  <c r="AB25" i="65"/>
  <c r="Y25" i="65"/>
  <c r="V25" i="65"/>
  <c r="S25" i="65"/>
  <c r="M25" i="65"/>
  <c r="G25" i="65"/>
  <c r="D25" i="65"/>
  <c r="AS24" i="65"/>
  <c r="AR24" i="65"/>
  <c r="AP24" i="65"/>
  <c r="AO24" i="65"/>
  <c r="AN24" i="65"/>
  <c r="AK24" i="65"/>
  <c r="AH24" i="65"/>
  <c r="Y24" i="65"/>
  <c r="V24" i="65"/>
  <c r="S24" i="65"/>
  <c r="M24" i="65"/>
  <c r="G24" i="65"/>
  <c r="AL23" i="65"/>
  <c r="AL29" i="65" s="1"/>
  <c r="AI23" i="65"/>
  <c r="AI29" i="65" s="1"/>
  <c r="AF23" i="65"/>
  <c r="AF29" i="65" s="1"/>
  <c r="Z23" i="65"/>
  <c r="W23" i="65"/>
  <c r="Y23" i="65" s="1"/>
  <c r="V23" i="65"/>
  <c r="S23" i="65"/>
  <c r="L23" i="65"/>
  <c r="K23" i="65"/>
  <c r="H23" i="65"/>
  <c r="H29" i="65" s="1"/>
  <c r="E23" i="65"/>
  <c r="G23" i="65" s="1"/>
  <c r="B23" i="65"/>
  <c r="D23" i="65" s="1"/>
  <c r="AM21" i="65"/>
  <c r="AL21" i="65"/>
  <c r="AN21" i="65" s="1"/>
  <c r="AJ21" i="65"/>
  <c r="AI21" i="65"/>
  <c r="AG21" i="65"/>
  <c r="AF21" i="65"/>
  <c r="AH21" i="65" s="1"/>
  <c r="AD21" i="65"/>
  <c r="AC21" i="65"/>
  <c r="AA21" i="65"/>
  <c r="Z21" i="65"/>
  <c r="AB21" i="65" s="1"/>
  <c r="X21" i="65"/>
  <c r="W21" i="65"/>
  <c r="U21" i="65"/>
  <c r="T21" i="65"/>
  <c r="O21" i="65"/>
  <c r="N21" i="65"/>
  <c r="K21" i="65"/>
  <c r="M21" i="65" s="1"/>
  <c r="I21" i="65"/>
  <c r="H21" i="65"/>
  <c r="F21" i="65"/>
  <c r="E21" i="65"/>
  <c r="C21" i="65"/>
  <c r="B21" i="65"/>
  <c r="AS20" i="65"/>
  <c r="AR20" i="65"/>
  <c r="AP20" i="65"/>
  <c r="AO20" i="65"/>
  <c r="AN20" i="65"/>
  <c r="AK20" i="65"/>
  <c r="AH20" i="65"/>
  <c r="AE20" i="65"/>
  <c r="Y20" i="65"/>
  <c r="V20" i="65"/>
  <c r="S20" i="65"/>
  <c r="M20" i="65"/>
  <c r="J20" i="65"/>
  <c r="G20" i="65"/>
  <c r="D20" i="65"/>
  <c r="AR19" i="65"/>
  <c r="AO19" i="65"/>
  <c r="AN19" i="65"/>
  <c r="AK19" i="65"/>
  <c r="AH19" i="65"/>
  <c r="AE19" i="65"/>
  <c r="AB19" i="65"/>
  <c r="Y19" i="65"/>
  <c r="V19" i="65"/>
  <c r="S19" i="65"/>
  <c r="L19" i="65"/>
  <c r="M19" i="65" s="1"/>
  <c r="J19" i="65"/>
  <c r="G19" i="65"/>
  <c r="D19" i="65"/>
  <c r="AS17" i="65"/>
  <c r="AR17" i="65"/>
  <c r="AP17" i="65"/>
  <c r="AO17" i="65"/>
  <c r="AN17" i="65"/>
  <c r="AK17" i="65"/>
  <c r="AB17" i="65"/>
  <c r="Y17" i="65"/>
  <c r="V17" i="65"/>
  <c r="S17" i="65"/>
  <c r="M17" i="65"/>
  <c r="J17" i="65"/>
  <c r="G17" i="65"/>
  <c r="AS16" i="65"/>
  <c r="AR16" i="65"/>
  <c r="AP16" i="65"/>
  <c r="AO16" i="65"/>
  <c r="AN16" i="65"/>
  <c r="AK16" i="65"/>
  <c r="AH16" i="65"/>
  <c r="AE16" i="65"/>
  <c r="Y16" i="65"/>
  <c r="V16" i="65"/>
  <c r="S16" i="65"/>
  <c r="M16" i="65"/>
  <c r="J16" i="65"/>
  <c r="G16" i="65"/>
  <c r="D16" i="65"/>
  <c r="AS15" i="65"/>
  <c r="AR15" i="65"/>
  <c r="AP15" i="65"/>
  <c r="AO15" i="65"/>
  <c r="AN15" i="65"/>
  <c r="AK15" i="65"/>
  <c r="AH15" i="65"/>
  <c r="AB15" i="65"/>
  <c r="Y15" i="65"/>
  <c r="V15" i="65"/>
  <c r="S15" i="65"/>
  <c r="M15" i="65"/>
  <c r="J15" i="65"/>
  <c r="G15" i="65"/>
  <c r="D15" i="65"/>
  <c r="AM14" i="65"/>
  <c r="AM63" i="65" s="1"/>
  <c r="AL14" i="65"/>
  <c r="AL63" i="65" s="1"/>
  <c r="AJ14" i="65"/>
  <c r="AJ63" i="65" s="1"/>
  <c r="AI14" i="65"/>
  <c r="AI63" i="65" s="1"/>
  <c r="AG14" i="65"/>
  <c r="AG63" i="65" s="1"/>
  <c r="AF14" i="65"/>
  <c r="AF63" i="65" s="1"/>
  <c r="AD14" i="65"/>
  <c r="AD63" i="65" s="1"/>
  <c r="AC14" i="65"/>
  <c r="AC63" i="65" s="1"/>
  <c r="AA14" i="65"/>
  <c r="AA63" i="65" s="1"/>
  <c r="Z14" i="65"/>
  <c r="Z63" i="65" s="1"/>
  <c r="X14" i="65"/>
  <c r="X63" i="65" s="1"/>
  <c r="W14" i="65"/>
  <c r="W63" i="65" s="1"/>
  <c r="U14" i="65"/>
  <c r="U63" i="65" s="1"/>
  <c r="T14" i="65"/>
  <c r="T63" i="65" s="1"/>
  <c r="R63" i="65"/>
  <c r="Q63" i="65"/>
  <c r="O14" i="65"/>
  <c r="O63" i="65" s="1"/>
  <c r="N14" i="65"/>
  <c r="N63" i="65" s="1"/>
  <c r="K14" i="65"/>
  <c r="K63" i="65" s="1"/>
  <c r="I14" i="65"/>
  <c r="I63" i="65" s="1"/>
  <c r="H14" i="65"/>
  <c r="H63" i="65" s="1"/>
  <c r="F14" i="65"/>
  <c r="F63" i="65" s="1"/>
  <c r="E14" i="65"/>
  <c r="E63" i="65" s="1"/>
  <c r="C14" i="65"/>
  <c r="C63" i="65" s="1"/>
  <c r="B14" i="65"/>
  <c r="B63" i="65" s="1"/>
  <c r="AS13" i="65"/>
  <c r="AR13" i="65"/>
  <c r="AP13" i="65"/>
  <c r="AO13" i="65"/>
  <c r="AN13" i="65"/>
  <c r="AK13" i="65"/>
  <c r="AH13" i="65"/>
  <c r="AE13" i="65"/>
  <c r="Y13" i="65"/>
  <c r="V13" i="65"/>
  <c r="S13" i="65"/>
  <c r="M13" i="65"/>
  <c r="J13" i="65"/>
  <c r="G13" i="65"/>
  <c r="D13" i="65"/>
  <c r="AS12" i="65"/>
  <c r="AR12" i="65"/>
  <c r="AP12" i="65"/>
  <c r="AO12" i="65"/>
  <c r="AN12" i="65"/>
  <c r="AK12" i="65"/>
  <c r="AB12" i="65"/>
  <c r="Y12" i="65"/>
  <c r="S12" i="65"/>
  <c r="M12" i="65"/>
  <c r="J12" i="65"/>
  <c r="G12" i="65"/>
  <c r="D12" i="65"/>
  <c r="AS11" i="65"/>
  <c r="AR11" i="65"/>
  <c r="AP11" i="65"/>
  <c r="AO11" i="65"/>
  <c r="AN11" i="65"/>
  <c r="AK11" i="65"/>
  <c r="AE11" i="65"/>
  <c r="AB11" i="65"/>
  <c r="Y11" i="65"/>
  <c r="V11" i="65"/>
  <c r="S11" i="65"/>
  <c r="M11" i="65"/>
  <c r="J11" i="65"/>
  <c r="G11" i="65"/>
  <c r="D11" i="65"/>
  <c r="AQ15" i="65" l="1"/>
  <c r="AQ17" i="65"/>
  <c r="AQ42" i="65"/>
  <c r="AQ32" i="65"/>
  <c r="AT13" i="65"/>
  <c r="AQ16" i="65"/>
  <c r="Y21" i="65"/>
  <c r="AQ37" i="65"/>
  <c r="AQ12" i="65"/>
  <c r="AK23" i="65"/>
  <c r="AT24" i="65"/>
  <c r="AQ25" i="65"/>
  <c r="W29" i="65"/>
  <c r="Y29" i="65" s="1"/>
  <c r="AK29" i="65"/>
  <c r="AT11" i="65"/>
  <c r="M14" i="65"/>
  <c r="AE14" i="65"/>
  <c r="AT16" i="65"/>
  <c r="AQ20" i="65"/>
  <c r="J21" i="65"/>
  <c r="J23" i="65"/>
  <c r="AH23" i="65"/>
  <c r="AN23" i="65"/>
  <c r="V40" i="65"/>
  <c r="AR40" i="65"/>
  <c r="AH14" i="65"/>
  <c r="AP23" i="65"/>
  <c r="V14" i="65"/>
  <c r="G21" i="65"/>
  <c r="AQ33" i="65"/>
  <c r="AT15" i="65"/>
  <c r="AK21" i="65"/>
  <c r="AT25" i="65"/>
  <c r="AT26" i="65"/>
  <c r="AT27" i="65"/>
  <c r="AQ30" i="65"/>
  <c r="AO14" i="65"/>
  <c r="AO63" i="65" s="1"/>
  <c r="AP19" i="65"/>
  <c r="AQ19" i="65" s="1"/>
  <c r="AT31" i="65"/>
  <c r="AT32" i="65"/>
  <c r="AT44" i="65"/>
  <c r="U34" i="65"/>
  <c r="AQ11" i="65"/>
  <c r="AT12" i="65"/>
  <c r="D14" i="65"/>
  <c r="AS19" i="65"/>
  <c r="AT19" i="65" s="1"/>
  <c r="AT20" i="65"/>
  <c r="S21" i="65"/>
  <c r="M23" i="65"/>
  <c r="AQ26" i="65"/>
  <c r="AQ31" i="65"/>
  <c r="AT37" i="65"/>
  <c r="AQ38" i="65"/>
  <c r="AQ39" i="65"/>
  <c r="AI34" i="65"/>
  <c r="AQ27" i="65"/>
  <c r="AT28" i="65"/>
  <c r="AB23" i="65"/>
  <c r="Z29" i="65"/>
  <c r="N34" i="65"/>
  <c r="AR21" i="65"/>
  <c r="AP40" i="65"/>
  <c r="H34" i="65"/>
  <c r="J14" i="65"/>
  <c r="S14" i="65"/>
  <c r="Y14" i="65"/>
  <c r="AL34" i="65"/>
  <c r="AN14" i="65"/>
  <c r="I34" i="65"/>
  <c r="AD34" i="65"/>
  <c r="AM34" i="65"/>
  <c r="AT17" i="65"/>
  <c r="D21" i="65"/>
  <c r="AO21" i="65"/>
  <c r="AB40" i="65"/>
  <c r="AQ13" i="65"/>
  <c r="G14" i="65"/>
  <c r="AB14" i="65"/>
  <c r="AK14" i="65"/>
  <c r="AP14" i="65"/>
  <c r="AP63" i="65" s="1"/>
  <c r="AS21" i="65"/>
  <c r="AP21" i="65"/>
  <c r="V21" i="65"/>
  <c r="AE21" i="65"/>
  <c r="AC34" i="65"/>
  <c r="AP29" i="65"/>
  <c r="AS29" i="65"/>
  <c r="AA34" i="65"/>
  <c r="AR23" i="65"/>
  <c r="E29" i="65"/>
  <c r="K29" i="65"/>
  <c r="AO40" i="65"/>
  <c r="O34" i="65"/>
  <c r="T34" i="65"/>
  <c r="X34" i="65"/>
  <c r="AF34" i="65"/>
  <c r="AJ34" i="65"/>
  <c r="AR14" i="65"/>
  <c r="AR63" i="65" s="1"/>
  <c r="AS23" i="65"/>
  <c r="AH29" i="65"/>
  <c r="AN29" i="65"/>
  <c r="AT33" i="65"/>
  <c r="F34" i="65"/>
  <c r="AT38" i="65"/>
  <c r="AS40" i="65"/>
  <c r="J40" i="65"/>
  <c r="AT42" i="65"/>
  <c r="L41" i="65"/>
  <c r="S40" i="65"/>
  <c r="C34" i="65"/>
  <c r="AS14" i="65"/>
  <c r="AS63" i="65" s="1"/>
  <c r="B29" i="65"/>
  <c r="AO23" i="65"/>
  <c r="J29" i="65"/>
  <c r="AQ24" i="65"/>
  <c r="AQ28" i="65"/>
  <c r="V29" i="65"/>
  <c r="AT30" i="65"/>
  <c r="AG34" i="65"/>
  <c r="AT39" i="65"/>
  <c r="D40" i="65"/>
  <c r="Y40" i="65"/>
  <c r="AJ18" i="64"/>
  <c r="AI18" i="64"/>
  <c r="AK18" i="64" s="1"/>
  <c r="AH18" i="64"/>
  <c r="AE18" i="64"/>
  <c r="AB18" i="64"/>
  <c r="Y18" i="64"/>
  <c r="V18" i="64"/>
  <c r="S18" i="64"/>
  <c r="P18" i="64"/>
  <c r="G18" i="64"/>
  <c r="AJ16" i="64"/>
  <c r="AI16" i="64"/>
  <c r="AH16" i="64"/>
  <c r="AE16" i="64"/>
  <c r="AB16" i="64"/>
  <c r="Y16" i="64"/>
  <c r="V16" i="64"/>
  <c r="S16" i="64"/>
  <c r="P16" i="64"/>
  <c r="M16" i="64"/>
  <c r="G16" i="64"/>
  <c r="D16" i="64"/>
  <c r="AJ14" i="64"/>
  <c r="AI14" i="64"/>
  <c r="AH14" i="64"/>
  <c r="AE14" i="64"/>
  <c r="AB14" i="64"/>
  <c r="Y14" i="64"/>
  <c r="V14" i="64"/>
  <c r="S14" i="64"/>
  <c r="P14" i="64"/>
  <c r="M14" i="64"/>
  <c r="J14" i="64"/>
  <c r="G14" i="64"/>
  <c r="AJ12" i="64"/>
  <c r="AI12" i="64"/>
  <c r="AH12" i="64"/>
  <c r="AE12" i="64"/>
  <c r="AB12" i="64"/>
  <c r="Y12" i="64"/>
  <c r="V12" i="64"/>
  <c r="S12" i="64"/>
  <c r="P12" i="64"/>
  <c r="M12" i="64"/>
  <c r="G12" i="64"/>
  <c r="D12" i="64"/>
  <c r="AJ11" i="64"/>
  <c r="AI11" i="64"/>
  <c r="AH11" i="64"/>
  <c r="AE11" i="64"/>
  <c r="AB11" i="64"/>
  <c r="Y11" i="64"/>
  <c r="V11" i="64"/>
  <c r="S11" i="64"/>
  <c r="P11" i="64"/>
  <c r="M11" i="64"/>
  <c r="G11" i="64"/>
  <c r="D11" i="64"/>
  <c r="AM96" i="63"/>
  <c r="AL96" i="63"/>
  <c r="AJ96" i="63"/>
  <c r="AI96" i="63"/>
  <c r="AG96" i="63"/>
  <c r="AF96" i="63"/>
  <c r="AD96" i="63"/>
  <c r="AC96" i="63"/>
  <c r="AA96" i="63"/>
  <c r="Z96" i="63"/>
  <c r="X96" i="63"/>
  <c r="W96" i="63"/>
  <c r="U96" i="63"/>
  <c r="T96" i="63"/>
  <c r="R96" i="63"/>
  <c r="Q96" i="63"/>
  <c r="O96" i="63"/>
  <c r="N96" i="63"/>
  <c r="K96" i="63"/>
  <c r="I96" i="63"/>
  <c r="H96" i="63"/>
  <c r="E96" i="63"/>
  <c r="C96" i="63"/>
  <c r="B96" i="63"/>
  <c r="AN91" i="63"/>
  <c r="AH91" i="63"/>
  <c r="AB91" i="63"/>
  <c r="V91" i="63"/>
  <c r="J91" i="63"/>
  <c r="AR89" i="63"/>
  <c r="AP89" i="63"/>
  <c r="AS89" i="63" s="1"/>
  <c r="AO89" i="63"/>
  <c r="AN89" i="63"/>
  <c r="AK89" i="63"/>
  <c r="AH89" i="63"/>
  <c r="AB89" i="63"/>
  <c r="Y89" i="63"/>
  <c r="V89" i="63"/>
  <c r="S89" i="63"/>
  <c r="P89" i="63"/>
  <c r="M89" i="63"/>
  <c r="J89" i="63"/>
  <c r="G89" i="63"/>
  <c r="D89" i="63"/>
  <c r="AR88" i="63"/>
  <c r="AO88" i="63"/>
  <c r="AN88" i="63"/>
  <c r="AK88" i="63"/>
  <c r="AH88" i="63"/>
  <c r="AE88" i="63"/>
  <c r="AB88" i="63"/>
  <c r="Y88" i="63"/>
  <c r="V88" i="63"/>
  <c r="S88" i="63"/>
  <c r="P88" i="63"/>
  <c r="M88" i="63"/>
  <c r="AP88" i="63"/>
  <c r="AS88" i="63" s="1"/>
  <c r="D88" i="63"/>
  <c r="AR87" i="63"/>
  <c r="AP87" i="63"/>
  <c r="AS87" i="63" s="1"/>
  <c r="AO87" i="63"/>
  <c r="AK87" i="63"/>
  <c r="AH87" i="63"/>
  <c r="AR86" i="63"/>
  <c r="AP86" i="63"/>
  <c r="AS86" i="63" s="1"/>
  <c r="AO86" i="63"/>
  <c r="AN86" i="63"/>
  <c r="AK86" i="63"/>
  <c r="AH86" i="63"/>
  <c r="Y86" i="63"/>
  <c r="V86" i="63"/>
  <c r="S86" i="63"/>
  <c r="P86" i="63"/>
  <c r="M86" i="63"/>
  <c r="J86" i="63"/>
  <c r="G86" i="63"/>
  <c r="D86" i="63"/>
  <c r="AR85" i="63"/>
  <c r="AO85" i="63"/>
  <c r="AN85" i="63"/>
  <c r="AK85" i="63"/>
  <c r="AH85" i="63"/>
  <c r="AE85" i="63"/>
  <c r="Y85" i="63"/>
  <c r="V85" i="63"/>
  <c r="S85" i="63"/>
  <c r="M85" i="63"/>
  <c r="J85" i="63"/>
  <c r="D85" i="63"/>
  <c r="AR84" i="63"/>
  <c r="AP84" i="63"/>
  <c r="AS84" i="63" s="1"/>
  <c r="AO84" i="63"/>
  <c r="S84" i="63"/>
  <c r="AR83" i="63"/>
  <c r="AP83" i="63"/>
  <c r="AS83" i="63" s="1"/>
  <c r="AO83" i="63"/>
  <c r="AK83" i="63"/>
  <c r="V83" i="63"/>
  <c r="S83" i="63"/>
  <c r="M83" i="63"/>
  <c r="G83" i="63"/>
  <c r="D83" i="63"/>
  <c r="AR82" i="63"/>
  <c r="AP82" i="63"/>
  <c r="AS82" i="63" s="1"/>
  <c r="AO82" i="63"/>
  <c r="S82" i="63"/>
  <c r="AP81" i="63"/>
  <c r="AN81" i="63"/>
  <c r="AK81" i="63"/>
  <c r="AH81" i="63"/>
  <c r="AE81" i="63"/>
  <c r="Y81" i="63"/>
  <c r="V81" i="63"/>
  <c r="S81" i="63"/>
  <c r="M81" i="63"/>
  <c r="J81" i="63"/>
  <c r="D81" i="63"/>
  <c r="AR79" i="63"/>
  <c r="AO79" i="63"/>
  <c r="AN79" i="63"/>
  <c r="AK79" i="63"/>
  <c r="AH79" i="63"/>
  <c r="AB79" i="63"/>
  <c r="Y79" i="63"/>
  <c r="V79" i="63"/>
  <c r="S79" i="63"/>
  <c r="P79" i="63"/>
  <c r="M79" i="63"/>
  <c r="J79" i="63"/>
  <c r="G79" i="63"/>
  <c r="D79" i="63"/>
  <c r="AR78" i="63"/>
  <c r="AP78" i="63"/>
  <c r="AS78" i="63" s="1"/>
  <c r="AO78" i="63"/>
  <c r="AN78" i="63"/>
  <c r="AK78" i="63"/>
  <c r="AB78" i="63"/>
  <c r="V78" i="63"/>
  <c r="S78" i="63"/>
  <c r="M78" i="63"/>
  <c r="G78" i="63"/>
  <c r="AS77" i="63"/>
  <c r="AR77" i="63"/>
  <c r="AO77" i="63"/>
  <c r="AQ77" i="63" s="1"/>
  <c r="AN77" i="63"/>
  <c r="AB77" i="63"/>
  <c r="P77" i="63"/>
  <c r="J77" i="63"/>
  <c r="G77" i="63"/>
  <c r="D77" i="63"/>
  <c r="AR76" i="63"/>
  <c r="AP76" i="63"/>
  <c r="AS76" i="63" s="1"/>
  <c r="AO76" i="63"/>
  <c r="AN76" i="63"/>
  <c r="AK76" i="63"/>
  <c r="AB76" i="63"/>
  <c r="Y76" i="63"/>
  <c r="V76" i="63"/>
  <c r="S76" i="63"/>
  <c r="M76" i="63"/>
  <c r="G76" i="63"/>
  <c r="D76" i="63"/>
  <c r="AR75" i="63"/>
  <c r="AP75" i="63"/>
  <c r="AS75" i="63" s="1"/>
  <c r="AO75" i="63"/>
  <c r="AN75" i="63"/>
  <c r="AK75" i="63"/>
  <c r="AH75" i="63"/>
  <c r="AB75" i="63"/>
  <c r="Y75" i="63"/>
  <c r="V75" i="63"/>
  <c r="S75" i="63"/>
  <c r="M75" i="63"/>
  <c r="G75" i="63"/>
  <c r="D75" i="63"/>
  <c r="AR74" i="63"/>
  <c r="AP74" i="63"/>
  <c r="AS74" i="63" s="1"/>
  <c r="AO74" i="63"/>
  <c r="AP73" i="63"/>
  <c r="AS73" i="63" s="1"/>
  <c r="AB73" i="63"/>
  <c r="V73" i="63"/>
  <c r="S73" i="63"/>
  <c r="P73" i="63"/>
  <c r="M73" i="63"/>
  <c r="J73" i="63"/>
  <c r="G73" i="63"/>
  <c r="D73" i="63"/>
  <c r="AR71" i="63"/>
  <c r="AP71" i="63"/>
  <c r="AS71" i="63" s="1"/>
  <c r="AO71" i="63"/>
  <c r="AN71" i="63"/>
  <c r="AK71" i="63"/>
  <c r="AB71" i="63"/>
  <c r="Y71" i="63"/>
  <c r="S71" i="63"/>
  <c r="M71" i="63"/>
  <c r="G71" i="63"/>
  <c r="AR70" i="63"/>
  <c r="AP70" i="63"/>
  <c r="AO70" i="63"/>
  <c r="AN70" i="63"/>
  <c r="AK70" i="63"/>
  <c r="Y70" i="63"/>
  <c r="V70" i="63"/>
  <c r="S70" i="63"/>
  <c r="J70" i="63"/>
  <c r="G70" i="63"/>
  <c r="D70" i="63"/>
  <c r="AR69" i="63"/>
  <c r="AP69" i="63"/>
  <c r="AS69" i="63" s="1"/>
  <c r="AO69" i="63"/>
  <c r="AR68" i="63"/>
  <c r="AP68" i="63"/>
  <c r="AO68" i="63"/>
  <c r="AN68" i="63"/>
  <c r="AH68" i="63"/>
  <c r="AE68" i="63"/>
  <c r="AB68" i="63"/>
  <c r="Y68" i="63"/>
  <c r="V68" i="63"/>
  <c r="S68" i="63"/>
  <c r="P68" i="63"/>
  <c r="M68" i="63"/>
  <c r="J68" i="63"/>
  <c r="G68" i="63"/>
  <c r="D68" i="63"/>
  <c r="AN64" i="63"/>
  <c r="AB64" i="63"/>
  <c r="J64" i="63"/>
  <c r="AR62" i="63"/>
  <c r="AO62" i="63"/>
  <c r="AN62" i="63"/>
  <c r="AK62" i="63"/>
  <c r="AH62" i="63"/>
  <c r="AE62" i="63"/>
  <c r="AB62" i="63"/>
  <c r="Y62" i="63"/>
  <c r="V62" i="63"/>
  <c r="S62" i="63"/>
  <c r="M62" i="63"/>
  <c r="J62" i="63"/>
  <c r="D62" i="63"/>
  <c r="AR61" i="63"/>
  <c r="AP61" i="63"/>
  <c r="AS61" i="63" s="1"/>
  <c r="AO61" i="63"/>
  <c r="AH61" i="63"/>
  <c r="AR60" i="63"/>
  <c r="F27" i="58" s="1"/>
  <c r="AO60" i="63"/>
  <c r="AN60" i="63"/>
  <c r="AK60" i="63"/>
  <c r="AH60" i="63"/>
  <c r="AE60" i="63"/>
  <c r="Y60" i="63"/>
  <c r="V60" i="63"/>
  <c r="S60" i="63"/>
  <c r="J60" i="63"/>
  <c r="D60" i="63"/>
  <c r="AR59" i="63"/>
  <c r="AP59" i="63"/>
  <c r="AS59" i="63" s="1"/>
  <c r="AO59" i="63"/>
  <c r="AN59" i="63"/>
  <c r="AK59" i="63"/>
  <c r="AH59" i="63"/>
  <c r="Y59" i="63"/>
  <c r="S59" i="63"/>
  <c r="M59" i="63"/>
  <c r="J59" i="63"/>
  <c r="D59" i="63"/>
  <c r="AR58" i="63"/>
  <c r="AP58" i="63"/>
  <c r="AS58" i="63" s="1"/>
  <c r="AO58" i="63"/>
  <c r="AN58" i="63"/>
  <c r="AK58" i="63"/>
  <c r="S58" i="63"/>
  <c r="AR57" i="63"/>
  <c r="AP57" i="63"/>
  <c r="AS57" i="63" s="1"/>
  <c r="AO57" i="63"/>
  <c r="AH57" i="63"/>
  <c r="V57" i="63"/>
  <c r="S57" i="63"/>
  <c r="M57" i="63"/>
  <c r="G57" i="63"/>
  <c r="AR56" i="63"/>
  <c r="AP56" i="63"/>
  <c r="AO56" i="63"/>
  <c r="AN56" i="63"/>
  <c r="AK56" i="63"/>
  <c r="AH56" i="63"/>
  <c r="S56" i="63"/>
  <c r="M56" i="63"/>
  <c r="G56" i="63"/>
  <c r="D56" i="63"/>
  <c r="AR55" i="63"/>
  <c r="AP55" i="63"/>
  <c r="AS55" i="63" s="1"/>
  <c r="AO55" i="63"/>
  <c r="AN55" i="63"/>
  <c r="AK55" i="63"/>
  <c r="AH55" i="63"/>
  <c r="AE55" i="63"/>
  <c r="Y55" i="63"/>
  <c r="V55" i="63"/>
  <c r="S55" i="63"/>
  <c r="M55" i="63"/>
  <c r="J55" i="63"/>
  <c r="G55" i="63"/>
  <c r="D55" i="63"/>
  <c r="AR54" i="63"/>
  <c r="AO54" i="63"/>
  <c r="AN54" i="63"/>
  <c r="AK54" i="63"/>
  <c r="AH54" i="63"/>
  <c r="AE54" i="63"/>
  <c r="Y54" i="63"/>
  <c r="V54" i="63"/>
  <c r="S54" i="63"/>
  <c r="J54" i="63"/>
  <c r="G54" i="63"/>
  <c r="D54" i="63"/>
  <c r="AR53" i="63"/>
  <c r="AP53" i="63"/>
  <c r="AS53" i="63" s="1"/>
  <c r="AO53" i="63"/>
  <c r="AN53" i="63"/>
  <c r="S53" i="63"/>
  <c r="AR52" i="63"/>
  <c r="AP52" i="63"/>
  <c r="AS52" i="63" s="1"/>
  <c r="AO52" i="63"/>
  <c r="AQ52" i="63" s="1"/>
  <c r="S52" i="63"/>
  <c r="AR51" i="63"/>
  <c r="AP51" i="63"/>
  <c r="AS51" i="63" s="1"/>
  <c r="AO51" i="63"/>
  <c r="S51" i="63"/>
  <c r="AR50" i="63"/>
  <c r="AP50" i="63"/>
  <c r="AO50" i="63"/>
  <c r="AR49" i="63"/>
  <c r="AP49" i="63"/>
  <c r="AS49" i="63" s="1"/>
  <c r="AO49" i="63"/>
  <c r="AN49" i="63"/>
  <c r="S49" i="63"/>
  <c r="AR46" i="63"/>
  <c r="AP46" i="63"/>
  <c r="AS46" i="63" s="1"/>
  <c r="AO46" i="63"/>
  <c r="AN46" i="63"/>
  <c r="AK46" i="63"/>
  <c r="AH46" i="63"/>
  <c r="Y46" i="63"/>
  <c r="M46" i="63"/>
  <c r="J46" i="63"/>
  <c r="D46" i="63"/>
  <c r="AR45" i="63"/>
  <c r="AO45" i="63"/>
  <c r="AR44" i="63"/>
  <c r="AP44" i="63"/>
  <c r="AS44" i="63" s="1"/>
  <c r="AO44" i="63"/>
  <c r="AN44" i="63"/>
  <c r="AK44" i="63"/>
  <c r="AH44" i="63"/>
  <c r="AB44" i="63"/>
  <c r="Y44" i="63"/>
  <c r="S44" i="63"/>
  <c r="M44" i="63"/>
  <c r="J44" i="63"/>
  <c r="G44" i="63"/>
  <c r="D44" i="63"/>
  <c r="AR43" i="63"/>
  <c r="AP43" i="63"/>
  <c r="AS43" i="63" s="1"/>
  <c r="AO43" i="63"/>
  <c r="AN43" i="63"/>
  <c r="AK43" i="63"/>
  <c r="AB43" i="63"/>
  <c r="Y43" i="63"/>
  <c r="S43" i="63"/>
  <c r="G43" i="63"/>
  <c r="D43" i="63"/>
  <c r="AR42" i="63"/>
  <c r="AP42" i="63"/>
  <c r="AO42" i="63"/>
  <c r="AH42" i="63"/>
  <c r="AB42" i="63"/>
  <c r="V42" i="63"/>
  <c r="S42" i="63"/>
  <c r="M42" i="63"/>
  <c r="G42" i="63"/>
  <c r="AR41" i="63"/>
  <c r="AP41" i="63"/>
  <c r="AO41" i="63"/>
  <c r="AN41" i="63"/>
  <c r="AK41" i="63"/>
  <c r="AH41" i="63"/>
  <c r="AB41" i="63"/>
  <c r="Y41" i="63"/>
  <c r="S41" i="63"/>
  <c r="M41" i="63"/>
  <c r="J41" i="63"/>
  <c r="G41" i="63"/>
  <c r="D41" i="63"/>
  <c r="AR40" i="63"/>
  <c r="AP40" i="63"/>
  <c r="AS40" i="63" s="1"/>
  <c r="AO40" i="63"/>
  <c r="AN40" i="63"/>
  <c r="AK40" i="63"/>
  <c r="AH40" i="63"/>
  <c r="AB40" i="63"/>
  <c r="Y40" i="63"/>
  <c r="V40" i="63"/>
  <c r="S40" i="63"/>
  <c r="M40" i="63"/>
  <c r="J40" i="63"/>
  <c r="G40" i="63"/>
  <c r="D40" i="63"/>
  <c r="AR39" i="63"/>
  <c r="AO39" i="63"/>
  <c r="AN39" i="63"/>
  <c r="AK39" i="63"/>
  <c r="AH39" i="63"/>
  <c r="AB39" i="63"/>
  <c r="Y39" i="63"/>
  <c r="V39" i="63"/>
  <c r="S39" i="63"/>
  <c r="M39" i="63"/>
  <c r="J39" i="63"/>
  <c r="G39" i="63"/>
  <c r="D39" i="63"/>
  <c r="AR38" i="63"/>
  <c r="AP38" i="63"/>
  <c r="AS38" i="63" s="1"/>
  <c r="AO38" i="63"/>
  <c r="AN38" i="63"/>
  <c r="AK38" i="63"/>
  <c r="AH38" i="63"/>
  <c r="AB38" i="63"/>
  <c r="Y38" i="63"/>
  <c r="V38" i="63"/>
  <c r="S38" i="63"/>
  <c r="M38" i="63"/>
  <c r="G38" i="63"/>
  <c r="AR37" i="63"/>
  <c r="AP37" i="63"/>
  <c r="AS37" i="63" s="1"/>
  <c r="AO37" i="63"/>
  <c r="AN37" i="63"/>
  <c r="AK37" i="63"/>
  <c r="Y37" i="63"/>
  <c r="S37" i="63"/>
  <c r="M37" i="63"/>
  <c r="G37" i="63"/>
  <c r="AR36" i="63"/>
  <c r="AP36" i="63"/>
  <c r="AS36" i="63" s="1"/>
  <c r="AO36" i="63"/>
  <c r="AN36" i="63"/>
  <c r="AK36" i="63"/>
  <c r="AB36" i="63"/>
  <c r="Y36" i="63"/>
  <c r="V36" i="63"/>
  <c r="S36" i="63"/>
  <c r="M36" i="63"/>
  <c r="J36" i="63"/>
  <c r="G36" i="63"/>
  <c r="AR35" i="63"/>
  <c r="AO35" i="63"/>
  <c r="AN35" i="63"/>
  <c r="AK35" i="63"/>
  <c r="AH35" i="63"/>
  <c r="AB35" i="63"/>
  <c r="Y35" i="63"/>
  <c r="V35" i="63"/>
  <c r="S35" i="63"/>
  <c r="L96" i="63"/>
  <c r="J35" i="63"/>
  <c r="F96" i="63"/>
  <c r="AR34" i="63"/>
  <c r="AO34" i="63"/>
  <c r="AN34" i="63"/>
  <c r="AK34" i="63"/>
  <c r="AB34" i="63"/>
  <c r="Y34" i="63"/>
  <c r="V34" i="63"/>
  <c r="S34" i="63"/>
  <c r="AR33" i="63"/>
  <c r="AP33" i="63"/>
  <c r="AS33" i="63" s="1"/>
  <c r="AO33" i="63"/>
  <c r="AK33" i="63"/>
  <c r="G33" i="63"/>
  <c r="AR29" i="63"/>
  <c r="AO29" i="63"/>
  <c r="AN29" i="63"/>
  <c r="AK29" i="63"/>
  <c r="AH29" i="63"/>
  <c r="AE29" i="63"/>
  <c r="AB29" i="63"/>
  <c r="Y29" i="63"/>
  <c r="V29" i="63"/>
  <c r="S29" i="63"/>
  <c r="P29" i="63"/>
  <c r="M29" i="63"/>
  <c r="J29" i="63"/>
  <c r="D29" i="63"/>
  <c r="AR28" i="63"/>
  <c r="AO28" i="63"/>
  <c r="AN28" i="63"/>
  <c r="AK28" i="63"/>
  <c r="AH28" i="63"/>
  <c r="AE28" i="63"/>
  <c r="AB28" i="63"/>
  <c r="Y28" i="63"/>
  <c r="V28" i="63"/>
  <c r="S28" i="63"/>
  <c r="P28" i="63"/>
  <c r="M28" i="63"/>
  <c r="J28" i="63"/>
  <c r="D28" i="63"/>
  <c r="AR27" i="63"/>
  <c r="AO27" i="63"/>
  <c r="AN27" i="63"/>
  <c r="AK27" i="63"/>
  <c r="AH27" i="63"/>
  <c r="AE27" i="63"/>
  <c r="AB27" i="63"/>
  <c r="Y27" i="63"/>
  <c r="V27" i="63"/>
  <c r="S27" i="63"/>
  <c r="P27" i="63"/>
  <c r="M27" i="63"/>
  <c r="J27" i="63"/>
  <c r="D27" i="63"/>
  <c r="AS26" i="63"/>
  <c r="AR26" i="63"/>
  <c r="AR25" i="63"/>
  <c r="AP25" i="63"/>
  <c r="AS25" i="63" s="1"/>
  <c r="AO25" i="63"/>
  <c r="AN25" i="63"/>
  <c r="AK25" i="63"/>
  <c r="AE25" i="63"/>
  <c r="S25" i="63"/>
  <c r="P25" i="63"/>
  <c r="M25" i="63"/>
  <c r="J25" i="63"/>
  <c r="G25" i="63"/>
  <c r="AR24" i="63"/>
  <c r="AP24" i="63"/>
  <c r="AS24" i="63" s="1"/>
  <c r="AO24" i="63"/>
  <c r="AN24" i="63"/>
  <c r="AB24" i="63"/>
  <c r="S24" i="63"/>
  <c r="AR23" i="63"/>
  <c r="AP23" i="63"/>
  <c r="AS23" i="63" s="1"/>
  <c r="AO23" i="63"/>
  <c r="AH23" i="63"/>
  <c r="Y23" i="63"/>
  <c r="V23" i="63"/>
  <c r="S23" i="63"/>
  <c r="G23" i="63"/>
  <c r="AR22" i="63"/>
  <c r="AP22" i="63"/>
  <c r="AO22" i="63"/>
  <c r="AN22" i="63"/>
  <c r="AK22" i="63"/>
  <c r="AH22" i="63"/>
  <c r="AB22" i="63"/>
  <c r="Y22" i="63"/>
  <c r="S22" i="63"/>
  <c r="M22" i="63"/>
  <c r="J22" i="63"/>
  <c r="G22" i="63"/>
  <c r="D22" i="63"/>
  <c r="AS21" i="63"/>
  <c r="C9" i="58" s="1"/>
  <c r="AR21" i="63"/>
  <c r="AR20" i="63"/>
  <c r="AO20" i="63"/>
  <c r="AN20" i="63"/>
  <c r="AK20" i="63"/>
  <c r="AH20" i="63"/>
  <c r="AE20" i="63"/>
  <c r="AB20" i="63"/>
  <c r="Y20" i="63"/>
  <c r="V20" i="63"/>
  <c r="S20" i="63"/>
  <c r="P20" i="63"/>
  <c r="M20" i="63"/>
  <c r="J20" i="63"/>
  <c r="D20" i="63"/>
  <c r="AR19" i="63"/>
  <c r="AP19" i="63"/>
  <c r="AS19" i="63" s="1"/>
  <c r="AO19" i="63"/>
  <c r="AN19" i="63"/>
  <c r="AK19" i="63"/>
  <c r="AB19" i="63"/>
  <c r="S19" i="63"/>
  <c r="G19" i="63"/>
  <c r="AR18" i="63"/>
  <c r="AP18" i="63"/>
  <c r="AO18" i="63"/>
  <c r="AK18" i="63"/>
  <c r="S18" i="63"/>
  <c r="G18" i="63"/>
  <c r="AR17" i="63"/>
  <c r="AP17" i="63"/>
  <c r="AS17" i="63" s="1"/>
  <c r="AO17" i="63"/>
  <c r="AK17" i="63"/>
  <c r="AB17" i="63"/>
  <c r="V17" i="63"/>
  <c r="S17" i="63"/>
  <c r="G17" i="63"/>
  <c r="AR16" i="63"/>
  <c r="AO16" i="63"/>
  <c r="AN16" i="63"/>
  <c r="AK16" i="63"/>
  <c r="AB16" i="63"/>
  <c r="V16" i="63"/>
  <c r="S16" i="63"/>
  <c r="AR15" i="63"/>
  <c r="AP15" i="63"/>
  <c r="AS15" i="63" s="1"/>
  <c r="AO15" i="63"/>
  <c r="AN15" i="63"/>
  <c r="AK15" i="63"/>
  <c r="AB15" i="63"/>
  <c r="S15" i="63"/>
  <c r="G15" i="63"/>
  <c r="AR14" i="63"/>
  <c r="AP14" i="63"/>
  <c r="AS14" i="63" s="1"/>
  <c r="AO14" i="63"/>
  <c r="AK14" i="63"/>
  <c r="S14" i="63"/>
  <c r="AT59" i="63" l="1"/>
  <c r="AQ50" i="63"/>
  <c r="AQ86" i="63"/>
  <c r="AT44" i="63"/>
  <c r="AQ89" i="63"/>
  <c r="AQ69" i="63"/>
  <c r="AQ19" i="63"/>
  <c r="AQ37" i="63"/>
  <c r="C11" i="58"/>
  <c r="B10" i="58"/>
  <c r="F10" i="58"/>
  <c r="AT55" i="63"/>
  <c r="C25" i="58"/>
  <c r="F11" i="58"/>
  <c r="B11" i="58"/>
  <c r="F17" i="58"/>
  <c r="B17" i="58"/>
  <c r="C30" i="58"/>
  <c r="B25" i="58"/>
  <c r="F25" i="58"/>
  <c r="AT74" i="63"/>
  <c r="C22" i="58"/>
  <c r="C28" i="58"/>
  <c r="B30" i="58"/>
  <c r="F30" i="58"/>
  <c r="AT52" i="63"/>
  <c r="B26" i="58"/>
  <c r="F26" i="58"/>
  <c r="C29" i="58"/>
  <c r="AQ57" i="63"/>
  <c r="B13" i="58"/>
  <c r="F13" i="58"/>
  <c r="F9" i="58"/>
  <c r="B9" i="58"/>
  <c r="B18" i="58"/>
  <c r="F18" i="58"/>
  <c r="C17" i="58"/>
  <c r="AT15" i="63"/>
  <c r="C12" i="58"/>
  <c r="C19" i="58"/>
  <c r="B21" i="58"/>
  <c r="F21" i="58"/>
  <c r="F12" i="58"/>
  <c r="B12" i="58"/>
  <c r="B14" i="58"/>
  <c r="F14" i="58"/>
  <c r="B19" i="58"/>
  <c r="F19" i="58"/>
  <c r="C13" i="58"/>
  <c r="B20" i="58"/>
  <c r="F20" i="58"/>
  <c r="B22" i="58"/>
  <c r="F22" i="58"/>
  <c r="B28" i="58"/>
  <c r="F28" i="58"/>
  <c r="B29" i="58"/>
  <c r="F29" i="58"/>
  <c r="AQ68" i="63"/>
  <c r="AT69" i="63"/>
  <c r="AQ74" i="63"/>
  <c r="W34" i="65"/>
  <c r="AT40" i="65"/>
  <c r="B34" i="65"/>
  <c r="AQ40" i="65"/>
  <c r="Z34" i="65"/>
  <c r="AI41" i="65"/>
  <c r="AQ23" i="65"/>
  <c r="S41" i="65"/>
  <c r="U41" i="65"/>
  <c r="U43" i="65" s="1"/>
  <c r="X41" i="65"/>
  <c r="X43" i="65" s="1"/>
  <c r="AT23" i="65"/>
  <c r="AJ41" i="65"/>
  <c r="AJ43" i="65" s="1"/>
  <c r="AJ45" i="65" s="1"/>
  <c r="AT77" i="63"/>
  <c r="AT37" i="63"/>
  <c r="AT38" i="63"/>
  <c r="AT40" i="63"/>
  <c r="AQ61" i="63"/>
  <c r="S64" i="63"/>
  <c r="AK64" i="63"/>
  <c r="Y91" i="63"/>
  <c r="AQ42" i="63"/>
  <c r="AQ14" i="63"/>
  <c r="AP16" i="63"/>
  <c r="AS16" i="63" s="1"/>
  <c r="AQ40" i="63"/>
  <c r="AT53" i="63"/>
  <c r="P64" i="63"/>
  <c r="AQ70" i="63"/>
  <c r="AT82" i="63"/>
  <c r="AT89" i="63"/>
  <c r="AT17" i="63"/>
  <c r="AQ22" i="63"/>
  <c r="AQ43" i="63"/>
  <c r="AQ59" i="63"/>
  <c r="AT61" i="63"/>
  <c r="AH73" i="63"/>
  <c r="AN73" i="63"/>
  <c r="AQ76" i="63"/>
  <c r="G88" i="63"/>
  <c r="P91" i="63"/>
  <c r="AK91" i="63"/>
  <c r="G16" i="63"/>
  <c r="AT25" i="63"/>
  <c r="AR96" i="63"/>
  <c r="AQ41" i="63"/>
  <c r="AT43" i="63"/>
  <c r="AQ44" i="63"/>
  <c r="AQ46" i="63"/>
  <c r="AE64" i="63"/>
  <c r="AQ71" i="63"/>
  <c r="AK73" i="63"/>
  <c r="AO81" i="63"/>
  <c r="AQ81" i="63" s="1"/>
  <c r="AS81" i="63"/>
  <c r="AP54" i="63"/>
  <c r="AS54" i="63" s="1"/>
  <c r="AQ75" i="63"/>
  <c r="AQ83" i="63"/>
  <c r="AQ36" i="63"/>
  <c r="AT75" i="63"/>
  <c r="AT14" i="63"/>
  <c r="AQ38" i="63"/>
  <c r="AT46" i="63"/>
  <c r="AQ55" i="63"/>
  <c r="AT71" i="63"/>
  <c r="AT76" i="63"/>
  <c r="AS68" i="63"/>
  <c r="AT68" i="63" s="1"/>
  <c r="AQ23" i="63"/>
  <c r="AQ51" i="63"/>
  <c r="AT16" i="63"/>
  <c r="AT19" i="63"/>
  <c r="AS42" i="63"/>
  <c r="AT42" i="63" s="1"/>
  <c r="AT49" i="63"/>
  <c r="AQ53" i="63"/>
  <c r="AQ58" i="63"/>
  <c r="AQ84" i="63"/>
  <c r="AT87" i="63"/>
  <c r="AT51" i="63"/>
  <c r="AQ17" i="63"/>
  <c r="AQ24" i="63"/>
  <c r="AQ25" i="63"/>
  <c r="AT57" i="63"/>
  <c r="AT83" i="63"/>
  <c r="AT84" i="63"/>
  <c r="AQ87" i="63"/>
  <c r="AT24" i="63"/>
  <c r="AQ33" i="63"/>
  <c r="AK11" i="64"/>
  <c r="AK12" i="64"/>
  <c r="AK14" i="64"/>
  <c r="AK16" i="64"/>
  <c r="D34" i="65"/>
  <c r="B41" i="65"/>
  <c r="AP34" i="65"/>
  <c r="AS34" i="65"/>
  <c r="C41" i="65"/>
  <c r="AH34" i="65"/>
  <c r="AF41" i="65"/>
  <c r="H41" i="65"/>
  <c r="J34" i="65"/>
  <c r="AQ14" i="65"/>
  <c r="M29" i="65"/>
  <c r="S29" i="65"/>
  <c r="M41" i="65"/>
  <c r="L43" i="65"/>
  <c r="G29" i="65"/>
  <c r="AA41" i="65"/>
  <c r="I41" i="65"/>
  <c r="I43" i="65" s="1"/>
  <c r="I45" i="65" s="1"/>
  <c r="AN34" i="65"/>
  <c r="AB29" i="65"/>
  <c r="AK34" i="65"/>
  <c r="Y41" i="65"/>
  <c r="AR29" i="65"/>
  <c r="D29" i="65"/>
  <c r="AO29" i="65"/>
  <c r="AT14" i="65"/>
  <c r="AE34" i="65"/>
  <c r="K34" i="65"/>
  <c r="U45" i="65"/>
  <c r="V43" i="65"/>
  <c r="F41" i="65"/>
  <c r="V34" i="65"/>
  <c r="V41" i="65" s="1"/>
  <c r="E34" i="65"/>
  <c r="AQ21" i="65"/>
  <c r="Y34" i="65"/>
  <c r="AT21" i="65"/>
  <c r="AI43" i="65"/>
  <c r="AQ18" i="63"/>
  <c r="AQ15" i="63"/>
  <c r="AQ78" i="63"/>
  <c r="AT78" i="63"/>
  <c r="AT23" i="63"/>
  <c r="AT36" i="63"/>
  <c r="AT33" i="63"/>
  <c r="D64" i="63"/>
  <c r="V64" i="63"/>
  <c r="AS18" i="63"/>
  <c r="AP20" i="63"/>
  <c r="AQ20" i="63" s="1"/>
  <c r="AS22" i="63"/>
  <c r="AT22" i="63" s="1"/>
  <c r="AP28" i="63"/>
  <c r="AQ28" i="63" s="1"/>
  <c r="AP34" i="63"/>
  <c r="AQ34" i="63" s="1"/>
  <c r="AO96" i="63"/>
  <c r="AS41" i="63"/>
  <c r="AT41" i="63" s="1"/>
  <c r="AS50" i="63"/>
  <c r="AT50" i="63" s="1"/>
  <c r="AO64" i="63"/>
  <c r="Y64" i="63"/>
  <c r="AQ82" i="63"/>
  <c r="AO91" i="63"/>
  <c r="D91" i="63"/>
  <c r="AR91" i="63"/>
  <c r="M35" i="63"/>
  <c r="AQ49" i="63"/>
  <c r="M54" i="63"/>
  <c r="AR64" i="63"/>
  <c r="AH64" i="63"/>
  <c r="AO73" i="63"/>
  <c r="AQ73" i="63" s="1"/>
  <c r="AT86" i="63"/>
  <c r="AQ88" i="63"/>
  <c r="AP35" i="63"/>
  <c r="AR73" i="63"/>
  <c r="Y73" i="63"/>
  <c r="G20" i="63"/>
  <c r="G28" i="63"/>
  <c r="G34" i="63"/>
  <c r="G35" i="63"/>
  <c r="AP39" i="63"/>
  <c r="AQ39" i="63" s="1"/>
  <c r="AS56" i="63"/>
  <c r="AT56" i="63" s="1"/>
  <c r="AQ56" i="63"/>
  <c r="AT58" i="63"/>
  <c r="M64" i="63"/>
  <c r="AR81" i="63"/>
  <c r="G81" i="63"/>
  <c r="AP85" i="63"/>
  <c r="G85" i="63"/>
  <c r="AT88" i="63"/>
  <c r="AP91" i="63"/>
  <c r="M91" i="63"/>
  <c r="AS70" i="63"/>
  <c r="AT70" i="63" s="1"/>
  <c r="S91" i="63"/>
  <c r="AE91" i="63"/>
  <c r="AP79" i="63"/>
  <c r="AQ16" i="63" l="1"/>
  <c r="D22" i="58"/>
  <c r="C35" i="58"/>
  <c r="AT81" i="63"/>
  <c r="B38" i="58"/>
  <c r="D28" i="58"/>
  <c r="D12" i="58"/>
  <c r="B36" i="58"/>
  <c r="C33" i="58"/>
  <c r="F24" i="58"/>
  <c r="D17" i="58"/>
  <c r="B16" i="58"/>
  <c r="B34" i="58"/>
  <c r="AT18" i="63"/>
  <c r="C10" i="58"/>
  <c r="D10" i="58" s="1"/>
  <c r="D19" i="58"/>
  <c r="B37" i="58"/>
  <c r="D13" i="58"/>
  <c r="D30" i="58"/>
  <c r="B24" i="58"/>
  <c r="D25" i="58"/>
  <c r="F16" i="58"/>
  <c r="F8" i="58"/>
  <c r="D29" i="58"/>
  <c r="C26" i="58"/>
  <c r="C24" i="58" s="1"/>
  <c r="C18" i="58"/>
  <c r="C21" i="58"/>
  <c r="C37" i="58" s="1"/>
  <c r="D9" i="58"/>
  <c r="B33" i="58"/>
  <c r="B8" i="58"/>
  <c r="B35" i="58"/>
  <c r="D11" i="58"/>
  <c r="AK41" i="65"/>
  <c r="AB34" i="65"/>
  <c r="S34" i="65"/>
  <c r="AQ54" i="63"/>
  <c r="AS85" i="63"/>
  <c r="AT85" i="63" s="1"/>
  <c r="AS20" i="63"/>
  <c r="AT20" i="63" s="1"/>
  <c r="AK43" i="65"/>
  <c r="AI45" i="65"/>
  <c r="V45" i="65"/>
  <c r="X45" i="65"/>
  <c r="Y43" i="65"/>
  <c r="C43" i="65"/>
  <c r="AP41" i="65"/>
  <c r="AS41" i="65"/>
  <c r="F43" i="65"/>
  <c r="G41" i="65"/>
  <c r="M34" i="65"/>
  <c r="G34" i="65"/>
  <c r="AT29" i="65"/>
  <c r="AO34" i="65"/>
  <c r="AQ29" i="65"/>
  <c r="AB41" i="65"/>
  <c r="AA43" i="65"/>
  <c r="L45" i="65"/>
  <c r="M43" i="65"/>
  <c r="H43" i="65"/>
  <c r="J41" i="65"/>
  <c r="AF43" i="65"/>
  <c r="AH41" i="65"/>
  <c r="AR41" i="65"/>
  <c r="D41" i="65"/>
  <c r="AO41" i="65"/>
  <c r="B43" i="65"/>
  <c r="AR34" i="65"/>
  <c r="AS79" i="63"/>
  <c r="AQ79" i="63"/>
  <c r="AT73" i="63"/>
  <c r="G27" i="63"/>
  <c r="AP27" i="63"/>
  <c r="AQ27" i="63" s="1"/>
  <c r="AS34" i="63"/>
  <c r="AP60" i="63"/>
  <c r="G60" i="63"/>
  <c r="AS91" i="63"/>
  <c r="AQ85" i="63"/>
  <c r="AP96" i="63"/>
  <c r="AQ35" i="63"/>
  <c r="AP45" i="63"/>
  <c r="AQ45" i="63" s="1"/>
  <c r="G91" i="63"/>
  <c r="AS39" i="63"/>
  <c r="M60" i="63"/>
  <c r="AS35" i="63"/>
  <c r="AS28" i="63"/>
  <c r="C14" i="58" s="1"/>
  <c r="C38" i="58" s="1"/>
  <c r="AT54" i="63"/>
  <c r="D21" i="58" l="1"/>
  <c r="D26" i="58"/>
  <c r="D38" i="58"/>
  <c r="AT28" i="63"/>
  <c r="D35" i="58"/>
  <c r="D24" i="58"/>
  <c r="D37" i="58"/>
  <c r="D14" i="58"/>
  <c r="D33" i="58"/>
  <c r="B32" i="58"/>
  <c r="F36" i="58" s="1"/>
  <c r="C34" i="58"/>
  <c r="C8" i="58"/>
  <c r="D8" i="58" s="1"/>
  <c r="AT34" i="63"/>
  <c r="C20" i="58"/>
  <c r="D18" i="58"/>
  <c r="S43" i="65"/>
  <c r="AT41" i="65"/>
  <c r="AQ41" i="65"/>
  <c r="AT91" i="63"/>
  <c r="AS45" i="63"/>
  <c r="G20" i="58" s="1"/>
  <c r="H20" i="58" s="1"/>
  <c r="AT34" i="65"/>
  <c r="J43" i="65"/>
  <c r="H45" i="65"/>
  <c r="B45" i="65"/>
  <c r="AO43" i="65"/>
  <c r="AR43" i="65"/>
  <c r="D43" i="65"/>
  <c r="S45" i="65"/>
  <c r="M45" i="65"/>
  <c r="AS43" i="65"/>
  <c r="C45" i="65"/>
  <c r="AP43" i="65"/>
  <c r="AF45" i="65"/>
  <c r="AH43" i="65"/>
  <c r="AA45" i="65"/>
  <c r="AB43" i="65"/>
  <c r="AQ34" i="65"/>
  <c r="F45" i="65"/>
  <c r="G43" i="65"/>
  <c r="AK45" i="65"/>
  <c r="Y45" i="65"/>
  <c r="AQ60" i="63"/>
  <c r="G29" i="63"/>
  <c r="AP29" i="63"/>
  <c r="AQ29" i="63" s="1"/>
  <c r="AS96" i="63"/>
  <c r="AT35" i="63"/>
  <c r="AT39" i="63"/>
  <c r="AP62" i="63"/>
  <c r="AS62" i="63" s="1"/>
  <c r="G62" i="63"/>
  <c r="AQ91" i="63"/>
  <c r="AS60" i="63"/>
  <c r="AS27" i="63"/>
  <c r="AT27" i="63" s="1"/>
  <c r="AT79" i="63"/>
  <c r="F34" i="58" l="1"/>
  <c r="F38" i="58"/>
  <c r="F37" i="58"/>
  <c r="D34" i="58"/>
  <c r="F35" i="58"/>
  <c r="D20" i="58"/>
  <c r="C36" i="58"/>
  <c r="G27" i="58"/>
  <c r="G30" i="58"/>
  <c r="H30" i="58" s="1"/>
  <c r="G26" i="58"/>
  <c r="H26" i="58" s="1"/>
  <c r="G25" i="58"/>
  <c r="G28" i="58"/>
  <c r="H28" i="58" s="1"/>
  <c r="G29" i="58"/>
  <c r="H29" i="58" s="1"/>
  <c r="G22" i="58"/>
  <c r="H22" i="58" s="1"/>
  <c r="AT45" i="63"/>
  <c r="G17" i="58"/>
  <c r="G19" i="58"/>
  <c r="H19" i="58" s="1"/>
  <c r="G21" i="58"/>
  <c r="H21" i="58" s="1"/>
  <c r="G18" i="58"/>
  <c r="H18" i="58" s="1"/>
  <c r="F33" i="58"/>
  <c r="C16" i="58"/>
  <c r="D16" i="58" s="1"/>
  <c r="AP64" i="63"/>
  <c r="AS64" i="63" s="1"/>
  <c r="AH45" i="65"/>
  <c r="J45" i="65"/>
  <c r="AT43" i="65"/>
  <c r="G45" i="65"/>
  <c r="AB45" i="65"/>
  <c r="AP45" i="65"/>
  <c r="AS45" i="65"/>
  <c r="AQ43" i="65"/>
  <c r="D45" i="65"/>
  <c r="AR45" i="65"/>
  <c r="AO45" i="65"/>
  <c r="AT62" i="63"/>
  <c r="G64" i="63"/>
  <c r="AS29" i="63"/>
  <c r="AT60" i="63"/>
  <c r="AQ62" i="63"/>
  <c r="AT29" i="63" l="1"/>
  <c r="G9" i="58"/>
  <c r="G11" i="58"/>
  <c r="H11" i="58" s="1"/>
  <c r="G13" i="58"/>
  <c r="H13" i="58" s="1"/>
  <c r="G12" i="58"/>
  <c r="H12" i="58" s="1"/>
  <c r="G10" i="58"/>
  <c r="H10" i="58" s="1"/>
  <c r="G14" i="58"/>
  <c r="H14" i="58" s="1"/>
  <c r="F32" i="58"/>
  <c r="G16" i="58"/>
  <c r="H16" i="58" s="1"/>
  <c r="H17" i="58"/>
  <c r="G24" i="58"/>
  <c r="H24" i="58" s="1"/>
  <c r="H25" i="58"/>
  <c r="D36" i="58"/>
  <c r="C32" i="58"/>
  <c r="AQ45" i="65"/>
  <c r="AT45" i="65"/>
  <c r="AQ64" i="63"/>
  <c r="G8" i="58" l="1"/>
  <c r="H8" i="58" s="1"/>
  <c r="H9" i="58"/>
  <c r="G35" i="58"/>
  <c r="H35" i="58" s="1"/>
  <c r="G33" i="58"/>
  <c r="G37" i="58"/>
  <c r="H37" i="58" s="1"/>
  <c r="G38" i="58"/>
  <c r="H38" i="58" s="1"/>
  <c r="G34" i="58"/>
  <c r="H34" i="58" s="1"/>
  <c r="D32" i="58"/>
  <c r="G36" i="58"/>
  <c r="H36" i="58" s="1"/>
  <c r="AT64" i="63"/>
  <c r="G32" i="58" l="1"/>
  <c r="H32" i="58" s="1"/>
  <c r="H33" i="58"/>
  <c r="E37" i="13"/>
  <c r="N67" i="8" l="1"/>
  <c r="N68" i="8"/>
  <c r="N69" i="8"/>
  <c r="N70" i="8"/>
  <c r="N71" i="8"/>
  <c r="N72" i="8"/>
  <c r="N73" i="8"/>
  <c r="N74" i="8"/>
  <c r="M74" i="8"/>
  <c r="M73" i="8"/>
  <c r="M72" i="8"/>
  <c r="M71" i="8"/>
  <c r="M70" i="8"/>
  <c r="N66" i="8"/>
  <c r="N63" i="8"/>
  <c r="N64" i="8"/>
  <c r="M66" i="8"/>
  <c r="M67" i="8"/>
  <c r="M68" i="8"/>
  <c r="M69" i="8"/>
  <c r="N65" i="8"/>
  <c r="M65" i="8"/>
  <c r="M64" i="8"/>
  <c r="L27" i="13" l="1"/>
  <c r="H28" i="13"/>
  <c r="L28" i="13"/>
  <c r="L9" i="19" l="1"/>
  <c r="L8" i="19"/>
  <c r="L9" i="20"/>
  <c r="L8" i="20"/>
  <c r="L9" i="22"/>
  <c r="L8" i="22"/>
  <c r="L9" i="24"/>
  <c r="L8" i="24"/>
  <c r="L9" i="25"/>
  <c r="L8" i="25"/>
  <c r="L9" i="51"/>
  <c r="L8" i="51"/>
  <c r="L9" i="29"/>
  <c r="L8" i="29"/>
  <c r="L9" i="33"/>
  <c r="L8" i="33"/>
  <c r="L9" i="37"/>
  <c r="L8" i="37"/>
  <c r="L9" i="13"/>
  <c r="L8" i="13"/>
  <c r="H117" i="18" l="1"/>
  <c r="H10" i="18"/>
  <c r="D7" i="18"/>
  <c r="D10" i="18"/>
  <c r="H114" i="18"/>
  <c r="H115" i="18"/>
  <c r="H119" i="18"/>
  <c r="H87" i="18"/>
  <c r="H107" i="18"/>
  <c r="H111" i="18"/>
  <c r="H123" i="18"/>
  <c r="H7" i="18"/>
  <c r="D97" i="18"/>
  <c r="D27" i="18"/>
  <c r="H32" i="18"/>
  <c r="H33" i="18"/>
  <c r="H98" i="18"/>
  <c r="H106" i="18"/>
  <c r="H11" i="18"/>
  <c r="H75" i="18"/>
  <c r="H12" i="18"/>
  <c r="H28" i="18"/>
  <c r="D65" i="18"/>
  <c r="H77" i="18"/>
  <c r="D86" i="18"/>
  <c r="L77" i="18"/>
  <c r="D46" i="18"/>
  <c r="D118" i="18"/>
  <c r="D22" i="18"/>
  <c r="D28" i="18"/>
  <c r="D110" i="18"/>
  <c r="D114" i="18"/>
  <c r="H22" i="18"/>
  <c r="D76" i="18"/>
  <c r="D85" i="18"/>
  <c r="D106" i="18"/>
  <c r="D9" i="18"/>
  <c r="D8" i="18"/>
  <c r="H85" i="18"/>
  <c r="H66" i="18"/>
  <c r="L22" i="18" l="1"/>
  <c r="L98" i="18"/>
  <c r="L111" i="18"/>
  <c r="D45" i="18"/>
  <c r="L12" i="18"/>
  <c r="L96" i="18"/>
  <c r="L27" i="18"/>
  <c r="H96" i="18"/>
  <c r="L87" i="18"/>
  <c r="L86" i="18"/>
  <c r="L119" i="18"/>
  <c r="L28" i="18"/>
  <c r="L107" i="18"/>
  <c r="L118" i="18"/>
  <c r="L97" i="18"/>
  <c r="L33" i="18"/>
  <c r="H109" i="18"/>
  <c r="L115" i="18"/>
  <c r="L76" i="18"/>
  <c r="L7" i="18"/>
  <c r="L106" i="18"/>
  <c r="L114" i="18"/>
  <c r="L11" i="18"/>
  <c r="L65" i="18"/>
  <c r="L110" i="18"/>
  <c r="L66" i="18"/>
  <c r="D96" i="18"/>
  <c r="L10" i="18"/>
  <c r="H64" i="18"/>
  <c r="L117" i="18"/>
  <c r="D117" i="18"/>
  <c r="L32" i="18"/>
  <c r="L123" i="18"/>
  <c r="D109" i="18"/>
  <c r="D75" i="18"/>
  <c r="L75" i="18"/>
  <c r="L85" i="18"/>
  <c r="D64" i="18"/>
  <c r="L64" i="18"/>
  <c r="C74" i="4"/>
  <c r="F74" i="4"/>
  <c r="E74" i="4"/>
  <c r="B74" i="4"/>
  <c r="D74" i="4" s="1"/>
  <c r="F95" i="4"/>
  <c r="E95" i="4"/>
  <c r="C95" i="4"/>
  <c r="L95" i="37"/>
  <c r="D95" i="16"/>
  <c r="D95" i="29"/>
  <c r="B95" i="4"/>
  <c r="D95" i="4" s="1"/>
  <c r="H95" i="16"/>
  <c r="L95" i="13"/>
  <c r="L95" i="33"/>
  <c r="L95" i="29"/>
  <c r="D95" i="37"/>
  <c r="D95" i="13"/>
  <c r="D95" i="33"/>
  <c r="D74" i="16"/>
  <c r="D74" i="33"/>
  <c r="D74" i="37"/>
  <c r="L74" i="13"/>
  <c r="H74" i="16"/>
  <c r="L74" i="37"/>
  <c r="D74" i="29"/>
  <c r="L74" i="33"/>
  <c r="L74" i="29"/>
  <c r="D74" i="13"/>
  <c r="I95" i="4" l="1"/>
  <c r="I74" i="4"/>
  <c r="L109" i="18"/>
  <c r="H28" i="37"/>
  <c r="H32" i="37"/>
  <c r="D114" i="37"/>
  <c r="H74" i="4"/>
  <c r="J74" i="4" s="1"/>
  <c r="H95" i="4"/>
  <c r="J95" i="4" s="1"/>
  <c r="L95" i="16"/>
  <c r="H111" i="37"/>
  <c r="L74" i="16"/>
  <c r="H115" i="37"/>
  <c r="D7" i="37"/>
  <c r="D135" i="37"/>
  <c r="H119" i="37"/>
  <c r="D8" i="37"/>
  <c r="H106" i="37"/>
  <c r="D65" i="37"/>
  <c r="H7" i="37"/>
  <c r="D133" i="37"/>
  <c r="H122" i="37"/>
  <c r="D106" i="37"/>
  <c r="D27" i="37"/>
  <c r="D123" i="37"/>
  <c r="D32" i="37"/>
  <c r="H33" i="37"/>
  <c r="D33" i="37"/>
  <c r="H73" i="37"/>
  <c r="D46" i="37"/>
  <c r="H123" i="37"/>
  <c r="D122" i="37"/>
  <c r="H94" i="37"/>
  <c r="D53" i="37"/>
  <c r="D9" i="37"/>
  <c r="D105" i="37"/>
  <c r="D97" i="37"/>
  <c r="D132" i="37"/>
  <c r="D118" i="37"/>
  <c r="D98" i="37"/>
  <c r="D76" i="37"/>
  <c r="D73" i="37"/>
  <c r="D110" i="37"/>
  <c r="D134" i="37"/>
  <c r="D94" i="37"/>
  <c r="H107" i="37"/>
  <c r="D84" i="37"/>
  <c r="D86" i="37"/>
  <c r="H11" i="37"/>
  <c r="D10" i="37"/>
  <c r="D55" i="37"/>
  <c r="D52" i="37"/>
  <c r="H12" i="37"/>
  <c r="D35" i="37"/>
  <c r="H10" i="37"/>
  <c r="D34" i="37"/>
  <c r="D104" i="16"/>
  <c r="D103" i="16"/>
  <c r="D101" i="16"/>
  <c r="D100" i="16"/>
  <c r="D93" i="16"/>
  <c r="D92" i="16"/>
  <c r="D90" i="16"/>
  <c r="D89" i="16"/>
  <c r="D83" i="16"/>
  <c r="D82" i="16"/>
  <c r="D80" i="16"/>
  <c r="D79" i="16"/>
  <c r="D72" i="16"/>
  <c r="D71" i="16"/>
  <c r="D69" i="16"/>
  <c r="D68" i="16"/>
  <c r="H37" i="16"/>
  <c r="H36" i="16"/>
  <c r="H35" i="16"/>
  <c r="H34" i="16"/>
  <c r="H9" i="16"/>
  <c r="H8" i="16"/>
  <c r="L114" i="37" l="1"/>
  <c r="D87" i="37"/>
  <c r="D47" i="37"/>
  <c r="H96" i="37"/>
  <c r="L22" i="37"/>
  <c r="H75" i="37"/>
  <c r="H22" i="37"/>
  <c r="L98" i="37"/>
  <c r="H98" i="37"/>
  <c r="H77" i="37"/>
  <c r="D28" i="37"/>
  <c r="D22" i="37"/>
  <c r="D85" i="37"/>
  <c r="H66" i="37"/>
  <c r="D54" i="37"/>
  <c r="L86" i="37"/>
  <c r="L122" i="37"/>
  <c r="L12" i="37"/>
  <c r="L76" i="37"/>
  <c r="L7" i="37"/>
  <c r="L133" i="37"/>
  <c r="D51" i="37"/>
  <c r="L27" i="37"/>
  <c r="L28" i="37"/>
  <c r="L134" i="37"/>
  <c r="L94" i="37"/>
  <c r="L32" i="37"/>
  <c r="L107" i="37"/>
  <c r="L65" i="37"/>
  <c r="L97" i="37"/>
  <c r="L106" i="37"/>
  <c r="L132" i="37"/>
  <c r="L10" i="37"/>
  <c r="D45" i="37"/>
  <c r="L105" i="37"/>
  <c r="L73" i="37"/>
  <c r="L77" i="37"/>
  <c r="H109" i="37"/>
  <c r="L84" i="37"/>
  <c r="L119" i="37"/>
  <c r="H117" i="37"/>
  <c r="L135" i="37"/>
  <c r="L33" i="37"/>
  <c r="L118" i="37"/>
  <c r="L11" i="37"/>
  <c r="D117" i="37"/>
  <c r="L115" i="37"/>
  <c r="L123" i="37"/>
  <c r="L111" i="37"/>
  <c r="D109" i="37"/>
  <c r="D64" i="37"/>
  <c r="D96" i="37"/>
  <c r="L110" i="37"/>
  <c r="D75" i="37"/>
  <c r="G121" i="4"/>
  <c r="G113" i="4"/>
  <c r="G104" i="4"/>
  <c r="G103" i="4"/>
  <c r="G102" i="4"/>
  <c r="G101" i="4"/>
  <c r="G100" i="4"/>
  <c r="G99" i="4"/>
  <c r="G93" i="4"/>
  <c r="G92" i="4"/>
  <c r="G91" i="4"/>
  <c r="G90" i="4"/>
  <c r="G89" i="4"/>
  <c r="G88" i="4"/>
  <c r="G83" i="4"/>
  <c r="G82" i="4"/>
  <c r="G81" i="4"/>
  <c r="G80" i="4"/>
  <c r="G79" i="4"/>
  <c r="G78" i="4"/>
  <c r="G72" i="4"/>
  <c r="G71" i="4"/>
  <c r="G70" i="4"/>
  <c r="G69" i="4"/>
  <c r="G68" i="4"/>
  <c r="G67" i="4"/>
  <c r="G37" i="4"/>
  <c r="G36" i="4"/>
  <c r="G35" i="4"/>
  <c r="G34" i="4"/>
  <c r="G31" i="4"/>
  <c r="G30" i="4"/>
  <c r="G29" i="4"/>
  <c r="G26" i="4"/>
  <c r="G25" i="4"/>
  <c r="G24" i="4"/>
  <c r="G23" i="4"/>
  <c r="D121" i="4"/>
  <c r="D113" i="4"/>
  <c r="D104" i="4"/>
  <c r="D103" i="4"/>
  <c r="D102" i="4"/>
  <c r="D101" i="4"/>
  <c r="D100" i="4"/>
  <c r="D99" i="4"/>
  <c r="D93" i="4"/>
  <c r="D92" i="4"/>
  <c r="D91" i="4"/>
  <c r="D90" i="4"/>
  <c r="D89" i="4"/>
  <c r="D88" i="4"/>
  <c r="D83" i="4"/>
  <c r="D82" i="4"/>
  <c r="D81" i="4"/>
  <c r="D80" i="4"/>
  <c r="D79" i="4"/>
  <c r="D72" i="4"/>
  <c r="D71" i="4"/>
  <c r="D69" i="4"/>
  <c r="D68" i="4"/>
  <c r="D78" i="4"/>
  <c r="D70" i="4"/>
  <c r="D67" i="4"/>
  <c r="D50" i="4"/>
  <c r="D49" i="4"/>
  <c r="D48" i="4"/>
  <c r="D31" i="4"/>
  <c r="D30" i="4"/>
  <c r="D29" i="4"/>
  <c r="D26" i="4"/>
  <c r="D25" i="4"/>
  <c r="D24" i="4"/>
  <c r="D23" i="4"/>
  <c r="F121" i="4"/>
  <c r="E121" i="4"/>
  <c r="F113" i="4"/>
  <c r="E113" i="4"/>
  <c r="F104" i="4"/>
  <c r="E104" i="4"/>
  <c r="F103" i="4"/>
  <c r="E103" i="4"/>
  <c r="F102" i="4"/>
  <c r="E102" i="4"/>
  <c r="F101" i="4"/>
  <c r="E101" i="4"/>
  <c r="F100" i="4"/>
  <c r="E100" i="4"/>
  <c r="F99" i="4"/>
  <c r="E99" i="4"/>
  <c r="F93" i="4"/>
  <c r="E93" i="4"/>
  <c r="F92" i="4"/>
  <c r="E92" i="4"/>
  <c r="F91" i="4"/>
  <c r="E91" i="4"/>
  <c r="F90" i="4"/>
  <c r="E90" i="4"/>
  <c r="F89" i="4"/>
  <c r="E89" i="4"/>
  <c r="F88" i="4"/>
  <c r="E88" i="4"/>
  <c r="F83" i="4"/>
  <c r="E83" i="4"/>
  <c r="F82" i="4"/>
  <c r="E82" i="4"/>
  <c r="F81" i="4"/>
  <c r="E81" i="4"/>
  <c r="F80" i="4"/>
  <c r="E80" i="4"/>
  <c r="F79" i="4"/>
  <c r="E79" i="4"/>
  <c r="F78" i="4"/>
  <c r="E78" i="4"/>
  <c r="F72" i="4"/>
  <c r="E72" i="4"/>
  <c r="F71" i="4"/>
  <c r="E71" i="4"/>
  <c r="F70" i="4"/>
  <c r="E70" i="4"/>
  <c r="F69" i="4"/>
  <c r="E69" i="4"/>
  <c r="F68" i="4"/>
  <c r="E68" i="4"/>
  <c r="F67" i="4"/>
  <c r="E67" i="4"/>
  <c r="C121" i="4"/>
  <c r="E121" i="16" s="1"/>
  <c r="B121" i="4"/>
  <c r="C113" i="4"/>
  <c r="E113" i="16" s="1"/>
  <c r="B113" i="4"/>
  <c r="C102" i="4"/>
  <c r="E102" i="16" s="1"/>
  <c r="B102" i="4"/>
  <c r="C99" i="4"/>
  <c r="E99" i="16" s="1"/>
  <c r="B99" i="4"/>
  <c r="C91" i="4"/>
  <c r="E91" i="16" s="1"/>
  <c r="B91" i="4"/>
  <c r="C88" i="4"/>
  <c r="E88" i="16" s="1"/>
  <c r="B88" i="4"/>
  <c r="C81" i="4"/>
  <c r="E81" i="16" s="1"/>
  <c r="B81" i="4"/>
  <c r="C78" i="4"/>
  <c r="E78" i="16" s="1"/>
  <c r="B78" i="4"/>
  <c r="C70" i="4"/>
  <c r="E70" i="16" s="1"/>
  <c r="B70" i="4"/>
  <c r="C67" i="4"/>
  <c r="E67" i="16" s="1"/>
  <c r="B67" i="4"/>
  <c r="C50" i="4"/>
  <c r="E50" i="16" s="1"/>
  <c r="B50" i="4"/>
  <c r="C49" i="4"/>
  <c r="E49" i="16" s="1"/>
  <c r="B49" i="4"/>
  <c r="C48" i="4"/>
  <c r="E48" i="16" s="1"/>
  <c r="B48" i="4"/>
  <c r="C31" i="4"/>
  <c r="E31" i="16" s="1"/>
  <c r="B31" i="4"/>
  <c r="C30" i="4"/>
  <c r="E30" i="16" s="1"/>
  <c r="B30" i="4"/>
  <c r="C29" i="4"/>
  <c r="E29" i="16" s="1"/>
  <c r="B29" i="4"/>
  <c r="F31" i="4"/>
  <c r="E31" i="4"/>
  <c r="F30" i="4"/>
  <c r="E30" i="4"/>
  <c r="F29" i="4"/>
  <c r="E29" i="4"/>
  <c r="F23" i="4"/>
  <c r="F26" i="4"/>
  <c r="E26" i="4"/>
  <c r="F25" i="4"/>
  <c r="E25" i="4"/>
  <c r="F24" i="4"/>
  <c r="E24" i="4"/>
  <c r="E23" i="4"/>
  <c r="C26" i="4"/>
  <c r="E26" i="16" s="1"/>
  <c r="C25" i="4"/>
  <c r="E25" i="16" s="1"/>
  <c r="C24" i="4"/>
  <c r="E24" i="16" s="1"/>
  <c r="C23" i="4"/>
  <c r="E23" i="16" s="1"/>
  <c r="B26" i="4"/>
  <c r="B25" i="4"/>
  <c r="B24" i="4"/>
  <c r="B23" i="4"/>
  <c r="L96" i="37" l="1"/>
  <c r="L75" i="37"/>
  <c r="L66" i="37"/>
  <c r="H87" i="37"/>
  <c r="L87" i="37"/>
  <c r="H85" i="37"/>
  <c r="L109" i="37"/>
  <c r="L117" i="37"/>
  <c r="L85" i="37" l="1"/>
  <c r="H64" i="37"/>
  <c r="L64" i="37"/>
  <c r="L81" i="16" l="1"/>
  <c r="H102" i="16"/>
  <c r="L67" i="16"/>
  <c r="L88" i="16"/>
  <c r="L71" i="16"/>
  <c r="L92" i="16"/>
  <c r="L30" i="16"/>
  <c r="L70" i="16"/>
  <c r="L68" i="16"/>
  <c r="L26" i="16"/>
  <c r="L25" i="16"/>
  <c r="L24" i="16"/>
  <c r="L82" i="16"/>
  <c r="D30" i="16"/>
  <c r="D29" i="16"/>
  <c r="H31" i="16"/>
  <c r="L23" i="16"/>
  <c r="D23" i="16"/>
  <c r="D25" i="16"/>
  <c r="H23" i="16"/>
  <c r="H25" i="16"/>
  <c r="H26" i="16"/>
  <c r="L29" i="16"/>
  <c r="L31" i="16"/>
  <c r="D67" i="16"/>
  <c r="D78" i="16"/>
  <c r="D88" i="16"/>
  <c r="D99" i="16"/>
  <c r="D113" i="16"/>
  <c r="H68" i="16"/>
  <c r="H71" i="16"/>
  <c r="H79" i="16"/>
  <c r="H82" i="16"/>
  <c r="H89" i="16"/>
  <c r="H92" i="16"/>
  <c r="H100" i="16"/>
  <c r="H103" i="16"/>
  <c r="H113" i="16"/>
  <c r="L69" i="16"/>
  <c r="L80" i="16"/>
  <c r="L90" i="16"/>
  <c r="L101" i="16"/>
  <c r="L113" i="16"/>
  <c r="H29" i="16"/>
  <c r="D24" i="16"/>
  <c r="H24" i="16"/>
  <c r="D26" i="16"/>
  <c r="D70" i="16"/>
  <c r="D81" i="16"/>
  <c r="D91" i="16"/>
  <c r="D102" i="16"/>
  <c r="D121" i="16"/>
  <c r="H69" i="16"/>
  <c r="H72" i="16"/>
  <c r="H80" i="16"/>
  <c r="H83" i="16"/>
  <c r="H90" i="16"/>
  <c r="H93" i="16"/>
  <c r="H101" i="16"/>
  <c r="H104" i="16"/>
  <c r="H121" i="16"/>
  <c r="L72" i="16"/>
  <c r="L79" i="16"/>
  <c r="L83" i="16"/>
  <c r="L89" i="16"/>
  <c r="L93" i="16"/>
  <c r="L100" i="16"/>
  <c r="L104" i="16"/>
  <c r="L121" i="16"/>
  <c r="D31" i="16"/>
  <c r="H30" i="16"/>
  <c r="C104" i="4"/>
  <c r="E104" i="16" s="1"/>
  <c r="B104" i="4"/>
  <c r="C103" i="4"/>
  <c r="E103" i="16" s="1"/>
  <c r="B103" i="4"/>
  <c r="C101" i="4"/>
  <c r="E101" i="16" s="1"/>
  <c r="B101" i="4"/>
  <c r="C100" i="4"/>
  <c r="E100" i="16" s="1"/>
  <c r="B100" i="4"/>
  <c r="C93" i="4"/>
  <c r="E93" i="16" s="1"/>
  <c r="B93" i="4"/>
  <c r="C92" i="4"/>
  <c r="E92" i="16" s="1"/>
  <c r="B92" i="4"/>
  <c r="C90" i="4"/>
  <c r="E90" i="16" s="1"/>
  <c r="B90" i="4"/>
  <c r="C89" i="4"/>
  <c r="E89" i="16" s="1"/>
  <c r="B89" i="4"/>
  <c r="C83" i="4"/>
  <c r="E83" i="16" s="1"/>
  <c r="B83" i="4"/>
  <c r="C82" i="4"/>
  <c r="E82" i="16" s="1"/>
  <c r="B82" i="4"/>
  <c r="C80" i="4"/>
  <c r="E80" i="16" s="1"/>
  <c r="B80" i="4"/>
  <c r="C79" i="4"/>
  <c r="E79" i="16" s="1"/>
  <c r="B79" i="4"/>
  <c r="C72" i="4"/>
  <c r="E72" i="16" s="1"/>
  <c r="B72" i="4"/>
  <c r="C71" i="4"/>
  <c r="E71" i="16" s="1"/>
  <c r="B71" i="4"/>
  <c r="C69" i="4"/>
  <c r="E69" i="16" s="1"/>
  <c r="B69" i="4"/>
  <c r="C68" i="4"/>
  <c r="E68" i="16" s="1"/>
  <c r="B68" i="4"/>
  <c r="F37" i="4"/>
  <c r="F36" i="4"/>
  <c r="F35" i="4"/>
  <c r="F34" i="4"/>
  <c r="E37" i="4"/>
  <c r="E36" i="4"/>
  <c r="F34" i="10" s="1"/>
  <c r="E35" i="4"/>
  <c r="F26" i="10" s="1"/>
  <c r="E34" i="4"/>
  <c r="F16" i="10" s="1"/>
  <c r="H81" i="16" l="1"/>
  <c r="H70" i="16"/>
  <c r="H67" i="16"/>
  <c r="H88" i="16"/>
  <c r="H99" i="16"/>
  <c r="I34" i="37"/>
  <c r="I35" i="37"/>
  <c r="H91" i="16"/>
  <c r="H78" i="16"/>
  <c r="L103" i="16"/>
  <c r="L78" i="16"/>
  <c r="L91" i="16"/>
  <c r="L102" i="16"/>
  <c r="L99" i="16"/>
  <c r="G16" i="10"/>
  <c r="I34" i="16"/>
  <c r="G26" i="10"/>
  <c r="I35" i="16"/>
  <c r="I37" i="16"/>
  <c r="I36" i="16"/>
  <c r="G34" i="10"/>
  <c r="F9" i="4"/>
  <c r="F8" i="4"/>
  <c r="E9" i="4"/>
  <c r="E8" i="4"/>
  <c r="I9" i="16" l="1"/>
  <c r="I8" i="16"/>
  <c r="D49" i="16" l="1"/>
  <c r="D48" i="16"/>
  <c r="D50" i="16"/>
  <c r="G56" i="10" l="1"/>
  <c r="G60" i="10"/>
  <c r="I67" i="16" l="1"/>
  <c r="F60" i="10"/>
  <c r="F56" i="10"/>
  <c r="K28" i="10" l="1"/>
  <c r="J28" i="10"/>
  <c r="D22" i="16" l="1"/>
  <c r="H28" i="29" l="1"/>
  <c r="H119" i="33"/>
  <c r="H28" i="20"/>
  <c r="H123" i="33"/>
  <c r="H66" i="29"/>
  <c r="H107" i="36"/>
  <c r="H66" i="35"/>
  <c r="L34" i="16"/>
  <c r="L37" i="16"/>
  <c r="L35" i="16"/>
  <c r="L36" i="16"/>
  <c r="D119" i="16"/>
  <c r="D132" i="16"/>
  <c r="H123" i="36"/>
  <c r="H22" i="33"/>
  <c r="H33" i="29"/>
  <c r="D122" i="16"/>
  <c r="H32" i="13"/>
  <c r="D86" i="16"/>
  <c r="D35" i="16"/>
  <c r="D133" i="16"/>
  <c r="H98" i="16"/>
  <c r="H115" i="16"/>
  <c r="H119" i="27"/>
  <c r="D53" i="39"/>
  <c r="H119" i="35"/>
  <c r="H98" i="29"/>
  <c r="H42" i="9"/>
  <c r="H98" i="36"/>
  <c r="H32" i="16"/>
  <c r="H124" i="16"/>
  <c r="D123" i="16"/>
  <c r="H116" i="16"/>
  <c r="H87" i="29"/>
  <c r="H132" i="16"/>
  <c r="H32" i="33"/>
  <c r="H119" i="16"/>
  <c r="H22" i="16"/>
  <c r="H12" i="33"/>
  <c r="H112" i="16"/>
  <c r="H33" i="16"/>
  <c r="H77" i="27"/>
  <c r="H123" i="29"/>
  <c r="D135" i="16"/>
  <c r="H7" i="16"/>
  <c r="D53" i="22"/>
  <c r="H40" i="9"/>
  <c r="H28" i="16"/>
  <c r="D124" i="16"/>
  <c r="H84" i="35"/>
  <c r="H134" i="16"/>
  <c r="H28" i="33"/>
  <c r="D56" i="39"/>
  <c r="H73" i="33"/>
  <c r="H118" i="16"/>
  <c r="D34" i="16"/>
  <c r="D12" i="16"/>
  <c r="H11" i="16"/>
  <c r="D76" i="16"/>
  <c r="D110" i="16"/>
  <c r="D112" i="16"/>
  <c r="H65" i="16"/>
  <c r="D11" i="16"/>
  <c r="D35" i="13"/>
  <c r="H98" i="20"/>
  <c r="H133" i="26"/>
  <c r="H22" i="29"/>
  <c r="H12" i="35"/>
  <c r="H94" i="33"/>
  <c r="H115" i="33"/>
  <c r="H33" i="33"/>
  <c r="D47" i="33"/>
  <c r="H98" i="27"/>
  <c r="H22" i="36"/>
  <c r="H107" i="35"/>
  <c r="H41" i="9"/>
  <c r="H111" i="35"/>
  <c r="H135" i="16"/>
  <c r="H77" i="16"/>
  <c r="D77" i="16"/>
  <c r="D73" i="16"/>
  <c r="H120" i="16"/>
  <c r="D97" i="16"/>
  <c r="D55" i="16"/>
  <c r="H27" i="16"/>
  <c r="D33" i="16"/>
  <c r="D27" i="16"/>
  <c r="H133" i="16"/>
  <c r="H94" i="16"/>
  <c r="D28" i="16"/>
  <c r="H108" i="16"/>
  <c r="D108" i="16"/>
  <c r="D116" i="16"/>
  <c r="D107" i="16"/>
  <c r="D115" i="16"/>
  <c r="H73" i="16"/>
  <c r="D9" i="16"/>
  <c r="H97" i="16"/>
  <c r="H111" i="16"/>
  <c r="D10" i="16"/>
  <c r="D37" i="16"/>
  <c r="D56" i="16"/>
  <c r="H110" i="16"/>
  <c r="D52" i="16"/>
  <c r="H86" i="16"/>
  <c r="D120" i="16"/>
  <c r="H107" i="16"/>
  <c r="H106" i="16"/>
  <c r="H114" i="16"/>
  <c r="H10" i="16"/>
  <c r="D84" i="16"/>
  <c r="D8" i="16"/>
  <c r="H76" i="16"/>
  <c r="D111" i="16"/>
  <c r="D134" i="16"/>
  <c r="D47" i="16"/>
  <c r="H87" i="16"/>
  <c r="D7" i="16"/>
  <c r="D53" i="16"/>
  <c r="D105" i="16"/>
  <c r="D32" i="16"/>
  <c r="H12" i="16"/>
  <c r="H105" i="16"/>
  <c r="D36" i="16"/>
  <c r="D94" i="16"/>
  <c r="D46" i="16"/>
  <c r="H84" i="16"/>
  <c r="D118" i="16"/>
  <c r="D65" i="16"/>
  <c r="H66" i="16"/>
  <c r="D87" i="16"/>
  <c r="D66" i="16"/>
  <c r="D98" i="16"/>
  <c r="D106" i="16"/>
  <c r="H123" i="16"/>
  <c r="H122" i="16"/>
  <c r="D114" i="16"/>
  <c r="H98" i="23"/>
  <c r="C37" i="9"/>
  <c r="B28" i="4"/>
  <c r="B21" i="10" s="1"/>
  <c r="H107" i="27"/>
  <c r="H107" i="23"/>
  <c r="H22" i="23"/>
  <c r="C40" i="9"/>
  <c r="H87" i="35"/>
  <c r="H28" i="36"/>
  <c r="C42" i="9"/>
  <c r="H98" i="33"/>
  <c r="H66" i="33"/>
  <c r="D47" i="39"/>
  <c r="H7" i="23"/>
  <c r="H7" i="29"/>
  <c r="H7" i="33"/>
  <c r="H10" i="13"/>
  <c r="H10" i="35"/>
  <c r="H11" i="13"/>
  <c r="H87" i="20"/>
  <c r="H77" i="13"/>
  <c r="H119" i="13"/>
  <c r="C39" i="9"/>
  <c r="D47" i="26"/>
  <c r="H22" i="35"/>
  <c r="H111" i="29"/>
  <c r="H7" i="35"/>
  <c r="H11" i="35"/>
  <c r="H87" i="33"/>
  <c r="H105" i="33"/>
  <c r="H87" i="13"/>
  <c r="H22" i="20"/>
  <c r="H111" i="33"/>
  <c r="H105" i="35"/>
  <c r="H12" i="23"/>
  <c r="H134" i="26"/>
  <c r="H87" i="27"/>
  <c r="H132" i="26"/>
  <c r="H119" i="36"/>
  <c r="H33" i="35"/>
  <c r="H77" i="23"/>
  <c r="H87" i="23"/>
  <c r="H115" i="23"/>
  <c r="H115" i="29"/>
  <c r="D47" i="13"/>
  <c r="H38" i="9"/>
  <c r="H44" i="9"/>
  <c r="D37" i="13"/>
  <c r="H22" i="13"/>
  <c r="H111" i="20"/>
  <c r="H7" i="13"/>
  <c r="B44" i="10"/>
  <c r="H105" i="13"/>
  <c r="C43" i="9"/>
  <c r="C44" i="9"/>
  <c r="H37" i="9"/>
  <c r="H39" i="9"/>
  <c r="C41" i="9"/>
  <c r="D46" i="13"/>
  <c r="D10" i="13"/>
  <c r="D133" i="13"/>
  <c r="H33" i="13"/>
  <c r="B35" i="9"/>
  <c r="H107" i="13"/>
  <c r="H118" i="13"/>
  <c r="D87" i="13"/>
  <c r="D11" i="13"/>
  <c r="D9" i="19"/>
  <c r="B34" i="9"/>
  <c r="D9" i="13"/>
  <c r="H66" i="13"/>
  <c r="G11" i="9"/>
  <c r="D86" i="13"/>
  <c r="H98" i="13"/>
  <c r="H12" i="13"/>
  <c r="C34" i="9"/>
  <c r="H34" i="9"/>
  <c r="G34" i="9"/>
  <c r="D76" i="13"/>
  <c r="D12" i="13"/>
  <c r="H75" i="13"/>
  <c r="C35" i="9"/>
  <c r="H11" i="9"/>
  <c r="H35" i="9"/>
  <c r="H115" i="13"/>
  <c r="H13" i="9"/>
  <c r="D33" i="13"/>
  <c r="D105" i="13"/>
  <c r="D110" i="13"/>
  <c r="D132" i="13"/>
  <c r="D84" i="13"/>
  <c r="G10" i="9"/>
  <c r="D8" i="20"/>
  <c r="D97" i="13"/>
  <c r="D122" i="13"/>
  <c r="H106" i="13"/>
  <c r="H111" i="13"/>
  <c r="D66" i="20"/>
  <c r="D98" i="20"/>
  <c r="D34" i="13"/>
  <c r="D52" i="13"/>
  <c r="D106" i="13"/>
  <c r="H12" i="9"/>
  <c r="D7" i="20"/>
  <c r="D7" i="13"/>
  <c r="D22" i="13"/>
  <c r="D28" i="13"/>
  <c r="D55" i="13"/>
  <c r="D107" i="13"/>
  <c r="D118" i="13"/>
  <c r="H123" i="13"/>
  <c r="D10" i="20"/>
  <c r="D7" i="19"/>
  <c r="D27" i="20"/>
  <c r="B36" i="9"/>
  <c r="H36" i="9"/>
  <c r="G12" i="9"/>
  <c r="H75" i="20"/>
  <c r="H117" i="20"/>
  <c r="D52" i="22"/>
  <c r="D22" i="23"/>
  <c r="D27" i="24"/>
  <c r="D27" i="25"/>
  <c r="D122" i="23"/>
  <c r="D110" i="23"/>
  <c r="D22" i="24"/>
  <c r="G20" i="9"/>
  <c r="D86" i="27"/>
  <c r="D8" i="22"/>
  <c r="D28" i="23"/>
  <c r="G37" i="9"/>
  <c r="D7" i="24"/>
  <c r="L22" i="51"/>
  <c r="D22" i="51"/>
  <c r="G21" i="9"/>
  <c r="D46" i="25"/>
  <c r="D9" i="22"/>
  <c r="D76" i="23"/>
  <c r="D106" i="23"/>
  <c r="H111" i="23"/>
  <c r="H20" i="9"/>
  <c r="D65" i="29"/>
  <c r="D73" i="33"/>
  <c r="D46" i="26"/>
  <c r="H19" i="9"/>
  <c r="D46" i="51"/>
  <c r="G23" i="9"/>
  <c r="D27" i="29"/>
  <c r="B41" i="9"/>
  <c r="D134" i="26"/>
  <c r="H66" i="27"/>
  <c r="H115" i="27"/>
  <c r="D7" i="29"/>
  <c r="D12" i="29"/>
  <c r="H12" i="29"/>
  <c r="D107" i="29"/>
  <c r="D66" i="29"/>
  <c r="D84" i="29"/>
  <c r="D110" i="29"/>
  <c r="D114" i="29"/>
  <c r="H119" i="29"/>
  <c r="D10" i="33"/>
  <c r="D66" i="33"/>
  <c r="D52" i="33"/>
  <c r="D55" i="33"/>
  <c r="D118" i="36"/>
  <c r="D8" i="33"/>
  <c r="H11" i="33"/>
  <c r="D53" i="33"/>
  <c r="D94" i="33"/>
  <c r="D106" i="33"/>
  <c r="D114" i="33"/>
  <c r="D52" i="39"/>
  <c r="D8" i="13"/>
  <c r="D27" i="13"/>
  <c r="D32" i="13"/>
  <c r="D65" i="13"/>
  <c r="G35" i="9"/>
  <c r="D98" i="13"/>
  <c r="D114" i="13"/>
  <c r="D111" i="20"/>
  <c r="D8" i="19"/>
  <c r="D77" i="20"/>
  <c r="D119" i="20"/>
  <c r="D55" i="22"/>
  <c r="D9" i="20"/>
  <c r="H66" i="20"/>
  <c r="C36" i="9"/>
  <c r="H77" i="20"/>
  <c r="G13" i="9"/>
  <c r="H119" i="20"/>
  <c r="D47" i="22"/>
  <c r="D8" i="24"/>
  <c r="G17" i="9"/>
  <c r="D7" i="25"/>
  <c r="D10" i="24"/>
  <c r="H28" i="23"/>
  <c r="G16" i="9"/>
  <c r="D86" i="23"/>
  <c r="C38" i="9"/>
  <c r="D46" i="40"/>
  <c r="D28" i="29"/>
  <c r="G19" i="9"/>
  <c r="D110" i="27"/>
  <c r="D46" i="41"/>
  <c r="D132" i="26"/>
  <c r="D135" i="26"/>
  <c r="H111" i="27"/>
  <c r="D76" i="29"/>
  <c r="D22" i="29"/>
  <c r="G24" i="9"/>
  <c r="D86" i="29"/>
  <c r="D119" i="29"/>
  <c r="D132" i="34"/>
  <c r="H28" i="35"/>
  <c r="D46" i="34"/>
  <c r="G25" i="9"/>
  <c r="H75" i="29"/>
  <c r="H105" i="29"/>
  <c r="D133" i="34"/>
  <c r="D9" i="33"/>
  <c r="D76" i="33"/>
  <c r="D22" i="33"/>
  <c r="D28" i="33"/>
  <c r="B43" i="9"/>
  <c r="H43" i="9"/>
  <c r="H115" i="35"/>
  <c r="H86" i="36"/>
  <c r="H75" i="33"/>
  <c r="D97" i="33"/>
  <c r="D107" i="33"/>
  <c r="D46" i="38"/>
  <c r="G44" i="9"/>
  <c r="H30" i="9"/>
  <c r="D110" i="33"/>
  <c r="D115" i="33"/>
  <c r="D46" i="39"/>
  <c r="D45" i="39"/>
  <c r="D87" i="20"/>
  <c r="D27" i="23"/>
  <c r="D46" i="21"/>
  <c r="D55" i="25"/>
  <c r="D8" i="25"/>
  <c r="D9" i="51"/>
  <c r="D65" i="23"/>
  <c r="D97" i="23"/>
  <c r="D118" i="23"/>
  <c r="D46" i="22"/>
  <c r="H10" i="23"/>
  <c r="H32" i="23"/>
  <c r="H123" i="23"/>
  <c r="D9" i="24"/>
  <c r="D52" i="25"/>
  <c r="D97" i="27"/>
  <c r="D55" i="41"/>
  <c r="L7" i="51"/>
  <c r="D7" i="51"/>
  <c r="H22" i="9"/>
  <c r="D32" i="29"/>
  <c r="H123" i="27"/>
  <c r="D10" i="29"/>
  <c r="D87" i="29"/>
  <c r="H23" i="9"/>
  <c r="H10" i="29"/>
  <c r="D118" i="29"/>
  <c r="D105" i="29"/>
  <c r="H32" i="35"/>
  <c r="D123" i="29"/>
  <c r="H28" i="9"/>
  <c r="H77" i="29"/>
  <c r="D46" i="33"/>
  <c r="G26" i="9"/>
  <c r="D86" i="36"/>
  <c r="D65" i="33"/>
  <c r="D77" i="33"/>
  <c r="D106" i="36"/>
  <c r="D27" i="33"/>
  <c r="D32" i="33"/>
  <c r="D120" i="33"/>
  <c r="H87" i="36"/>
  <c r="H77" i="33"/>
  <c r="D86" i="33"/>
  <c r="G27" i="9"/>
  <c r="D98" i="33"/>
  <c r="D111" i="33"/>
  <c r="C30" i="9"/>
  <c r="D55" i="39"/>
  <c r="D22" i="20"/>
  <c r="D28" i="20"/>
  <c r="D46" i="20"/>
  <c r="G15" i="9"/>
  <c r="G14" i="9"/>
  <c r="D33" i="29"/>
  <c r="D7" i="22"/>
  <c r="H119" i="23"/>
  <c r="D28" i="24"/>
  <c r="H18" i="9"/>
  <c r="H66" i="23"/>
  <c r="D114" i="23"/>
  <c r="D106" i="27"/>
  <c r="L27" i="51"/>
  <c r="D27" i="51"/>
  <c r="H11" i="23"/>
  <c r="H33" i="23"/>
  <c r="D9" i="25"/>
  <c r="H75" i="27"/>
  <c r="D65" i="27"/>
  <c r="G22" i="9"/>
  <c r="D76" i="27"/>
  <c r="D118" i="27"/>
  <c r="D8" i="51"/>
  <c r="G18" i="9"/>
  <c r="D133" i="26"/>
  <c r="D55" i="40"/>
  <c r="D52" i="41"/>
  <c r="D8" i="29"/>
  <c r="B40" i="9"/>
  <c r="D97" i="29"/>
  <c r="D9" i="29"/>
  <c r="H11" i="29"/>
  <c r="H32" i="29"/>
  <c r="D98" i="29"/>
  <c r="D106" i="29"/>
  <c r="D122" i="29"/>
  <c r="D123" i="33"/>
  <c r="D77" i="29"/>
  <c r="H84" i="29"/>
  <c r="H107" i="29"/>
  <c r="D119" i="33"/>
  <c r="D97" i="36"/>
  <c r="D33" i="33"/>
  <c r="D122" i="36"/>
  <c r="D7" i="33"/>
  <c r="H10" i="33"/>
  <c r="H84" i="33"/>
  <c r="D87" i="33"/>
  <c r="L108" i="33"/>
  <c r="D108" i="33"/>
  <c r="H107" i="33"/>
  <c r="D112" i="33"/>
  <c r="G28" i="9"/>
  <c r="G29" i="9"/>
  <c r="G30" i="9"/>
  <c r="B10" i="4"/>
  <c r="B20" i="10" s="1"/>
  <c r="C55" i="4"/>
  <c r="F124" i="4"/>
  <c r="B107" i="4"/>
  <c r="C34" i="4"/>
  <c r="E34" i="16" s="1"/>
  <c r="B73" i="4"/>
  <c r="B15" i="10"/>
  <c r="C111" i="4"/>
  <c r="C10" i="4"/>
  <c r="H75" i="16"/>
  <c r="C22" i="4"/>
  <c r="B7" i="4"/>
  <c r="B9" i="10" s="1"/>
  <c r="F106" i="4"/>
  <c r="C28" i="4"/>
  <c r="E28" i="16" s="1"/>
  <c r="B112" i="4"/>
  <c r="C73" i="4"/>
  <c r="F111" i="4"/>
  <c r="F27" i="4"/>
  <c r="F115" i="4"/>
  <c r="C120" i="4"/>
  <c r="C118" i="4"/>
  <c r="F84" i="4"/>
  <c r="B22" i="4"/>
  <c r="B10" i="10" s="1"/>
  <c r="B12" i="4"/>
  <c r="B41" i="10" s="1"/>
  <c r="B110" i="4"/>
  <c r="C53" i="4"/>
  <c r="C119" i="4"/>
  <c r="F108" i="4"/>
  <c r="B33" i="4"/>
  <c r="B42" i="10" s="1"/>
  <c r="C112" i="4"/>
  <c r="B116" i="4"/>
  <c r="F94" i="4"/>
  <c r="B105" i="4"/>
  <c r="B123" i="4"/>
  <c r="F76" i="4"/>
  <c r="C12" i="4"/>
  <c r="B32" i="4"/>
  <c r="B31" i="10" s="1"/>
  <c r="C105" i="4"/>
  <c r="C114" i="4"/>
  <c r="B11" i="4"/>
  <c r="B30" i="10" s="1"/>
  <c r="C94" i="4"/>
  <c r="F110" i="4"/>
  <c r="F119" i="4"/>
  <c r="B94" i="4"/>
  <c r="C36" i="4"/>
  <c r="B111" i="4"/>
  <c r="B122" i="4"/>
  <c r="C98" i="4"/>
  <c r="F22" i="4"/>
  <c r="C87" i="4"/>
  <c r="E87" i="4"/>
  <c r="F23" i="10" s="1"/>
  <c r="F120" i="4"/>
  <c r="C7" i="4"/>
  <c r="F32" i="4"/>
  <c r="C108" i="4"/>
  <c r="B25" i="10"/>
  <c r="C32" i="4"/>
  <c r="E32" i="16" s="1"/>
  <c r="F86" i="4"/>
  <c r="B55" i="4"/>
  <c r="F122" i="4"/>
  <c r="C106" i="4"/>
  <c r="E106" i="18" s="1"/>
  <c r="F65" i="4"/>
  <c r="C107" i="4"/>
  <c r="C35" i="4"/>
  <c r="E35" i="16" s="1"/>
  <c r="F98" i="4"/>
  <c r="F112" i="4"/>
  <c r="F123" i="4"/>
  <c r="E110" i="4"/>
  <c r="G110" i="4" s="1"/>
  <c r="C52" i="4"/>
  <c r="E94" i="4"/>
  <c r="B115" i="4"/>
  <c r="B124" i="4"/>
  <c r="C47" i="4"/>
  <c r="B65" i="4"/>
  <c r="B98" i="4"/>
  <c r="C122" i="4"/>
  <c r="F11" i="4"/>
  <c r="E7" i="4"/>
  <c r="F9" i="10" s="1"/>
  <c r="F73" i="4"/>
  <c r="F97" i="4"/>
  <c r="C110" i="4"/>
  <c r="E110" i="18" s="1"/>
  <c r="F10" i="4"/>
  <c r="F15" i="10"/>
  <c r="B27" i="4"/>
  <c r="F105" i="4"/>
  <c r="F12" i="4"/>
  <c r="B46" i="4"/>
  <c r="C11" i="4"/>
  <c r="C27" i="4"/>
  <c r="E27" i="18" s="1"/>
  <c r="E84" i="4"/>
  <c r="B106" i="4"/>
  <c r="B118" i="4"/>
  <c r="B87" i="4"/>
  <c r="B23" i="10" s="1"/>
  <c r="C115" i="4"/>
  <c r="E33" i="4"/>
  <c r="F42" i="10" s="1"/>
  <c r="C84" i="4"/>
  <c r="F107" i="4"/>
  <c r="C33" i="4"/>
  <c r="E33" i="16" s="1"/>
  <c r="B52" i="4"/>
  <c r="F33" i="4"/>
  <c r="B108" i="4"/>
  <c r="D108" i="4" s="1"/>
  <c r="B120" i="4"/>
  <c r="B33" i="10"/>
  <c r="F87" i="4"/>
  <c r="E28" i="4"/>
  <c r="F21" i="10" s="1"/>
  <c r="E77" i="4"/>
  <c r="C37" i="4"/>
  <c r="E37" i="16" s="1"/>
  <c r="F118" i="4"/>
  <c r="C56" i="4"/>
  <c r="F25" i="10"/>
  <c r="B77" i="4"/>
  <c r="B114" i="4"/>
  <c r="E118" i="4"/>
  <c r="F114" i="4"/>
  <c r="E22" i="4"/>
  <c r="F10" i="10" s="1"/>
  <c r="B47" i="4"/>
  <c r="C65" i="4"/>
  <c r="E65" i="18" s="1"/>
  <c r="C124" i="4"/>
  <c r="C116" i="4"/>
  <c r="E114" i="4"/>
  <c r="F7" i="4"/>
  <c r="F77" i="4"/>
  <c r="B119" i="4"/>
  <c r="B84" i="4"/>
  <c r="F116" i="4"/>
  <c r="C46" i="4"/>
  <c r="C77" i="4"/>
  <c r="F28" i="4"/>
  <c r="I28" i="13" s="1"/>
  <c r="E111" i="4"/>
  <c r="E120" i="4"/>
  <c r="E32" i="4"/>
  <c r="F31" i="10" s="1"/>
  <c r="E65" i="4"/>
  <c r="E73" i="4"/>
  <c r="B53" i="4"/>
  <c r="B34" i="4"/>
  <c r="B16" i="10" s="1"/>
  <c r="E9" i="18"/>
  <c r="C97" i="4"/>
  <c r="E97" i="18" s="1"/>
  <c r="E97" i="4"/>
  <c r="E11" i="4"/>
  <c r="F30" i="10" s="1"/>
  <c r="B97" i="4"/>
  <c r="E27" i="4"/>
  <c r="B37" i="4"/>
  <c r="E10" i="4"/>
  <c r="F20" i="10" s="1"/>
  <c r="E12" i="4"/>
  <c r="F41" i="10" s="1"/>
  <c r="B56" i="4"/>
  <c r="B35" i="4"/>
  <c r="B26" i="10" s="1"/>
  <c r="E105" i="4"/>
  <c r="B76" i="4"/>
  <c r="B86" i="4"/>
  <c r="E98" i="4"/>
  <c r="E112" i="4"/>
  <c r="E119" i="4"/>
  <c r="B36" i="4"/>
  <c r="B34" i="10" s="1"/>
  <c r="C76" i="4"/>
  <c r="E76" i="18" s="1"/>
  <c r="H9" i="9"/>
  <c r="C86" i="4"/>
  <c r="E86" i="18" s="1"/>
  <c r="C8" i="4"/>
  <c r="E8" i="18" s="1"/>
  <c r="E76" i="4"/>
  <c r="E86" i="4"/>
  <c r="C66" i="4"/>
  <c r="E66" i="4"/>
  <c r="F13" i="10" s="1"/>
  <c r="B66" i="4"/>
  <c r="B13" i="10" s="1"/>
  <c r="F66" i="4"/>
  <c r="E124" i="4"/>
  <c r="E123" i="4"/>
  <c r="C123" i="4"/>
  <c r="E122" i="4"/>
  <c r="E116" i="4"/>
  <c r="E115" i="4"/>
  <c r="E108" i="4"/>
  <c r="E107" i="4"/>
  <c r="E106" i="4"/>
  <c r="E115" i="16" l="1"/>
  <c r="E114" i="18"/>
  <c r="E114" i="16"/>
  <c r="E119" i="16"/>
  <c r="E120" i="16"/>
  <c r="E116" i="16"/>
  <c r="E118" i="18"/>
  <c r="E118" i="16"/>
  <c r="L7" i="35"/>
  <c r="L122" i="23"/>
  <c r="L115" i="35"/>
  <c r="D51" i="41"/>
  <c r="L120" i="33"/>
  <c r="L133" i="26"/>
  <c r="H109" i="35"/>
  <c r="L111" i="35"/>
  <c r="L123" i="36"/>
  <c r="D120" i="4"/>
  <c r="H117" i="35"/>
  <c r="D45" i="34"/>
  <c r="L119" i="13"/>
  <c r="L106" i="33"/>
  <c r="L119" i="35"/>
  <c r="L119" i="36"/>
  <c r="E46" i="37"/>
  <c r="E46" i="18"/>
  <c r="E33" i="37"/>
  <c r="I11" i="37"/>
  <c r="I11" i="18"/>
  <c r="E52" i="37"/>
  <c r="I32" i="37"/>
  <c r="I32" i="18"/>
  <c r="I115" i="37"/>
  <c r="I115" i="18"/>
  <c r="E22" i="37"/>
  <c r="E22" i="18"/>
  <c r="I107" i="37"/>
  <c r="I107" i="18"/>
  <c r="E7" i="37"/>
  <c r="E7" i="18"/>
  <c r="E132" i="37"/>
  <c r="E53" i="37"/>
  <c r="I87" i="37"/>
  <c r="I87" i="18"/>
  <c r="I10" i="37"/>
  <c r="I10" i="18"/>
  <c r="I123" i="37"/>
  <c r="I123" i="18"/>
  <c r="I122" i="37"/>
  <c r="I111" i="37"/>
  <c r="I111" i="18"/>
  <c r="I66" i="37"/>
  <c r="I66" i="18"/>
  <c r="E135" i="37"/>
  <c r="I94" i="37"/>
  <c r="E73" i="37"/>
  <c r="E34" i="37"/>
  <c r="E47" i="37"/>
  <c r="I98" i="37"/>
  <c r="I98" i="18"/>
  <c r="E87" i="37"/>
  <c r="D112" i="4"/>
  <c r="I12" i="37"/>
  <c r="I12" i="18"/>
  <c r="E35" i="37"/>
  <c r="E32" i="37"/>
  <c r="I22" i="37"/>
  <c r="I22" i="18"/>
  <c r="I119" i="37"/>
  <c r="I119" i="18"/>
  <c r="E28" i="37"/>
  <c r="E28" i="18"/>
  <c r="I28" i="37"/>
  <c r="I28" i="18"/>
  <c r="I77" i="37"/>
  <c r="I77" i="18"/>
  <c r="I114" i="18"/>
  <c r="I33" i="37"/>
  <c r="I33" i="18"/>
  <c r="I73" i="37"/>
  <c r="E133" i="37"/>
  <c r="I106" i="37"/>
  <c r="I106" i="18"/>
  <c r="E10" i="37"/>
  <c r="E10" i="18"/>
  <c r="E55" i="37"/>
  <c r="I7" i="37"/>
  <c r="I7" i="18"/>
  <c r="E94" i="37"/>
  <c r="E134" i="37"/>
  <c r="L112" i="33"/>
  <c r="H117" i="36"/>
  <c r="H75" i="23"/>
  <c r="F75" i="4"/>
  <c r="L123" i="16"/>
  <c r="L112" i="16"/>
  <c r="L84" i="16"/>
  <c r="L94" i="16"/>
  <c r="D45" i="21"/>
  <c r="D45" i="20"/>
  <c r="D117" i="16"/>
  <c r="L105" i="29"/>
  <c r="L132" i="26"/>
  <c r="L107" i="23"/>
  <c r="L111" i="33"/>
  <c r="L12" i="33"/>
  <c r="D54" i="22"/>
  <c r="H109" i="20"/>
  <c r="D54" i="41"/>
  <c r="G122" i="4"/>
  <c r="E98" i="37"/>
  <c r="E76" i="37"/>
  <c r="E9" i="37"/>
  <c r="E27" i="37"/>
  <c r="E122" i="37"/>
  <c r="E8" i="37"/>
  <c r="E65" i="37"/>
  <c r="E114" i="37"/>
  <c r="E123" i="37"/>
  <c r="E97" i="37"/>
  <c r="E110" i="37"/>
  <c r="E105" i="37"/>
  <c r="E86" i="37"/>
  <c r="E84" i="37"/>
  <c r="E106" i="37"/>
  <c r="E118" i="37"/>
  <c r="G114" i="4"/>
  <c r="H64" i="27"/>
  <c r="D45" i="38"/>
  <c r="L94" i="33"/>
  <c r="L111" i="29"/>
  <c r="L87" i="23"/>
  <c r="L73" i="33"/>
  <c r="L66" i="20"/>
  <c r="H96" i="20"/>
  <c r="L66" i="33"/>
  <c r="L66" i="23"/>
  <c r="L27" i="24"/>
  <c r="H96" i="29"/>
  <c r="L87" i="20"/>
  <c r="L22" i="23"/>
  <c r="L135" i="26"/>
  <c r="D45" i="40"/>
  <c r="L87" i="27"/>
  <c r="L111" i="20"/>
  <c r="L27" i="23"/>
  <c r="L12" i="29"/>
  <c r="D51" i="13"/>
  <c r="H85" i="36"/>
  <c r="L87" i="33"/>
  <c r="H85" i="29"/>
  <c r="L133" i="34"/>
  <c r="L107" i="27"/>
  <c r="L10" i="29"/>
  <c r="L7" i="33"/>
  <c r="H96" i="27"/>
  <c r="H64" i="23"/>
  <c r="L33" i="29"/>
  <c r="D54" i="39"/>
  <c r="L11" i="35"/>
  <c r="H85" i="35"/>
  <c r="L114" i="29"/>
  <c r="L11" i="29"/>
  <c r="D45" i="41"/>
  <c r="H109" i="13"/>
  <c r="L106" i="27"/>
  <c r="L33" i="23"/>
  <c r="N141" i="8"/>
  <c r="C12" i="9"/>
  <c r="N115" i="8"/>
  <c r="C24" i="9"/>
  <c r="C13" i="9"/>
  <c r="L73" i="16"/>
  <c r="C22" i="9"/>
  <c r="L98" i="16"/>
  <c r="C27" i="9"/>
  <c r="L105" i="33"/>
  <c r="L98" i="33"/>
  <c r="L98" i="20"/>
  <c r="N144" i="8"/>
  <c r="M115" i="8"/>
  <c r="L106" i="13"/>
  <c r="D54" i="40"/>
  <c r="L97" i="16"/>
  <c r="L134" i="16"/>
  <c r="N146" i="8"/>
  <c r="L107" i="35"/>
  <c r="H117" i="23"/>
  <c r="L114" i="33"/>
  <c r="L98" i="27"/>
  <c r="C19" i="9"/>
  <c r="D51" i="22"/>
  <c r="L33" i="33"/>
  <c r="L8" i="16"/>
  <c r="L110" i="16"/>
  <c r="L65" i="29"/>
  <c r="L28" i="20"/>
  <c r="L114" i="23"/>
  <c r="L12" i="35"/>
  <c r="H85" i="27"/>
  <c r="L133" i="16"/>
  <c r="L122" i="36"/>
  <c r="L106" i="23"/>
  <c r="L27" i="25"/>
  <c r="L132" i="16"/>
  <c r="L9" i="16"/>
  <c r="H96" i="13"/>
  <c r="L76" i="16"/>
  <c r="N145" i="8"/>
  <c r="L7" i="16"/>
  <c r="L115" i="16"/>
  <c r="D96" i="16"/>
  <c r="D51" i="16"/>
  <c r="L122" i="16"/>
  <c r="D45" i="33"/>
  <c r="D54" i="25"/>
  <c r="L115" i="33"/>
  <c r="L10" i="35"/>
  <c r="L132" i="13"/>
  <c r="L12" i="13"/>
  <c r="L124" i="16"/>
  <c r="D54" i="16"/>
  <c r="N139" i="8"/>
  <c r="L77" i="16"/>
  <c r="L97" i="23"/>
  <c r="H117" i="16"/>
  <c r="L7" i="20"/>
  <c r="M117" i="8"/>
  <c r="M112" i="8"/>
  <c r="L11" i="33"/>
  <c r="H117" i="13"/>
  <c r="L22" i="16"/>
  <c r="D64" i="16"/>
  <c r="L28" i="16"/>
  <c r="L105" i="16"/>
  <c r="L66" i="16"/>
  <c r="C14" i="9"/>
  <c r="D75" i="16"/>
  <c r="D109" i="16"/>
  <c r="H109" i="16"/>
  <c r="L33" i="16"/>
  <c r="L107" i="16"/>
  <c r="H85" i="16"/>
  <c r="L106" i="16"/>
  <c r="L10" i="16"/>
  <c r="L119" i="16"/>
  <c r="L65" i="16"/>
  <c r="G9" i="9"/>
  <c r="D85" i="16"/>
  <c r="E134" i="16"/>
  <c r="H64" i="16"/>
  <c r="L86" i="16"/>
  <c r="D45" i="16"/>
  <c r="L27" i="16"/>
  <c r="L87" i="16"/>
  <c r="L135" i="16"/>
  <c r="L12" i="16"/>
  <c r="L116" i="16"/>
  <c r="L120" i="16"/>
  <c r="L11" i="16"/>
  <c r="L114" i="16"/>
  <c r="L118" i="16"/>
  <c r="L111" i="16"/>
  <c r="L32" i="16"/>
  <c r="L108" i="16"/>
  <c r="H96" i="16"/>
  <c r="N143" i="8"/>
  <c r="L7" i="13"/>
  <c r="M142" i="8"/>
  <c r="N138" i="8"/>
  <c r="B28" i="9"/>
  <c r="M119" i="8"/>
  <c r="M143" i="8"/>
  <c r="N114" i="8"/>
  <c r="N140" i="8"/>
  <c r="N147" i="8"/>
  <c r="C9" i="9"/>
  <c r="C28" i="9"/>
  <c r="C21" i="9"/>
  <c r="C17" i="9"/>
  <c r="M114" i="8"/>
  <c r="B11" i="9"/>
  <c r="B15" i="9"/>
  <c r="B9" i="9"/>
  <c r="M120" i="8"/>
  <c r="H117" i="33"/>
  <c r="L107" i="36"/>
  <c r="L123" i="33"/>
  <c r="M145" i="8"/>
  <c r="L119" i="23"/>
  <c r="M116" i="8"/>
  <c r="M141" i="8"/>
  <c r="L114" i="13"/>
  <c r="N119" i="8"/>
  <c r="C26" i="9"/>
  <c r="L10" i="33"/>
  <c r="C18" i="9"/>
  <c r="B18" i="9"/>
  <c r="L22" i="13"/>
  <c r="L105" i="13"/>
  <c r="B10" i="9"/>
  <c r="L10" i="13"/>
  <c r="L119" i="33"/>
  <c r="C25" i="9"/>
  <c r="H85" i="23"/>
  <c r="L28" i="24"/>
  <c r="L7" i="23"/>
  <c r="H85" i="33"/>
  <c r="L118" i="29"/>
  <c r="D45" i="22"/>
  <c r="L11" i="23"/>
  <c r="M118" i="8"/>
  <c r="L115" i="29"/>
  <c r="B23" i="9"/>
  <c r="N116" i="8"/>
  <c r="L32" i="13"/>
  <c r="M146" i="8"/>
  <c r="B21" i="9"/>
  <c r="B19" i="9"/>
  <c r="N142" i="8"/>
  <c r="L22" i="24"/>
  <c r="L7" i="19"/>
  <c r="N112" i="8"/>
  <c r="M113" i="8"/>
  <c r="C10" i="9"/>
  <c r="L11" i="13"/>
  <c r="C11" i="9"/>
  <c r="M138" i="8"/>
  <c r="C29" i="9"/>
  <c r="G73" i="4"/>
  <c r="F14" i="10"/>
  <c r="E46" i="39"/>
  <c r="E46" i="16"/>
  <c r="I71" i="16"/>
  <c r="I87" i="20"/>
  <c r="I87" i="13"/>
  <c r="I87" i="29"/>
  <c r="I87" i="35"/>
  <c r="I87" i="33"/>
  <c r="I87" i="27"/>
  <c r="I87" i="23"/>
  <c r="I87" i="16"/>
  <c r="G23" i="10"/>
  <c r="I33" i="23"/>
  <c r="I33" i="29"/>
  <c r="I33" i="35"/>
  <c r="I33" i="33"/>
  <c r="I33" i="13"/>
  <c r="I33" i="16"/>
  <c r="G42" i="10"/>
  <c r="I132" i="26"/>
  <c r="G15" i="10"/>
  <c r="I132" i="16"/>
  <c r="I10" i="23"/>
  <c r="I10" i="35"/>
  <c r="I10" i="29"/>
  <c r="I10" i="33"/>
  <c r="I10" i="13"/>
  <c r="G20" i="10"/>
  <c r="I10" i="16"/>
  <c r="E47" i="39"/>
  <c r="E47" i="16"/>
  <c r="I100" i="16"/>
  <c r="I23" i="16"/>
  <c r="E52" i="39"/>
  <c r="E52" i="16"/>
  <c r="I112" i="16"/>
  <c r="C25" i="10"/>
  <c r="C31" i="10"/>
  <c r="C9" i="10"/>
  <c r="C23" i="10"/>
  <c r="G44" i="10"/>
  <c r="I135" i="16"/>
  <c r="C41" i="10"/>
  <c r="I108" i="16"/>
  <c r="I84" i="29"/>
  <c r="I84" i="33"/>
  <c r="I84" i="35"/>
  <c r="I84" i="16"/>
  <c r="I27" i="16"/>
  <c r="C21" i="10"/>
  <c r="C33" i="10"/>
  <c r="C16" i="10"/>
  <c r="N118" i="8"/>
  <c r="H16" i="9"/>
  <c r="B14" i="9"/>
  <c r="M147" i="8"/>
  <c r="B12" i="9"/>
  <c r="H26" i="9"/>
  <c r="H17" i="9"/>
  <c r="M140" i="8"/>
  <c r="N113" i="8"/>
  <c r="B42" i="9"/>
  <c r="G39" i="9"/>
  <c r="I28" i="33"/>
  <c r="I28" i="20"/>
  <c r="I28" i="23"/>
  <c r="I28" i="29"/>
  <c r="I28" i="35"/>
  <c r="I28" i="16"/>
  <c r="G21" i="10"/>
  <c r="I121" i="16"/>
  <c r="I25" i="16"/>
  <c r="I29" i="16"/>
  <c r="C30" i="10"/>
  <c r="I105" i="13"/>
  <c r="I105" i="29"/>
  <c r="I105" i="35"/>
  <c r="I105" i="33"/>
  <c r="I105" i="16"/>
  <c r="C44" i="10"/>
  <c r="I73" i="33"/>
  <c r="G14" i="10"/>
  <c r="I73" i="16"/>
  <c r="I31" i="16"/>
  <c r="I98" i="13"/>
  <c r="I98" i="20"/>
  <c r="I98" i="23"/>
  <c r="I98" i="27"/>
  <c r="I98" i="29"/>
  <c r="I98" i="33"/>
  <c r="I98" i="16"/>
  <c r="I122" i="16"/>
  <c r="I120" i="16"/>
  <c r="I22" i="23"/>
  <c r="I22" i="29"/>
  <c r="I22" i="35"/>
  <c r="I22" i="33"/>
  <c r="I22" i="20"/>
  <c r="I22" i="16"/>
  <c r="I22" i="13"/>
  <c r="G10" i="10"/>
  <c r="I79" i="16"/>
  <c r="C34" i="10"/>
  <c r="I119" i="20"/>
  <c r="I119" i="13"/>
  <c r="I119" i="23"/>
  <c r="I119" i="35"/>
  <c r="I119" i="27"/>
  <c r="I119" i="33"/>
  <c r="I119" i="29"/>
  <c r="I119" i="16"/>
  <c r="I111" i="20"/>
  <c r="I111" i="23"/>
  <c r="I111" i="13"/>
  <c r="I111" i="27"/>
  <c r="I111" i="35"/>
  <c r="I111" i="33"/>
  <c r="I111" i="29"/>
  <c r="I111" i="16"/>
  <c r="I106" i="13"/>
  <c r="I106" i="16"/>
  <c r="B26" i="9"/>
  <c r="M144" i="8"/>
  <c r="N117" i="8"/>
  <c r="B38" i="9"/>
  <c r="B13" i="9"/>
  <c r="B30" i="9"/>
  <c r="G43" i="9"/>
  <c r="B39" i="9"/>
  <c r="H21" i="9"/>
  <c r="C15" i="9"/>
  <c r="B29" i="9"/>
  <c r="H27" i="9"/>
  <c r="G42" i="9"/>
  <c r="B37" i="9"/>
  <c r="B17" i="9"/>
  <c r="I69" i="16"/>
  <c r="I104" i="16"/>
  <c r="I134" i="26"/>
  <c r="I134" i="16"/>
  <c r="G33" i="10"/>
  <c r="I7" i="29"/>
  <c r="I7" i="33"/>
  <c r="I7" i="23"/>
  <c r="I7" i="35"/>
  <c r="I7" i="13"/>
  <c r="G9" i="10"/>
  <c r="I7" i="16"/>
  <c r="I114" i="16"/>
  <c r="I101" i="16"/>
  <c r="I90" i="16"/>
  <c r="D37" i="4"/>
  <c r="B45" i="10"/>
  <c r="I89" i="16"/>
  <c r="I30" i="16"/>
  <c r="C45" i="10"/>
  <c r="I103" i="16"/>
  <c r="C42" i="10"/>
  <c r="I24" i="16"/>
  <c r="I65" i="16"/>
  <c r="I92" i="16"/>
  <c r="C15" i="10"/>
  <c r="I76" i="16"/>
  <c r="B27" i="9"/>
  <c r="B20" i="9"/>
  <c r="H15" i="9"/>
  <c r="M139" i="8"/>
  <c r="B44" i="9"/>
  <c r="G41" i="9"/>
  <c r="C23" i="9"/>
  <c r="H10" i="9"/>
  <c r="N120" i="8"/>
  <c r="C16" i="9"/>
  <c r="H29" i="9"/>
  <c r="I68" i="16"/>
  <c r="I72" i="16"/>
  <c r="C13" i="10"/>
  <c r="I83" i="16"/>
  <c r="I80" i="16"/>
  <c r="F44" i="10"/>
  <c r="I133" i="26"/>
  <c r="G25" i="10"/>
  <c r="I133" i="16"/>
  <c r="E56" i="39"/>
  <c r="E56" i="16"/>
  <c r="I26" i="16"/>
  <c r="I110" i="16"/>
  <c r="I94" i="33"/>
  <c r="G24" i="10"/>
  <c r="I94" i="16"/>
  <c r="E53" i="39"/>
  <c r="E53" i="16"/>
  <c r="C14" i="10"/>
  <c r="I124" i="16"/>
  <c r="I66" i="20"/>
  <c r="I66" i="23"/>
  <c r="I66" i="27"/>
  <c r="I66" i="29"/>
  <c r="I66" i="35"/>
  <c r="I66" i="16"/>
  <c r="I66" i="33"/>
  <c r="I66" i="13"/>
  <c r="G13" i="10"/>
  <c r="I93" i="16"/>
  <c r="F33" i="10"/>
  <c r="I116" i="16"/>
  <c r="I77" i="13"/>
  <c r="I77" i="20"/>
  <c r="I77" i="23"/>
  <c r="I77" i="33"/>
  <c r="I77" i="16"/>
  <c r="I77" i="27"/>
  <c r="I77" i="29"/>
  <c r="I118" i="13"/>
  <c r="I118" i="16"/>
  <c r="I113" i="16"/>
  <c r="I107" i="13"/>
  <c r="I107" i="27"/>
  <c r="I107" i="35"/>
  <c r="I107" i="29"/>
  <c r="I107" i="23"/>
  <c r="I107" i="33"/>
  <c r="I107" i="16"/>
  <c r="I12" i="29"/>
  <c r="I12" i="33"/>
  <c r="I12" i="35"/>
  <c r="I12" i="23"/>
  <c r="I12" i="13"/>
  <c r="I12" i="16"/>
  <c r="G41" i="10"/>
  <c r="I97" i="16"/>
  <c r="I11" i="13"/>
  <c r="I11" i="23"/>
  <c r="I11" i="35"/>
  <c r="I11" i="33"/>
  <c r="I11" i="16"/>
  <c r="G30" i="10"/>
  <c r="I11" i="29"/>
  <c r="I82" i="16"/>
  <c r="G94" i="4"/>
  <c r="F24" i="10"/>
  <c r="I123" i="13"/>
  <c r="I123" i="27"/>
  <c r="I123" i="23"/>
  <c r="I123" i="29"/>
  <c r="I123" i="33"/>
  <c r="I123" i="16"/>
  <c r="C26" i="10"/>
  <c r="I86" i="16"/>
  <c r="I32" i="13"/>
  <c r="I32" i="35"/>
  <c r="I32" i="23"/>
  <c r="I32" i="29"/>
  <c r="I32" i="33"/>
  <c r="I32" i="16"/>
  <c r="G31" i="10"/>
  <c r="D94" i="4"/>
  <c r="B24" i="10"/>
  <c r="C24" i="10"/>
  <c r="I115" i="13"/>
  <c r="I115" i="23"/>
  <c r="I115" i="35"/>
  <c r="I115" i="29"/>
  <c r="I115" i="33"/>
  <c r="I115" i="27"/>
  <c r="I115" i="16"/>
  <c r="C10" i="10"/>
  <c r="C20" i="10"/>
  <c r="D73" i="4"/>
  <c r="B14" i="10"/>
  <c r="E55" i="39"/>
  <c r="E55" i="16"/>
  <c r="L87" i="36"/>
  <c r="L122" i="29"/>
  <c r="L118" i="27"/>
  <c r="L118" i="23"/>
  <c r="L65" i="23"/>
  <c r="H96" i="33"/>
  <c r="L22" i="35"/>
  <c r="H85" i="20"/>
  <c r="L98" i="13"/>
  <c r="D51" i="39"/>
  <c r="D54" i="33"/>
  <c r="L98" i="36"/>
  <c r="L107" i="29"/>
  <c r="L7" i="29"/>
  <c r="L27" i="29"/>
  <c r="L115" i="23"/>
  <c r="H96" i="23"/>
  <c r="L10" i="20"/>
  <c r="G38" i="9"/>
  <c r="B16" i="9"/>
  <c r="G40" i="9"/>
  <c r="B22" i="9"/>
  <c r="H14" i="9"/>
  <c r="B25" i="9"/>
  <c r="C20" i="9"/>
  <c r="G36" i="9"/>
  <c r="H25" i="9"/>
  <c r="B24" i="9"/>
  <c r="H24" i="9"/>
  <c r="L22" i="20"/>
  <c r="L107" i="33"/>
  <c r="L97" i="33"/>
  <c r="H109" i="29"/>
  <c r="L10" i="23"/>
  <c r="L87" i="35"/>
  <c r="D54" i="13"/>
  <c r="F85" i="4"/>
  <c r="L33" i="35"/>
  <c r="L97" i="29"/>
  <c r="L86" i="33"/>
  <c r="L27" i="33"/>
  <c r="L77" i="33"/>
  <c r="L32" i="29"/>
  <c r="H64" i="33"/>
  <c r="L76" i="33"/>
  <c r="L65" i="13"/>
  <c r="H64" i="35"/>
  <c r="L107" i="13"/>
  <c r="L110" i="13"/>
  <c r="L33" i="13"/>
  <c r="L77" i="29"/>
  <c r="L84" i="29"/>
  <c r="L7" i="22"/>
  <c r="L76" i="27"/>
  <c r="L86" i="36"/>
  <c r="L87" i="29"/>
  <c r="L110" i="27"/>
  <c r="L12" i="23"/>
  <c r="H85" i="13"/>
  <c r="L118" i="13"/>
  <c r="L66" i="13"/>
  <c r="L7" i="25"/>
  <c r="L132" i="34"/>
  <c r="L123" i="27"/>
  <c r="F64" i="4"/>
  <c r="B75" i="4"/>
  <c r="L97" i="36"/>
  <c r="L106" i="29"/>
  <c r="L65" i="27"/>
  <c r="L32" i="35"/>
  <c r="D51" i="25"/>
  <c r="L110" i="33"/>
  <c r="L28" i="33"/>
  <c r="L119" i="29"/>
  <c r="L28" i="29"/>
  <c r="H109" i="23"/>
  <c r="L22" i="36"/>
  <c r="L84" i="35"/>
  <c r="D51" i="33"/>
  <c r="L110" i="29"/>
  <c r="L66" i="29"/>
  <c r="L134" i="26"/>
  <c r="L77" i="27"/>
  <c r="D45" i="25"/>
  <c r="L86" i="27"/>
  <c r="L110" i="23"/>
  <c r="H64" i="20"/>
  <c r="L111" i="13"/>
  <c r="L115" i="13"/>
  <c r="L66" i="35"/>
  <c r="L84" i="33"/>
  <c r="H117" i="29"/>
  <c r="L98" i="29"/>
  <c r="L32" i="33"/>
  <c r="L123" i="29"/>
  <c r="L97" i="27"/>
  <c r="L28" i="35"/>
  <c r="L86" i="29"/>
  <c r="L76" i="29"/>
  <c r="L86" i="23"/>
  <c r="L123" i="23"/>
  <c r="L111" i="23"/>
  <c r="L77" i="20"/>
  <c r="H109" i="33"/>
  <c r="L28" i="36"/>
  <c r="L105" i="35"/>
  <c r="H96" i="36"/>
  <c r="D45" i="51"/>
  <c r="D45" i="26"/>
  <c r="L7" i="24"/>
  <c r="L28" i="23"/>
  <c r="L27" i="20"/>
  <c r="L119" i="27"/>
  <c r="L98" i="23"/>
  <c r="L106" i="36"/>
  <c r="L111" i="27"/>
  <c r="L77" i="23"/>
  <c r="L65" i="33"/>
  <c r="L22" i="33"/>
  <c r="L22" i="29"/>
  <c r="L115" i="27"/>
  <c r="L10" i="24"/>
  <c r="L76" i="23"/>
  <c r="L32" i="23"/>
  <c r="L119" i="20"/>
  <c r="L118" i="36"/>
  <c r="H109" i="27"/>
  <c r="L66" i="27"/>
  <c r="C96" i="4"/>
  <c r="B64" i="4"/>
  <c r="C64" i="4"/>
  <c r="E64" i="18" s="1"/>
  <c r="C85" i="4"/>
  <c r="E85" i="18" s="1"/>
  <c r="B85" i="4"/>
  <c r="B22" i="10" s="1"/>
  <c r="F96" i="4"/>
  <c r="B96" i="4"/>
  <c r="L122" i="13"/>
  <c r="L77" i="13"/>
  <c r="L87" i="13"/>
  <c r="L133" i="13"/>
  <c r="L97" i="13"/>
  <c r="L123" i="13"/>
  <c r="L76" i="13"/>
  <c r="L84" i="13"/>
  <c r="L86" i="13"/>
  <c r="H64" i="13"/>
  <c r="D45" i="13"/>
  <c r="D64" i="33"/>
  <c r="D75" i="27"/>
  <c r="L75" i="27"/>
  <c r="D96" i="23"/>
  <c r="D109" i="33"/>
  <c r="D85" i="20"/>
  <c r="D64" i="13"/>
  <c r="D109" i="29"/>
  <c r="D109" i="23"/>
  <c r="L75" i="20"/>
  <c r="D75" i="20"/>
  <c r="D85" i="13"/>
  <c r="D117" i="33"/>
  <c r="D117" i="27"/>
  <c r="D64" i="27"/>
  <c r="D75" i="29"/>
  <c r="D96" i="27"/>
  <c r="D75" i="13"/>
  <c r="D96" i="20"/>
  <c r="D96" i="36"/>
  <c r="D85" i="33"/>
  <c r="D85" i="36"/>
  <c r="D117" i="29"/>
  <c r="D96" i="33"/>
  <c r="L96" i="33"/>
  <c r="D85" i="29"/>
  <c r="D109" i="27"/>
  <c r="D85" i="23"/>
  <c r="H117" i="27"/>
  <c r="D117" i="13"/>
  <c r="D96" i="13"/>
  <c r="D109" i="13"/>
  <c r="D96" i="29"/>
  <c r="L117" i="35"/>
  <c r="H64" i="29"/>
  <c r="D117" i="23"/>
  <c r="D64" i="23"/>
  <c r="D75" i="33"/>
  <c r="L75" i="33"/>
  <c r="L75" i="23"/>
  <c r="D75" i="23"/>
  <c r="D117" i="36"/>
  <c r="D64" i="29"/>
  <c r="D85" i="27"/>
  <c r="D117" i="20"/>
  <c r="D109" i="20"/>
  <c r="D64" i="20"/>
  <c r="E46" i="38"/>
  <c r="E86" i="33"/>
  <c r="E106" i="33"/>
  <c r="E22" i="33"/>
  <c r="E55" i="33"/>
  <c r="E97" i="33"/>
  <c r="E9" i="33"/>
  <c r="E46" i="33"/>
  <c r="E115" i="33"/>
  <c r="E108" i="33"/>
  <c r="E53" i="33"/>
  <c r="E120" i="33"/>
  <c r="E73" i="33"/>
  <c r="E27" i="33"/>
  <c r="E114" i="33"/>
  <c r="E10" i="33"/>
  <c r="E77" i="33"/>
  <c r="E33" i="33"/>
  <c r="E47" i="33"/>
  <c r="E52" i="33"/>
  <c r="E32" i="33"/>
  <c r="E7" i="33"/>
  <c r="E87" i="33"/>
  <c r="E98" i="33"/>
  <c r="E28" i="33"/>
  <c r="E123" i="33"/>
  <c r="E66" i="33"/>
  <c r="E94" i="33"/>
  <c r="E8" i="33"/>
  <c r="E76" i="33"/>
  <c r="E65" i="33"/>
  <c r="E110" i="33"/>
  <c r="E107" i="33"/>
  <c r="E112" i="33"/>
  <c r="E119" i="33"/>
  <c r="E111" i="33"/>
  <c r="G115" i="4"/>
  <c r="E97" i="29"/>
  <c r="E9" i="29"/>
  <c r="E46" i="34"/>
  <c r="E84" i="29"/>
  <c r="E132" i="34"/>
  <c r="E123" i="29"/>
  <c r="E66" i="29"/>
  <c r="E86" i="29"/>
  <c r="E27" i="29"/>
  <c r="E122" i="29"/>
  <c r="E106" i="29"/>
  <c r="E114" i="29"/>
  <c r="E22" i="29"/>
  <c r="E10" i="29"/>
  <c r="E77" i="29"/>
  <c r="E33" i="29"/>
  <c r="E133" i="34"/>
  <c r="E32" i="29"/>
  <c r="E7" i="29"/>
  <c r="E87" i="29"/>
  <c r="E98" i="29"/>
  <c r="E105" i="29"/>
  <c r="E12" i="29"/>
  <c r="E28" i="29"/>
  <c r="E8" i="29"/>
  <c r="E76" i="29"/>
  <c r="E65" i="29"/>
  <c r="E110" i="29"/>
  <c r="E107" i="29"/>
  <c r="E119" i="29"/>
  <c r="E118" i="29"/>
  <c r="E46" i="40"/>
  <c r="E46" i="41"/>
  <c r="E55" i="40"/>
  <c r="E55" i="41"/>
  <c r="E52" i="41"/>
  <c r="E97" i="27"/>
  <c r="E9" i="51"/>
  <c r="E46" i="51"/>
  <c r="E86" i="27"/>
  <c r="E27" i="51"/>
  <c r="E106" i="27"/>
  <c r="E22" i="51"/>
  <c r="E7" i="51"/>
  <c r="E8" i="51"/>
  <c r="E76" i="27"/>
  <c r="E65" i="27"/>
  <c r="E110" i="27"/>
  <c r="E118" i="27"/>
  <c r="E9" i="25"/>
  <c r="E27" i="25"/>
  <c r="E55" i="25"/>
  <c r="E46" i="25"/>
  <c r="E46" i="26"/>
  <c r="E135" i="26"/>
  <c r="E47" i="26"/>
  <c r="E52" i="25"/>
  <c r="E133" i="26"/>
  <c r="E7" i="25"/>
  <c r="E134" i="26"/>
  <c r="E132" i="26"/>
  <c r="E8" i="25"/>
  <c r="E97" i="23"/>
  <c r="E9" i="24"/>
  <c r="E86" i="23"/>
  <c r="E27" i="23"/>
  <c r="E27" i="24"/>
  <c r="E122" i="23"/>
  <c r="E106" i="23"/>
  <c r="E114" i="23"/>
  <c r="E22" i="23"/>
  <c r="E22" i="24"/>
  <c r="E10" i="24"/>
  <c r="E7" i="24"/>
  <c r="E28" i="23"/>
  <c r="E28" i="24"/>
  <c r="E8" i="24"/>
  <c r="E76" i="23"/>
  <c r="E65" i="23"/>
  <c r="E110" i="23"/>
  <c r="E118" i="23"/>
  <c r="E9" i="22"/>
  <c r="E46" i="21"/>
  <c r="E46" i="22"/>
  <c r="E53" i="22"/>
  <c r="E55" i="22"/>
  <c r="E47" i="22"/>
  <c r="E52" i="22"/>
  <c r="E7" i="22"/>
  <c r="E8" i="22"/>
  <c r="E66" i="20"/>
  <c r="E27" i="20"/>
  <c r="E22" i="20"/>
  <c r="E10" i="20"/>
  <c r="E77" i="20"/>
  <c r="E7" i="19"/>
  <c r="E7" i="20"/>
  <c r="E87" i="20"/>
  <c r="E98" i="20"/>
  <c r="E28" i="20"/>
  <c r="E9" i="19"/>
  <c r="E9" i="20"/>
  <c r="E46" i="20"/>
  <c r="E8" i="19"/>
  <c r="E8" i="20"/>
  <c r="E119" i="20"/>
  <c r="E111" i="20"/>
  <c r="E97" i="13"/>
  <c r="E9" i="13"/>
  <c r="E46" i="13"/>
  <c r="E84" i="13"/>
  <c r="E132" i="13"/>
  <c r="E86" i="13"/>
  <c r="E27" i="13"/>
  <c r="E122" i="13"/>
  <c r="E35" i="13"/>
  <c r="E106" i="13"/>
  <c r="E114" i="13"/>
  <c r="E22" i="13"/>
  <c r="E10" i="13"/>
  <c r="E55" i="13"/>
  <c r="E33" i="13"/>
  <c r="E11" i="13"/>
  <c r="E47" i="13"/>
  <c r="E52" i="13"/>
  <c r="E133" i="13"/>
  <c r="E32" i="13"/>
  <c r="E7" i="13"/>
  <c r="E87" i="13"/>
  <c r="E98" i="13"/>
  <c r="E105" i="13"/>
  <c r="E12" i="13"/>
  <c r="E28" i="13"/>
  <c r="E34" i="13"/>
  <c r="E8" i="13"/>
  <c r="E76" i="13"/>
  <c r="E65" i="13"/>
  <c r="E110" i="13"/>
  <c r="E107" i="13"/>
  <c r="E118" i="13"/>
  <c r="G123" i="4"/>
  <c r="D114" i="4"/>
  <c r="D106" i="4"/>
  <c r="G106" i="4"/>
  <c r="G107" i="4"/>
  <c r="D115" i="4"/>
  <c r="D122" i="4"/>
  <c r="D123" i="4"/>
  <c r="D107" i="4"/>
  <c r="E76" i="16"/>
  <c r="E65" i="16"/>
  <c r="E133" i="16"/>
  <c r="E22" i="16"/>
  <c r="E97" i="16"/>
  <c r="E9" i="16"/>
  <c r="E84" i="16"/>
  <c r="E87" i="16"/>
  <c r="D22" i="4"/>
  <c r="E123" i="16"/>
  <c r="E66" i="16"/>
  <c r="E86" i="16"/>
  <c r="E124" i="16"/>
  <c r="E27" i="16"/>
  <c r="E122" i="16"/>
  <c r="D55" i="4"/>
  <c r="E105" i="16"/>
  <c r="E12" i="16"/>
  <c r="E73" i="16"/>
  <c r="E10" i="16"/>
  <c r="E111" i="16"/>
  <c r="E107" i="16"/>
  <c r="E98" i="16"/>
  <c r="E94" i="16"/>
  <c r="D34" i="4"/>
  <c r="E77" i="16"/>
  <c r="E11" i="16"/>
  <c r="E106" i="16"/>
  <c r="E108" i="16"/>
  <c r="E112" i="16"/>
  <c r="G22" i="4"/>
  <c r="E75" i="4"/>
  <c r="D111" i="4"/>
  <c r="E96" i="4"/>
  <c r="E85" i="4"/>
  <c r="E135" i="16"/>
  <c r="D10" i="4"/>
  <c r="D110" i="4"/>
  <c r="E110" i="16"/>
  <c r="D53" i="4"/>
  <c r="D118" i="4"/>
  <c r="D7" i="4"/>
  <c r="E7" i="16"/>
  <c r="D66" i="4"/>
  <c r="E8" i="16"/>
  <c r="E132" i="16"/>
  <c r="D33" i="4"/>
  <c r="D28" i="4"/>
  <c r="G7" i="4"/>
  <c r="D46" i="4"/>
  <c r="G84" i="4"/>
  <c r="G105" i="4"/>
  <c r="G111" i="4"/>
  <c r="D52" i="4"/>
  <c r="D47" i="4"/>
  <c r="D12" i="4"/>
  <c r="D35" i="4"/>
  <c r="D32" i="4"/>
  <c r="D11" i="4"/>
  <c r="G119" i="4"/>
  <c r="G98" i="4"/>
  <c r="G12" i="4"/>
  <c r="G32" i="4"/>
  <c r="D119" i="4"/>
  <c r="G11" i="4"/>
  <c r="H22" i="4"/>
  <c r="G28" i="4"/>
  <c r="D65" i="4"/>
  <c r="D98" i="4"/>
  <c r="D56" i="4"/>
  <c r="G10" i="4"/>
  <c r="G77" i="4"/>
  <c r="D87" i="4"/>
  <c r="G33" i="4"/>
  <c r="D97" i="4"/>
  <c r="D84" i="4"/>
  <c r="D105" i="4"/>
  <c r="G87" i="4"/>
  <c r="D27" i="4"/>
  <c r="C109" i="4"/>
  <c r="B51" i="4"/>
  <c r="B38" i="10" s="1"/>
  <c r="F117" i="4"/>
  <c r="C117" i="4"/>
  <c r="E117" i="16" s="1"/>
  <c r="D76" i="4"/>
  <c r="C51" i="4"/>
  <c r="C54" i="4"/>
  <c r="G66" i="4"/>
  <c r="D86" i="4"/>
  <c r="D77" i="4"/>
  <c r="C75" i="4"/>
  <c r="E64" i="4"/>
  <c r="D9" i="4"/>
  <c r="E117" i="4"/>
  <c r="F43" i="10" s="1"/>
  <c r="B109" i="4"/>
  <c r="B32" i="10" s="1"/>
  <c r="B117" i="4"/>
  <c r="B43" i="10" s="1"/>
  <c r="E109" i="4"/>
  <c r="F32" i="10" s="1"/>
  <c r="F109" i="4"/>
  <c r="B54" i="4"/>
  <c r="B49" i="10" s="1"/>
  <c r="B45" i="4"/>
  <c r="B11" i="10" s="1"/>
  <c r="C45" i="4"/>
  <c r="I75" i="16" l="1"/>
  <c r="I75" i="27"/>
  <c r="I75" i="29"/>
  <c r="I75" i="20"/>
  <c r="G75" i="4"/>
  <c r="I75" i="23"/>
  <c r="I75" i="13"/>
  <c r="I75" i="33"/>
  <c r="L109" i="35"/>
  <c r="E54" i="37"/>
  <c r="I109" i="37"/>
  <c r="I109" i="18"/>
  <c r="I96" i="18"/>
  <c r="E75" i="18"/>
  <c r="I75" i="18"/>
  <c r="E117" i="37"/>
  <c r="E117" i="18"/>
  <c r="I117" i="37"/>
  <c r="I117" i="18"/>
  <c r="E45" i="37"/>
  <c r="E45" i="18"/>
  <c r="E96" i="18"/>
  <c r="I85" i="37"/>
  <c r="I85" i="18"/>
  <c r="E109" i="37"/>
  <c r="E109" i="18"/>
  <c r="E51" i="37"/>
  <c r="I64" i="37"/>
  <c r="I64" i="18"/>
  <c r="I75" i="37"/>
  <c r="I74" i="16"/>
  <c r="L96" i="27"/>
  <c r="L85" i="29"/>
  <c r="E95" i="16"/>
  <c r="E95" i="33"/>
  <c r="E95" i="29"/>
  <c r="E95" i="37"/>
  <c r="E95" i="13"/>
  <c r="I96" i="37"/>
  <c r="I95" i="16"/>
  <c r="L117" i="13"/>
  <c r="E74" i="33"/>
  <c r="E74" i="29"/>
  <c r="E74" i="37"/>
  <c r="E74" i="13"/>
  <c r="E74" i="16"/>
  <c r="E64" i="37"/>
  <c r="E85" i="33"/>
  <c r="E85" i="37"/>
  <c r="E96" i="37"/>
  <c r="E75" i="37"/>
  <c r="L96" i="20"/>
  <c r="L109" i="29"/>
  <c r="L64" i="27"/>
  <c r="L109" i="13"/>
  <c r="L85" i="33"/>
  <c r="L85" i="36"/>
  <c r="L96" i="29"/>
  <c r="L85" i="20"/>
  <c r="L117" i="23"/>
  <c r="L85" i="23"/>
  <c r="L96" i="23"/>
  <c r="L117" i="20"/>
  <c r="L109" i="27"/>
  <c r="E64" i="20"/>
  <c r="E64" i="16"/>
  <c r="E85" i="13"/>
  <c r="E85" i="16"/>
  <c r="E85" i="23"/>
  <c r="L85" i="16"/>
  <c r="E96" i="16"/>
  <c r="D96" i="4"/>
  <c r="L64" i="35"/>
  <c r="E96" i="29"/>
  <c r="E96" i="33"/>
  <c r="L85" i="27"/>
  <c r="L117" i="36"/>
  <c r="L117" i="33"/>
  <c r="L75" i="16"/>
  <c r="L96" i="13"/>
  <c r="L64" i="33"/>
  <c r="G96" i="4"/>
  <c r="L85" i="35"/>
  <c r="L64" i="23"/>
  <c r="L96" i="36"/>
  <c r="L64" i="13"/>
  <c r="L117" i="16"/>
  <c r="E64" i="23"/>
  <c r="L109" i="16"/>
  <c r="E64" i="13"/>
  <c r="E64" i="27"/>
  <c r="E64" i="29"/>
  <c r="E64" i="33"/>
  <c r="L64" i="16"/>
  <c r="L96" i="16"/>
  <c r="L109" i="33"/>
  <c r="D85" i="4"/>
  <c r="E96" i="20"/>
  <c r="E96" i="23"/>
  <c r="E85" i="27"/>
  <c r="E96" i="27"/>
  <c r="E85" i="29"/>
  <c r="L117" i="27"/>
  <c r="I78" i="16"/>
  <c r="I88" i="16"/>
  <c r="C43" i="10"/>
  <c r="I117" i="13"/>
  <c r="I117" i="20"/>
  <c r="I117" i="23"/>
  <c r="I117" i="27"/>
  <c r="I117" i="29"/>
  <c r="I117" i="35"/>
  <c r="I117" i="33"/>
  <c r="G43" i="10"/>
  <c r="I117" i="16"/>
  <c r="G85" i="4"/>
  <c r="F22" i="10"/>
  <c r="I96" i="20"/>
  <c r="I96" i="13"/>
  <c r="I96" i="23"/>
  <c r="I96" i="29"/>
  <c r="I96" i="27"/>
  <c r="I96" i="33"/>
  <c r="I96" i="16"/>
  <c r="D64" i="4"/>
  <c r="B12" i="10"/>
  <c r="I64" i="13"/>
  <c r="I64" i="20"/>
  <c r="I64" i="27"/>
  <c r="I64" i="29"/>
  <c r="I64" i="35"/>
  <c r="I64" i="33"/>
  <c r="G12" i="10"/>
  <c r="I64" i="23"/>
  <c r="I64" i="16"/>
  <c r="I99" i="16"/>
  <c r="G64" i="4"/>
  <c r="F12" i="10"/>
  <c r="E51" i="39"/>
  <c r="C38" i="10"/>
  <c r="E51" i="16"/>
  <c r="I70" i="16"/>
  <c r="I81" i="16"/>
  <c r="I91" i="16"/>
  <c r="I102" i="16"/>
  <c r="I109" i="13"/>
  <c r="I109" i="20"/>
  <c r="I109" i="23"/>
  <c r="I109" i="27"/>
  <c r="I109" i="29"/>
  <c r="I109" i="35"/>
  <c r="I109" i="33"/>
  <c r="G32" i="10"/>
  <c r="I109" i="16"/>
  <c r="E54" i="39"/>
  <c r="E54" i="16"/>
  <c r="C49" i="10"/>
  <c r="C32" i="10"/>
  <c r="C22" i="10"/>
  <c r="E45" i="39"/>
  <c r="C11" i="10"/>
  <c r="E45" i="16"/>
  <c r="C12" i="10"/>
  <c r="I85" i="13"/>
  <c r="I85" i="20"/>
  <c r="I85" i="27"/>
  <c r="I85" i="29"/>
  <c r="I85" i="23"/>
  <c r="I85" i="33"/>
  <c r="I85" i="35"/>
  <c r="G22" i="10"/>
  <c r="I85" i="16"/>
  <c r="L64" i="20"/>
  <c r="L109" i="20"/>
  <c r="L85" i="13"/>
  <c r="L117" i="29"/>
  <c r="L64" i="29"/>
  <c r="L75" i="29"/>
  <c r="L109" i="23"/>
  <c r="E96" i="13"/>
  <c r="E85" i="20"/>
  <c r="L75" i="13"/>
  <c r="E45" i="38"/>
  <c r="E75" i="33"/>
  <c r="E109" i="33"/>
  <c r="E45" i="33"/>
  <c r="E117" i="33"/>
  <c r="E51" i="33"/>
  <c r="E54" i="33"/>
  <c r="E45" i="34"/>
  <c r="E117" i="29"/>
  <c r="E75" i="29"/>
  <c r="E109" i="29"/>
  <c r="E51" i="41"/>
  <c r="E54" i="40"/>
  <c r="E54" i="41"/>
  <c r="E45" i="40"/>
  <c r="E45" i="41"/>
  <c r="E75" i="27"/>
  <c r="E109" i="27"/>
  <c r="E45" i="51"/>
  <c r="E117" i="27"/>
  <c r="E51" i="25"/>
  <c r="E45" i="25"/>
  <c r="E45" i="26"/>
  <c r="E54" i="25"/>
  <c r="E117" i="23"/>
  <c r="E75" i="23"/>
  <c r="E109" i="23"/>
  <c r="E54" i="22"/>
  <c r="E45" i="21"/>
  <c r="E45" i="22"/>
  <c r="E51" i="22"/>
  <c r="E117" i="20"/>
  <c r="E45" i="20"/>
  <c r="E75" i="20"/>
  <c r="E109" i="20"/>
  <c r="E51" i="13"/>
  <c r="E75" i="13"/>
  <c r="E54" i="13"/>
  <c r="E109" i="13"/>
  <c r="E45" i="13"/>
  <c r="E117" i="13"/>
  <c r="E109" i="16"/>
  <c r="D109" i="4"/>
  <c r="D75" i="4"/>
  <c r="E75" i="16"/>
  <c r="D117" i="4"/>
  <c r="G109" i="4"/>
  <c r="D51" i="4"/>
  <c r="G117" i="4"/>
  <c r="D54" i="4"/>
  <c r="D45" i="4"/>
  <c r="I71" i="4"/>
  <c r="I82" i="4"/>
  <c r="M71" i="16" l="1"/>
  <c r="M82" i="16"/>
  <c r="C60" i="10"/>
  <c r="H82" i="4"/>
  <c r="H80" i="4"/>
  <c r="H69" i="4"/>
  <c r="H90" i="4"/>
  <c r="H105" i="4"/>
  <c r="H104" i="4"/>
  <c r="H83" i="4"/>
  <c r="H100" i="4"/>
  <c r="H71" i="4"/>
  <c r="H112" i="4"/>
  <c r="H114" i="4"/>
  <c r="H79" i="4"/>
  <c r="H93" i="4"/>
  <c r="H72" i="4"/>
  <c r="H92" i="4"/>
  <c r="H89" i="4"/>
  <c r="H102" i="4"/>
  <c r="H103" i="4"/>
  <c r="H91" i="4"/>
  <c r="H121" i="4"/>
  <c r="H27" i="4"/>
  <c r="H68" i="4"/>
  <c r="H113" i="4"/>
  <c r="H101" i="4"/>
  <c r="H96" i="4" l="1"/>
  <c r="H115" i="4"/>
  <c r="H97" i="4"/>
  <c r="H24" i="4"/>
  <c r="H88" i="4"/>
  <c r="H70" i="4"/>
  <c r="H116" i="4"/>
  <c r="H26" i="4"/>
  <c r="H76" i="4"/>
  <c r="D9" i="10"/>
  <c r="H122" i="4"/>
  <c r="H110" i="4"/>
  <c r="H86" i="4"/>
  <c r="H9" i="4"/>
  <c r="H8" i="4"/>
  <c r="H77" i="4"/>
  <c r="H81" i="4"/>
  <c r="H120" i="4"/>
  <c r="H78" i="4"/>
  <c r="H14" i="10"/>
  <c r="H35" i="4"/>
  <c r="H119" i="4"/>
  <c r="I119" i="4"/>
  <c r="I110" i="4"/>
  <c r="I9" i="4"/>
  <c r="I107" i="4"/>
  <c r="K49" i="10"/>
  <c r="H111" i="4"/>
  <c r="I103" i="4"/>
  <c r="I91" i="4"/>
  <c r="I106" i="4"/>
  <c r="H11" i="4"/>
  <c r="I83" i="4"/>
  <c r="I120" i="4"/>
  <c r="I77" i="4"/>
  <c r="I98" i="4"/>
  <c r="I102" i="4"/>
  <c r="H108" i="4"/>
  <c r="J108" i="4" s="1"/>
  <c r="H25" i="4"/>
  <c r="H123" i="4"/>
  <c r="H84" i="4"/>
  <c r="H42" i="10"/>
  <c r="H21" i="10"/>
  <c r="I118" i="4"/>
  <c r="I79" i="4"/>
  <c r="I99" i="4"/>
  <c r="H99" i="4"/>
  <c r="I27" i="4"/>
  <c r="M27" i="13" s="1"/>
  <c r="H107" i="4"/>
  <c r="I31" i="4"/>
  <c r="I65" i="4"/>
  <c r="K11" i="10"/>
  <c r="I23" i="4"/>
  <c r="H22" i="10"/>
  <c r="H106" i="4"/>
  <c r="I93" i="4"/>
  <c r="H10" i="4"/>
  <c r="I124" i="4"/>
  <c r="H36" i="4"/>
  <c r="I75" i="4"/>
  <c r="I86" i="4"/>
  <c r="I89" i="4"/>
  <c r="I115" i="4"/>
  <c r="I101" i="4"/>
  <c r="H65" i="4"/>
  <c r="H12" i="10"/>
  <c r="I114" i="4"/>
  <c r="I116" i="4"/>
  <c r="H118" i="4"/>
  <c r="I108" i="4"/>
  <c r="I111" i="4"/>
  <c r="I67" i="4"/>
  <c r="I88" i="4"/>
  <c r="I76" i="4"/>
  <c r="I113" i="4"/>
  <c r="K26" i="10"/>
  <c r="I78" i="4"/>
  <c r="I96" i="4"/>
  <c r="I97" i="4"/>
  <c r="K9" i="10"/>
  <c r="H75" i="4"/>
  <c r="I90" i="4"/>
  <c r="H24" i="10"/>
  <c r="I30" i="4"/>
  <c r="I24" i="4"/>
  <c r="H67" i="4"/>
  <c r="H124" i="4"/>
  <c r="K16" i="10"/>
  <c r="I70" i="4"/>
  <c r="I29" i="4"/>
  <c r="H34" i="4"/>
  <c r="I121" i="4"/>
  <c r="K45" i="10"/>
  <c r="H37" i="4"/>
  <c r="I92" i="4"/>
  <c r="I105" i="4"/>
  <c r="I80" i="4"/>
  <c r="I100" i="4"/>
  <c r="I72" i="4"/>
  <c r="I8" i="4"/>
  <c r="I112" i="4"/>
  <c r="I81" i="4"/>
  <c r="I84" i="4"/>
  <c r="I104" i="4"/>
  <c r="H10" i="10"/>
  <c r="I122" i="4"/>
  <c r="I68" i="4"/>
  <c r="H98" i="4"/>
  <c r="H7" i="4"/>
  <c r="H23" i="4"/>
  <c r="H15" i="10"/>
  <c r="I69" i="4"/>
  <c r="I123" i="4"/>
  <c r="M8" i="20" l="1"/>
  <c r="M8" i="24"/>
  <c r="M8" i="51"/>
  <c r="M8" i="37"/>
  <c r="M8" i="19"/>
  <c r="M8" i="29"/>
  <c r="M8" i="33"/>
  <c r="M8" i="13"/>
  <c r="M8" i="22"/>
  <c r="M8" i="25"/>
  <c r="M9" i="25"/>
  <c r="M9" i="20"/>
  <c r="M9" i="24"/>
  <c r="M9" i="51"/>
  <c r="M9" i="37"/>
  <c r="M9" i="19"/>
  <c r="M9" i="29"/>
  <c r="M9" i="33"/>
  <c r="M9" i="13"/>
  <c r="M9" i="22"/>
  <c r="M65" i="37"/>
  <c r="M65" i="18"/>
  <c r="M105" i="37"/>
  <c r="M77" i="37"/>
  <c r="M77" i="18"/>
  <c r="M122" i="37"/>
  <c r="M86" i="37"/>
  <c r="M86" i="18"/>
  <c r="M76" i="37"/>
  <c r="M76" i="18"/>
  <c r="M98" i="37"/>
  <c r="M98" i="18"/>
  <c r="M84" i="37"/>
  <c r="M107" i="37"/>
  <c r="M107" i="18"/>
  <c r="M97" i="37"/>
  <c r="M97" i="18"/>
  <c r="M111" i="37"/>
  <c r="M111" i="18"/>
  <c r="M115" i="37"/>
  <c r="M115" i="18"/>
  <c r="M27" i="37"/>
  <c r="M27" i="18"/>
  <c r="M96" i="18"/>
  <c r="M9" i="18"/>
  <c r="M8" i="18"/>
  <c r="M106" i="37"/>
  <c r="M106" i="18"/>
  <c r="M110" i="37"/>
  <c r="M110" i="18"/>
  <c r="J120" i="4"/>
  <c r="M119" i="37"/>
  <c r="M119" i="18"/>
  <c r="M123" i="37"/>
  <c r="M123" i="18"/>
  <c r="M114" i="37"/>
  <c r="M114" i="18"/>
  <c r="M75" i="18"/>
  <c r="M118" i="37"/>
  <c r="M118" i="18"/>
  <c r="J112" i="4"/>
  <c r="M96" i="37"/>
  <c r="M95" i="37"/>
  <c r="M95" i="13"/>
  <c r="M95" i="29"/>
  <c r="M95" i="33"/>
  <c r="M95" i="16"/>
  <c r="M75" i="37"/>
  <c r="M74" i="37"/>
  <c r="M74" i="33"/>
  <c r="M74" i="29"/>
  <c r="M74" i="13"/>
  <c r="M74" i="16"/>
  <c r="M68" i="16"/>
  <c r="M104" i="16"/>
  <c r="M81" i="16"/>
  <c r="M72" i="16"/>
  <c r="M92" i="16"/>
  <c r="M24" i="16"/>
  <c r="M78" i="16"/>
  <c r="M67" i="16"/>
  <c r="M116" i="16"/>
  <c r="M101" i="16"/>
  <c r="M86" i="13"/>
  <c r="M86" i="27"/>
  <c r="M86" i="29"/>
  <c r="M86" i="23"/>
  <c r="M86" i="16"/>
  <c r="M86" i="33"/>
  <c r="J27" i="4"/>
  <c r="M27" i="20"/>
  <c r="M27" i="25"/>
  <c r="M27" i="23"/>
  <c r="M27" i="24"/>
  <c r="M27" i="51"/>
  <c r="M27" i="29"/>
  <c r="M27" i="16"/>
  <c r="M27" i="33"/>
  <c r="M83" i="16"/>
  <c r="M103" i="16"/>
  <c r="M119" i="23"/>
  <c r="M119" i="13"/>
  <c r="M119" i="27"/>
  <c r="M119" i="29"/>
  <c r="M119" i="33"/>
  <c r="M119" i="20"/>
  <c r="M119" i="35"/>
  <c r="M119" i="16"/>
  <c r="M69" i="16"/>
  <c r="M123" i="23"/>
  <c r="M123" i="27"/>
  <c r="M123" i="13"/>
  <c r="M123" i="29"/>
  <c r="M123" i="33"/>
  <c r="M123" i="16"/>
  <c r="M122" i="13"/>
  <c r="M122" i="23"/>
  <c r="M122" i="29"/>
  <c r="M122" i="16"/>
  <c r="M112" i="16"/>
  <c r="M112" i="33"/>
  <c r="M100" i="16"/>
  <c r="M70" i="16"/>
  <c r="M30" i="16"/>
  <c r="M76" i="23"/>
  <c r="M76" i="27"/>
  <c r="M76" i="13"/>
  <c r="M76" i="16"/>
  <c r="M76" i="29"/>
  <c r="M76" i="33"/>
  <c r="M111" i="23"/>
  <c r="M111" i="13"/>
  <c r="M111" i="27"/>
  <c r="M111" i="20"/>
  <c r="M111" i="29"/>
  <c r="M111" i="33"/>
  <c r="M111" i="16"/>
  <c r="M111" i="35"/>
  <c r="J114" i="4"/>
  <c r="M114" i="13"/>
  <c r="M114" i="23"/>
  <c r="M114" i="29"/>
  <c r="M114" i="33"/>
  <c r="M114" i="16"/>
  <c r="M115" i="23"/>
  <c r="M115" i="27"/>
  <c r="M115" i="13"/>
  <c r="M115" i="29"/>
  <c r="M115" i="33"/>
  <c r="M115" i="35"/>
  <c r="M115" i="16"/>
  <c r="M23" i="16"/>
  <c r="M31" i="16"/>
  <c r="M79" i="16"/>
  <c r="M102" i="16"/>
  <c r="M77" i="13"/>
  <c r="M77" i="20"/>
  <c r="M77" i="23"/>
  <c r="M77" i="33"/>
  <c r="M77" i="29"/>
  <c r="M77" i="27"/>
  <c r="M77" i="16"/>
  <c r="M8" i="16"/>
  <c r="M80" i="16"/>
  <c r="M29" i="16"/>
  <c r="M97" i="23"/>
  <c r="M97" i="27"/>
  <c r="M97" i="16"/>
  <c r="M97" i="29"/>
  <c r="M97" i="13"/>
  <c r="M97" i="33"/>
  <c r="M108" i="33"/>
  <c r="M108" i="16"/>
  <c r="M93" i="16"/>
  <c r="M118" i="13"/>
  <c r="M118" i="23"/>
  <c r="M118" i="27"/>
  <c r="M118" i="29"/>
  <c r="M118" i="16"/>
  <c r="M98" i="13"/>
  <c r="M98" i="20"/>
  <c r="M98" i="29"/>
  <c r="M98" i="33"/>
  <c r="M98" i="27"/>
  <c r="M98" i="23"/>
  <c r="M98" i="16"/>
  <c r="M120" i="16"/>
  <c r="M120" i="33"/>
  <c r="M106" i="13"/>
  <c r="M106" i="23"/>
  <c r="M106" i="33"/>
  <c r="M106" i="29"/>
  <c r="M106" i="27"/>
  <c r="M106" i="16"/>
  <c r="M9" i="16"/>
  <c r="M84" i="35"/>
  <c r="M84" i="16"/>
  <c r="M84" i="29"/>
  <c r="M84" i="13"/>
  <c r="M84" i="33"/>
  <c r="J105" i="4"/>
  <c r="M105" i="13"/>
  <c r="M105" i="35"/>
  <c r="M105" i="16"/>
  <c r="M105" i="29"/>
  <c r="M105" i="33"/>
  <c r="M121" i="16"/>
  <c r="M90" i="16"/>
  <c r="M96" i="20"/>
  <c r="M96" i="13"/>
  <c r="M96" i="23"/>
  <c r="M96" i="27"/>
  <c r="M96" i="29"/>
  <c r="M96" i="33"/>
  <c r="M96" i="16"/>
  <c r="M113" i="16"/>
  <c r="M88" i="16"/>
  <c r="M89" i="16"/>
  <c r="M75" i="20"/>
  <c r="M75" i="13"/>
  <c r="M75" i="27"/>
  <c r="M75" i="23"/>
  <c r="M75" i="29"/>
  <c r="M75" i="33"/>
  <c r="M75" i="16"/>
  <c r="M124" i="16"/>
  <c r="M65" i="13"/>
  <c r="M65" i="23"/>
  <c r="M65" i="27"/>
  <c r="M65" i="29"/>
  <c r="M65" i="16"/>
  <c r="M65" i="33"/>
  <c r="M99" i="16"/>
  <c r="M91" i="16"/>
  <c r="M107" i="27"/>
  <c r="M107" i="13"/>
  <c r="M107" i="23"/>
  <c r="M107" i="29"/>
  <c r="M107" i="35"/>
  <c r="M107" i="16"/>
  <c r="M107" i="33"/>
  <c r="M110" i="13"/>
  <c r="M110" i="23"/>
  <c r="M110" i="27"/>
  <c r="M110" i="33"/>
  <c r="M110" i="29"/>
  <c r="M110" i="16"/>
  <c r="J106" i="4"/>
  <c r="M42" i="8"/>
  <c r="D40" i="9"/>
  <c r="H65" i="9"/>
  <c r="B66" i="9"/>
  <c r="M43" i="8"/>
  <c r="D41" i="9"/>
  <c r="M38" i="8"/>
  <c r="D36" i="9"/>
  <c r="C53" i="9"/>
  <c r="N13" i="8"/>
  <c r="H52" i="9"/>
  <c r="N62" i="8"/>
  <c r="N46" i="8"/>
  <c r="G55" i="9"/>
  <c r="G49" i="9"/>
  <c r="G31" i="9"/>
  <c r="M29" i="8"/>
  <c r="B71" i="9"/>
  <c r="D30" i="9"/>
  <c r="D14" i="9"/>
  <c r="B54" i="9"/>
  <c r="M14" i="8"/>
  <c r="M22" i="8"/>
  <c r="D22" i="9"/>
  <c r="B62" i="9"/>
  <c r="M36" i="8"/>
  <c r="B45" i="9"/>
  <c r="D34" i="9"/>
  <c r="G52" i="9"/>
  <c r="M62" i="8"/>
  <c r="G50" i="9"/>
  <c r="M60" i="8"/>
  <c r="I10" i="9"/>
  <c r="G64" i="9"/>
  <c r="I24" i="9"/>
  <c r="H54" i="9"/>
  <c r="G63" i="9"/>
  <c r="N10" i="8"/>
  <c r="C50" i="9"/>
  <c r="B70" i="9"/>
  <c r="D29" i="9"/>
  <c r="M28" i="8"/>
  <c r="M87" i="8"/>
  <c r="I36" i="9"/>
  <c r="G60" i="9"/>
  <c r="I20" i="9"/>
  <c r="N42" i="8"/>
  <c r="N12" i="8"/>
  <c r="C52" i="9"/>
  <c r="N22" i="8"/>
  <c r="C62" i="9"/>
  <c r="M19" i="8"/>
  <c r="B59" i="9"/>
  <c r="D19" i="9"/>
  <c r="H55" i="9"/>
  <c r="N40" i="8"/>
  <c r="D39" i="9"/>
  <c r="M41" i="8"/>
  <c r="N39" i="8"/>
  <c r="N27" i="8"/>
  <c r="C69" i="9"/>
  <c r="H53" i="9"/>
  <c r="N45" i="8"/>
  <c r="M46" i="8"/>
  <c r="D44" i="9"/>
  <c r="B69" i="9"/>
  <c r="H31" i="9"/>
  <c r="J24" i="9" s="1"/>
  <c r="H49" i="9"/>
  <c r="I19" i="9"/>
  <c r="G59" i="9"/>
  <c r="N93" i="8"/>
  <c r="N11" i="8"/>
  <c r="C51" i="9"/>
  <c r="M86" i="8"/>
  <c r="I35" i="9"/>
  <c r="G54" i="9"/>
  <c r="H58" i="9"/>
  <c r="D43" i="9"/>
  <c r="M45" i="8"/>
  <c r="H62" i="9"/>
  <c r="G61" i="9"/>
  <c r="D13" i="9"/>
  <c r="M13" i="8"/>
  <c r="B53" i="9"/>
  <c r="N87" i="8"/>
  <c r="M93" i="8"/>
  <c r="I42" i="9"/>
  <c r="B65" i="9"/>
  <c r="M25" i="8"/>
  <c r="D25" i="9"/>
  <c r="N19" i="8"/>
  <c r="C59" i="9"/>
  <c r="H59" i="9"/>
  <c r="M20" i="8"/>
  <c r="D20" i="9"/>
  <c r="B60" i="9"/>
  <c r="N20" i="8"/>
  <c r="C60" i="9"/>
  <c r="D11" i="9"/>
  <c r="M11" i="8"/>
  <c r="B51" i="9"/>
  <c r="G67" i="9"/>
  <c r="I26" i="9"/>
  <c r="M88" i="8"/>
  <c r="I37" i="9"/>
  <c r="H57" i="9"/>
  <c r="G62" i="9"/>
  <c r="I27" i="9"/>
  <c r="G68" i="9"/>
  <c r="G71" i="9"/>
  <c r="H68" i="9"/>
  <c r="H69" i="9"/>
  <c r="N95" i="8"/>
  <c r="B50" i="9"/>
  <c r="D10" i="9"/>
  <c r="M10" i="8"/>
  <c r="N43" i="8"/>
  <c r="C66" i="9"/>
  <c r="H64" i="9"/>
  <c r="N88" i="8"/>
  <c r="H51" i="9"/>
  <c r="N61" i="8"/>
  <c r="C55" i="9"/>
  <c r="N15" i="8"/>
  <c r="I40" i="9"/>
  <c r="M91" i="8"/>
  <c r="B57" i="9"/>
  <c r="M17" i="8"/>
  <c r="D17" i="9"/>
  <c r="C49" i="9"/>
  <c r="C31" i="9"/>
  <c r="E16" i="9" s="1"/>
  <c r="N9" i="8"/>
  <c r="N91" i="8"/>
  <c r="C71" i="9"/>
  <c r="N29" i="8"/>
  <c r="G66" i="9"/>
  <c r="I41" i="9"/>
  <c r="M92" i="8"/>
  <c r="C68" i="9"/>
  <c r="N26" i="8"/>
  <c r="N90" i="8"/>
  <c r="D21" i="9"/>
  <c r="B61" i="9"/>
  <c r="M21" i="8"/>
  <c r="N16" i="8"/>
  <c r="C56" i="9"/>
  <c r="N94" i="8"/>
  <c r="C45" i="9"/>
  <c r="E34" i="9" s="1"/>
  <c r="N36" i="8"/>
  <c r="M40" i="8"/>
  <c r="D38" i="9"/>
  <c r="I25" i="9"/>
  <c r="G65" i="9"/>
  <c r="N38" i="8"/>
  <c r="B64" i="9"/>
  <c r="D24" i="9"/>
  <c r="M24" i="8"/>
  <c r="H60" i="9"/>
  <c r="D35" i="9"/>
  <c r="M37" i="8"/>
  <c r="N89" i="8"/>
  <c r="D28" i="9"/>
  <c r="M27" i="8"/>
  <c r="M61" i="8"/>
  <c r="I11" i="9"/>
  <c r="G51" i="9"/>
  <c r="H45" i="9"/>
  <c r="J38" i="9" s="1"/>
  <c r="N85" i="8"/>
  <c r="C65" i="9"/>
  <c r="N25" i="8"/>
  <c r="N37" i="8"/>
  <c r="B56" i="9"/>
  <c r="D16" i="9"/>
  <c r="M16" i="8"/>
  <c r="N21" i="8"/>
  <c r="C61" i="9"/>
  <c r="H71" i="9"/>
  <c r="N86" i="8"/>
  <c r="N23" i="8"/>
  <c r="C63" i="9"/>
  <c r="N28" i="8"/>
  <c r="C70" i="9"/>
  <c r="H50" i="9"/>
  <c r="N60" i="8"/>
  <c r="I38" i="9"/>
  <c r="M89" i="8"/>
  <c r="D12" i="9"/>
  <c r="M12" i="8"/>
  <c r="B52" i="9"/>
  <c r="C54" i="9"/>
  <c r="N14" i="8"/>
  <c r="I34" i="9"/>
  <c r="G45" i="9"/>
  <c r="F27" i="10" s="1"/>
  <c r="M85" i="8"/>
  <c r="N17" i="8"/>
  <c r="C57" i="9"/>
  <c r="H66" i="9"/>
  <c r="N92" i="8"/>
  <c r="D42" i="9"/>
  <c r="M44" i="8"/>
  <c r="B67" i="9"/>
  <c r="M26" i="8"/>
  <c r="D27" i="9"/>
  <c r="B68" i="9"/>
  <c r="H56" i="9"/>
  <c r="M94" i="8"/>
  <c r="I43" i="9"/>
  <c r="H61" i="9"/>
  <c r="D18" i="9"/>
  <c r="M18" i="8"/>
  <c r="B58" i="9"/>
  <c r="H70" i="9"/>
  <c r="N18" i="8"/>
  <c r="C58" i="9"/>
  <c r="M95" i="8"/>
  <c r="I44" i="9"/>
  <c r="B31" i="9"/>
  <c r="B17" i="10" s="1"/>
  <c r="B49" i="9"/>
  <c r="M9" i="8"/>
  <c r="N41" i="8"/>
  <c r="G58" i="9"/>
  <c r="M39" i="8"/>
  <c r="D37" i="9"/>
  <c r="B55" i="9"/>
  <c r="M15" i="8"/>
  <c r="D15" i="9"/>
  <c r="D23" i="9"/>
  <c r="M23" i="8"/>
  <c r="B63" i="9"/>
  <c r="G70" i="9"/>
  <c r="C67" i="9"/>
  <c r="H63" i="9"/>
  <c r="N44" i="8"/>
  <c r="I13" i="9"/>
  <c r="G53" i="9"/>
  <c r="M63" i="8"/>
  <c r="H67" i="9"/>
  <c r="I28" i="9"/>
  <c r="G69" i="9"/>
  <c r="G56" i="9"/>
  <c r="I16" i="9"/>
  <c r="N24" i="8"/>
  <c r="C64" i="9"/>
  <c r="G57" i="9"/>
  <c r="I17" i="9"/>
  <c r="M90" i="8"/>
  <c r="I39" i="9"/>
  <c r="J107" i="4"/>
  <c r="J115" i="4"/>
  <c r="J123" i="4"/>
  <c r="J122" i="4"/>
  <c r="J118" i="4"/>
  <c r="J8" i="4"/>
  <c r="J110" i="4"/>
  <c r="J76" i="4"/>
  <c r="J9" i="4"/>
  <c r="J65" i="4"/>
  <c r="J84" i="4"/>
  <c r="J111" i="4"/>
  <c r="J86" i="4"/>
  <c r="J97" i="4"/>
  <c r="J98" i="4"/>
  <c r="J119" i="4"/>
  <c r="J75" i="4"/>
  <c r="J77" i="4"/>
  <c r="J96" i="4"/>
  <c r="K21" i="10"/>
  <c r="H73" i="4"/>
  <c r="H25" i="10"/>
  <c r="G55" i="10"/>
  <c r="H94" i="4"/>
  <c r="K42" i="10"/>
  <c r="G53" i="10"/>
  <c r="H28" i="4"/>
  <c r="H87" i="4"/>
  <c r="K12" i="10"/>
  <c r="K14" i="10"/>
  <c r="K23" i="10"/>
  <c r="H85" i="4"/>
  <c r="H109" i="4"/>
  <c r="K44" i="10"/>
  <c r="K24" i="10"/>
  <c r="G46" i="10"/>
  <c r="H43" i="10"/>
  <c r="H30" i="4"/>
  <c r="H31" i="4"/>
  <c r="J10" i="10"/>
  <c r="D10" i="10"/>
  <c r="J24" i="10"/>
  <c r="D24" i="10"/>
  <c r="I25" i="4"/>
  <c r="B60" i="10"/>
  <c r="D38" i="10"/>
  <c r="J38" i="10"/>
  <c r="I35" i="4"/>
  <c r="F55" i="10"/>
  <c r="D23" i="10"/>
  <c r="J23" i="10"/>
  <c r="H32" i="4"/>
  <c r="J14" i="10"/>
  <c r="D14" i="10"/>
  <c r="I85"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3" i="4"/>
  <c r="D22" i="10"/>
  <c r="J22" i="10"/>
  <c r="G54" i="10"/>
  <c r="J31" i="10"/>
  <c r="B53" i="10"/>
  <c r="D31" i="10"/>
  <c r="J15" i="10"/>
  <c r="D15" i="10"/>
  <c r="I94" i="4"/>
  <c r="H20" i="10"/>
  <c r="K22" i="10"/>
  <c r="K10" i="10"/>
  <c r="D44" i="10"/>
  <c r="J44" i="10"/>
  <c r="I109" i="4"/>
  <c r="C55" i="10"/>
  <c r="K33" i="10"/>
  <c r="J13" i="10"/>
  <c r="D13" i="10"/>
  <c r="K13" i="10"/>
  <c r="H33" i="4"/>
  <c r="C56" i="10"/>
  <c r="K56" i="10" s="1"/>
  <c r="K34" i="10"/>
  <c r="I117" i="4"/>
  <c r="F35" i="10"/>
  <c r="F52" i="10"/>
  <c r="H30" i="10"/>
  <c r="I28" i="4"/>
  <c r="M28" i="13" s="1"/>
  <c r="H31" i="10"/>
  <c r="F53" i="10"/>
  <c r="I87" i="4"/>
  <c r="J32" i="10"/>
  <c r="D32" i="10"/>
  <c r="B54" i="10"/>
  <c r="I64" i="4"/>
  <c r="J20" i="10"/>
  <c r="D20" i="10"/>
  <c r="B56" i="10"/>
  <c r="J34" i="10"/>
  <c r="H64" i="4"/>
  <c r="H32" i="10"/>
  <c r="F54" i="10"/>
  <c r="I22" i="4"/>
  <c r="K41" i="10"/>
  <c r="C46" i="10"/>
  <c r="H117" i="4"/>
  <c r="H66" i="4"/>
  <c r="I66" i="4"/>
  <c r="I36" i="4"/>
  <c r="K43" i="10"/>
  <c r="I10" i="4"/>
  <c r="H12" i="4"/>
  <c r="J26" i="10"/>
  <c r="L26" i="10" s="1"/>
  <c r="D26" i="10"/>
  <c r="I32" i="4"/>
  <c r="H9" i="10"/>
  <c r="J9" i="10"/>
  <c r="L9" i="10" s="1"/>
  <c r="J49" i="10"/>
  <c r="L49" i="10" s="1"/>
  <c r="D49" i="10"/>
  <c r="D21" i="10"/>
  <c r="J21" i="10"/>
  <c r="I37" i="4"/>
  <c r="I26" i="4"/>
  <c r="I34" i="4"/>
  <c r="B35" i="10"/>
  <c r="J30" i="10"/>
  <c r="B52" i="10"/>
  <c r="D30" i="10"/>
  <c r="I7" i="4"/>
  <c r="K60" i="10"/>
  <c r="K38" i="10"/>
  <c r="H13" i="10"/>
  <c r="G35" i="10"/>
  <c r="G52" i="10"/>
  <c r="I33" i="4"/>
  <c r="D12" i="10"/>
  <c r="J12" i="10"/>
  <c r="I12" i="4"/>
  <c r="D43" i="10"/>
  <c r="J43" i="10"/>
  <c r="I11" i="4"/>
  <c r="K20" i="10"/>
  <c r="D25" i="10"/>
  <c r="J25" i="10"/>
  <c r="D41" i="10"/>
  <c r="J41" i="10"/>
  <c r="B46" i="10"/>
  <c r="K31" i="10"/>
  <c r="C53" i="10"/>
  <c r="M10" i="35" l="1"/>
  <c r="M10" i="33"/>
  <c r="M10" i="13"/>
  <c r="M10" i="20"/>
  <c r="M10" i="24"/>
  <c r="M10" i="37"/>
  <c r="M10" i="23"/>
  <c r="M10" i="29"/>
  <c r="M7" i="19"/>
  <c r="M7" i="23"/>
  <c r="M7" i="29"/>
  <c r="M7" i="33"/>
  <c r="M7" i="13"/>
  <c r="M7" i="20"/>
  <c r="M7" i="24"/>
  <c r="M7" i="51"/>
  <c r="M7" i="37"/>
  <c r="M7" i="25"/>
  <c r="M7" i="35"/>
  <c r="M7" i="22"/>
  <c r="M33" i="37"/>
  <c r="M33" i="18"/>
  <c r="M22" i="37"/>
  <c r="M22" i="18"/>
  <c r="M28" i="37"/>
  <c r="M28" i="18"/>
  <c r="M133" i="37"/>
  <c r="M35" i="37"/>
  <c r="M135" i="37"/>
  <c r="M64" i="37"/>
  <c r="M64" i="18"/>
  <c r="M109" i="37"/>
  <c r="M109" i="18"/>
  <c r="M10" i="18"/>
  <c r="M134" i="37"/>
  <c r="M73" i="37"/>
  <c r="M132" i="37"/>
  <c r="M34" i="37"/>
  <c r="M12" i="37"/>
  <c r="M12" i="18"/>
  <c r="M87" i="37"/>
  <c r="M87" i="18"/>
  <c r="M85" i="37"/>
  <c r="M85" i="18"/>
  <c r="M11" i="37"/>
  <c r="M11" i="18"/>
  <c r="M7" i="18"/>
  <c r="M32" i="37"/>
  <c r="M32" i="18"/>
  <c r="M117" i="37"/>
  <c r="M117" i="18"/>
  <c r="M66" i="37"/>
  <c r="M66" i="18"/>
  <c r="M94" i="37"/>
  <c r="L24" i="10"/>
  <c r="L14" i="10"/>
  <c r="J37" i="4"/>
  <c r="J73" i="4"/>
  <c r="J94" i="4"/>
  <c r="L15" i="10"/>
  <c r="L42" i="10"/>
  <c r="J11" i="4"/>
  <c r="M11" i="13"/>
  <c r="M11" i="33"/>
  <c r="M11" i="23"/>
  <c r="M11" i="29"/>
  <c r="M11" i="35"/>
  <c r="M11" i="16"/>
  <c r="M26" i="16"/>
  <c r="J10" i="4"/>
  <c r="M10" i="16"/>
  <c r="M66" i="20"/>
  <c r="M66" i="13"/>
  <c r="M66" i="27"/>
  <c r="M66" i="23"/>
  <c r="M66" i="29"/>
  <c r="M66" i="35"/>
  <c r="M66" i="33"/>
  <c r="M66" i="16"/>
  <c r="M134" i="26"/>
  <c r="M134" i="16"/>
  <c r="M117" i="23"/>
  <c r="M117" i="20"/>
  <c r="M117" i="27"/>
  <c r="M117" i="13"/>
  <c r="M117" i="35"/>
  <c r="M117" i="16"/>
  <c r="M117" i="29"/>
  <c r="M117" i="33"/>
  <c r="M109" i="23"/>
  <c r="M109" i="20"/>
  <c r="M109" i="27"/>
  <c r="M109" i="35"/>
  <c r="M109" i="29"/>
  <c r="M109" i="16"/>
  <c r="M109" i="13"/>
  <c r="M109" i="33"/>
  <c r="J7" i="4"/>
  <c r="M7" i="16"/>
  <c r="J22" i="4"/>
  <c r="M22" i="20"/>
  <c r="M22" i="13"/>
  <c r="M22" i="24"/>
  <c r="M22" i="51"/>
  <c r="M22" i="23"/>
  <c r="M22" i="29"/>
  <c r="M22" i="35"/>
  <c r="M22" i="33"/>
  <c r="M22" i="16"/>
  <c r="M28" i="23"/>
  <c r="M28" i="29"/>
  <c r="M28" i="35"/>
  <c r="M28" i="24"/>
  <c r="M28" i="16"/>
  <c r="M28" i="20"/>
  <c r="M28" i="33"/>
  <c r="M135" i="26"/>
  <c r="M135" i="16"/>
  <c r="M85" i="13"/>
  <c r="M85" i="20"/>
  <c r="M85" i="23"/>
  <c r="M85" i="27"/>
  <c r="M85" i="33"/>
  <c r="M85" i="29"/>
  <c r="M85" i="35"/>
  <c r="M85" i="16"/>
  <c r="J9" i="9"/>
  <c r="M33" i="13"/>
  <c r="M33" i="23"/>
  <c r="M33" i="29"/>
  <c r="M33" i="35"/>
  <c r="M33" i="33"/>
  <c r="M33" i="16"/>
  <c r="M37" i="16"/>
  <c r="M37" i="13"/>
  <c r="M32" i="13"/>
  <c r="M32" i="23"/>
  <c r="M32" i="29"/>
  <c r="M32" i="35"/>
  <c r="M32" i="16"/>
  <c r="M32" i="33"/>
  <c r="M36" i="16"/>
  <c r="M64" i="13"/>
  <c r="M64" i="20"/>
  <c r="M64" i="27"/>
  <c r="M64" i="35"/>
  <c r="M64" i="33"/>
  <c r="M64" i="23"/>
  <c r="M64" i="29"/>
  <c r="M64" i="16"/>
  <c r="M87" i="20"/>
  <c r="M87" i="13"/>
  <c r="M87" i="23"/>
  <c r="M87" i="27"/>
  <c r="M87" i="29"/>
  <c r="M87" i="35"/>
  <c r="M87" i="33"/>
  <c r="M87" i="16"/>
  <c r="M94" i="16"/>
  <c r="M94" i="33"/>
  <c r="M73" i="16"/>
  <c r="M73" i="33"/>
  <c r="J35" i="4"/>
  <c r="M35" i="13"/>
  <c r="M35" i="16"/>
  <c r="I69" i="9"/>
  <c r="M132" i="26"/>
  <c r="M132" i="16"/>
  <c r="M132" i="34"/>
  <c r="M132" i="13"/>
  <c r="M12" i="13"/>
  <c r="M12" i="23"/>
  <c r="M12" i="29"/>
  <c r="M12" i="35"/>
  <c r="M12" i="16"/>
  <c r="M12" i="33"/>
  <c r="J34" i="4"/>
  <c r="M34" i="13"/>
  <c r="M34" i="16"/>
  <c r="L21" i="10"/>
  <c r="H53" i="10"/>
  <c r="M133" i="13"/>
  <c r="M133" i="26"/>
  <c r="M133" i="34"/>
  <c r="M133" i="16"/>
  <c r="M25" i="16"/>
  <c r="L31" i="10"/>
  <c r="L22" i="10"/>
  <c r="L12" i="10"/>
  <c r="L10" i="10"/>
  <c r="I66" i="9"/>
  <c r="I64" i="9"/>
  <c r="I67" i="9"/>
  <c r="I60" i="9"/>
  <c r="I56" i="9"/>
  <c r="I53" i="9"/>
  <c r="I31" i="9"/>
  <c r="I50" i="9"/>
  <c r="D66" i="9"/>
  <c r="D45" i="9"/>
  <c r="D50" i="9"/>
  <c r="G17" i="10"/>
  <c r="E37" i="9"/>
  <c r="E41" i="9"/>
  <c r="E35" i="9"/>
  <c r="E36" i="9"/>
  <c r="E44" i="9"/>
  <c r="D31" i="9"/>
  <c r="E43" i="9"/>
  <c r="E40" i="9"/>
  <c r="E42" i="9"/>
  <c r="F17" i="10"/>
  <c r="J17" i="10" s="1"/>
  <c r="E39" i="9"/>
  <c r="E38" i="9"/>
  <c r="B27" i="10"/>
  <c r="J27" i="10" s="1"/>
  <c r="J34" i="9"/>
  <c r="E20" i="9"/>
  <c r="C72" i="9"/>
  <c r="E70" i="9" s="1"/>
  <c r="D70" i="9" s="1"/>
  <c r="E11" i="9"/>
  <c r="J40" i="9"/>
  <c r="E23" i="9"/>
  <c r="J12" i="9"/>
  <c r="E15" i="9"/>
  <c r="G27" i="10"/>
  <c r="H27" i="10" s="1"/>
  <c r="J26" i="9"/>
  <c r="E19" i="9"/>
  <c r="E13" i="9"/>
  <c r="J20" i="9"/>
  <c r="J14" i="9"/>
  <c r="H72" i="9"/>
  <c r="J71" i="9" s="1"/>
  <c r="E29" i="9"/>
  <c r="E22" i="9"/>
  <c r="E17" i="9"/>
  <c r="E18" i="9"/>
  <c r="J10" i="9"/>
  <c r="J18" i="9"/>
  <c r="J30" i="9"/>
  <c r="J13" i="9"/>
  <c r="J11" i="9"/>
  <c r="J15" i="9"/>
  <c r="B72" i="9"/>
  <c r="E25" i="9"/>
  <c r="E9" i="9"/>
  <c r="E14" i="9"/>
  <c r="E10" i="9"/>
  <c r="C17" i="10"/>
  <c r="D17" i="10" s="1"/>
  <c r="J27" i="9"/>
  <c r="C27" i="10"/>
  <c r="J22" i="9"/>
  <c r="J16" i="9"/>
  <c r="J19" i="9"/>
  <c r="J17" i="9"/>
  <c r="J25" i="9"/>
  <c r="E30" i="9"/>
  <c r="E12" i="9"/>
  <c r="E21" i="9"/>
  <c r="E24" i="9"/>
  <c r="E26" i="9"/>
  <c r="E27" i="9"/>
  <c r="E28" i="9"/>
  <c r="J23" i="9"/>
  <c r="J28" i="9"/>
  <c r="J29" i="9"/>
  <c r="J21" i="9"/>
  <c r="J41" i="9"/>
  <c r="J43" i="9"/>
  <c r="J42" i="9"/>
  <c r="G72" i="9"/>
  <c r="J35" i="9"/>
  <c r="J36" i="9"/>
  <c r="J39" i="9"/>
  <c r="I45" i="9"/>
  <c r="J37" i="9"/>
  <c r="J44" i="9"/>
  <c r="J117" i="4"/>
  <c r="J109" i="4"/>
  <c r="J12" i="4"/>
  <c r="J64" i="4"/>
  <c r="J33" i="4"/>
  <c r="J32" i="4"/>
  <c r="J66" i="4"/>
  <c r="J87" i="4"/>
  <c r="J85" i="4"/>
  <c r="J28" i="4"/>
  <c r="K53" i="10"/>
  <c r="K55" i="10"/>
  <c r="L44" i="10"/>
  <c r="L23" i="10"/>
  <c r="L30" i="10"/>
  <c r="G57" i="10"/>
  <c r="L32" i="10"/>
  <c r="H54" i="10"/>
  <c r="L43" i="10"/>
  <c r="K46" i="10"/>
  <c r="H46" i="10"/>
  <c r="L41" i="10"/>
  <c r="L13" i="10"/>
  <c r="L25" i="10"/>
  <c r="H29" i="4"/>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55" i="10" l="1"/>
  <c r="L53" i="10"/>
  <c r="J45" i="9"/>
  <c r="J31" i="9"/>
  <c r="I72" i="9"/>
  <c r="E45" i="9"/>
  <c r="D72" i="9"/>
  <c r="H17" i="10"/>
  <c r="E55" i="9"/>
  <c r="D55" i="9" s="1"/>
  <c r="E61" i="9"/>
  <c r="D61" i="9" s="1"/>
  <c r="E54" i="9"/>
  <c r="D54" i="9" s="1"/>
  <c r="E53" i="9"/>
  <c r="D53" i="9" s="1"/>
  <c r="J56" i="9"/>
  <c r="J55" i="9"/>
  <c r="D27" i="10"/>
  <c r="E57" i="9"/>
  <c r="D57" i="9" s="1"/>
  <c r="E63" i="9"/>
  <c r="D63" i="9" s="1"/>
  <c r="E58" i="9"/>
  <c r="D58" i="9" s="1"/>
  <c r="E64" i="9"/>
  <c r="D64" i="9" s="1"/>
  <c r="K27" i="10"/>
  <c r="L27" i="10" s="1"/>
  <c r="J66" i="9"/>
  <c r="J63" i="9"/>
  <c r="J52" i="9"/>
  <c r="J59" i="9"/>
  <c r="I59" i="9" s="1"/>
  <c r="E59" i="9"/>
  <c r="D59" i="9" s="1"/>
  <c r="E51" i="9"/>
  <c r="D51" i="9" s="1"/>
  <c r="E50" i="9"/>
  <c r="E49" i="9"/>
  <c r="E66" i="9"/>
  <c r="E71" i="9"/>
  <c r="D71" i="9" s="1"/>
  <c r="E68" i="9"/>
  <c r="D68" i="9" s="1"/>
  <c r="E62" i="9"/>
  <c r="D62" i="9" s="1"/>
  <c r="K17" i="10"/>
  <c r="L17" i="10" s="1"/>
  <c r="J62" i="9"/>
  <c r="J51" i="9"/>
  <c r="I51" i="9" s="1"/>
  <c r="J57" i="9"/>
  <c r="I57" i="9" s="1"/>
  <c r="J64" i="9"/>
  <c r="J58" i="9"/>
  <c r="J65" i="9"/>
  <c r="I65" i="9" s="1"/>
  <c r="J53" i="9"/>
  <c r="J60" i="9"/>
  <c r="J70" i="9"/>
  <c r="J50" i="9"/>
  <c r="J61" i="9"/>
  <c r="J54" i="9"/>
  <c r="J68" i="9"/>
  <c r="I68" i="9" s="1"/>
  <c r="J69" i="9"/>
  <c r="J49" i="9"/>
  <c r="J67" i="9"/>
  <c r="E60" i="9"/>
  <c r="D60" i="9" s="1"/>
  <c r="E65" i="9"/>
  <c r="D65" i="9" s="1"/>
  <c r="E52" i="9"/>
  <c r="D52" i="9" s="1"/>
  <c r="E56" i="9"/>
  <c r="D56" i="9" s="1"/>
  <c r="E67" i="9"/>
  <c r="D67" i="9" s="1"/>
  <c r="E69" i="9"/>
  <c r="D69" i="9" s="1"/>
  <c r="E31" i="9"/>
  <c r="K57" i="10"/>
  <c r="H57" i="10"/>
  <c r="L46" i="10"/>
  <c r="L35" i="10"/>
  <c r="L54" i="10"/>
  <c r="J57" i="10"/>
  <c r="D57" i="10"/>
  <c r="L52" i="10"/>
  <c r="O23" i="9"/>
  <c r="M10" i="9"/>
  <c r="O20" i="9"/>
  <c r="O28" i="9"/>
  <c r="L38" i="9"/>
  <c r="M11" i="9"/>
  <c r="L25" i="9"/>
  <c r="N20" i="9"/>
  <c r="O9" i="9"/>
  <c r="N21" i="9"/>
  <c r="N36" i="9"/>
  <c r="O21" i="9"/>
  <c r="L39" i="9"/>
  <c r="L37" i="9"/>
  <c r="L27" i="9"/>
  <c r="M16" i="9"/>
  <c r="O36" i="9"/>
  <c r="N10" i="9"/>
  <c r="O40" i="9"/>
  <c r="N28" i="9"/>
  <c r="O13" i="9"/>
  <c r="N26" i="9"/>
  <c r="L43" i="9"/>
  <c r="N18" i="9"/>
  <c r="M12" i="9"/>
  <c r="O15" i="9"/>
  <c r="L24" i="9"/>
  <c r="N37" i="9"/>
  <c r="O18" i="9"/>
  <c r="N12" i="9"/>
  <c r="N27" i="9"/>
  <c r="L26" i="9"/>
  <c r="M38" i="9"/>
  <c r="O39" i="9"/>
  <c r="L18" i="9"/>
  <c r="M35" i="9"/>
  <c r="N41" i="9"/>
  <c r="M19" i="9"/>
  <c r="L44" i="9"/>
  <c r="M42" i="9"/>
  <c r="M24" i="9"/>
  <c r="N9" i="9"/>
  <c r="M18" i="9"/>
  <c r="M22" i="9"/>
  <c r="M43" i="9"/>
  <c r="L19" i="9"/>
  <c r="L13" i="9"/>
  <c r="M30" i="9"/>
  <c r="N24" i="9"/>
  <c r="M23" i="9"/>
  <c r="M9" i="9"/>
  <c r="L29" i="9"/>
  <c r="M39" i="9"/>
  <c r="L9" i="9"/>
  <c r="M14" i="9"/>
  <c r="N42" i="9"/>
  <c r="M15" i="9"/>
  <c r="O34" i="9"/>
  <c r="M21" i="9"/>
  <c r="M17" i="9"/>
  <c r="L10" i="9"/>
  <c r="N43" i="9"/>
  <c r="N40" i="9"/>
  <c r="M29" i="9"/>
  <c r="N30" i="9"/>
  <c r="O12" i="9"/>
  <c r="O35" i="9"/>
  <c r="M37" i="9"/>
  <c r="O27" i="9"/>
  <c r="L21" i="9"/>
  <c r="L23" i="9"/>
  <c r="N19" i="9"/>
  <c r="N22" i="9"/>
  <c r="M28" i="9"/>
  <c r="N25" i="9"/>
  <c r="N15" i="9"/>
  <c r="L42" i="9"/>
  <c r="N38" i="9"/>
  <c r="M44" i="9"/>
  <c r="L11" i="9"/>
  <c r="O30" i="9"/>
  <c r="N39" i="9"/>
  <c r="O14" i="9"/>
  <c r="L36" i="9"/>
  <c r="M40" i="9"/>
  <c r="N17" i="9"/>
  <c r="L15" i="9"/>
  <c r="O41" i="9"/>
  <c r="O26" i="9"/>
  <c r="N16" i="9"/>
  <c r="L20" i="9"/>
  <c r="L16" i="9"/>
  <c r="O16" i="9"/>
  <c r="N11" i="9"/>
  <c r="N35" i="9"/>
  <c r="N29" i="9"/>
  <c r="M25" i="9"/>
  <c r="M41" i="9"/>
  <c r="N13" i="9"/>
  <c r="O25" i="9"/>
  <c r="L40" i="9"/>
  <c r="L41" i="9"/>
  <c r="O42" i="9"/>
  <c r="L30" i="9"/>
  <c r="N44" i="9"/>
  <c r="O10" i="9"/>
  <c r="O11" i="9"/>
  <c r="N23" i="9"/>
  <c r="N34" i="9"/>
  <c r="O44" i="9"/>
  <c r="O19" i="9"/>
  <c r="M27" i="9"/>
  <c r="L17" i="9"/>
  <c r="M20" i="9"/>
  <c r="O43" i="9"/>
  <c r="O37" i="9"/>
  <c r="O22" i="9"/>
  <c r="O38" i="9"/>
  <c r="M13" i="9"/>
  <c r="M26" i="9"/>
  <c r="L14" i="9"/>
  <c r="L28" i="9"/>
  <c r="N14" i="9"/>
  <c r="L22" i="9"/>
  <c r="L34" i="9"/>
  <c r="O29" i="9"/>
  <c r="O17" i="9"/>
  <c r="M34" i="9"/>
  <c r="M36" i="9"/>
  <c r="L35" i="9"/>
  <c r="L12" i="9"/>
  <c r="O24" i="9"/>
  <c r="O52" i="9" l="1"/>
  <c r="M45" i="9"/>
  <c r="M66" i="9"/>
  <c r="M67" i="9"/>
  <c r="M59" i="9"/>
  <c r="O31" i="9"/>
  <c r="O49" i="9"/>
  <c r="N56" i="9"/>
  <c r="M52" i="9"/>
  <c r="L50" i="9"/>
  <c r="N50" i="9"/>
  <c r="O65" i="9"/>
  <c r="O62" i="9"/>
  <c r="M68" i="9"/>
  <c r="M63" i="9"/>
  <c r="M65" i="9"/>
  <c r="L61" i="9"/>
  <c r="N66" i="9"/>
  <c r="N60" i="9"/>
  <c r="L56" i="9"/>
  <c r="L55" i="9"/>
  <c r="M57" i="9"/>
  <c r="L53" i="9"/>
  <c r="N71" i="9"/>
  <c r="L67" i="9"/>
  <c r="M58" i="9"/>
  <c r="L69" i="9"/>
  <c r="O57" i="9"/>
  <c r="N52" i="9"/>
  <c r="O51" i="9"/>
  <c r="L65" i="9"/>
  <c r="N58" i="9"/>
  <c r="M61" i="9"/>
  <c r="O64" i="9"/>
  <c r="O67" i="9"/>
  <c r="N55" i="9"/>
  <c r="O68" i="9"/>
  <c r="O61" i="9"/>
  <c r="N64" i="9"/>
  <c r="N70" i="9"/>
  <c r="O59" i="9"/>
  <c r="O71" i="9"/>
  <c r="M51" i="9"/>
  <c r="M70" i="9"/>
  <c r="O45" i="9"/>
  <c r="L60" i="9"/>
  <c r="M49" i="9"/>
  <c r="M31" i="9"/>
  <c r="N65" i="9"/>
  <c r="L66" i="9"/>
  <c r="M53" i="9"/>
  <c r="O70" i="9"/>
  <c r="O58" i="9"/>
  <c r="M56" i="9"/>
  <c r="N45" i="9"/>
  <c r="O50" i="9"/>
  <c r="N53" i="9"/>
  <c r="N67" i="9"/>
  <c r="M55" i="9"/>
  <c r="O55" i="9"/>
  <c r="M69" i="9"/>
  <c r="N49" i="9"/>
  <c r="N31" i="9"/>
  <c r="L70" i="9"/>
  <c r="L45" i="9"/>
  <c r="L59" i="9"/>
  <c r="L51" i="9"/>
  <c r="O69" i="9"/>
  <c r="O53" i="9"/>
  <c r="N62" i="9"/>
  <c r="M60" i="9"/>
  <c r="L64" i="9"/>
  <c r="M71" i="9"/>
  <c r="N51" i="9"/>
  <c r="L68" i="9"/>
  <c r="N68" i="9"/>
  <c r="L58" i="9"/>
  <c r="O60" i="9"/>
  <c r="N63" i="9"/>
  <c r="N69" i="9"/>
  <c r="M54" i="9"/>
  <c r="O54" i="9"/>
  <c r="N61" i="9"/>
  <c r="N59" i="9"/>
  <c r="M64" i="9"/>
  <c r="L54" i="9"/>
  <c r="O66" i="9"/>
  <c r="L62" i="9"/>
  <c r="L52" i="9"/>
  <c r="L71" i="9"/>
  <c r="M50" i="9"/>
  <c r="L49" i="9"/>
  <c r="L31" i="9"/>
  <c r="M62" i="9"/>
  <c r="L63" i="9"/>
  <c r="L57" i="9"/>
  <c r="N57" i="9"/>
  <c r="N54" i="9"/>
  <c r="O56" i="9"/>
  <c r="O63" i="9"/>
  <c r="J72" i="9"/>
  <c r="E72" i="9"/>
  <c r="L57" i="10"/>
  <c r="O72" i="9" l="1"/>
  <c r="N72" i="9"/>
  <c r="L72" i="9"/>
  <c r="M72" i="9"/>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<sst xmlns="http://schemas.openxmlformats.org/spreadsheetml/2006/main" count="6486" uniqueCount="427">
  <si>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</si>
  <si>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</si>
  <si>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</si>
  <si>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</si>
  <si>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</si>
  <si>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</si>
  <si>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</si>
  <si>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</si>
  <si>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</si>
  <si>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</si>
  <si>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</si>
  <si>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</si>
  <si>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</si>
  <si>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</si>
  <si>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</si>
  <si>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</si>
  <si>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</si>
  <si>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</si>
  <si>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</si>
  <si>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</si>
  <si>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</si>
  <si>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</si>
  <si>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</si>
  <si>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t>Livrenter, IPA og IPS er individuelle pensjonsspareavtaler etter skattereglene (kun i årsstatistikken / 4.kvartal).</t>
  </si>
  <si>
    <r>
      <t>Overførte reserver til andre</t>
    </r>
    <r>
      <rPr>
        <b/>
        <vertAlign val="superscript"/>
        <sz val="10"/>
        <rFont val="Times New Roman"/>
        <family val="1"/>
      </rPr>
      <t xml:space="preserve"> 7</t>
    </r>
  </si>
  <si>
    <r>
      <t xml:space="preserve">Overførte reserver fra andre </t>
    </r>
    <r>
      <rPr>
        <b/>
        <vertAlign val="superscript"/>
        <sz val="10"/>
        <rFont val="Times New Roman"/>
        <family val="1"/>
      </rPr>
      <t>6</t>
    </r>
  </si>
  <si>
    <r>
      <t xml:space="preserve">Forsikringsforpliktelser </t>
    </r>
    <r>
      <rPr>
        <b/>
        <vertAlign val="superscript"/>
        <sz val="10"/>
        <rFont val="Times New Roman"/>
        <family val="1"/>
      </rPr>
      <t>5</t>
    </r>
  </si>
  <si>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</si>
  <si>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</si>
  <si>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</si>
  <si>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</si>
  <si>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</si>
  <si>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</si>
  <si>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</si>
  <si>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</si>
  <si>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</si>
  <si>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</si>
  <si>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</si>
  <si>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</si>
  <si>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</si>
  <si>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</si>
  <si>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</si>
  <si>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</si>
  <si>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</si>
  <si>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</si>
  <si>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</si>
  <si>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</si>
  <si>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</si>
  <si>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</si>
  <si>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</si>
  <si>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</si>
  <si>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</si>
  <si>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</si>
  <si>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</si>
  <si>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</si>
  <si>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</si>
  <si>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</si>
  <si>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</si>
  <si>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</si>
  <si>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</si>
  <si>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</si>
  <si>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</si>
  <si>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</si>
  <si>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</si>
  <si>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</si>
  <si>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</si>
  <si>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</si>
  <si>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</si>
  <si>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</si>
  <si>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</si>
  <si>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</si>
  <si>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</si>
  <si>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</si>
  <si>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</si>
  <si>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</si>
  <si>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</si>
  <si>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</si>
  <si>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</si>
  <si>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</si>
  <si>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</si>
  <si>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Silver</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</si>
  <si>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</si>
  <si>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</si>
  <si>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</si>
  <si>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</si>
  <si>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</si>
  <si>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</si>
  <si>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</si>
  <si>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</si>
  <si>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r>
      <t>Forsikringsforpliktelser</t>
    </r>
    <r>
      <rPr>
        <sz val="14"/>
        <rFont val="Times New Roman"/>
        <family val="1"/>
      </rPr>
      <t xml:space="preserve"> </t>
    </r>
    <r>
      <rPr>
        <vertAlign val="superscript"/>
        <sz val="14"/>
        <rFont val="Times New Roman"/>
        <family val="1"/>
      </rPr>
      <t>9)</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</si>
  <si>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</si>
  <si>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</si>
  <si>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</si>
  <si>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</si>
  <si>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</si>
  <si>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</si>
  <si>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</si>
  <si>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</si>
  <si>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</si>
  <si>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</si>
  <si>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</si>
  <si>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</si>
  <si>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</si>
  <si>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</si>
  <si>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</si>
  <si>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</si>
  <si>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</si>
  <si>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</si>
  <si>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</si>
  <si>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Silver Pensjonsforsikring AS</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</si>
  <si>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</si>
  <si>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</si>
  <si>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</si>
  <si>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</si>
  <si>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</si>
  <si>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</si>
  <si>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</si>
  <si>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</si>
  <si>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</si>
  <si>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</si>
  <si>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</si>
  <si>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</si>
  <si>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</si>
  <si>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</si>
  <si>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</si>
  <si>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</si>
  <si>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</si>
  <si>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</si>
  <si>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</si>
  <si>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</si>
  <si>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</si>
  <si>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</si>
  <si>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</si>
  <si>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</si>
  <si>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</si>
  <si>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</si>
  <si>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</si>
  <si>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</si>
  <si>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ACE European Group Ltd</t>
  </si>
  <si>
    <t>DNB Livsforsikring ASA</t>
  </si>
  <si>
    <t>Eika Gruppen AS</t>
  </si>
  <si>
    <t>Frende Livsforsikring AS</t>
  </si>
  <si>
    <t>Frende Skadeforsikring AS</t>
  </si>
  <si>
    <t>Gjensidige Forsikring ASA</t>
  </si>
  <si>
    <t>Gjensidige Pensjon og Sparing</t>
  </si>
  <si>
    <t>If Skadeforsikring nuf</t>
  </si>
  <si>
    <t>NEMI Forsikring AS</t>
  </si>
  <si>
    <t>Silver Pensjonsforsikring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</si>
  <si>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</si>
  <si>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</si>
  <si>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</si>
  <si>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</si>
  <si>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</si>
  <si>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</si>
  <si>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</si>
  <si>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</si>
  <si>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</si>
  <si>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</si>
  <si>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</si>
  <si>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</si>
  <si>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</si>
  <si>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</si>
  <si>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</si>
  <si>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</si>
  <si>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</si>
  <si>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</si>
  <si>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</si>
  <si>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</si>
  <si>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</si>
  <si>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</si>
  <si>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</si>
  <si>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</si>
  <si>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</si>
  <si>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</si>
  <si>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</si>
  <si>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</si>
  <si>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</si>
  <si>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</si>
  <si>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</si>
  <si>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</si>
  <si>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</si>
  <si>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</si>
  <si>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</si>
  <si>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</si>
  <si>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</si>
  <si>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</si>
  <si>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</si>
  <si>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</si>
  <si>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</si>
  <si>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</si>
  <si>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</si>
  <si>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</si>
  <si>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</si>
  <si>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</si>
  <si>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</si>
  <si>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</si>
  <si>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</si>
  <si>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</si>
  <si>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</si>
  <si>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</si>
  <si>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</si>
  <si>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</si>
  <si>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t>Pensjonsforsikring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</si>
  <si>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</si>
  <si>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</si>
  <si>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</si>
  <si>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</si>
  <si>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</si>
  <si>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</si>
  <si>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</si>
  <si>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</si>
  <si>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</si>
  <si>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</si>
  <si>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</si>
  <si>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</si>
  <si>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</si>
  <si>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</si>
  <si>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</si>
  <si>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</si>
  <si>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</si>
  <si>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</si>
  <si>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</si>
  <si>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</si>
  <si>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</si>
  <si>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</si>
  <si>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</si>
  <si>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</si>
  <si>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</si>
  <si>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</si>
  <si>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</si>
  <si>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</si>
  <si>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</si>
  <si>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</si>
  <si>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</si>
  <si>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</si>
  <si>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</si>
  <si>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</si>
  <si>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</si>
  <si>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</si>
  <si>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</si>
  <si>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</si>
  <si>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</si>
  <si>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</si>
  <si>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</si>
  <si>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</si>
  <si>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</si>
  <si>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</si>
  <si>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</si>
  <si>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</si>
  <si>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</si>
  <si>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</si>
  <si>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</si>
  <si>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</si>
  <si>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</si>
  <si>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</si>
  <si>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</si>
  <si>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</si>
  <si>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</si>
  <si>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</si>
  <si>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</si>
  <si>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13.1 Premiereserve</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</si>
  <si>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</si>
  <si>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</si>
  <si>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</si>
  <si>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</si>
  <si>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</si>
  <si>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 xml:space="preserve">    14.1 Premiereserve</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</si>
  <si>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</si>
  <si>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</si>
  <si>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</si>
  <si>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</si>
  <si>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</si>
  <si>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</si>
  <si>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</si>
  <si>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</si>
  <si>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</si>
  <si>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</si>
  <si>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</si>
  <si>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</si>
  <si>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</si>
  <si>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</si>
  <si>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</si>
  <si>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</si>
  <si>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</si>
  <si>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</si>
  <si>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</si>
  <si>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</si>
  <si>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</si>
  <si>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</si>
  <si>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</si>
  <si>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</si>
  <si>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</si>
  <si>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</si>
  <si>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</si>
  <si>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</si>
  <si>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</si>
  <si>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</si>
  <si>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</si>
  <si>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</si>
  <si>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</si>
  <si>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</si>
  <si>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</si>
  <si>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</si>
  <si>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</si>
  <si>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</si>
  <si>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    Livrenter </t>
    </r>
    <r>
      <rPr>
        <vertAlign val="superscript"/>
        <sz val="10"/>
        <rFont val="Times New Roman"/>
        <family val="1"/>
      </rPr>
      <t>11</t>
    </r>
  </si>
  <si>
    <r>
      <t xml:space="preserve">    IPA </t>
    </r>
    <r>
      <rPr>
        <vertAlign val="superscript"/>
        <sz val="10"/>
        <rFont val="Times New Roman"/>
        <family val="1"/>
      </rPr>
      <t>11</t>
    </r>
  </si>
  <si>
    <r>
      <t xml:space="preserve">    IPS </t>
    </r>
    <r>
      <rPr>
        <vertAlign val="superscript"/>
        <sz val="10"/>
        <rFont val="Times New Roman"/>
        <family val="1"/>
      </rPr>
      <t>11</t>
    </r>
  </si>
  <si>
    <r>
      <t xml:space="preserve">Brutto forfalt premie - Foreningskollektiv </t>
    </r>
    <r>
      <rPr>
        <b/>
        <vertAlign val="superscript"/>
        <sz val="10"/>
        <rFont val="Times New Roman"/>
        <family val="1"/>
      </rPr>
      <t>1</t>
    </r>
  </si>
  <si>
    <r>
      <t xml:space="preserve">Forsikringsforpliktelser  - Foreningskollektiv </t>
    </r>
    <r>
      <rPr>
        <b/>
        <vertAlign val="superscript"/>
        <sz val="10"/>
        <rFont val="Times New Roman"/>
        <family val="1"/>
      </rPr>
      <t>5</t>
    </r>
  </si>
  <si>
    <r>
      <t xml:space="preserve">Overførte reserver fra andre - Foreningskollektiv </t>
    </r>
    <r>
      <rPr>
        <b/>
        <vertAlign val="superscript"/>
        <sz val="10"/>
        <rFont val="Times New Roman"/>
        <family val="1"/>
      </rPr>
      <t>6</t>
    </r>
  </si>
  <si>
    <r>
      <t xml:space="preserve">Overførte reserver til andre - Foreningskollektiv </t>
    </r>
    <r>
      <rPr>
        <b/>
        <vertAlign val="superscript"/>
        <sz val="10"/>
        <rFont val="Times New Roman"/>
        <family val="1"/>
      </rPr>
      <t>7</t>
    </r>
  </si>
  <si>
    <r>
      <t xml:space="preserve">    Bedrift </t>
    </r>
    <r>
      <rPr>
        <vertAlign val="superscript"/>
        <sz val="10"/>
        <rFont val="Times New Roman"/>
        <family val="1"/>
      </rPr>
      <t>8</t>
    </r>
  </si>
  <si>
    <r>
      <t xml:space="preserve">    Privat </t>
    </r>
    <r>
      <rPr>
        <vertAlign val="superscript"/>
        <sz val="10"/>
        <rFont val="Times New Roman"/>
        <family val="1"/>
      </rPr>
      <t>9</t>
    </r>
  </si>
  <si>
    <r>
      <t xml:space="preserve">Flytting fra andre </t>
    </r>
    <r>
      <rPr>
        <b/>
        <vertAlign val="superscript"/>
        <sz val="10"/>
        <rFont val="Times New Roman"/>
        <family val="1"/>
      </rPr>
      <t>10</t>
    </r>
  </si>
  <si>
    <r>
      <t xml:space="preserve">Flytting til andre </t>
    </r>
    <r>
      <rPr>
        <b/>
        <vertAlign val="superscript"/>
        <sz val="10"/>
        <rFont val="Times New Roman"/>
        <family val="1"/>
      </rPr>
      <t>10</t>
    </r>
  </si>
  <si>
    <r>
      <t xml:space="preserve">      Engangsbetalt </t>
    </r>
    <r>
      <rPr>
        <vertAlign val="superscript"/>
        <sz val="10"/>
        <rFont val="Times New Roman"/>
        <family val="1"/>
      </rPr>
      <t>12</t>
    </r>
  </si>
  <si>
    <r>
      <t xml:space="preserve">      Innskuddspensjon </t>
    </r>
    <r>
      <rPr>
        <vertAlign val="superscript"/>
        <sz val="10"/>
        <rFont val="Times New Roman"/>
        <family val="1"/>
      </rPr>
      <t>13</t>
    </r>
  </si>
  <si>
    <r>
      <t xml:space="preserve">  Innenfor LOF/LOI </t>
    </r>
    <r>
      <rPr>
        <vertAlign val="superscript"/>
        <sz val="10"/>
        <rFont val="Times New Roman"/>
        <family val="1"/>
      </rPr>
      <t>14</t>
    </r>
  </si>
  <si>
    <r>
      <t xml:space="preserve">  Herav fripoliser </t>
    </r>
    <r>
      <rPr>
        <vertAlign val="superscript"/>
        <sz val="10"/>
        <rFont val="Times New Roman"/>
        <family val="1"/>
      </rPr>
      <t>15</t>
    </r>
  </si>
  <si>
    <r>
      <t xml:space="preserve">  Herav pensjonskapitalbevis </t>
    </r>
    <r>
      <rPr>
        <vertAlign val="superscript"/>
        <sz val="10"/>
        <rFont val="Times New Roman"/>
        <family val="1"/>
      </rPr>
      <t>15</t>
    </r>
  </si>
  <si>
    <r>
      <t xml:space="preserve">  Herav pensjonsbevis</t>
    </r>
    <r>
      <rPr>
        <vertAlign val="superscript"/>
        <sz val="10"/>
        <rFont val="Times New Roman"/>
        <family val="1"/>
      </rPr>
      <t>15</t>
    </r>
  </si>
  <si>
    <r>
      <t xml:space="preserve">   Herav pensjonskapitalbevis </t>
    </r>
    <r>
      <rPr>
        <vertAlign val="superscript"/>
        <sz val="10"/>
        <rFont val="Times New Roman"/>
        <family val="1"/>
      </rPr>
      <t>15</t>
    </r>
  </si>
  <si>
    <r>
      <t xml:space="preserve">Brutto forfalt premie </t>
    </r>
    <r>
      <rPr>
        <b/>
        <vertAlign val="superscript"/>
        <sz val="10"/>
        <rFont val="Times New Roman"/>
        <family val="1"/>
      </rPr>
      <t>1, 16</t>
    </r>
  </si>
  <si>
    <r>
      <t xml:space="preserve">Forsikringsforpliktelser </t>
    </r>
    <r>
      <rPr>
        <b/>
        <vertAlign val="superscript"/>
        <sz val="10"/>
        <rFont val="Times New Roman"/>
        <family val="1"/>
      </rPr>
      <t>5, 16</t>
    </r>
  </si>
  <si>
    <r>
      <t xml:space="preserve">Overførte reserver fra andre </t>
    </r>
    <r>
      <rPr>
        <b/>
        <vertAlign val="superscript"/>
        <sz val="10"/>
        <rFont val="Times New Roman"/>
        <family val="1"/>
      </rPr>
      <t>6, 16</t>
    </r>
  </si>
  <si>
    <r>
      <t>Overførte reserver til andre</t>
    </r>
    <r>
      <rPr>
        <b/>
        <vertAlign val="superscript"/>
        <sz val="10"/>
        <rFont val="Times New Roman"/>
        <family val="1"/>
      </rPr>
      <t xml:space="preserve"> 7, 16</t>
    </r>
  </si>
  <si>
    <r>
      <t xml:space="preserve">  Utenfor LOF/LOI - Livrenter </t>
    </r>
    <r>
      <rPr>
        <vertAlign val="superscript"/>
        <sz val="10"/>
        <rFont val="Times New Roman"/>
        <family val="1"/>
      </rPr>
      <t>14,18</t>
    </r>
  </si>
  <si>
    <r>
      <t xml:space="preserve">  Herav fripoliser </t>
    </r>
    <r>
      <rPr>
        <vertAlign val="superscript"/>
        <sz val="10"/>
        <rFont val="Times New Roman"/>
        <family val="1"/>
      </rPr>
      <t>15,17</t>
    </r>
  </si>
  <si>
    <r>
      <t xml:space="preserve">   Herav fripoliser </t>
    </r>
    <r>
      <rPr>
        <vertAlign val="superscript"/>
        <sz val="10"/>
        <rFont val="Times New Roman"/>
        <family val="1"/>
      </rPr>
      <t>15,17</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</si>
  <si>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</si>
  <si>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</si>
  <si>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</si>
  <si>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</si>
  <si>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</si>
  <si>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</si>
  <si>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</si>
  <si>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</si>
  <si>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</si>
  <si>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</si>
  <si>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</si>
  <si>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</si>
  <si>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</si>
  <si>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</si>
  <si>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</si>
  <si>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</si>
  <si>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</si>
  <si>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</si>
  <si>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</si>
  <si>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</si>
  <si>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</si>
  <si>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</si>
  <si>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</si>
  <si>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</si>
  <si>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</si>
  <si>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</si>
  <si>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</si>
  <si>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</si>
  <si>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</si>
  <si>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</si>
  <si>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</si>
  <si>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</si>
  <si>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</si>
  <si>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</si>
  <si>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</si>
  <si>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</si>
  <si>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</si>
  <si>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</si>
  <si>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</si>
  <si>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</si>
  <si>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</si>
  <si>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</si>
  <si>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</si>
  <si>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</si>
  <si>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</si>
  <si>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</si>
  <si>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</si>
  <si>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</si>
  <si>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</si>
  <si>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</si>
  <si>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</si>
  <si>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</si>
  <si>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</si>
  <si>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Avkastningstall (%)</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</si>
  <si>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</si>
  <si>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</si>
  <si>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</si>
  <si>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</si>
  <si>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</si>
  <si>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</si>
  <si>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</si>
  <si>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</si>
  <si>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</si>
  <si>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</si>
  <si>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</si>
  <si>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Kursreguleringsfond</t>
  </si>
  <si>
    <t>Mer/mindre-verdier</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</si>
  <si>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</si>
  <si>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</si>
  <si>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</si>
  <si>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</si>
  <si>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</si>
  <si>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</si>
  <si>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</si>
  <si>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</si>
  <si>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</si>
  <si>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</si>
  <si>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</si>
  <si>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</si>
  <si>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</si>
  <si>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</si>
  <si>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30.6.2016</t>
  </si>
  <si>
    <t>30.6.2017</t>
  </si>
  <si>
    <t/>
  </si>
  <si>
    <t xml:space="preserve">    ---- </t>
  </si>
  <si>
    <t>Figur 1  Brutto forfalt premie livprodukter  -  produkter uten investeringsvalg pr. 30.06.</t>
  </si>
  <si>
    <t>Figur 2  Brutto forfalt premie livprodukter  -  produkter med investeringsvalg pr. 30.06.</t>
  </si>
  <si>
    <t>Figur 3  Forsikringsforpliktelser i livsforsikring  -  produkter uten investeringsvalg pr. 30.06.</t>
  </si>
  <si>
    <t>Figur 4  Forsikringsforpliktelser i livsforsikring -  produkter med investeringsvalg pr. 30.06.</t>
  </si>
  <si>
    <t>Figur 5  Netto tilflytting livprodukter  -  produkter uten investeringsvalg pr. 30.06.</t>
  </si>
  <si>
    <t>Figur 6  Netto tilflytting livprodukter  -  produkter med investeringsvalg pr. 30.06.</t>
  </si>
  <si>
    <t>30.06.</t>
  </si>
  <si>
    <t xml:space="preserve">    13.4 Premiefond, innskuddsfond og pensjonistenes overskuddsfond</t>
  </si>
  <si>
    <t xml:space="preserve">    13.5 Andre tekniske avsetninger for skadeforsikringsvirksomheten</t>
  </si>
  <si>
    <t xml:space="preserve">    14.2 Tilleggsavsetninger</t>
  </si>
  <si>
    <t xml:space="preserve">    14.3 Premiefond, innskuddsfond og pensjonistenes overskuddsfond</t>
  </si>
  <si>
    <t xml:space="preserve">    5.2 Overføring av premieres., tilleggsavsetn. til andre selskap/kasser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</si>
</sst>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 numFmtId="171" formatCode="_ * #,##0.0_ ;_ * \-#,##0.0_ ;_ * &quot;&quot;??_ ;_ @_ "/>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4" tint="0.79995117038483843"/>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48">
    <xf numFmtId="0" fontId="0" fillId="0" borderId="0"/>
    <xf numFmtId="0" fontId="19" fillId="0" borderId="0"/>
    <xf numFmtId="43"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0" fontId="10" fillId="0" borderId="0"/>
    <xf numFmtId="0" fontId="19" fillId="0" borderId="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25"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7" borderId="0" applyNumberFormat="0" applyBorder="0" applyAlignment="0" applyProtection="0"/>
    <xf numFmtId="170" fontId="15" fillId="0" borderId="7" applyFont="0" applyFill="0" applyBorder="0" applyAlignment="0" applyProtection="0">
      <alignment horizontal="right"/>
    </xf>
    <xf numFmtId="0" fontId="19" fillId="0" borderId="0"/>
    <xf numFmtId="43" fontId="19" fillId="0" borderId="0" applyFont="0" applyFill="0" applyBorder="0" applyAlignment="0" applyProtection="0"/>
  </cellStyleXfs>
  <cellXfs count="702">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4"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4" fontId="15" fillId="3" borderId="5" xfId="1" applyNumberFormat="1" applyFont="1" applyFill="1" applyBorder="1" applyAlignment="1">
      <alignment horizontal="right"/>
    </xf>
    <xf numFmtId="0" fontId="17" fillId="0" borderId="6" xfId="1" applyFont="1" applyBorder="1"/>
    <xf numFmtId="164"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4" fontId="17" fillId="3" borderId="6" xfId="1" applyNumberFormat="1" applyFont="1" applyFill="1" applyBorder="1" applyAlignment="1">
      <alignment horizontal="right"/>
    </xf>
    <xf numFmtId="164" fontId="17" fillId="3" borderId="3" xfId="1" applyNumberFormat="1" applyFont="1" applyFill="1" applyBorder="1" applyAlignment="1">
      <alignment horizontal="right"/>
    </xf>
    <xf numFmtId="164" fontId="15" fillId="3" borderId="3" xfId="1" applyNumberFormat="1" applyFont="1" applyFill="1" applyBorder="1" applyAlignment="1">
      <alignment horizontal="right"/>
    </xf>
    <xf numFmtId="164" fontId="17" fillId="0" borderId="0" xfId="1" applyNumberFormat="1" applyFont="1" applyBorder="1"/>
    <xf numFmtId="3" fontId="17" fillId="0" borderId="0" xfId="1" applyNumberFormat="1" applyFont="1" applyBorder="1"/>
    <xf numFmtId="164"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4"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4"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4"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6" fontId="45" fillId="0" borderId="7" xfId="0" applyNumberFormat="1" applyFont="1" applyBorder="1" applyAlignment="1">
      <alignment horizontal="left"/>
    </xf>
    <xf numFmtId="0" fontId="45" fillId="0" borderId="2" xfId="0" applyFont="1" applyBorder="1" applyAlignment="1">
      <alignment horizontal="center"/>
    </xf>
    <xf numFmtId="166"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6"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6" fillId="0" borderId="7" xfId="1" applyNumberFormat="1" applyFont="1" applyBorder="1" applyAlignment="1">
      <alignment horizontal="center"/>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6"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4" fontId="55" fillId="7" borderId="3" xfId="844" applyNumberFormat="1" applyFont="1" applyBorder="1" applyAlignment="1">
      <alignment horizontal="right"/>
    </xf>
    <xf numFmtId="3" fontId="45" fillId="0" borderId="2" xfId="0" applyNumberFormat="1" applyFont="1" applyBorder="1"/>
    <xf numFmtId="3" fontId="16" fillId="0" borderId="1" xfId="1" applyNumberFormat="1" applyFont="1" applyBorder="1" applyAlignment="1">
      <alignment horizontal="center"/>
    </xf>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6"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14" fontId="16" fillId="0" borderId="1" xfId="1" applyNumberFormat="1" applyFont="1" applyBorder="1" applyAlignment="1">
      <alignment horizontal="center"/>
    </xf>
    <xf numFmtId="14" fontId="16" fillId="0" borderId="7" xfId="1" applyNumberFormat="1" applyFont="1" applyBorder="1" applyAlignment="1">
      <alignment horizontal="center"/>
    </xf>
    <xf numFmtId="14" fontId="16" fillId="0" borderId="15" xfId="1" applyNumberFormat="1" applyFont="1" applyBorder="1" applyAlignment="1">
      <alignment horizontal="center"/>
    </xf>
    <xf numFmtId="0" fontId="17" fillId="0" borderId="5" xfId="1" applyFont="1" applyFill="1" applyBorder="1"/>
    <xf numFmtId="0" fontId="17" fillId="0" borderId="9" xfId="1" applyFont="1" applyFill="1" applyBorder="1"/>
    <xf numFmtId="167" fontId="17" fillId="0" borderId="0" xfId="1" applyNumberFormat="1" applyFont="1" applyFill="1" applyBorder="1" applyAlignment="1">
      <alignment horizontal="center"/>
    </xf>
    <xf numFmtId="167" fontId="17" fillId="3" borderId="3" xfId="1" applyNumberFormat="1" applyFont="1" applyFill="1" applyBorder="1" applyAlignment="1">
      <alignment horizontal="right"/>
    </xf>
    <xf numFmtId="167"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6" fontId="15" fillId="0" borderId="4" xfId="0" applyNumberFormat="1" applyFont="1" applyBorder="1" applyAlignment="1">
      <alignment horizontal="center"/>
    </xf>
    <xf numFmtId="166" fontId="15" fillId="0" borderId="11" xfId="0" applyNumberFormat="1" applyFont="1" applyBorder="1" applyAlignment="1">
      <alignment horizontal="center"/>
    </xf>
    <xf numFmtId="0" fontId="15" fillId="0" borderId="5" xfId="0" applyFont="1" applyBorder="1" applyAlignment="1">
      <alignment horizontal="center"/>
    </xf>
    <xf numFmtId="164" fontId="45" fillId="0" borderId="4" xfId="0" applyNumberFormat="1" applyFont="1" applyBorder="1" applyAlignment="1">
      <alignment horizontal="right"/>
    </xf>
    <xf numFmtId="164" fontId="45" fillId="0" borderId="3" xfId="0" applyNumberFormat="1" applyFont="1" applyBorder="1" applyAlignment="1">
      <alignment horizontal="right"/>
    </xf>
    <xf numFmtId="164" fontId="30" fillId="0" borderId="4" xfId="0" applyNumberFormat="1" applyFont="1" applyBorder="1" applyAlignment="1">
      <alignment horizontal="right"/>
    </xf>
    <xf numFmtId="164" fontId="30" fillId="0" borderId="3" xfId="0" applyNumberFormat="1" applyFont="1" applyBorder="1" applyAlignment="1">
      <alignment horizontal="right"/>
    </xf>
    <xf numFmtId="164"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4" fontId="30" fillId="0" borderId="11" xfId="0" applyNumberFormat="1" applyFont="1" applyBorder="1" applyAlignment="1">
      <alignment horizontal="right"/>
    </xf>
    <xf numFmtId="164"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5"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6" fillId="0" borderId="4" xfId="1" applyNumberFormat="1" applyFont="1" applyFill="1" applyBorder="1" applyAlignment="1">
      <alignment horizontal="right"/>
    </xf>
    <xf numFmtId="3" fontId="66" fillId="0" borderId="3" xfId="1" applyNumberFormat="1" applyFont="1" applyFill="1" applyBorder="1" applyAlignment="1">
      <alignment horizontal="right"/>
    </xf>
    <xf numFmtId="3" fontId="66" fillId="0" borderId="11" xfId="1" applyNumberFormat="1" applyFont="1" applyFill="1" applyBorder="1" applyAlignment="1">
      <alignment horizontal="right"/>
    </xf>
    <xf numFmtId="3" fontId="66"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0" fontId="67" fillId="0" borderId="0" xfId="0" applyFont="1" applyAlignment="1">
      <alignment horizontal="left" vertical="center" readingOrder="1"/>
    </xf>
    <xf numFmtId="0" fontId="17" fillId="0" borderId="0" xfId="1" applyFont="1" applyFill="1" applyBorder="1" applyAlignment="1">
      <alignment horizontal="left"/>
    </xf>
    <xf numFmtId="0" fontId="69"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3" fillId="0" borderId="0" xfId="0" applyFont="1" applyFill="1"/>
    <xf numFmtId="0" fontId="64"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1" fillId="0" borderId="0" xfId="1" applyFont="1" applyBorder="1" applyAlignment="1">
      <alignment horizontal="left"/>
    </xf>
    <xf numFmtId="3" fontId="66"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0"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0" fontId="15" fillId="0" borderId="7" xfId="845" applyFont="1" applyFill="1" applyBorder="1" applyAlignment="1">
      <alignment horizontal="right"/>
    </xf>
    <xf numFmtId="170" fontId="15" fillId="0" borderId="1" xfId="845" applyFont="1" applyFill="1" applyBorder="1" applyAlignment="1">
      <alignment horizontal="right"/>
    </xf>
    <xf numFmtId="170" fontId="17" fillId="0" borderId="3" xfId="845" applyFont="1" applyFill="1" applyBorder="1" applyAlignment="1">
      <alignment horizontal="right"/>
    </xf>
    <xf numFmtId="170" fontId="17" fillId="0" borderId="4" xfId="845" applyFont="1" applyFill="1" applyBorder="1" applyAlignment="1">
      <alignment horizontal="right"/>
    </xf>
    <xf numFmtId="170" fontId="15" fillId="0" borderId="3" xfId="845" applyFont="1" applyFill="1" applyBorder="1" applyAlignment="1">
      <alignment horizontal="right"/>
    </xf>
    <xf numFmtId="170" fontId="15" fillId="0" borderId="4" xfId="845" applyFont="1" applyFill="1" applyBorder="1" applyAlignment="1">
      <alignment horizontal="right"/>
    </xf>
    <xf numFmtId="170" fontId="15" fillId="0" borderId="6" xfId="845" applyFont="1" applyFill="1" applyBorder="1" applyAlignment="1">
      <alignment horizontal="right"/>
    </xf>
    <xf numFmtId="170" fontId="15" fillId="0" borderId="11" xfId="845" applyFont="1" applyFill="1" applyBorder="1" applyAlignment="1">
      <alignment horizontal="right"/>
    </xf>
    <xf numFmtId="170" fontId="17" fillId="3" borderId="7" xfId="845" applyFont="1" applyFill="1" applyBorder="1" applyAlignment="1">
      <alignment horizontal="right"/>
    </xf>
    <xf numFmtId="170" fontId="17" fillId="3" borderId="2" xfId="845" applyFont="1" applyFill="1" applyBorder="1" applyAlignment="1">
      <alignment horizontal="right"/>
    </xf>
    <xf numFmtId="170" fontId="15" fillId="0" borderId="2" xfId="845" applyFont="1" applyFill="1" applyBorder="1" applyAlignment="1">
      <alignment horizontal="right"/>
    </xf>
    <xf numFmtId="170" fontId="17" fillId="3" borderId="3" xfId="845" applyFont="1" applyFill="1" applyBorder="1" applyAlignment="1">
      <alignment horizontal="right"/>
    </xf>
    <xf numFmtId="170" fontId="17" fillId="0" borderId="2" xfId="845" applyFont="1" applyFill="1" applyBorder="1" applyAlignment="1">
      <alignment horizontal="right"/>
    </xf>
    <xf numFmtId="170" fontId="17" fillId="3" borderId="6" xfId="845" applyFont="1" applyFill="1" applyBorder="1" applyAlignment="1">
      <alignment horizontal="right"/>
    </xf>
    <xf numFmtId="170" fontId="15" fillId="0" borderId="5" xfId="845" applyFont="1" applyFill="1" applyBorder="1" applyAlignment="1">
      <alignment horizontal="right"/>
    </xf>
    <xf numFmtId="170" fontId="15" fillId="0" borderId="15" xfId="845" applyFont="1" applyFill="1" applyBorder="1" applyAlignment="1">
      <alignment horizontal="right"/>
    </xf>
    <xf numFmtId="170" fontId="17" fillId="0" borderId="6" xfId="845" applyFont="1" applyFill="1" applyBorder="1" applyAlignment="1">
      <alignment horizontal="right"/>
    </xf>
    <xf numFmtId="170" fontId="17" fillId="0" borderId="11" xfId="845" applyFont="1" applyFill="1" applyBorder="1" applyAlignment="1">
      <alignment horizontal="right"/>
    </xf>
    <xf numFmtId="170" fontId="66" fillId="0" borderId="2" xfId="845" applyFont="1" applyFill="1" applyBorder="1" applyAlignment="1">
      <alignment horizontal="right"/>
    </xf>
    <xf numFmtId="170" fontId="17" fillId="0" borderId="0" xfId="845" applyFont="1" applyFill="1" applyBorder="1" applyAlignment="1">
      <alignment horizontal="right"/>
    </xf>
    <xf numFmtId="170" fontId="22" fillId="0" borderId="2" xfId="845" applyFont="1" applyFill="1" applyBorder="1" applyAlignment="1">
      <alignment horizontal="right"/>
    </xf>
    <xf numFmtId="170" fontId="22" fillId="0" borderId="0" xfId="845" applyFont="1" applyFill="1" applyBorder="1" applyAlignment="1">
      <alignment horizontal="right"/>
    </xf>
    <xf numFmtId="170" fontId="15" fillId="0" borderId="0" xfId="845" applyFont="1" applyFill="1" applyBorder="1" applyAlignment="1">
      <alignment horizontal="right"/>
    </xf>
    <xf numFmtId="170" fontId="17" fillId="3" borderId="5" xfId="845" applyFont="1" applyFill="1" applyBorder="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4" fontId="30" fillId="0" borderId="3" xfId="0" applyNumberFormat="1" applyFont="1" applyBorder="1"/>
    <xf numFmtId="164" fontId="45" fillId="0" borderId="3" xfId="0" applyNumberFormat="1" applyFont="1" applyBorder="1"/>
    <xf numFmtId="164" fontId="30" fillId="0" borderId="3" xfId="0" applyNumberFormat="1" applyFont="1" applyFill="1" applyBorder="1"/>
    <xf numFmtId="164" fontId="45" fillId="0" borderId="6" xfId="0" applyNumberFormat="1" applyFont="1" applyBorder="1"/>
    <xf numFmtId="171" fontId="17" fillId="3" borderId="2" xfId="845" applyNumberFormat="1" applyFont="1" applyFill="1" applyBorder="1" applyAlignment="1">
      <alignment horizontal="right"/>
    </xf>
    <xf numFmtId="171" fontId="17" fillId="3" borderId="6" xfId="845" applyNumberFormat="1" applyFont="1" applyFill="1" applyBorder="1" applyAlignment="1">
      <alignment horizontal="right"/>
    </xf>
    <xf numFmtId="164" fontId="15" fillId="0" borderId="6" xfId="1" applyNumberFormat="1" applyFont="1" applyBorder="1" applyAlignment="1">
      <alignment horizontal="center"/>
    </xf>
    <xf numFmtId="164" fontId="17" fillId="3" borderId="0" xfId="1" applyNumberFormat="1" applyFont="1" applyFill="1" applyBorder="1" applyAlignment="1">
      <alignment horizontal="right"/>
    </xf>
    <xf numFmtId="164"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70" fontId="15" fillId="3" borderId="7" xfId="845" applyFont="1" applyFill="1" applyBorder="1" applyAlignment="1">
      <alignment horizontal="right"/>
    </xf>
    <xf numFmtId="171" fontId="15" fillId="3" borderId="2" xfId="845" applyNumberFormat="1" applyFont="1" applyFill="1" applyBorder="1" applyAlignment="1">
      <alignment horizontal="right"/>
    </xf>
    <xf numFmtId="3" fontId="15" fillId="0" borderId="0" xfId="1" applyNumberFormat="1" applyFont="1" applyFill="1"/>
    <xf numFmtId="167" fontId="15" fillId="3" borderId="7" xfId="1" applyNumberFormat="1" applyFont="1" applyFill="1" applyBorder="1" applyAlignment="1">
      <alignment horizontal="right"/>
    </xf>
    <xf numFmtId="167" fontId="15" fillId="3" borderId="3" xfId="1" applyNumberFormat="1" applyFont="1" applyFill="1" applyBorder="1" applyAlignment="1">
      <alignment horizontal="right"/>
    </xf>
    <xf numFmtId="167"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4" fontId="15" fillId="3" borderId="0" xfId="1" applyNumberFormat="1" applyFont="1" applyFill="1" applyBorder="1" applyAlignment="1">
      <alignment horizontal="right"/>
    </xf>
    <xf numFmtId="170" fontId="17" fillId="11" borderId="3" xfId="845" applyFont="1" applyFill="1" applyBorder="1" applyAlignment="1">
      <alignment horizontal="right"/>
    </xf>
    <xf numFmtId="170" fontId="17" fillId="11" borderId="4" xfId="845" applyFont="1" applyFill="1" applyBorder="1" applyAlignment="1">
      <alignment horizontal="right"/>
    </xf>
    <xf numFmtId="3" fontId="17" fillId="11" borderId="3" xfId="2" applyNumberFormat="1" applyFont="1" applyFill="1" applyBorder="1" applyAlignment="1">
      <alignment horizontal="left"/>
    </xf>
    <xf numFmtId="170" fontId="15" fillId="11" borderId="2" xfId="845" applyFont="1" applyFill="1" applyBorder="1" applyAlignment="1">
      <alignment horizontal="right"/>
    </xf>
    <xf numFmtId="170" fontId="15" fillId="11" borderId="0" xfId="845" applyFont="1" applyFill="1" applyBorder="1" applyAlignment="1">
      <alignment horizontal="right"/>
    </xf>
    <xf numFmtId="170" fontId="15" fillId="11" borderId="4" xfId="845" applyFont="1" applyFill="1" applyBorder="1" applyAlignment="1">
      <alignment horizontal="right"/>
    </xf>
    <xf numFmtId="170" fontId="15" fillId="11" borderId="5" xfId="845" applyFont="1" applyFill="1" applyBorder="1" applyAlignment="1">
      <alignment horizontal="right"/>
    </xf>
    <xf numFmtId="170" fontId="15" fillId="11" borderId="11" xfId="845" applyFont="1" applyFill="1" applyBorder="1" applyAlignment="1">
      <alignment horizontal="right"/>
    </xf>
    <xf numFmtId="170" fontId="18" fillId="11" borderId="2" xfId="845" applyFont="1" applyFill="1" applyBorder="1" applyAlignment="1">
      <alignment horizontal="right"/>
    </xf>
    <xf numFmtId="170" fontId="18" fillId="11" borderId="0" xfId="845" applyFont="1" applyFill="1" applyBorder="1" applyAlignment="1">
      <alignment horizontal="right"/>
    </xf>
    <xf numFmtId="170" fontId="17" fillId="11" borderId="2" xfId="845" applyFont="1" applyFill="1" applyBorder="1" applyAlignment="1">
      <alignment horizontal="right"/>
    </xf>
    <xf numFmtId="170" fontId="17" fillId="11" borderId="0" xfId="845" applyFont="1" applyFill="1" applyBorder="1" applyAlignment="1">
      <alignment horizontal="right"/>
    </xf>
    <xf numFmtId="3" fontId="17" fillId="11" borderId="3" xfId="2" applyNumberFormat="1" applyFont="1" applyFill="1" applyBorder="1" applyAlignment="1">
      <alignment horizontal="right"/>
    </xf>
    <xf numFmtId="3" fontId="17" fillId="11" borderId="4" xfId="2" applyNumberFormat="1" applyFont="1" applyFill="1" applyBorder="1" applyAlignment="1">
      <alignment horizontal="right"/>
    </xf>
    <xf numFmtId="3" fontId="15" fillId="11" borderId="2" xfId="1" applyNumberFormat="1" applyFont="1" applyFill="1" applyBorder="1" applyAlignment="1">
      <alignment horizontal="right"/>
    </xf>
    <xf numFmtId="3" fontId="15" fillId="11" borderId="0" xfId="1" applyNumberFormat="1" applyFont="1" applyFill="1" applyBorder="1" applyAlignment="1">
      <alignment horizontal="right"/>
    </xf>
    <xf numFmtId="3" fontId="15" fillId="11" borderId="4" xfId="1" applyNumberFormat="1" applyFont="1" applyFill="1" applyBorder="1" applyAlignment="1">
      <alignment horizontal="right"/>
    </xf>
    <xf numFmtId="3" fontId="15" fillId="11" borderId="5" xfId="1" applyNumberFormat="1" applyFont="1" applyFill="1" applyBorder="1" applyAlignment="1">
      <alignment horizontal="right"/>
    </xf>
    <xf numFmtId="3" fontId="15" fillId="11" borderId="11" xfId="1" applyNumberFormat="1" applyFont="1" applyFill="1" applyBorder="1" applyAlignment="1">
      <alignment horizontal="right"/>
    </xf>
    <xf numFmtId="3" fontId="18" fillId="11" borderId="2" xfId="1" applyNumberFormat="1" applyFont="1" applyFill="1" applyBorder="1" applyAlignment="1">
      <alignment horizontal="right"/>
    </xf>
    <xf numFmtId="3" fontId="18" fillId="11" borderId="0" xfId="1" applyNumberFormat="1" applyFont="1" applyFill="1" applyBorder="1" applyAlignment="1">
      <alignment horizontal="right"/>
    </xf>
    <xf numFmtId="3" fontId="17" fillId="11" borderId="2" xfId="1" applyNumberFormat="1" applyFont="1" applyFill="1" applyBorder="1" applyAlignment="1">
      <alignment horizontal="right"/>
    </xf>
    <xf numFmtId="3" fontId="17" fillId="11" borderId="0" xfId="1" applyNumberFormat="1" applyFont="1" applyFill="1" applyBorder="1" applyAlignment="1">
      <alignment horizontal="right"/>
    </xf>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3" fontId="15" fillId="0" borderId="10" xfId="1" applyNumberFormat="1" applyFont="1" applyBorder="1" applyAlignment="1">
      <alignment horizontal="left"/>
    </xf>
    <xf numFmtId="3" fontId="15" fillId="0" borderId="8" xfId="1" applyNumberFormat="1" applyFont="1" applyBorder="1" applyAlignment="1">
      <alignment horizontal="left"/>
    </xf>
    <xf numFmtId="3" fontId="15" fillId="0" borderId="9" xfId="1" applyNumberFormat="1" applyFont="1" applyBorder="1" applyAlignment="1">
      <alignment horizontal="left"/>
    </xf>
    <xf numFmtId="0" fontId="41" fillId="0" borderId="0" xfId="846" applyFont="1" applyProtection="1">
      <protection locked="0"/>
    </xf>
    <xf numFmtId="0" fontId="17" fillId="0" borderId="0" xfId="3" applyFont="1" applyFill="1" applyAlignment="1" applyProtection="1">
      <protection locked="0"/>
    </xf>
    <xf numFmtId="0" fontId="57" fillId="0" borderId="0" xfId="846" applyFont="1" applyProtection="1">
      <protection locked="0"/>
    </xf>
    <xf numFmtId="0" fontId="19" fillId="0" borderId="0" xfId="846" applyProtection="1">
      <protection locked="0"/>
    </xf>
    <xf numFmtId="164" fontId="19" fillId="0" borderId="0" xfId="846" applyNumberFormat="1" applyProtection="1">
      <protection locked="0"/>
    </xf>
    <xf numFmtId="3" fontId="58" fillId="4" borderId="12" xfId="846" applyNumberFormat="1" applyFont="1" applyFill="1" applyBorder="1" applyProtection="1">
      <protection locked="0"/>
    </xf>
    <xf numFmtId="3" fontId="59" fillId="4" borderId="0" xfId="846" applyNumberFormat="1" applyFont="1" applyFill="1" applyBorder="1" applyProtection="1">
      <protection locked="0"/>
    </xf>
    <xf numFmtId="164" fontId="19" fillId="0" borderId="0" xfId="846" applyNumberFormat="1" applyBorder="1" applyProtection="1">
      <protection locked="0"/>
    </xf>
    <xf numFmtId="14" fontId="13" fillId="0" borderId="7" xfId="846" applyNumberFormat="1" applyFont="1" applyFill="1" applyBorder="1" applyAlignment="1" applyProtection="1">
      <alignment horizontal="left"/>
      <protection locked="0"/>
    </xf>
    <xf numFmtId="3" fontId="13" fillId="0" borderId="8" xfId="846" quotePrefix="1" applyNumberFormat="1" applyFont="1" applyFill="1" applyBorder="1" applyProtection="1">
      <protection locked="0"/>
    </xf>
    <xf numFmtId="3" fontId="13" fillId="0" borderId="9" xfId="846" quotePrefix="1" applyNumberFormat="1" applyFont="1" applyFill="1" applyBorder="1" applyProtection="1">
      <protection locked="0"/>
    </xf>
    <xf numFmtId="3" fontId="13" fillId="0" borderId="10" xfId="846" quotePrefix="1" applyNumberFormat="1" applyFont="1" applyFill="1" applyBorder="1" applyProtection="1">
      <protection locked="0"/>
    </xf>
    <xf numFmtId="0" fontId="17" fillId="0" borderId="8" xfId="846" applyFont="1" applyBorder="1" applyProtection="1">
      <protection locked="0"/>
    </xf>
    <xf numFmtId="0" fontId="17" fillId="0" borderId="10" xfId="846" applyFont="1" applyBorder="1" applyProtection="1">
      <protection locked="0"/>
    </xf>
    <xf numFmtId="0" fontId="17" fillId="0" borderId="9" xfId="846" applyFont="1" applyBorder="1" applyProtection="1">
      <protection locked="0"/>
    </xf>
    <xf numFmtId="164" fontId="17" fillId="4" borderId="0" xfId="846" applyNumberFormat="1" applyFont="1" applyFill="1" applyBorder="1" applyProtection="1">
      <protection locked="0"/>
    </xf>
    <xf numFmtId="0" fontId="17" fillId="4" borderId="0" xfId="846" applyFont="1" applyFill="1" applyBorder="1" applyProtection="1">
      <protection locked="0"/>
    </xf>
    <xf numFmtId="3" fontId="45" fillId="0" borderId="1" xfId="846" applyNumberFormat="1" applyFont="1" applyFill="1" applyBorder="1" applyProtection="1">
      <protection locked="0"/>
    </xf>
    <xf numFmtId="0" fontId="45" fillId="0" borderId="1" xfId="846" applyNumberFormat="1" applyFont="1" applyFill="1" applyBorder="1" applyAlignment="1" applyProtection="1">
      <alignment horizontal="center"/>
      <protection locked="0"/>
    </xf>
    <xf numFmtId="0" fontId="45" fillId="0" borderId="14" xfId="846" applyNumberFormat="1" applyFont="1" applyFill="1" applyBorder="1" applyAlignment="1" applyProtection="1">
      <alignment horizontal="center"/>
      <protection locked="0"/>
    </xf>
    <xf numFmtId="0" fontId="45" fillId="0" borderId="15" xfId="846" applyNumberFormat="1" applyFont="1" applyFill="1" applyBorder="1" applyAlignment="1" applyProtection="1">
      <alignment horizontal="center"/>
      <protection locked="0"/>
    </xf>
    <xf numFmtId="0" fontId="19" fillId="0" borderId="0" xfId="846" applyBorder="1" applyProtection="1">
      <protection locked="0"/>
    </xf>
    <xf numFmtId="0" fontId="45" fillId="4" borderId="0" xfId="846" applyNumberFormat="1" applyFont="1" applyFill="1" applyBorder="1" applyAlignment="1" applyProtection="1">
      <alignment horizontal="center"/>
      <protection locked="0"/>
    </xf>
    <xf numFmtId="3" fontId="45" fillId="0" borderId="4" xfId="846" applyNumberFormat="1" applyFont="1" applyFill="1" applyBorder="1" applyProtection="1">
      <protection locked="0"/>
    </xf>
    <xf numFmtId="0" fontId="15" fillId="0" borderId="7" xfId="846" applyNumberFormat="1" applyFont="1" applyFill="1" applyBorder="1" applyAlignment="1" applyProtection="1">
      <alignment horizontal="center"/>
      <protection locked="0"/>
    </xf>
    <xf numFmtId="3" fontId="50" fillId="4" borderId="11" xfId="846" applyNumberFormat="1" applyFont="1" applyFill="1" applyBorder="1" applyProtection="1">
      <protection locked="0"/>
    </xf>
    <xf numFmtId="0" fontId="13" fillId="0" borderId="11" xfId="846" applyFont="1" applyBorder="1" applyAlignment="1" applyProtection="1">
      <alignment horizontal="center"/>
      <protection locked="0"/>
    </xf>
    <xf numFmtId="168" fontId="15" fillId="0" borderId="6" xfId="846" applyNumberFormat="1" applyFont="1" applyFill="1" applyBorder="1" applyAlignment="1" applyProtection="1">
      <alignment horizontal="center"/>
      <protection locked="0"/>
    </xf>
    <xf numFmtId="168" fontId="13" fillId="4" borderId="0" xfId="846" applyNumberFormat="1" applyFont="1" applyFill="1" applyBorder="1" applyAlignment="1" applyProtection="1">
      <alignment horizontal="center"/>
      <protection locked="0"/>
    </xf>
    <xf numFmtId="0" fontId="13" fillId="4" borderId="0" xfId="846" applyNumberFormat="1" applyFont="1" applyFill="1" applyBorder="1" applyAlignment="1" applyProtection="1">
      <alignment horizontal="center"/>
      <protection locked="0"/>
    </xf>
    <xf numFmtId="3" fontId="60" fillId="4" borderId="4" xfId="846" applyNumberFormat="1" applyFont="1" applyFill="1" applyBorder="1" applyProtection="1">
      <protection locked="0"/>
    </xf>
    <xf numFmtId="3" fontId="60" fillId="4" borderId="3" xfId="846" applyNumberFormat="1" applyFont="1" applyFill="1" applyBorder="1" applyAlignment="1" applyProtection="1">
      <alignment horizontal="right"/>
    </xf>
    <xf numFmtId="3" fontId="60" fillId="4" borderId="3" xfId="846" applyNumberFormat="1" applyFont="1" applyFill="1" applyBorder="1" applyAlignment="1" applyProtection="1">
      <alignment horizontal="right"/>
      <protection locked="0"/>
    </xf>
    <xf numFmtId="3" fontId="30" fillId="4" borderId="4" xfId="846" applyNumberFormat="1" applyFont="1" applyFill="1" applyBorder="1" applyAlignment="1" applyProtection="1">
      <alignment horizontal="right"/>
    </xf>
    <xf numFmtId="3" fontId="30" fillId="4" borderId="4" xfId="846"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xf>
    <xf numFmtId="3" fontId="30" fillId="4" borderId="4" xfId="847" applyNumberFormat="1" applyFont="1" applyFill="1" applyBorder="1" applyAlignment="1" applyProtection="1">
      <alignment horizontal="right"/>
      <protection locked="0"/>
    </xf>
    <xf numFmtId="0" fontId="45" fillId="0" borderId="4" xfId="846" applyFont="1" applyFill="1" applyBorder="1" applyProtection="1">
      <protection locked="0"/>
    </xf>
    <xf numFmtId="3" fontId="45" fillId="4" borderId="3" xfId="846" applyNumberFormat="1" applyFont="1" applyFill="1" applyBorder="1" applyAlignment="1" applyProtection="1">
      <alignment horizontal="right"/>
    </xf>
    <xf numFmtId="3" fontId="45" fillId="4" borderId="3" xfId="846" applyNumberFormat="1" applyFont="1" applyFill="1" applyBorder="1" applyAlignment="1" applyProtection="1">
      <alignment horizontal="right"/>
      <protection locked="0"/>
    </xf>
    <xf numFmtId="0" fontId="19" fillId="0" borderId="0" xfId="846" applyFont="1" applyBorder="1" applyProtection="1">
      <protection locked="0"/>
    </xf>
    <xf numFmtId="0" fontId="19" fillId="0" borderId="0" xfId="846" applyFont="1" applyProtection="1">
      <protection locked="0"/>
    </xf>
    <xf numFmtId="3" fontId="45" fillId="4" borderId="4" xfId="846" applyNumberFormat="1" applyFont="1" applyFill="1" applyBorder="1" applyProtection="1">
      <protection locked="0"/>
    </xf>
    <xf numFmtId="3" fontId="45" fillId="0" borderId="3" xfId="846" applyNumberFormat="1" applyFont="1" applyBorder="1" applyAlignment="1" applyProtection="1">
      <alignment horizontal="right"/>
    </xf>
    <xf numFmtId="3" fontId="45" fillId="0" borderId="3" xfId="846" applyNumberFormat="1" applyFont="1" applyBorder="1" applyAlignment="1" applyProtection="1">
      <alignment horizontal="right"/>
      <protection locked="0"/>
    </xf>
    <xf numFmtId="3" fontId="45" fillId="0" borderId="3" xfId="846" applyNumberFormat="1" applyFont="1" applyFill="1" applyBorder="1" applyAlignment="1" applyProtection="1">
      <alignment horizontal="right"/>
    </xf>
    <xf numFmtId="3" fontId="45" fillId="0" borderId="3" xfId="846" applyNumberFormat="1" applyFont="1" applyFill="1" applyBorder="1" applyAlignment="1" applyProtection="1">
      <alignment horizontal="right"/>
      <protection locked="0"/>
    </xf>
    <xf numFmtId="3" fontId="30" fillId="0" borderId="4" xfId="846" applyNumberFormat="1" applyFont="1" applyFill="1" applyBorder="1" applyAlignment="1" applyProtection="1">
      <alignment horizontal="right"/>
    </xf>
    <xf numFmtId="3" fontId="30" fillId="0" borderId="4" xfId="846"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xf>
    <xf numFmtId="3" fontId="30" fillId="0" borderId="4" xfId="847" applyNumberFormat="1" applyFont="1" applyFill="1" applyBorder="1" applyAlignment="1" applyProtection="1">
      <alignment horizontal="right"/>
      <protection locked="0"/>
    </xf>
    <xf numFmtId="0" fontId="19" fillId="0" borderId="0" xfId="846" applyFont="1" applyFill="1" applyBorder="1" applyProtection="1">
      <protection locked="0"/>
    </xf>
    <xf numFmtId="0" fontId="19" fillId="0" borderId="0" xfId="846" applyFont="1" applyFill="1" applyProtection="1">
      <protection locked="0"/>
    </xf>
    <xf numFmtId="0" fontId="30" fillId="0" borderId="4" xfId="846" applyFont="1" applyFill="1" applyBorder="1" applyProtection="1">
      <protection locked="0"/>
    </xf>
    <xf numFmtId="3" fontId="30" fillId="0" borderId="3" xfId="846" applyNumberFormat="1" applyFont="1" applyFill="1" applyBorder="1" applyAlignment="1" applyProtection="1">
      <alignment horizontal="right"/>
    </xf>
    <xf numFmtId="3" fontId="30" fillId="0" borderId="3" xfId="846" applyNumberFormat="1" applyFont="1" applyFill="1" applyBorder="1" applyAlignment="1" applyProtection="1">
      <alignment horizontal="right"/>
      <protection locked="0"/>
    </xf>
    <xf numFmtId="3" fontId="30" fillId="4" borderId="3" xfId="846" applyNumberFormat="1" applyFont="1" applyFill="1" applyBorder="1" applyAlignment="1" applyProtection="1">
      <alignment horizontal="right"/>
      <protection locked="0"/>
    </xf>
    <xf numFmtId="0" fontId="30" fillId="0" borderId="3" xfId="846" applyFont="1" applyFill="1" applyBorder="1" applyProtection="1">
      <protection locked="0"/>
    </xf>
    <xf numFmtId="3" fontId="19" fillId="0" borderId="0" xfId="846" applyNumberFormat="1" applyFont="1" applyFill="1" applyProtection="1">
      <protection locked="0"/>
    </xf>
    <xf numFmtId="3" fontId="30" fillId="0" borderId="3" xfId="846" applyNumberFormat="1" applyFont="1" applyBorder="1" applyAlignment="1" applyProtection="1">
      <alignment horizontal="right"/>
    </xf>
    <xf numFmtId="3" fontId="30" fillId="0" borderId="3" xfId="846" applyNumberFormat="1" applyFont="1" applyBorder="1" applyAlignment="1" applyProtection="1">
      <alignment horizontal="right"/>
      <protection locked="0"/>
    </xf>
    <xf numFmtId="3" fontId="19" fillId="0" borderId="0" xfId="846" applyNumberFormat="1" applyFont="1" applyProtection="1">
      <protection locked="0"/>
    </xf>
    <xf numFmtId="3" fontId="19" fillId="0" borderId="0" xfId="846" applyNumberFormat="1" applyFont="1" applyBorder="1" applyProtection="1">
      <protection locked="0"/>
    </xf>
    <xf numFmtId="0" fontId="49" fillId="0" borderId="0" xfId="846" applyFont="1" applyBorder="1" applyProtection="1">
      <protection locked="0"/>
    </xf>
    <xf numFmtId="3" fontId="49" fillId="0" borderId="0" xfId="846" applyNumberFormat="1" applyFont="1" applyProtection="1">
      <protection locked="0"/>
    </xf>
    <xf numFmtId="0" fontId="49" fillId="0" borderId="0" xfId="846" applyFont="1" applyProtection="1">
      <protection locked="0"/>
    </xf>
    <xf numFmtId="0" fontId="19" fillId="0" borderId="3" xfId="846" applyFont="1" applyFill="1" applyBorder="1" applyProtection="1">
      <protection locked="0"/>
    </xf>
    <xf numFmtId="3" fontId="30" fillId="4" borderId="3" xfId="846" applyNumberFormat="1" applyFont="1" applyFill="1" applyBorder="1" applyAlignment="1" applyProtection="1">
      <alignment horizontal="right"/>
    </xf>
    <xf numFmtId="0" fontId="45" fillId="0" borderId="11" xfId="846" applyFont="1" applyFill="1" applyBorder="1" applyProtection="1">
      <protection locked="0"/>
    </xf>
    <xf numFmtId="3" fontId="45" fillId="0" borderId="6" xfId="846" applyNumberFormat="1" applyFont="1" applyBorder="1" applyAlignment="1" applyProtection="1">
      <alignment horizontal="right"/>
    </xf>
    <xf numFmtId="3" fontId="45" fillId="0" borderId="6" xfId="846" applyNumberFormat="1" applyFont="1" applyBorder="1" applyAlignment="1" applyProtection="1">
      <alignment horizontal="right"/>
      <protection locked="0"/>
    </xf>
    <xf numFmtId="3" fontId="45" fillId="4" borderId="6" xfId="846" applyNumberFormat="1" applyFont="1" applyFill="1" applyBorder="1" applyAlignment="1" applyProtection="1">
      <alignment horizontal="right"/>
      <protection locked="0"/>
    </xf>
    <xf numFmtId="0" fontId="30" fillId="0" borderId="0" xfId="846" applyFont="1" applyProtection="1">
      <protection locked="0"/>
    </xf>
    <xf numFmtId="3" fontId="30" fillId="0" borderId="0" xfId="846" applyNumberFormat="1" applyFont="1" applyBorder="1" applyProtection="1">
      <protection locked="0"/>
    </xf>
    <xf numFmtId="0" fontId="61" fillId="0" borderId="0" xfId="846" applyFont="1" applyProtection="1">
      <protection locked="0"/>
    </xf>
    <xf numFmtId="3" fontId="62" fillId="0" borderId="0" xfId="846" applyNumberFormat="1" applyFont="1" applyBorder="1" applyProtection="1">
      <protection locked="0"/>
    </xf>
    <xf numFmtId="0" fontId="61" fillId="0" borderId="0" xfId="846" applyFont="1" applyBorder="1" applyProtection="1">
      <protection locked="0"/>
    </xf>
    <xf numFmtId="0" fontId="61" fillId="0" borderId="14" xfId="846" applyFont="1" applyBorder="1" applyProtection="1">
      <protection locked="0"/>
    </xf>
    <xf numFmtId="0" fontId="61" fillId="4" borderId="14" xfId="846" applyFont="1" applyFill="1" applyBorder="1" applyProtection="1">
      <protection locked="0"/>
    </xf>
    <xf numFmtId="0" fontId="19" fillId="0" borderId="0" xfId="846"/>
    <xf numFmtId="3" fontId="58" fillId="4" borderId="0" xfId="846" applyNumberFormat="1" applyFont="1" applyFill="1" applyProtection="1">
      <protection locked="0"/>
    </xf>
    <xf numFmtId="0" fontId="68" fillId="0" borderId="8" xfId="846" applyFont="1" applyBorder="1" applyAlignment="1" applyProtection="1">
      <alignment horizontal="center"/>
      <protection locked="0"/>
    </xf>
    <xf numFmtId="0" fontId="15" fillId="0" borderId="1" xfId="846" applyNumberFormat="1" applyFont="1" applyFill="1" applyBorder="1" applyAlignment="1" applyProtection="1">
      <alignment horizontal="center"/>
      <protection locked="0"/>
    </xf>
    <xf numFmtId="0" fontId="13" fillId="0" borderId="6" xfId="846" applyFont="1" applyFill="1" applyBorder="1" applyAlignment="1" applyProtection="1">
      <alignment horizontal="center"/>
      <protection locked="0"/>
    </xf>
    <xf numFmtId="0" fontId="45" fillId="0" borderId="3" xfId="846" applyFont="1" applyFill="1" applyBorder="1" applyProtection="1">
      <protection locked="0"/>
    </xf>
    <xf numFmtId="4" fontId="30" fillId="4" borderId="3" xfId="846" applyNumberFormat="1" applyFont="1" applyFill="1" applyBorder="1" applyAlignment="1" applyProtection="1">
      <alignment horizontal="right"/>
    </xf>
    <xf numFmtId="4" fontId="30" fillId="4" borderId="3" xfId="846" applyNumberFormat="1" applyFont="1" applyFill="1" applyBorder="1" applyAlignment="1" applyProtection="1">
      <alignment horizontal="right"/>
      <protection locked="0"/>
    </xf>
    <xf numFmtId="4" fontId="30" fillId="4" borderId="2" xfId="846" applyNumberFormat="1" applyFont="1" applyFill="1" applyBorder="1" applyAlignment="1" applyProtection="1">
      <alignment horizontal="right"/>
    </xf>
    <xf numFmtId="4" fontId="30" fillId="4" borderId="4" xfId="846" applyNumberFormat="1" applyFont="1" applyFill="1" applyBorder="1" applyAlignment="1" applyProtection="1">
      <alignment horizontal="right"/>
    </xf>
    <xf numFmtId="4" fontId="30" fillId="4" borderId="4" xfId="846" applyNumberFormat="1" applyFont="1" applyFill="1" applyBorder="1" applyAlignment="1" applyProtection="1">
      <alignment horizontal="right"/>
      <protection locked="0"/>
    </xf>
    <xf numFmtId="4" fontId="30" fillId="4" borderId="7" xfId="846" applyNumberFormat="1" applyFont="1" applyFill="1" applyBorder="1" applyAlignment="1" applyProtection="1">
      <alignment horizontal="right"/>
    </xf>
    <xf numFmtId="0" fontId="36" fillId="0" borderId="0" xfId="846" applyFont="1" applyBorder="1" applyProtection="1">
      <protection locked="0"/>
    </xf>
    <xf numFmtId="0" fontId="36" fillId="0" borderId="0" xfId="846" applyFont="1" applyProtection="1">
      <protection locked="0"/>
    </xf>
    <xf numFmtId="4" fontId="30" fillId="4" borderId="0" xfId="846" applyNumberFormat="1" applyFont="1" applyFill="1" applyBorder="1" applyAlignment="1" applyProtection="1">
      <alignment horizontal="right"/>
      <protection locked="0"/>
    </xf>
    <xf numFmtId="0" fontId="53" fillId="0" borderId="0" xfId="846" applyFont="1" applyBorder="1" applyProtection="1">
      <protection locked="0"/>
    </xf>
    <xf numFmtId="0" fontId="53" fillId="0" borderId="0" xfId="846" applyFont="1" applyProtection="1">
      <protection locked="0"/>
    </xf>
    <xf numFmtId="3" fontId="30" fillId="4" borderId="0" xfId="846" applyNumberFormat="1" applyFont="1" applyFill="1" applyBorder="1" applyAlignment="1" applyProtection="1">
      <alignment horizontal="right"/>
      <protection locked="0"/>
    </xf>
    <xf numFmtId="3" fontId="30" fillId="4" borderId="2" xfId="846" applyNumberFormat="1" applyFont="1" applyFill="1" applyBorder="1" applyAlignment="1" applyProtection="1">
      <alignment horizontal="right"/>
    </xf>
    <xf numFmtId="0" fontId="30" fillId="0" borderId="11" xfId="846" applyFont="1" applyFill="1" applyBorder="1" applyProtection="1">
      <protection locked="0"/>
    </xf>
    <xf numFmtId="3" fontId="30" fillId="4" borderId="6" xfId="846" applyNumberFormat="1" applyFont="1" applyFill="1" applyBorder="1" applyAlignment="1" applyProtection="1">
      <alignment horizontal="right"/>
    </xf>
    <xf numFmtId="3" fontId="30" fillId="4" borderId="6" xfId="846" applyNumberFormat="1" applyFont="1" applyFill="1" applyBorder="1" applyAlignment="1" applyProtection="1">
      <alignment horizontal="right"/>
      <protection locked="0"/>
    </xf>
    <xf numFmtId="3" fontId="30" fillId="4" borderId="5" xfId="846" applyNumberFormat="1" applyFont="1" applyFill="1" applyBorder="1" applyAlignment="1" applyProtection="1">
      <alignment horizontal="right"/>
    </xf>
    <xf numFmtId="3" fontId="51" fillId="0" borderId="11" xfId="846" applyNumberFormat="1" applyFont="1" applyFill="1" applyBorder="1" applyAlignment="1" applyProtection="1">
      <alignment horizontal="right"/>
    </xf>
    <xf numFmtId="3" fontId="30" fillId="0" borderId="11" xfId="846" applyNumberFormat="1" applyFont="1" applyFill="1" applyBorder="1" applyAlignment="1" applyProtection="1">
      <alignment horizontal="right"/>
      <protection locked="0"/>
    </xf>
    <xf numFmtId="3" fontId="30" fillId="4" borderId="11" xfId="846" applyNumberFormat="1" applyFont="1" applyFill="1" applyBorder="1" applyAlignment="1" applyProtection="1">
      <alignment horizontal="right"/>
    </xf>
    <xf numFmtId="3" fontId="30" fillId="4" borderId="11" xfId="846" applyNumberFormat="1" applyFont="1" applyFill="1" applyBorder="1" applyAlignment="1" applyProtection="1">
      <alignment horizontal="right"/>
      <protection locked="0"/>
    </xf>
    <xf numFmtId="0" fontId="41" fillId="0" borderId="0" xfId="0" applyFont="1" applyProtection="1">
      <protection locked="0"/>
    </xf>
    <xf numFmtId="0" fontId="57" fillId="0" borderId="0" xfId="0" applyFont="1" applyProtection="1">
      <protection locked="0"/>
    </xf>
    <xf numFmtId="0" fontId="0" fillId="0" borderId="0" xfId="0" applyProtection="1">
      <protection locked="0"/>
    </xf>
    <xf numFmtId="0" fontId="19" fillId="0" borderId="0" xfId="0" applyFont="1" applyProtection="1">
      <protection locked="0"/>
    </xf>
    <xf numFmtId="3" fontId="45" fillId="4" borderId="0" xfId="0" applyNumberFormat="1" applyFont="1" applyFill="1" applyProtection="1">
      <protection locked="0"/>
    </xf>
    <xf numFmtId="3" fontId="15" fillId="4" borderId="0" xfId="0" applyNumberFormat="1" applyFont="1" applyFill="1" applyProtection="1">
      <protection locked="0"/>
    </xf>
    <xf numFmtId="0" fontId="19" fillId="0" borderId="0" xfId="0" applyFon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Alignment="1" applyProtection="1">
      <alignment horizontal="center"/>
      <protection locked="0"/>
    </xf>
    <xf numFmtId="3" fontId="13" fillId="0" borderId="9" xfId="0" quotePrefix="1" applyNumberFormat="1" applyFont="1" applyFill="1" applyBorder="1" applyAlignment="1" applyProtection="1">
      <alignment horizontal="center"/>
      <protection locked="0"/>
    </xf>
    <xf numFmtId="3" fontId="13" fillId="0" borderId="10" xfId="0" quotePrefix="1" applyNumberFormat="1" applyFont="1" applyFill="1" applyBorder="1" applyAlignment="1" applyProtection="1">
      <alignment horizontal="center"/>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0" fontId="17" fillId="4" borderId="10" xfId="0" applyFont="1" applyFill="1" applyBorder="1" applyProtection="1">
      <protection locked="0"/>
    </xf>
    <xf numFmtId="0" fontId="17" fillId="4" borderId="8" xfId="0" applyFont="1" applyFill="1" applyBorder="1" applyProtection="1">
      <protection locked="0"/>
    </xf>
    <xf numFmtId="0" fontId="17" fillId="4" borderId="9" xfId="0" applyFont="1" applyFill="1" applyBorder="1" applyProtection="1">
      <protection locked="0"/>
    </xf>
    <xf numFmtId="0" fontId="19" fillId="0" borderId="9" xfId="0" applyFont="1" applyBorder="1" applyProtection="1">
      <protection locked="0"/>
    </xf>
    <xf numFmtId="3" fontId="45" fillId="0" borderId="1" xfId="0" applyNumberFormat="1" applyFont="1" applyFill="1" applyBorder="1" applyProtection="1">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3" fontId="50" fillId="4" borderId="6" xfId="0" applyNumberFormat="1" applyFont="1" applyFill="1" applyBorder="1" applyProtection="1">
      <protection locked="0"/>
    </xf>
    <xf numFmtId="0" fontId="13" fillId="0" borderId="11" xfId="0" applyFont="1" applyBorder="1" applyAlignment="1" applyProtection="1">
      <alignment horizontal="center"/>
      <protection locked="0"/>
    </xf>
    <xf numFmtId="168" fontId="15" fillId="0" borderId="6" xfId="0" applyNumberFormat="1" applyFont="1" applyFill="1" applyBorder="1" applyAlignment="1" applyProtection="1">
      <alignment horizontal="center"/>
      <protection locked="0"/>
    </xf>
    <xf numFmtId="3" fontId="30" fillId="4" borderId="1" xfId="846" applyNumberFormat="1" applyFont="1" applyFill="1" applyBorder="1" applyAlignment="1" applyProtection="1">
      <alignment horizontal="right"/>
    </xf>
    <xf numFmtId="3" fontId="30" fillId="4" borderId="1" xfId="846" applyNumberFormat="1" applyFont="1" applyFill="1" applyBorder="1" applyAlignment="1" applyProtection="1">
      <alignment horizontal="right"/>
      <protection locked="0"/>
    </xf>
    <xf numFmtId="3" fontId="30" fillId="4" borderId="7" xfId="846" applyNumberFormat="1" applyFont="1" applyFill="1" applyBorder="1" applyAlignment="1" applyProtection="1">
      <alignment horizontal="right"/>
      <protection locked="0"/>
    </xf>
    <xf numFmtId="3" fontId="30" fillId="4" borderId="1" xfId="751" applyNumberFormat="1" applyFont="1" applyFill="1" applyBorder="1" applyAlignment="1" applyProtection="1">
      <alignment horizontal="right"/>
    </xf>
    <xf numFmtId="3" fontId="30" fillId="4" borderId="1" xfId="751" applyNumberFormat="1" applyFont="1" applyFill="1" applyBorder="1" applyAlignment="1" applyProtection="1">
      <alignment horizontal="right"/>
      <protection locked="0"/>
    </xf>
    <xf numFmtId="3" fontId="30" fillId="4" borderId="7" xfId="846" applyNumberFormat="1" applyFont="1" applyFill="1" applyBorder="1" applyAlignment="1" applyProtection="1">
      <alignment horizontal="right"/>
    </xf>
    <xf numFmtId="3" fontId="30" fillId="4" borderId="7" xfId="0" applyNumberFormat="1" applyFont="1" applyFill="1" applyBorder="1" applyAlignment="1" applyProtection="1">
      <alignment horizontal="right"/>
      <protection locked="0"/>
    </xf>
    <xf numFmtId="0" fontId="30" fillId="4" borderId="7" xfId="0" applyFont="1" applyFill="1" applyBorder="1" applyAlignment="1" applyProtection="1">
      <alignment horizontal="right"/>
      <protection locked="0"/>
    </xf>
    <xf numFmtId="0" fontId="30" fillId="0" borderId="4" xfId="0" applyFont="1" applyFill="1" applyBorder="1" applyProtection="1">
      <protection locked="0"/>
    </xf>
    <xf numFmtId="3" fontId="30" fillId="4" borderId="4" xfId="751" applyNumberFormat="1" applyFont="1" applyFill="1" applyBorder="1" applyAlignment="1" applyProtection="1">
      <alignment horizontal="right"/>
    </xf>
    <xf numFmtId="3" fontId="30" fillId="4" borderId="4" xfId="751" applyNumberFormat="1" applyFont="1" applyFill="1" applyBorder="1" applyAlignment="1" applyProtection="1">
      <alignment horizontal="right"/>
      <protection locked="0"/>
    </xf>
    <xf numFmtId="3" fontId="30" fillId="4" borderId="3" xfId="0" applyNumberFormat="1" applyFont="1" applyFill="1" applyBorder="1" applyAlignment="1" applyProtection="1">
      <alignment horizontal="right"/>
      <protection locked="0"/>
    </xf>
    <xf numFmtId="0" fontId="30" fillId="4" borderId="3" xfId="0"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1" fontId="30" fillId="0" borderId="3" xfId="846" applyNumberFormat="1" applyFont="1" applyBorder="1" applyAlignment="1" applyProtection="1">
      <alignment horizontal="right"/>
    </xf>
    <xf numFmtId="1" fontId="30" fillId="0" borderId="3" xfId="846" applyNumberFormat="1" applyFont="1" applyBorder="1" applyAlignment="1" applyProtection="1">
      <alignment horizontal="right"/>
      <protection locked="0"/>
    </xf>
    <xf numFmtId="0" fontId="30" fillId="0" borderId="3" xfId="846" applyFont="1" applyBorder="1" applyAlignment="1" applyProtection="1">
      <alignment horizontal="right"/>
    </xf>
    <xf numFmtId="0" fontId="30" fillId="0" borderId="3" xfId="846" applyFont="1" applyBorder="1" applyAlignment="1" applyProtection="1">
      <alignment horizontal="right"/>
      <protection locked="0"/>
    </xf>
    <xf numFmtId="165" fontId="30" fillId="0" borderId="3" xfId="847" applyNumberFormat="1" applyFont="1" applyBorder="1" applyAlignment="1" applyProtection="1">
      <alignment horizontal="right"/>
    </xf>
    <xf numFmtId="165" fontId="30" fillId="0" borderId="3" xfId="847" applyNumberFormat="1" applyFont="1" applyBorder="1" applyAlignment="1" applyProtection="1">
      <alignment horizontal="right"/>
      <protection locked="0"/>
    </xf>
    <xf numFmtId="3" fontId="30" fillId="10" borderId="3" xfId="846" applyNumberFormat="1" applyFont="1" applyFill="1" applyBorder="1" applyAlignment="1" applyProtection="1">
      <alignment horizontal="right"/>
      <protection locked="0"/>
    </xf>
    <xf numFmtId="169" fontId="30" fillId="0" borderId="3" xfId="847" applyNumberFormat="1" applyFont="1" applyBorder="1" applyAlignment="1" applyProtection="1">
      <alignment horizontal="right"/>
    </xf>
    <xf numFmtId="169" fontId="30" fillId="0" borderId="3" xfId="847" applyNumberFormat="1" applyFont="1" applyBorder="1" applyAlignment="1" applyProtection="1">
      <alignment horizontal="right"/>
      <protection locked="0"/>
    </xf>
    <xf numFmtId="0" fontId="30" fillId="0" borderId="3" xfId="0" applyFont="1" applyFill="1" applyBorder="1" applyAlignment="1" applyProtection="1">
      <alignment horizontal="right"/>
      <protection locked="0"/>
    </xf>
    <xf numFmtId="165" fontId="30" fillId="4" borderId="4" xfId="847" applyNumberFormat="1" applyFont="1" applyFill="1" applyBorder="1" applyAlignment="1" applyProtection="1">
      <alignment horizontal="right"/>
    </xf>
    <xf numFmtId="165" fontId="30" fillId="4" borderId="4" xfId="847" applyNumberFormat="1" applyFont="1" applyFill="1" applyBorder="1" applyAlignment="1" applyProtection="1">
      <alignment horizontal="right"/>
      <protection locked="0"/>
    </xf>
    <xf numFmtId="165" fontId="30" fillId="4" borderId="3" xfId="847" applyNumberFormat="1" applyFont="1" applyFill="1" applyBorder="1" applyAlignment="1" applyProtection="1">
      <alignment horizontal="right"/>
    </xf>
    <xf numFmtId="165" fontId="30" fillId="4" borderId="3" xfId="847" applyNumberFormat="1" applyFont="1" applyFill="1" applyBorder="1" applyAlignment="1" applyProtection="1">
      <alignment horizontal="right"/>
      <protection locked="0"/>
    </xf>
    <xf numFmtId="0" fontId="19" fillId="0" borderId="0" xfId="0" applyFont="1" applyFill="1" applyProtection="1">
      <protection locked="0"/>
    </xf>
    <xf numFmtId="0" fontId="45" fillId="0" borderId="11" xfId="0" applyFont="1" applyFill="1" applyBorder="1" applyProtection="1">
      <protection locked="0"/>
    </xf>
    <xf numFmtId="3" fontId="45" fillId="0" borderId="6" xfId="846" applyNumberFormat="1" applyFont="1" applyFill="1" applyBorder="1" applyAlignment="1" applyProtection="1">
      <alignment horizontal="right"/>
    </xf>
    <xf numFmtId="3" fontId="45" fillId="4" borderId="6" xfId="0" applyNumberFormat="1" applyFont="1" applyFill="1" applyBorder="1" applyAlignment="1" applyProtection="1">
      <alignment horizontal="right"/>
      <protection locked="0"/>
    </xf>
    <xf numFmtId="3" fontId="45" fillId="0" borderId="3" xfId="0" applyNumberFormat="1" applyFont="1" applyFill="1" applyBorder="1" applyAlignment="1" applyProtection="1">
      <alignment horizontal="right"/>
      <protection locked="0"/>
    </xf>
    <xf numFmtId="3" fontId="45" fillId="4" borderId="3" xfId="0" applyNumberFormat="1" applyFont="1" applyFill="1" applyBorder="1" applyAlignment="1" applyProtection="1">
      <alignment horizontal="right"/>
      <protection locked="0"/>
    </xf>
    <xf numFmtId="0" fontId="49" fillId="0" borderId="0" xfId="0" applyFont="1" applyProtection="1">
      <protection locked="0"/>
    </xf>
    <xf numFmtId="0" fontId="45" fillId="0" borderId="4" xfId="0" applyFont="1" applyFill="1" applyBorder="1" applyProtection="1">
      <protection locked="0"/>
    </xf>
    <xf numFmtId="3" fontId="45" fillId="4" borderId="4" xfId="751" applyNumberFormat="1" applyFont="1" applyFill="1" applyBorder="1" applyAlignment="1" applyProtection="1">
      <alignment horizontal="right"/>
    </xf>
    <xf numFmtId="3" fontId="45" fillId="4" borderId="4" xfId="751" applyNumberFormat="1" applyFont="1" applyFill="1" applyBorder="1" applyAlignment="1" applyProtection="1">
      <alignment horizontal="right"/>
      <protection locked="0"/>
    </xf>
    <xf numFmtId="3" fontId="45" fillId="4" borderId="7" xfId="0" applyNumberFormat="1" applyFont="1" applyFill="1" applyBorder="1" applyAlignment="1" applyProtection="1">
      <alignment horizontal="right"/>
      <protection locked="0"/>
    </xf>
    <xf numFmtId="0" fontId="45" fillId="4" borderId="7" xfId="0" applyFont="1" applyFill="1" applyBorder="1" applyAlignment="1" applyProtection="1">
      <alignment horizontal="right"/>
      <protection locked="0"/>
    </xf>
    <xf numFmtId="0" fontId="45" fillId="4" borderId="15" xfId="0" applyFont="1" applyFill="1" applyBorder="1" applyAlignment="1" applyProtection="1">
      <alignment horizontal="right"/>
      <protection locked="0"/>
    </xf>
    <xf numFmtId="0" fontId="49" fillId="0" borderId="7" xfId="0" applyFont="1" applyBorder="1" applyAlignment="1" applyProtection="1">
      <alignment horizontal="right"/>
      <protection locked="0"/>
    </xf>
    <xf numFmtId="0" fontId="30" fillId="0" borderId="0" xfId="0" applyFont="1" applyProtection="1">
      <protection locked="0"/>
    </xf>
    <xf numFmtId="0" fontId="45" fillId="0" borderId="0" xfId="0" applyFont="1" applyProtection="1">
      <protection locked="0"/>
    </xf>
    <xf numFmtId="3" fontId="45" fillId="4" borderId="11" xfId="751" applyNumberFormat="1" applyFont="1" applyFill="1" applyBorder="1" applyAlignment="1" applyProtection="1">
      <alignment horizontal="right"/>
    </xf>
    <xf numFmtId="3" fontId="45" fillId="4" borderId="11" xfId="751" applyNumberFormat="1" applyFont="1" applyFill="1" applyBorder="1" applyAlignment="1" applyProtection="1">
      <alignment horizontal="right"/>
      <protection locked="0"/>
    </xf>
    <xf numFmtId="3" fontId="45" fillId="4" borderId="6" xfId="0" applyNumberFormat="1" applyFont="1" applyFill="1" applyBorder="1" applyAlignment="1" applyProtection="1">
      <alignment horizontal="right"/>
    </xf>
    <xf numFmtId="0" fontId="45" fillId="0" borderId="7" xfId="0" applyFont="1" applyFill="1" applyBorder="1" applyProtection="1">
      <protection locked="0"/>
    </xf>
    <xf numFmtId="3" fontId="45" fillId="4" borderId="1" xfId="14" applyNumberFormat="1" applyFont="1" applyFill="1" applyBorder="1" applyAlignment="1" applyProtection="1">
      <alignment horizontal="right"/>
      <protection locked="0"/>
    </xf>
    <xf numFmtId="3" fontId="45" fillId="4" borderId="1" xfId="0" applyNumberFormat="1" applyFont="1" applyFill="1" applyBorder="1" applyAlignment="1" applyProtection="1">
      <alignment horizontal="right"/>
      <protection locked="0"/>
    </xf>
    <xf numFmtId="0" fontId="45" fillId="4" borderId="1" xfId="0" applyFont="1" applyFill="1" applyBorder="1" applyAlignment="1" applyProtection="1">
      <alignment horizontal="right"/>
      <protection locked="0"/>
    </xf>
    <xf numFmtId="0" fontId="45" fillId="0" borderId="7" xfId="0" applyFont="1" applyBorder="1" applyAlignment="1" applyProtection="1">
      <alignment horizontal="right"/>
      <protection locked="0"/>
    </xf>
    <xf numFmtId="0" fontId="45" fillId="2" borderId="3" xfId="0" applyFont="1" applyFill="1" applyBorder="1" applyProtection="1">
      <protection locked="0"/>
    </xf>
    <xf numFmtId="0" fontId="30" fillId="2" borderId="3" xfId="0" applyFont="1" applyFill="1" applyBorder="1" applyProtection="1">
      <protection locked="0"/>
    </xf>
    <xf numFmtId="3" fontId="45" fillId="2" borderId="4" xfId="14" applyNumberFormat="1" applyFont="1" applyFill="1" applyBorder="1" applyAlignment="1" applyProtection="1">
      <alignment horizontal="right"/>
      <protection locked="0"/>
    </xf>
    <xf numFmtId="3" fontId="30" fillId="2" borderId="3" xfId="0" applyNumberFormat="1" applyFont="1" applyFill="1" applyBorder="1" applyProtection="1">
      <protection locked="0"/>
    </xf>
    <xf numFmtId="0" fontId="45" fillId="0" borderId="0" xfId="0" applyFont="1" applyFill="1" applyProtection="1">
      <protection locked="0"/>
    </xf>
    <xf numFmtId="3" fontId="30" fillId="2" borderId="4" xfId="14" applyNumberFormat="1" applyFont="1" applyFill="1" applyBorder="1" applyAlignment="1" applyProtection="1">
      <alignment horizontal="right"/>
      <protection locked="0"/>
    </xf>
    <xf numFmtId="0" fontId="30" fillId="0" borderId="0" xfId="0" applyFont="1" applyFill="1" applyProtection="1">
      <protection locked="0"/>
    </xf>
    <xf numFmtId="1" fontId="30" fillId="2" borderId="3" xfId="0" applyNumberFormat="1" applyFont="1" applyFill="1" applyBorder="1" applyProtection="1">
      <protection locked="0"/>
    </xf>
    <xf numFmtId="0" fontId="45" fillId="2" borderId="6" xfId="0" applyFont="1" applyFill="1" applyBorder="1" applyProtection="1">
      <protection locked="0"/>
    </xf>
    <xf numFmtId="1" fontId="30" fillId="2" borderId="6" xfId="0" applyNumberFormat="1" applyFont="1" applyFill="1" applyBorder="1" applyProtection="1">
      <protection locked="0"/>
    </xf>
    <xf numFmtId="0" fontId="30" fillId="2" borderId="6" xfId="0" applyFont="1" applyFill="1" applyBorder="1" applyProtection="1">
      <protection locked="0"/>
    </xf>
    <xf numFmtId="3" fontId="45" fillId="2" borderId="11" xfId="14" applyNumberFormat="1" applyFont="1" applyFill="1" applyBorder="1" applyAlignment="1" applyProtection="1">
      <alignment horizontal="right"/>
      <protection locked="0"/>
    </xf>
    <xf numFmtId="3" fontId="30" fillId="2" borderId="6" xfId="0" applyNumberFormat="1" applyFont="1" applyFill="1" applyBorder="1" applyProtection="1">
      <protection locked="0"/>
    </xf>
    <xf numFmtId="0" fontId="61" fillId="0" borderId="0" xfId="0" applyFont="1" applyBorder="1" applyProtection="1">
      <protection locked="0"/>
    </xf>
    <xf numFmtId="0" fontId="61" fillId="0" borderId="0" xfId="0" applyFont="1" applyProtection="1">
      <protection locked="0"/>
    </xf>
    <xf numFmtId="0" fontId="46" fillId="0" borderId="14" xfId="0" applyFont="1" applyBorder="1" applyProtection="1">
      <protection locked="0"/>
    </xf>
    <xf numFmtId="0" fontId="68" fillId="4" borderId="14" xfId="0" applyFont="1" applyFill="1" applyBorder="1" applyProtection="1">
      <protection locked="0"/>
    </xf>
    <xf numFmtId="3" fontId="19" fillId="0" borderId="0" xfId="0" applyNumberFormat="1" applyFont="1" applyProtection="1">
      <protection locked="0"/>
    </xf>
    <xf numFmtId="3" fontId="0" fillId="0" borderId="0" xfId="0" applyNumberFormat="1" applyProtection="1">
      <protection locked="0"/>
    </xf>
    <xf numFmtId="0" fontId="45" fillId="0" borderId="1" xfId="846" applyNumberFormat="1" applyFont="1" applyFill="1" applyBorder="1" applyAlignment="1" applyProtection="1">
      <alignment horizontal="center"/>
      <protection locked="0"/>
    </xf>
    <xf numFmtId="0" fontId="45" fillId="0" borderId="14" xfId="846" applyNumberFormat="1" applyFont="1" applyFill="1" applyBorder="1" applyAlignment="1" applyProtection="1">
      <alignment horizontal="center"/>
      <protection locked="0"/>
    </xf>
    <xf numFmtId="0" fontId="45" fillId="0" borderId="15" xfId="846" applyNumberFormat="1" applyFont="1" applyFill="1" applyBorder="1" applyAlignment="1" applyProtection="1">
      <alignment horizontal="center"/>
      <protection locked="0"/>
    </xf>
    <xf numFmtId="0" fontId="19" fillId="0" borderId="0" xfId="846" applyFill="1" applyProtection="1">
      <protection locked="0"/>
    </xf>
    <xf numFmtId="0" fontId="17" fillId="0" borderId="10" xfId="846" applyFont="1" applyFill="1" applyBorder="1" applyProtection="1">
      <protection locked="0"/>
    </xf>
    <xf numFmtId="0" fontId="17" fillId="0" borderId="8" xfId="846" applyFont="1" applyFill="1" applyBorder="1" applyProtection="1">
      <protection locked="0"/>
    </xf>
    <xf numFmtId="0" fontId="17" fillId="0" borderId="9" xfId="846" applyFont="1" applyFill="1" applyBorder="1" applyProtection="1">
      <protection locked="0"/>
    </xf>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5" fillId="0" borderId="10" xfId="1" applyNumberFormat="1" applyFont="1" applyBorder="1" applyAlignment="1">
      <alignment horizontal="left"/>
    </xf>
    <xf numFmtId="3" fontId="15" fillId="0" borderId="8" xfId="1" applyNumberFormat="1" applyFont="1" applyBorder="1" applyAlignment="1">
      <alignment horizontal="left"/>
    </xf>
    <xf numFmtId="3" fontId="15" fillId="0" borderId="9" xfId="1" applyNumberFormat="1" applyFont="1" applyBorder="1" applyAlignment="1">
      <alignment horizontal="left"/>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1"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5" xfId="0" applyFont="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0" fontId="45" fillId="0" borderId="1" xfId="846" applyNumberFormat="1" applyFont="1" applyFill="1" applyBorder="1" applyAlignment="1" applyProtection="1">
      <alignment horizontal="center"/>
      <protection locked="0"/>
    </xf>
    <xf numFmtId="0" fontId="45" fillId="0" borderId="14" xfId="846" applyNumberFormat="1" applyFont="1" applyFill="1" applyBorder="1" applyAlignment="1" applyProtection="1">
      <alignment horizontal="center"/>
      <protection locked="0"/>
    </xf>
    <xf numFmtId="0" fontId="45" fillId="0" borderId="15" xfId="846" applyNumberFormat="1" applyFont="1" applyFill="1" applyBorder="1" applyAlignment="1" applyProtection="1">
      <alignment horizontal="center"/>
      <protection locked="0"/>
    </xf>
    <xf numFmtId="0" fontId="45" fillId="4" borderId="0" xfId="846" applyNumberFormat="1" applyFont="1" applyFill="1" applyBorder="1" applyAlignment="1" applyProtection="1">
      <alignment horizontal="center"/>
      <protection locked="0"/>
    </xf>
    <xf numFmtId="0" fontId="45" fillId="0" borderId="11" xfId="846" applyNumberFormat="1" applyFont="1" applyFill="1" applyBorder="1" applyAlignment="1" applyProtection="1">
      <alignment horizontal="center"/>
      <protection locked="0"/>
    </xf>
    <xf numFmtId="0" fontId="45" fillId="0" borderId="12" xfId="846" applyNumberFormat="1" applyFont="1" applyFill="1" applyBorder="1" applyAlignment="1" applyProtection="1">
      <alignment horizontal="center"/>
      <protection locked="0"/>
    </xf>
    <xf numFmtId="0" fontId="45" fillId="0" borderId="5" xfId="846" applyNumberFormat="1" applyFont="1" applyFill="1" applyBorder="1" applyAlignment="1" applyProtection="1">
      <alignment horizontal="center"/>
      <protection locked="0"/>
    </xf>
  </cellXfs>
  <cellStyles count="848">
    <cellStyle name="20 % - uthevingsfarge 2" xfId="844" builtinId="34"/>
    <cellStyle name="40% - uthevingsfarge 4 2" xfId="38"/>
    <cellStyle name="40% - uthevingsfarge 4 2 10" xfId="771"/>
    <cellStyle name="40% - uthevingsfarge 4 2 2" xfId="80"/>
    <cellStyle name="40% - uthevingsfarge 4 2 2 2" xfId="173"/>
    <cellStyle name="40% - uthevingsfarge 4 2 2 3" xfId="263"/>
    <cellStyle name="40% - uthevingsfarge 4 2 2 4" xfId="353"/>
    <cellStyle name="40% - uthevingsfarge 4 2 2 5" xfId="443"/>
    <cellStyle name="40% - uthevingsfarge 4 2 2 6" xfId="533"/>
    <cellStyle name="40% - uthevingsfarge 4 2 2 7" xfId="623"/>
    <cellStyle name="40% - uthevingsfarge 4 2 2 8" xfId="713"/>
    <cellStyle name="40% - uthevingsfarge 4 2 2 9" xfId="810"/>
    <cellStyle name="40% - uthevingsfarge 4 2 3" xfId="136"/>
    <cellStyle name="40% - uthevingsfarge 4 2 4" xfId="226"/>
    <cellStyle name="40% - uthevingsfarge 4 2 5" xfId="316"/>
    <cellStyle name="40% - uthevingsfarge 4 2 6" xfId="406"/>
    <cellStyle name="40% - uthevingsfarge 4 2 7" xfId="496"/>
    <cellStyle name="40% - uthevingsfarge 4 2 8" xfId="586"/>
    <cellStyle name="40% - uthevingsfarge 4 2 9" xfId="676"/>
    <cellStyle name="Hyperkobling" xfId="3" builtinId="8"/>
    <cellStyle name="Komma" xfId="2" builtinId="3"/>
    <cellStyle name="Komma 3" xfId="847"/>
    <cellStyle name="Merknad 2" xfId="94"/>
    <cellStyle name="Normal" xfId="0" builtinId="0"/>
    <cellStyle name="Normal 10" xfId="31"/>
    <cellStyle name="Normal 10 10" xfId="670"/>
    <cellStyle name="Normal 10 11" xfId="765"/>
    <cellStyle name="Normal 10 2" xfId="53"/>
    <cellStyle name="Normal 10 2 10" xfId="785"/>
    <cellStyle name="Normal 10 2 2" xfId="93"/>
    <cellStyle name="Normal 10 2 2 10" xfId="823"/>
    <cellStyle name="Normal 10 2 2 2" xfId="6"/>
    <cellStyle name="Normal 10 2 2 2 2" xfId="116"/>
    <cellStyle name="Normal 10 2 2 3" xfId="186"/>
    <cellStyle name="Normal 10 2 2 4" xfId="276"/>
    <cellStyle name="Normal 10 2 2 5" xfId="366"/>
    <cellStyle name="Normal 10 2 2 6" xfId="456"/>
    <cellStyle name="Normal 10 2 2 7" xfId="546"/>
    <cellStyle name="Normal 10 2 2 8" xfId="636"/>
    <cellStyle name="Normal 10 2 2 9" xfId="726"/>
    <cellStyle name="Normal 10 2 3" xfId="149"/>
    <cellStyle name="Normal 10 2 4" xfId="239"/>
    <cellStyle name="Normal 10 2 5" xfId="329"/>
    <cellStyle name="Normal 10 2 6" xfId="419"/>
    <cellStyle name="Normal 10 2 7" xfId="509"/>
    <cellStyle name="Normal 10 2 8" xfId="599"/>
    <cellStyle name="Normal 10 2 9" xfId="689"/>
    <cellStyle name="Normal 10 3" xfId="74"/>
    <cellStyle name="Normal 10 3 2" xfId="167"/>
    <cellStyle name="Normal 10 3 3" xfId="257"/>
    <cellStyle name="Normal 10 3 4" xfId="347"/>
    <cellStyle name="Normal 10 3 5" xfId="437"/>
    <cellStyle name="Normal 10 3 6" xfId="527"/>
    <cellStyle name="Normal 10 3 7" xfId="617"/>
    <cellStyle name="Normal 10 3 8" xfId="707"/>
    <cellStyle name="Normal 10 3 9" xfId="804"/>
    <cellStyle name="Normal 10 4" xfId="130"/>
    <cellStyle name="Normal 10 5" xfId="220"/>
    <cellStyle name="Normal 10 6" xfId="310"/>
    <cellStyle name="Normal 10 7" xfId="400"/>
    <cellStyle name="Normal 10 8" xfId="490"/>
    <cellStyle name="Normal 10 9" xfId="580"/>
    <cellStyle name="Normal 11" xfId="35"/>
    <cellStyle name="Normal 11 10" xfId="673"/>
    <cellStyle name="Normal 11 11" xfId="768"/>
    <cellStyle name="Normal 11 2" xfId="57"/>
    <cellStyle name="Normal 11 2 10" xfId="788"/>
    <cellStyle name="Normal 11 2 2" xfId="97"/>
    <cellStyle name="Normal 11 2 2 2" xfId="189"/>
    <cellStyle name="Normal 11 2 2 3" xfId="279"/>
    <cellStyle name="Normal 11 2 2 4" xfId="369"/>
    <cellStyle name="Normal 11 2 2 5" xfId="459"/>
    <cellStyle name="Normal 11 2 2 6" xfId="549"/>
    <cellStyle name="Normal 11 2 2 7" xfId="639"/>
    <cellStyle name="Normal 11 2 2 8" xfId="729"/>
    <cellStyle name="Normal 11 2 2 9" xfId="826"/>
    <cellStyle name="Normal 11 2 3" xfId="152"/>
    <cellStyle name="Normal 11 2 4" xfId="242"/>
    <cellStyle name="Normal 11 2 5" xfId="332"/>
    <cellStyle name="Normal 11 2 6" xfId="422"/>
    <cellStyle name="Normal 11 2 7" xfId="512"/>
    <cellStyle name="Normal 11 2 8" xfId="602"/>
    <cellStyle name="Normal 11 2 9" xfId="692"/>
    <cellStyle name="Normal 11 3" xfId="77"/>
    <cellStyle name="Normal 11 3 2" xfId="170"/>
    <cellStyle name="Normal 11 3 3" xfId="260"/>
    <cellStyle name="Normal 11 3 4" xfId="350"/>
    <cellStyle name="Normal 11 3 5" xfId="440"/>
    <cellStyle name="Normal 11 3 6" xfId="530"/>
    <cellStyle name="Normal 11 3 7" xfId="620"/>
    <cellStyle name="Normal 11 3 8" xfId="710"/>
    <cellStyle name="Normal 11 3 9" xfId="807"/>
    <cellStyle name="Normal 11 4" xfId="133"/>
    <cellStyle name="Normal 11 5" xfId="223"/>
    <cellStyle name="Normal 11 6" xfId="313"/>
    <cellStyle name="Normal 11 7" xfId="403"/>
    <cellStyle name="Normal 11 8" xfId="493"/>
    <cellStyle name="Normal 11 9" xfId="583"/>
    <cellStyle name="Normal 12" xfId="100"/>
    <cellStyle name="Normal 12 2" xfId="192"/>
    <cellStyle name="Normal 12 3" xfId="282"/>
    <cellStyle name="Normal 12 4" xfId="372"/>
    <cellStyle name="Normal 12 5" xfId="462"/>
    <cellStyle name="Normal 12 6" xfId="552"/>
    <cellStyle name="Normal 12 7" xfId="642"/>
    <cellStyle name="Normal 12 8" xfId="732"/>
    <cellStyle name="Normal 12 9" xfId="829"/>
    <cellStyle name="Normal 13" xfId="103"/>
    <cellStyle name="Normal 13 2" xfId="195"/>
    <cellStyle name="Normal 13 3" xfId="285"/>
    <cellStyle name="Normal 13 4" xfId="375"/>
    <cellStyle name="Normal 13 5" xfId="465"/>
    <cellStyle name="Normal 13 6" xfId="555"/>
    <cellStyle name="Normal 13 7" xfId="645"/>
    <cellStyle name="Normal 13 8" xfId="735"/>
    <cellStyle name="Normal 13 9" xfId="832"/>
    <cellStyle name="Normal 14" xfId="106"/>
    <cellStyle name="Normal 14 2" xfId="198"/>
    <cellStyle name="Normal 14 3" xfId="288"/>
    <cellStyle name="Normal 14 4" xfId="378"/>
    <cellStyle name="Normal 14 5" xfId="468"/>
    <cellStyle name="Normal 14 6" xfId="558"/>
    <cellStyle name="Normal 14 7" xfId="648"/>
    <cellStyle name="Normal 14 8" xfId="738"/>
    <cellStyle name="Normal 14 9" xfId="835"/>
    <cellStyle name="Normal 15" xfId="109"/>
    <cellStyle name="Normal 15 2" xfId="201"/>
    <cellStyle name="Normal 15 3" xfId="291"/>
    <cellStyle name="Normal 15 4" xfId="381"/>
    <cellStyle name="Normal 15 5" xfId="471"/>
    <cellStyle name="Normal 15 6" xfId="561"/>
    <cellStyle name="Normal 15 7" xfId="651"/>
    <cellStyle name="Normal 15 8" xfId="741"/>
    <cellStyle name="Normal 15 9" xfId="838"/>
    <cellStyle name="Normal 16" xfId="112"/>
    <cellStyle name="Normal 16 2" xfId="204"/>
    <cellStyle name="Normal 16 3" xfId="294"/>
    <cellStyle name="Normal 16 4" xfId="384"/>
    <cellStyle name="Normal 16 5" xfId="474"/>
    <cellStyle name="Normal 16 6" xfId="564"/>
    <cellStyle name="Normal 16 7" xfId="654"/>
    <cellStyle name="Normal 16 8" xfId="744"/>
    <cellStyle name="Normal 16 9" xfId="841"/>
    <cellStyle name="Normal 17" xfId="8"/>
    <cellStyle name="Normal 18" xfId="10"/>
    <cellStyle name="Normal 18 2" xfId="846"/>
    <cellStyle name="Normal 19" xfId="117"/>
    <cellStyle name="Normal 2" xfId="1"/>
    <cellStyle name="Normal 2 2" xfId="7"/>
    <cellStyle name="Normal 2 3" xfId="20"/>
    <cellStyle name="Normal 2 4" xfId="39"/>
    <cellStyle name="Normal 2 5" xfId="60"/>
    <cellStyle name="Normal 20" xfId="207"/>
    <cellStyle name="Normal 21" xfId="297"/>
    <cellStyle name="Normal 22" xfId="387"/>
    <cellStyle name="Normal 23" xfId="477"/>
    <cellStyle name="Normal 24" xfId="567"/>
    <cellStyle name="Normal 25" xfId="657"/>
    <cellStyle name="Normal 26" xfId="747"/>
    <cellStyle name="Normal 3" xfId="4"/>
    <cellStyle name="Normal 3 10" xfId="104"/>
    <cellStyle name="Normal 3 10 2" xfId="196"/>
    <cellStyle name="Normal 3 10 3" xfId="286"/>
    <cellStyle name="Normal 3 10 4" xfId="376"/>
    <cellStyle name="Normal 3 10 5" xfId="466"/>
    <cellStyle name="Normal 3 10 6" xfId="556"/>
    <cellStyle name="Normal 3 10 7" xfId="646"/>
    <cellStyle name="Normal 3 10 8" xfId="736"/>
    <cellStyle name="Normal 3 10 9" xfId="833"/>
    <cellStyle name="Normal 3 11" xfId="107"/>
    <cellStyle name="Normal 3 11 2" xfId="199"/>
    <cellStyle name="Normal 3 11 3" xfId="289"/>
    <cellStyle name="Normal 3 11 4" xfId="379"/>
    <cellStyle name="Normal 3 11 5" xfId="469"/>
    <cellStyle name="Normal 3 11 6" xfId="559"/>
    <cellStyle name="Normal 3 11 7" xfId="649"/>
    <cellStyle name="Normal 3 11 8" xfId="739"/>
    <cellStyle name="Normal 3 11 9" xfId="836"/>
    <cellStyle name="Normal 3 12" xfId="110"/>
    <cellStyle name="Normal 3 12 2" xfId="202"/>
    <cellStyle name="Normal 3 12 3" xfId="292"/>
    <cellStyle name="Normal 3 12 4" xfId="382"/>
    <cellStyle name="Normal 3 12 5" xfId="472"/>
    <cellStyle name="Normal 3 12 6" xfId="562"/>
    <cellStyle name="Normal 3 12 7" xfId="652"/>
    <cellStyle name="Normal 3 12 8" xfId="742"/>
    <cellStyle name="Normal 3 12 9" xfId="839"/>
    <cellStyle name="Normal 3 13" xfId="113"/>
    <cellStyle name="Normal 3 13 2" xfId="205"/>
    <cellStyle name="Normal 3 13 3" xfId="295"/>
    <cellStyle name="Normal 3 13 4" xfId="385"/>
    <cellStyle name="Normal 3 13 5" xfId="475"/>
    <cellStyle name="Normal 3 13 6" xfId="565"/>
    <cellStyle name="Normal 3 13 7" xfId="655"/>
    <cellStyle name="Normal 3 13 8" xfId="745"/>
    <cellStyle name="Normal 3 13 9" xfId="842"/>
    <cellStyle name="Normal 3 14" xfId="11"/>
    <cellStyle name="Normal 3 15" xfId="118"/>
    <cellStyle name="Normal 3 16" xfId="208"/>
    <cellStyle name="Normal 3 17" xfId="298"/>
    <cellStyle name="Normal 3 18" xfId="388"/>
    <cellStyle name="Normal 3 19" xfId="478"/>
    <cellStyle name="Normal 3 2" xfId="23"/>
    <cellStyle name="Normal 3 2 10" xfId="662"/>
    <cellStyle name="Normal 3 2 11" xfId="757"/>
    <cellStyle name="Normal 3 2 2" xfId="45"/>
    <cellStyle name="Normal 3 2 2 10" xfId="777"/>
    <cellStyle name="Normal 3 2 2 2" xfId="85"/>
    <cellStyle name="Normal 3 2 2 2 2" xfId="178"/>
    <cellStyle name="Normal 3 2 2 2 3" xfId="268"/>
    <cellStyle name="Normal 3 2 2 2 4" xfId="358"/>
    <cellStyle name="Normal 3 2 2 2 5" xfId="448"/>
    <cellStyle name="Normal 3 2 2 2 6" xfId="538"/>
    <cellStyle name="Normal 3 2 2 2 7" xfId="628"/>
    <cellStyle name="Normal 3 2 2 2 8" xfId="718"/>
    <cellStyle name="Normal 3 2 2 2 9" xfId="815"/>
    <cellStyle name="Normal 3 2 2 3" xfId="141"/>
    <cellStyle name="Normal 3 2 2 4" xfId="231"/>
    <cellStyle name="Normal 3 2 2 5" xfId="321"/>
    <cellStyle name="Normal 3 2 2 6" xfId="411"/>
    <cellStyle name="Normal 3 2 2 7" xfId="501"/>
    <cellStyle name="Normal 3 2 2 8" xfId="591"/>
    <cellStyle name="Normal 3 2 2 9" xfId="681"/>
    <cellStyle name="Normal 3 2 3" xfId="66"/>
    <cellStyle name="Normal 3 2 3 2" xfId="159"/>
    <cellStyle name="Normal 3 2 3 3" xfId="249"/>
    <cellStyle name="Normal 3 2 3 4" xfId="339"/>
    <cellStyle name="Normal 3 2 3 5" xfId="429"/>
    <cellStyle name="Normal 3 2 3 6" xfId="519"/>
    <cellStyle name="Normal 3 2 3 7" xfId="609"/>
    <cellStyle name="Normal 3 2 3 8" xfId="699"/>
    <cellStyle name="Normal 3 2 3 9" xfId="796"/>
    <cellStyle name="Normal 3 2 4" xfId="122"/>
    <cellStyle name="Normal 3 2 5" xfId="212"/>
    <cellStyle name="Normal 3 2 6" xfId="302"/>
    <cellStyle name="Normal 3 2 7" xfId="392"/>
    <cellStyle name="Normal 3 2 8" xfId="482"/>
    <cellStyle name="Normal 3 2 9" xfId="572"/>
    <cellStyle name="Normal 3 20" xfId="568"/>
    <cellStyle name="Normal 3 21" xfId="658"/>
    <cellStyle name="Normal 3 22" xfId="748"/>
    <cellStyle name="Normal 3 3" xfId="26"/>
    <cellStyle name="Normal 3 3 10" xfId="665"/>
    <cellStyle name="Normal 3 3 11" xfId="760"/>
    <cellStyle name="Normal 3 3 2" xfId="48"/>
    <cellStyle name="Normal 3 3 2 10" xfId="780"/>
    <cellStyle name="Normal 3 3 2 2" xfId="88"/>
    <cellStyle name="Normal 3 3 2 2 2" xfId="181"/>
    <cellStyle name="Normal 3 3 2 2 3" xfId="271"/>
    <cellStyle name="Normal 3 3 2 2 4" xfId="361"/>
    <cellStyle name="Normal 3 3 2 2 5" xfId="451"/>
    <cellStyle name="Normal 3 3 2 2 6" xfId="541"/>
    <cellStyle name="Normal 3 3 2 2 7" xfId="631"/>
    <cellStyle name="Normal 3 3 2 2 8" xfId="721"/>
    <cellStyle name="Normal 3 3 2 2 9" xfId="818"/>
    <cellStyle name="Normal 3 3 2 3" xfId="144"/>
    <cellStyle name="Normal 3 3 2 4" xfId="234"/>
    <cellStyle name="Normal 3 3 2 5" xfId="324"/>
    <cellStyle name="Normal 3 3 2 6" xfId="414"/>
    <cellStyle name="Normal 3 3 2 7" xfId="504"/>
    <cellStyle name="Normal 3 3 2 8" xfId="594"/>
    <cellStyle name="Normal 3 3 2 9" xfId="684"/>
    <cellStyle name="Normal 3 3 3" xfId="69"/>
    <cellStyle name="Normal 3 3 3 2" xfId="162"/>
    <cellStyle name="Normal 3 3 3 3" xfId="252"/>
    <cellStyle name="Normal 3 3 3 4" xfId="342"/>
    <cellStyle name="Normal 3 3 3 5" xfId="432"/>
    <cellStyle name="Normal 3 3 3 6" xfId="522"/>
    <cellStyle name="Normal 3 3 3 7" xfId="612"/>
    <cellStyle name="Normal 3 3 3 8" xfId="702"/>
    <cellStyle name="Normal 3 3 3 9" xfId="799"/>
    <cellStyle name="Normal 3 3 4" xfId="125"/>
    <cellStyle name="Normal 3 3 5" xfId="215"/>
    <cellStyle name="Normal 3 3 6" xfId="305"/>
    <cellStyle name="Normal 3 3 7" xfId="395"/>
    <cellStyle name="Normal 3 3 8" xfId="485"/>
    <cellStyle name="Normal 3 3 9" xfId="575"/>
    <cellStyle name="Normal 3 4" xfId="29"/>
    <cellStyle name="Normal 3 4 10" xfId="668"/>
    <cellStyle name="Normal 3 4 11" xfId="763"/>
    <cellStyle name="Normal 3 4 2" xfId="51"/>
    <cellStyle name="Normal 3 4 2 10" xfId="783"/>
    <cellStyle name="Normal 3 4 2 2" xfId="91"/>
    <cellStyle name="Normal 3 4 2 2 2" xfId="184"/>
    <cellStyle name="Normal 3 4 2 2 3" xfId="274"/>
    <cellStyle name="Normal 3 4 2 2 4" xfId="364"/>
    <cellStyle name="Normal 3 4 2 2 5" xfId="454"/>
    <cellStyle name="Normal 3 4 2 2 6" xfId="544"/>
    <cellStyle name="Normal 3 4 2 2 7" xfId="634"/>
    <cellStyle name="Normal 3 4 2 2 8" xfId="724"/>
    <cellStyle name="Normal 3 4 2 2 9" xfId="821"/>
    <cellStyle name="Normal 3 4 2 3" xfId="147"/>
    <cellStyle name="Normal 3 4 2 4" xfId="237"/>
    <cellStyle name="Normal 3 4 2 5" xfId="327"/>
    <cellStyle name="Normal 3 4 2 6" xfId="417"/>
    <cellStyle name="Normal 3 4 2 7" xfId="507"/>
    <cellStyle name="Normal 3 4 2 8" xfId="597"/>
    <cellStyle name="Normal 3 4 2 9" xfId="687"/>
    <cellStyle name="Normal 3 4 3" xfId="72"/>
    <cellStyle name="Normal 3 4 3 2" xfId="165"/>
    <cellStyle name="Normal 3 4 3 3" xfId="255"/>
    <cellStyle name="Normal 3 4 3 4" xfId="345"/>
    <cellStyle name="Normal 3 4 3 5" xfId="435"/>
    <cellStyle name="Normal 3 4 3 6" xfId="525"/>
    <cellStyle name="Normal 3 4 3 7" xfId="615"/>
    <cellStyle name="Normal 3 4 3 8" xfId="705"/>
    <cellStyle name="Normal 3 4 3 9" xfId="802"/>
    <cellStyle name="Normal 3 4 4" xfId="128"/>
    <cellStyle name="Normal 3 4 5" xfId="218"/>
    <cellStyle name="Normal 3 4 6" xfId="308"/>
    <cellStyle name="Normal 3 4 7" xfId="398"/>
    <cellStyle name="Normal 3 4 8" xfId="488"/>
    <cellStyle name="Normal 3 4 9" xfId="578"/>
    <cellStyle name="Normal 3 5" xfId="33"/>
    <cellStyle name="Normal 3 5 10" xfId="671"/>
    <cellStyle name="Normal 3 5 11" xfId="766"/>
    <cellStyle name="Normal 3 5 2" xfId="55"/>
    <cellStyle name="Normal 3 5 2 10" xfId="786"/>
    <cellStyle name="Normal 3 5 2 2" xfId="95"/>
    <cellStyle name="Normal 3 5 2 2 2" xfId="187"/>
    <cellStyle name="Normal 3 5 2 2 3" xfId="277"/>
    <cellStyle name="Normal 3 5 2 2 4" xfId="367"/>
    <cellStyle name="Normal 3 5 2 2 5" xfId="457"/>
    <cellStyle name="Normal 3 5 2 2 6" xfId="547"/>
    <cellStyle name="Normal 3 5 2 2 7" xfId="637"/>
    <cellStyle name="Normal 3 5 2 2 8" xfId="727"/>
    <cellStyle name="Normal 3 5 2 2 9" xfId="824"/>
    <cellStyle name="Normal 3 5 2 3" xfId="150"/>
    <cellStyle name="Normal 3 5 2 4" xfId="240"/>
    <cellStyle name="Normal 3 5 2 5" xfId="330"/>
    <cellStyle name="Normal 3 5 2 6" xfId="420"/>
    <cellStyle name="Normal 3 5 2 7" xfId="510"/>
    <cellStyle name="Normal 3 5 2 8" xfId="600"/>
    <cellStyle name="Normal 3 5 2 9" xfId="690"/>
    <cellStyle name="Normal 3 5 3" xfId="75"/>
    <cellStyle name="Normal 3 5 3 2" xfId="168"/>
    <cellStyle name="Normal 3 5 3 3" xfId="258"/>
    <cellStyle name="Normal 3 5 3 4" xfId="348"/>
    <cellStyle name="Normal 3 5 3 5" xfId="438"/>
    <cellStyle name="Normal 3 5 3 6" xfId="528"/>
    <cellStyle name="Normal 3 5 3 7" xfId="618"/>
    <cellStyle name="Normal 3 5 3 8" xfId="708"/>
    <cellStyle name="Normal 3 5 3 9" xfId="805"/>
    <cellStyle name="Normal 3 5 4" xfId="131"/>
    <cellStyle name="Normal 3 5 5" xfId="221"/>
    <cellStyle name="Normal 3 5 6" xfId="311"/>
    <cellStyle name="Normal 3 5 7" xfId="401"/>
    <cellStyle name="Normal 3 5 8" xfId="491"/>
    <cellStyle name="Normal 3 5 9" xfId="581"/>
    <cellStyle name="Normal 3 6" xfId="36"/>
    <cellStyle name="Normal 3 6 10" xfId="674"/>
    <cellStyle name="Normal 3 6 11" xfId="769"/>
    <cellStyle name="Normal 3 6 2" xfId="58"/>
    <cellStyle name="Normal 3 6 2 10" xfId="789"/>
    <cellStyle name="Normal 3 6 2 2" xfId="98"/>
    <cellStyle name="Normal 3 6 2 2 2" xfId="190"/>
    <cellStyle name="Normal 3 6 2 2 3" xfId="280"/>
    <cellStyle name="Normal 3 6 2 2 4" xfId="370"/>
    <cellStyle name="Normal 3 6 2 2 5" xfId="460"/>
    <cellStyle name="Normal 3 6 2 2 6" xfId="550"/>
    <cellStyle name="Normal 3 6 2 2 7" xfId="640"/>
    <cellStyle name="Normal 3 6 2 2 8" xfId="730"/>
    <cellStyle name="Normal 3 6 2 2 9" xfId="827"/>
    <cellStyle name="Normal 3 6 2 3" xfId="153"/>
    <cellStyle name="Normal 3 6 2 4" xfId="243"/>
    <cellStyle name="Normal 3 6 2 5" xfId="333"/>
    <cellStyle name="Normal 3 6 2 6" xfId="423"/>
    <cellStyle name="Normal 3 6 2 7" xfId="513"/>
    <cellStyle name="Normal 3 6 2 8" xfId="603"/>
    <cellStyle name="Normal 3 6 2 9" xfId="693"/>
    <cellStyle name="Normal 3 6 3" xfId="78"/>
    <cellStyle name="Normal 3 6 3 2" xfId="171"/>
    <cellStyle name="Normal 3 6 3 3" xfId="261"/>
    <cellStyle name="Normal 3 6 3 4" xfId="351"/>
    <cellStyle name="Normal 3 6 3 5" xfId="441"/>
    <cellStyle name="Normal 3 6 3 6" xfId="531"/>
    <cellStyle name="Normal 3 6 3 7" xfId="621"/>
    <cellStyle name="Normal 3 6 3 8" xfId="711"/>
    <cellStyle name="Normal 3 6 3 9" xfId="808"/>
    <cellStyle name="Normal 3 6 4" xfId="134"/>
    <cellStyle name="Normal 3 6 5" xfId="224"/>
    <cellStyle name="Normal 3 6 6" xfId="314"/>
    <cellStyle name="Normal 3 6 7" xfId="404"/>
    <cellStyle name="Normal 3 6 8" xfId="494"/>
    <cellStyle name="Normal 3 6 9" xfId="584"/>
    <cellStyle name="Normal 3 7" xfId="42"/>
    <cellStyle name="Normal 3 7 10" xfId="774"/>
    <cellStyle name="Normal 3 7 2" xfId="82"/>
    <cellStyle name="Normal 3 7 2 2" xfId="175"/>
    <cellStyle name="Normal 3 7 2 3" xfId="265"/>
    <cellStyle name="Normal 3 7 2 4" xfId="355"/>
    <cellStyle name="Normal 3 7 2 5" xfId="445"/>
    <cellStyle name="Normal 3 7 2 6" xfId="535"/>
    <cellStyle name="Normal 3 7 2 7" xfId="625"/>
    <cellStyle name="Normal 3 7 2 8" xfId="715"/>
    <cellStyle name="Normal 3 7 2 9" xfId="812"/>
    <cellStyle name="Normal 3 7 3" xfId="138"/>
    <cellStyle name="Normal 3 7 4" xfId="228"/>
    <cellStyle name="Normal 3 7 5" xfId="318"/>
    <cellStyle name="Normal 3 7 6" xfId="408"/>
    <cellStyle name="Normal 3 7 7" xfId="498"/>
    <cellStyle name="Normal 3 7 8" xfId="588"/>
    <cellStyle name="Normal 3 7 9" xfId="678"/>
    <cellStyle name="Normal 3 8" xfId="63"/>
    <cellStyle name="Normal 3 8 2" xfId="156"/>
    <cellStyle name="Normal 3 8 3" xfId="246"/>
    <cellStyle name="Normal 3 8 4" xfId="336"/>
    <cellStyle name="Normal 3 8 5" xfId="426"/>
    <cellStyle name="Normal 3 8 6" xfId="516"/>
    <cellStyle name="Normal 3 8 7" xfId="606"/>
    <cellStyle name="Normal 3 8 8" xfId="696"/>
    <cellStyle name="Normal 3 8 9" xfId="793"/>
    <cellStyle name="Normal 3 9" xfId="101"/>
    <cellStyle name="Normal 3 9 2" xfId="193"/>
    <cellStyle name="Normal 3 9 3" xfId="283"/>
    <cellStyle name="Normal 3 9 4" xfId="373"/>
    <cellStyle name="Normal 3 9 5" xfId="463"/>
    <cellStyle name="Normal 3 9 6" xfId="553"/>
    <cellStyle name="Normal 3 9 7" xfId="643"/>
    <cellStyle name="Normal 3 9 8" xfId="733"/>
    <cellStyle name="Normal 3 9 9" xfId="830"/>
    <cellStyle name="Normal 4" xfId="12"/>
    <cellStyle name="Normal 5" xfId="9"/>
    <cellStyle name="Normal 5 2" xfId="5"/>
    <cellStyle name="Normal 5 3" xfId="32"/>
    <cellStyle name="Normal 5 3 2" xfId="54"/>
    <cellStyle name="Normal 5 4" xfId="19"/>
    <cellStyle name="Normal 6" xfId="18"/>
    <cellStyle name="Normal 6 10" xfId="660"/>
    <cellStyle name="Normal 6 11" xfId="754"/>
    <cellStyle name="Normal 6 2" xfId="41"/>
    <cellStyle name="Normal 6 2 10" xfId="773"/>
    <cellStyle name="Normal 6 2 2" xfId="81"/>
    <cellStyle name="Normal 6 2 2 2" xfId="174"/>
    <cellStyle name="Normal 6 2 2 3" xfId="264"/>
    <cellStyle name="Normal 6 2 2 4" xfId="354"/>
    <cellStyle name="Normal 6 2 2 5" xfId="444"/>
    <cellStyle name="Normal 6 2 2 6" xfId="534"/>
    <cellStyle name="Normal 6 2 2 7" xfId="624"/>
    <cellStyle name="Normal 6 2 2 8" xfId="714"/>
    <cellStyle name="Normal 6 2 2 9" xfId="811"/>
    <cellStyle name="Normal 6 2 3" xfId="137"/>
    <cellStyle name="Normal 6 2 4" xfId="227"/>
    <cellStyle name="Normal 6 2 5" xfId="317"/>
    <cellStyle name="Normal 6 2 6" xfId="407"/>
    <cellStyle name="Normal 6 2 7" xfId="497"/>
    <cellStyle name="Normal 6 2 8" xfId="587"/>
    <cellStyle name="Normal 6 2 9" xfId="677"/>
    <cellStyle name="Normal 6 3" xfId="62"/>
    <cellStyle name="Normal 6 3 2" xfId="155"/>
    <cellStyle name="Normal 6 3 3" xfId="245"/>
    <cellStyle name="Normal 6 3 4" xfId="335"/>
    <cellStyle name="Normal 6 3 5" xfId="425"/>
    <cellStyle name="Normal 6 3 6" xfId="515"/>
    <cellStyle name="Normal 6 3 7" xfId="605"/>
    <cellStyle name="Normal 6 3 8" xfId="695"/>
    <cellStyle name="Normal 6 3 9" xfId="792"/>
    <cellStyle name="Normal 6 4" xfId="120"/>
    <cellStyle name="Normal 6 5" xfId="210"/>
    <cellStyle name="Normal 6 6" xfId="300"/>
    <cellStyle name="Normal 6 7" xfId="390"/>
    <cellStyle name="Normal 6 8" xfId="480"/>
    <cellStyle name="Normal 6 9" xfId="570"/>
    <cellStyle name="Normal 7" xfId="22"/>
    <cellStyle name="Normal 7 10" xfId="661"/>
    <cellStyle name="Normal 7 11" xfId="756"/>
    <cellStyle name="Normal 7 2" xfId="44"/>
    <cellStyle name="Normal 7 2 10" xfId="776"/>
    <cellStyle name="Normal 7 2 2" xfId="84"/>
    <cellStyle name="Normal 7 2 2 2" xfId="177"/>
    <cellStyle name="Normal 7 2 2 3" xfId="267"/>
    <cellStyle name="Normal 7 2 2 4" xfId="357"/>
    <cellStyle name="Normal 7 2 2 5" xfId="447"/>
    <cellStyle name="Normal 7 2 2 6" xfId="537"/>
    <cellStyle name="Normal 7 2 2 7" xfId="627"/>
    <cellStyle name="Normal 7 2 2 8" xfId="717"/>
    <cellStyle name="Normal 7 2 2 9" xfId="814"/>
    <cellStyle name="Normal 7 2 3" xfId="140"/>
    <cellStyle name="Normal 7 2 4" xfId="230"/>
    <cellStyle name="Normal 7 2 5" xfId="320"/>
    <cellStyle name="Normal 7 2 6" xfId="410"/>
    <cellStyle name="Normal 7 2 7" xfId="500"/>
    <cellStyle name="Normal 7 2 8" xfId="590"/>
    <cellStyle name="Normal 7 2 9" xfId="680"/>
    <cellStyle name="Normal 7 3" xfId="65"/>
    <cellStyle name="Normal 7 3 2" xfId="158"/>
    <cellStyle name="Normal 7 3 3" xfId="248"/>
    <cellStyle name="Normal 7 3 4" xfId="338"/>
    <cellStyle name="Normal 7 3 5" xfId="428"/>
    <cellStyle name="Normal 7 3 6" xfId="518"/>
    <cellStyle name="Normal 7 3 7" xfId="608"/>
    <cellStyle name="Normal 7 3 8" xfId="698"/>
    <cellStyle name="Normal 7 3 9" xfId="795"/>
    <cellStyle name="Normal 7 4" xfId="121"/>
    <cellStyle name="Normal 7 5" xfId="211"/>
    <cellStyle name="Normal 7 6" xfId="301"/>
    <cellStyle name="Normal 7 7" xfId="391"/>
    <cellStyle name="Normal 7 8" xfId="481"/>
    <cellStyle name="Normal 7 9" xfId="571"/>
    <cellStyle name="Normal 8" xfId="25"/>
    <cellStyle name="Normal 8 10" xfId="664"/>
    <cellStyle name="Normal 8 11" xfId="759"/>
    <cellStyle name="Normal 8 2" xfId="47"/>
    <cellStyle name="Normal 8 2 10" xfId="779"/>
    <cellStyle name="Normal 8 2 2" xfId="87"/>
    <cellStyle name="Normal 8 2 2 2" xfId="180"/>
    <cellStyle name="Normal 8 2 2 3" xfId="270"/>
    <cellStyle name="Normal 8 2 2 4" xfId="360"/>
    <cellStyle name="Normal 8 2 2 5" xfId="450"/>
    <cellStyle name="Normal 8 2 2 6" xfId="540"/>
    <cellStyle name="Normal 8 2 2 7" xfId="630"/>
    <cellStyle name="Normal 8 2 2 8" xfId="720"/>
    <cellStyle name="Normal 8 2 2 9" xfId="817"/>
    <cellStyle name="Normal 8 2 3" xfId="143"/>
    <cellStyle name="Normal 8 2 4" xfId="233"/>
    <cellStyle name="Normal 8 2 5" xfId="323"/>
    <cellStyle name="Normal 8 2 6" xfId="413"/>
    <cellStyle name="Normal 8 2 7" xfId="503"/>
    <cellStyle name="Normal 8 2 8" xfId="593"/>
    <cellStyle name="Normal 8 2 9" xfId="683"/>
    <cellStyle name="Normal 8 3" xfId="68"/>
    <cellStyle name="Normal 8 3 2" xfId="161"/>
    <cellStyle name="Normal 8 3 3" xfId="251"/>
    <cellStyle name="Normal 8 3 4" xfId="341"/>
    <cellStyle name="Normal 8 3 5" xfId="431"/>
    <cellStyle name="Normal 8 3 6" xfId="521"/>
    <cellStyle name="Normal 8 3 7" xfId="611"/>
    <cellStyle name="Normal 8 3 8" xfId="701"/>
    <cellStyle name="Normal 8 3 9" xfId="798"/>
    <cellStyle name="Normal 8 4" xfId="124"/>
    <cellStyle name="Normal 8 5" xfId="214"/>
    <cellStyle name="Normal 8 6" xfId="304"/>
    <cellStyle name="Normal 8 7" xfId="394"/>
    <cellStyle name="Normal 8 8" xfId="484"/>
    <cellStyle name="Normal 8 9" xfId="574"/>
    <cellStyle name="Normal 9" xfId="28"/>
    <cellStyle name="Normal 9 10" xfId="667"/>
    <cellStyle name="Normal 9 11" xfId="762"/>
    <cellStyle name="Normal 9 2" xfId="50"/>
    <cellStyle name="Normal 9 2 10" xfId="782"/>
    <cellStyle name="Normal 9 2 2" xfId="90"/>
    <cellStyle name="Normal 9 2 2 2" xfId="183"/>
    <cellStyle name="Normal 9 2 2 3" xfId="273"/>
    <cellStyle name="Normal 9 2 2 4" xfId="363"/>
    <cellStyle name="Normal 9 2 2 5" xfId="453"/>
    <cellStyle name="Normal 9 2 2 6" xfId="543"/>
    <cellStyle name="Normal 9 2 2 7" xfId="633"/>
    <cellStyle name="Normal 9 2 2 8" xfId="723"/>
    <cellStyle name="Normal 9 2 2 9" xfId="820"/>
    <cellStyle name="Normal 9 2 3" xfId="146"/>
    <cellStyle name="Normal 9 2 4" xfId="236"/>
    <cellStyle name="Normal 9 2 5" xfId="326"/>
    <cellStyle name="Normal 9 2 6" xfId="416"/>
    <cellStyle name="Normal 9 2 7" xfId="506"/>
    <cellStyle name="Normal 9 2 8" xfId="596"/>
    <cellStyle name="Normal 9 2 9" xfId="686"/>
    <cellStyle name="Normal 9 3" xfId="71"/>
    <cellStyle name="Normal 9 3 2" xfId="164"/>
    <cellStyle name="Normal 9 3 3" xfId="254"/>
    <cellStyle name="Normal 9 3 4" xfId="344"/>
    <cellStyle name="Normal 9 3 5" xfId="434"/>
    <cellStyle name="Normal 9 3 6" xfId="524"/>
    <cellStyle name="Normal 9 3 7" xfId="614"/>
    <cellStyle name="Normal 9 3 8" xfId="704"/>
    <cellStyle name="Normal 9 3 9" xfId="801"/>
    <cellStyle name="Normal 9 4" xfId="127"/>
    <cellStyle name="Normal 9 5" xfId="217"/>
    <cellStyle name="Normal 9 6" xfId="307"/>
    <cellStyle name="Normal 9 7" xfId="397"/>
    <cellStyle name="Normal 9 8" xfId="487"/>
    <cellStyle name="Normal 9 9" xfId="577"/>
    <cellStyle name="Tusenskille 2" xfId="14"/>
    <cellStyle name="Tusenskille 2 2" xfId="15"/>
    <cellStyle name="Tusenskille 2 2 2" xfId="751"/>
    <cellStyle name="Tusenskille 2 3" xfId="21"/>
    <cellStyle name="Tusenskille 2 3 2" xfId="755"/>
    <cellStyle name="Tusenskille 2 4" xfId="40"/>
    <cellStyle name="Tusenskille 2 4 2" xfId="772"/>
    <cellStyle name="Tusenskille 2 5" xfId="61"/>
    <cellStyle name="Tusenskille 2 5 2" xfId="791"/>
    <cellStyle name="Tusenskille 2 6" xfId="750"/>
    <cellStyle name="Tusenskille 3" xfId="16"/>
    <cellStyle name="Tusenskille 3 10" xfId="105"/>
    <cellStyle name="Tusenskille 3 10 2" xfId="197"/>
    <cellStyle name="Tusenskille 3 10 3" xfId="287"/>
    <cellStyle name="Tusenskille 3 10 4" xfId="377"/>
    <cellStyle name="Tusenskille 3 10 5" xfId="467"/>
    <cellStyle name="Tusenskille 3 10 6" xfId="557"/>
    <cellStyle name="Tusenskille 3 10 7" xfId="647"/>
    <cellStyle name="Tusenskille 3 10 8" xfId="737"/>
    <cellStyle name="Tusenskille 3 10 9" xfId="834"/>
    <cellStyle name="Tusenskille 3 11" xfId="108"/>
    <cellStyle name="Tusenskille 3 11 2" xfId="200"/>
    <cellStyle name="Tusenskille 3 11 3" xfId="290"/>
    <cellStyle name="Tusenskille 3 11 4" xfId="380"/>
    <cellStyle name="Tusenskille 3 11 5" xfId="470"/>
    <cellStyle name="Tusenskille 3 11 6" xfId="560"/>
    <cellStyle name="Tusenskille 3 11 7" xfId="650"/>
    <cellStyle name="Tusenskille 3 11 8" xfId="740"/>
    <cellStyle name="Tusenskille 3 11 9" xfId="837"/>
    <cellStyle name="Tusenskille 3 12" xfId="111"/>
    <cellStyle name="Tusenskille 3 12 2" xfId="203"/>
    <cellStyle name="Tusenskille 3 12 3" xfId="293"/>
    <cellStyle name="Tusenskille 3 12 4" xfId="383"/>
    <cellStyle name="Tusenskille 3 12 5" xfId="473"/>
    <cellStyle name="Tusenskille 3 12 6" xfId="563"/>
    <cellStyle name="Tusenskille 3 12 7" xfId="653"/>
    <cellStyle name="Tusenskille 3 12 8" xfId="743"/>
    <cellStyle name="Tusenskille 3 12 9" xfId="840"/>
    <cellStyle name="Tusenskille 3 13" xfId="114"/>
    <cellStyle name="Tusenskille 3 13 2" xfId="206"/>
    <cellStyle name="Tusenskille 3 13 3" xfId="296"/>
    <cellStyle name="Tusenskille 3 13 4" xfId="386"/>
    <cellStyle name="Tusenskille 3 13 5" xfId="476"/>
    <cellStyle name="Tusenskille 3 13 6" xfId="566"/>
    <cellStyle name="Tusenskille 3 13 7" xfId="656"/>
    <cellStyle name="Tusenskille 3 13 8" xfId="746"/>
    <cellStyle name="Tusenskille 3 13 9" xfId="843"/>
    <cellStyle name="Tusenskille 3 14" xfId="119"/>
    <cellStyle name="Tusenskille 3 15" xfId="209"/>
    <cellStyle name="Tusenskille 3 16" xfId="299"/>
    <cellStyle name="Tusenskille 3 17" xfId="389"/>
    <cellStyle name="Tusenskille 3 18" xfId="479"/>
    <cellStyle name="Tusenskille 3 19" xfId="569"/>
    <cellStyle name="Tusenskille 3 2" xfId="24"/>
    <cellStyle name="Tusenskille 3 2 10" xfId="663"/>
    <cellStyle name="Tusenskille 3 2 11" xfId="758"/>
    <cellStyle name="Tusenskille 3 2 2" xfId="46"/>
    <cellStyle name="Tusenskille 3 2 2 10" xfId="778"/>
    <cellStyle name="Tusenskille 3 2 2 2" xfId="86"/>
    <cellStyle name="Tusenskille 3 2 2 2 2" xfId="179"/>
    <cellStyle name="Tusenskille 3 2 2 2 3" xfId="269"/>
    <cellStyle name="Tusenskille 3 2 2 2 4" xfId="359"/>
    <cellStyle name="Tusenskille 3 2 2 2 5" xfId="449"/>
    <cellStyle name="Tusenskille 3 2 2 2 6" xfId="539"/>
    <cellStyle name="Tusenskille 3 2 2 2 7" xfId="629"/>
    <cellStyle name="Tusenskille 3 2 2 2 8" xfId="719"/>
    <cellStyle name="Tusenskille 3 2 2 2 9" xfId="816"/>
    <cellStyle name="Tusenskille 3 2 2 3" xfId="142"/>
    <cellStyle name="Tusenskille 3 2 2 4" xfId="232"/>
    <cellStyle name="Tusenskille 3 2 2 5" xfId="322"/>
    <cellStyle name="Tusenskille 3 2 2 6" xfId="412"/>
    <cellStyle name="Tusenskille 3 2 2 7" xfId="502"/>
    <cellStyle name="Tusenskille 3 2 2 8" xfId="592"/>
    <cellStyle name="Tusenskille 3 2 2 9" xfId="682"/>
    <cellStyle name="Tusenskille 3 2 3" xfId="67"/>
    <cellStyle name="Tusenskille 3 2 3 2" xfId="160"/>
    <cellStyle name="Tusenskille 3 2 3 3" xfId="250"/>
    <cellStyle name="Tusenskille 3 2 3 4" xfId="340"/>
    <cellStyle name="Tusenskille 3 2 3 5" xfId="430"/>
    <cellStyle name="Tusenskille 3 2 3 6" xfId="520"/>
    <cellStyle name="Tusenskille 3 2 3 7" xfId="610"/>
    <cellStyle name="Tusenskille 3 2 3 8" xfId="700"/>
    <cellStyle name="Tusenskille 3 2 3 9" xfId="797"/>
    <cellStyle name="Tusenskille 3 2 4" xfId="123"/>
    <cellStyle name="Tusenskille 3 2 5" xfId="213"/>
    <cellStyle name="Tusenskille 3 2 6" xfId="303"/>
    <cellStyle name="Tusenskille 3 2 7" xfId="393"/>
    <cellStyle name="Tusenskille 3 2 8" xfId="483"/>
    <cellStyle name="Tusenskille 3 2 9" xfId="573"/>
    <cellStyle name="Tusenskille 3 20" xfId="659"/>
    <cellStyle name="Tusenskille 3 21" xfId="752"/>
    <cellStyle name="Tusenskille 3 3" xfId="27"/>
    <cellStyle name="Tusenskille 3 3 10" xfId="666"/>
    <cellStyle name="Tusenskille 3 3 11" xfId="761"/>
    <cellStyle name="Tusenskille 3 3 2" xfId="49"/>
    <cellStyle name="Tusenskille 3 3 2 10" xfId="781"/>
    <cellStyle name="Tusenskille 3 3 2 2" xfId="89"/>
    <cellStyle name="Tusenskille 3 3 2 2 2" xfId="182"/>
    <cellStyle name="Tusenskille 3 3 2 2 3" xfId="272"/>
    <cellStyle name="Tusenskille 3 3 2 2 4" xfId="362"/>
    <cellStyle name="Tusenskille 3 3 2 2 5" xfId="452"/>
    <cellStyle name="Tusenskille 3 3 2 2 6" xfId="542"/>
    <cellStyle name="Tusenskille 3 3 2 2 7" xfId="632"/>
    <cellStyle name="Tusenskille 3 3 2 2 8" xfId="722"/>
    <cellStyle name="Tusenskille 3 3 2 2 9" xfId="819"/>
    <cellStyle name="Tusenskille 3 3 2 3" xfId="145"/>
    <cellStyle name="Tusenskille 3 3 2 4" xfId="235"/>
    <cellStyle name="Tusenskille 3 3 2 5" xfId="325"/>
    <cellStyle name="Tusenskille 3 3 2 6" xfId="415"/>
    <cellStyle name="Tusenskille 3 3 2 7" xfId="505"/>
    <cellStyle name="Tusenskille 3 3 2 8" xfId="595"/>
    <cellStyle name="Tusenskille 3 3 2 9" xfId="685"/>
    <cellStyle name="Tusenskille 3 3 3" xfId="70"/>
    <cellStyle name="Tusenskille 3 3 3 2" xfId="163"/>
    <cellStyle name="Tusenskille 3 3 3 3" xfId="253"/>
    <cellStyle name="Tusenskille 3 3 3 4" xfId="343"/>
    <cellStyle name="Tusenskille 3 3 3 5" xfId="433"/>
    <cellStyle name="Tusenskille 3 3 3 6" xfId="523"/>
    <cellStyle name="Tusenskille 3 3 3 7" xfId="613"/>
    <cellStyle name="Tusenskille 3 3 3 8" xfId="703"/>
    <cellStyle name="Tusenskille 3 3 3 9" xfId="800"/>
    <cellStyle name="Tusenskille 3 3 4" xfId="126"/>
    <cellStyle name="Tusenskille 3 3 5" xfId="216"/>
    <cellStyle name="Tusenskille 3 3 6" xfId="306"/>
    <cellStyle name="Tusenskille 3 3 7" xfId="396"/>
    <cellStyle name="Tusenskille 3 3 8" xfId="486"/>
    <cellStyle name="Tusenskille 3 3 9" xfId="576"/>
    <cellStyle name="Tusenskille 3 4" xfId="30"/>
    <cellStyle name="Tusenskille 3 4 10" xfId="669"/>
    <cellStyle name="Tusenskille 3 4 11" xfId="764"/>
    <cellStyle name="Tusenskille 3 4 2" xfId="52"/>
    <cellStyle name="Tusenskille 3 4 2 10" xfId="784"/>
    <cellStyle name="Tusenskille 3 4 2 2" xfId="92"/>
    <cellStyle name="Tusenskille 3 4 2 2 2" xfId="185"/>
    <cellStyle name="Tusenskille 3 4 2 2 3" xfId="275"/>
    <cellStyle name="Tusenskille 3 4 2 2 4" xfId="365"/>
    <cellStyle name="Tusenskille 3 4 2 2 5" xfId="455"/>
    <cellStyle name="Tusenskille 3 4 2 2 6" xfId="545"/>
    <cellStyle name="Tusenskille 3 4 2 2 7" xfId="635"/>
    <cellStyle name="Tusenskille 3 4 2 2 8" xfId="725"/>
    <cellStyle name="Tusenskille 3 4 2 2 9" xfId="822"/>
    <cellStyle name="Tusenskille 3 4 2 3" xfId="148"/>
    <cellStyle name="Tusenskille 3 4 2 4" xfId="238"/>
    <cellStyle name="Tusenskille 3 4 2 5" xfId="328"/>
    <cellStyle name="Tusenskille 3 4 2 6" xfId="418"/>
    <cellStyle name="Tusenskille 3 4 2 7" xfId="508"/>
    <cellStyle name="Tusenskille 3 4 2 8" xfId="598"/>
    <cellStyle name="Tusenskille 3 4 2 9" xfId="688"/>
    <cellStyle name="Tusenskille 3 4 3" xfId="73"/>
    <cellStyle name="Tusenskille 3 4 3 2" xfId="166"/>
    <cellStyle name="Tusenskille 3 4 3 3" xfId="256"/>
    <cellStyle name="Tusenskille 3 4 3 4" xfId="346"/>
    <cellStyle name="Tusenskille 3 4 3 5" xfId="436"/>
    <cellStyle name="Tusenskille 3 4 3 6" xfId="526"/>
    <cellStyle name="Tusenskille 3 4 3 7" xfId="616"/>
    <cellStyle name="Tusenskille 3 4 3 8" xfId="706"/>
    <cellStyle name="Tusenskille 3 4 3 9" xfId="803"/>
    <cellStyle name="Tusenskille 3 4 4" xfId="129"/>
    <cellStyle name="Tusenskille 3 4 5" xfId="219"/>
    <cellStyle name="Tusenskille 3 4 6" xfId="309"/>
    <cellStyle name="Tusenskille 3 4 7" xfId="399"/>
    <cellStyle name="Tusenskille 3 4 8" xfId="489"/>
    <cellStyle name="Tusenskille 3 4 9" xfId="579"/>
    <cellStyle name="Tusenskille 3 5" xfId="34"/>
    <cellStyle name="Tusenskille 3 5 10" xfId="672"/>
    <cellStyle name="Tusenskille 3 5 11" xfId="767"/>
    <cellStyle name="Tusenskille 3 5 2" xfId="56"/>
    <cellStyle name="Tusenskille 3 5 2 10" xfId="787"/>
    <cellStyle name="Tusenskille 3 5 2 2" xfId="96"/>
    <cellStyle name="Tusenskille 3 5 2 2 2" xfId="188"/>
    <cellStyle name="Tusenskille 3 5 2 2 3" xfId="278"/>
    <cellStyle name="Tusenskille 3 5 2 2 4" xfId="368"/>
    <cellStyle name="Tusenskille 3 5 2 2 5" xfId="458"/>
    <cellStyle name="Tusenskille 3 5 2 2 6" xfId="548"/>
    <cellStyle name="Tusenskille 3 5 2 2 7" xfId="638"/>
    <cellStyle name="Tusenskille 3 5 2 2 8" xfId="728"/>
    <cellStyle name="Tusenskille 3 5 2 2 9" xfId="825"/>
    <cellStyle name="Tusenskille 3 5 2 3" xfId="151"/>
    <cellStyle name="Tusenskille 3 5 2 4" xfId="241"/>
    <cellStyle name="Tusenskille 3 5 2 5" xfId="331"/>
    <cellStyle name="Tusenskille 3 5 2 6" xfId="421"/>
    <cellStyle name="Tusenskille 3 5 2 7" xfId="511"/>
    <cellStyle name="Tusenskille 3 5 2 8" xfId="601"/>
    <cellStyle name="Tusenskille 3 5 2 9" xfId="691"/>
    <cellStyle name="Tusenskille 3 5 3" xfId="76"/>
    <cellStyle name="Tusenskille 3 5 3 2" xfId="169"/>
    <cellStyle name="Tusenskille 3 5 3 3" xfId="259"/>
    <cellStyle name="Tusenskille 3 5 3 4" xfId="349"/>
    <cellStyle name="Tusenskille 3 5 3 5" xfId="439"/>
    <cellStyle name="Tusenskille 3 5 3 6" xfId="529"/>
    <cellStyle name="Tusenskille 3 5 3 7" xfId="619"/>
    <cellStyle name="Tusenskille 3 5 3 8" xfId="709"/>
    <cellStyle name="Tusenskille 3 5 3 9" xfId="806"/>
    <cellStyle name="Tusenskille 3 5 4" xfId="132"/>
    <cellStyle name="Tusenskille 3 5 5" xfId="222"/>
    <cellStyle name="Tusenskille 3 5 6" xfId="312"/>
    <cellStyle name="Tusenskille 3 5 7" xfId="402"/>
    <cellStyle name="Tusenskille 3 5 8" xfId="492"/>
    <cellStyle name="Tusenskille 3 5 9" xfId="582"/>
    <cellStyle name="Tusenskille 3 6" xfId="37"/>
    <cellStyle name="Tusenskille 3 6 10" xfId="675"/>
    <cellStyle name="Tusenskille 3 6 11" xfId="770"/>
    <cellStyle name="Tusenskille 3 6 2" xfId="59"/>
    <cellStyle name="Tusenskille 3 6 2 10" xfId="790"/>
    <cellStyle name="Tusenskille 3 6 2 2" xfId="99"/>
    <cellStyle name="Tusenskille 3 6 2 2 2" xfId="191"/>
    <cellStyle name="Tusenskille 3 6 2 2 3" xfId="281"/>
    <cellStyle name="Tusenskille 3 6 2 2 4" xfId="371"/>
    <cellStyle name="Tusenskille 3 6 2 2 5" xfId="461"/>
    <cellStyle name="Tusenskille 3 6 2 2 6" xfId="551"/>
    <cellStyle name="Tusenskille 3 6 2 2 7" xfId="641"/>
    <cellStyle name="Tusenskille 3 6 2 2 8" xfId="731"/>
    <cellStyle name="Tusenskille 3 6 2 2 9" xfId="828"/>
    <cellStyle name="Tusenskille 3 6 2 3" xfId="154"/>
    <cellStyle name="Tusenskille 3 6 2 4" xfId="244"/>
    <cellStyle name="Tusenskille 3 6 2 5" xfId="334"/>
    <cellStyle name="Tusenskille 3 6 2 6" xfId="424"/>
    <cellStyle name="Tusenskille 3 6 2 7" xfId="514"/>
    <cellStyle name="Tusenskille 3 6 2 8" xfId="604"/>
    <cellStyle name="Tusenskille 3 6 2 9" xfId="694"/>
    <cellStyle name="Tusenskille 3 6 3" xfId="79"/>
    <cellStyle name="Tusenskille 3 6 3 2" xfId="172"/>
    <cellStyle name="Tusenskille 3 6 3 3" xfId="262"/>
    <cellStyle name="Tusenskille 3 6 3 4" xfId="352"/>
    <cellStyle name="Tusenskille 3 6 3 5" xfId="442"/>
    <cellStyle name="Tusenskille 3 6 3 6" xfId="532"/>
    <cellStyle name="Tusenskille 3 6 3 7" xfId="622"/>
    <cellStyle name="Tusenskille 3 6 3 8" xfId="712"/>
    <cellStyle name="Tusenskille 3 6 3 9" xfId="809"/>
    <cellStyle name="Tusenskille 3 6 4" xfId="135"/>
    <cellStyle name="Tusenskille 3 6 5" xfId="225"/>
    <cellStyle name="Tusenskille 3 6 6" xfId="315"/>
    <cellStyle name="Tusenskille 3 6 7" xfId="405"/>
    <cellStyle name="Tusenskille 3 6 8" xfId="495"/>
    <cellStyle name="Tusenskille 3 6 9" xfId="585"/>
    <cellStyle name="Tusenskille 3 7" xfId="43"/>
    <cellStyle name="Tusenskille 3 7 10" xfId="775"/>
    <cellStyle name="Tusenskille 3 7 2" xfId="83"/>
    <cellStyle name="Tusenskille 3 7 2 2" xfId="176"/>
    <cellStyle name="Tusenskille 3 7 2 3" xfId="266"/>
    <cellStyle name="Tusenskille 3 7 2 4" xfId="356"/>
    <cellStyle name="Tusenskille 3 7 2 5" xfId="446"/>
    <cellStyle name="Tusenskille 3 7 2 6" xfId="536"/>
    <cellStyle name="Tusenskille 3 7 2 7" xfId="626"/>
    <cellStyle name="Tusenskille 3 7 2 8" xfId="716"/>
    <cellStyle name="Tusenskille 3 7 2 9" xfId="813"/>
    <cellStyle name="Tusenskille 3 7 3" xfId="139"/>
    <cellStyle name="Tusenskille 3 7 4" xfId="229"/>
    <cellStyle name="Tusenskille 3 7 5" xfId="319"/>
    <cellStyle name="Tusenskille 3 7 6" xfId="409"/>
    <cellStyle name="Tusenskille 3 7 7" xfId="499"/>
    <cellStyle name="Tusenskille 3 7 8" xfId="589"/>
    <cellStyle name="Tusenskille 3 7 9" xfId="679"/>
    <cellStyle name="Tusenskille 3 8" xfId="64"/>
    <cellStyle name="Tusenskille 3 8 2" xfId="157"/>
    <cellStyle name="Tusenskille 3 8 3" xfId="247"/>
    <cellStyle name="Tusenskille 3 8 4" xfId="337"/>
    <cellStyle name="Tusenskille 3 8 5" xfId="427"/>
    <cellStyle name="Tusenskille 3 8 6" xfId="517"/>
    <cellStyle name="Tusenskille 3 8 7" xfId="607"/>
    <cellStyle name="Tusenskille 3 8 8" xfId="697"/>
    <cellStyle name="Tusenskille 3 8 9" xfId="794"/>
    <cellStyle name="Tusenskille 3 9" xfId="102"/>
    <cellStyle name="Tusenskille 3 9 2" xfId="194"/>
    <cellStyle name="Tusenskille 3 9 3" xfId="284"/>
    <cellStyle name="Tusenskille 3 9 4" xfId="374"/>
    <cellStyle name="Tusenskille 3 9 5" xfId="464"/>
    <cellStyle name="Tusenskille 3 9 6" xfId="554"/>
    <cellStyle name="Tusenskille 3 9 7" xfId="644"/>
    <cellStyle name="Tusenskille 3 9 8" xfId="734"/>
    <cellStyle name="Tusenskille 3 9 9" xfId="831"/>
    <cellStyle name="Tusenskille 4" xfId="17"/>
    <cellStyle name="Tusenskille 4 2" xfId="753"/>
    <cellStyle name="Tusenskille 5" xfId="13"/>
    <cellStyle name="Tusenskille 5 2" xfId="749"/>
    <cellStyle name="Tusenskille 6" xfId="115"/>
    <cellStyle name="TusenskilleFjernNull" xfId="845"/>
  </cellStyles>
  <dxfs count="192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 Id="rId46"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2016</c:v>
                </c:pt>
              </c:strCache>
            </c:strRef>
          </c:tx>
          <c:invertIfNegative val="0"/>
          <c:cat>
            <c:strRef>
              <c:f>Figurer!$L$10:$L$29</c:f>
              <c:strCache>
                <c:ptCount val="20"/>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SpareBank 1</c:v>
                </c:pt>
                <c:pt idx="17">
                  <c:v>Storebrand </c:v>
                </c:pt>
                <c:pt idx="18">
                  <c:v>Telenor Fors</c:v>
                </c:pt>
                <c:pt idx="19">
                  <c:v>Tryg Fors</c:v>
                </c:pt>
              </c:strCache>
            </c:strRef>
          </c:cat>
          <c:val>
            <c:numRef>
              <c:f>Figurer!$M$10:$M$29</c:f>
              <c:numCache>
                <c:formatCode>#,##0</c:formatCode>
                <c:ptCount val="20"/>
                <c:pt idx="0">
                  <c:v>197548.72899999999</c:v>
                </c:pt>
                <c:pt idx="1">
                  <c:v>4445756.0010000002</c:v>
                </c:pt>
                <c:pt idx="2">
                  <c:v>248926</c:v>
                </c:pt>
                <c:pt idx="3">
                  <c:v>449437</c:v>
                </c:pt>
                <c:pt idx="4">
                  <c:v>4457</c:v>
                </c:pt>
                <c:pt idx="5">
                  <c:v>1139361</c:v>
                </c:pt>
                <c:pt idx="6">
                  <c:v>268828.26399999997</c:v>
                </c:pt>
                <c:pt idx="7">
                  <c:v>20615</c:v>
                </c:pt>
                <c:pt idx="8">
                  <c:v>248460.12299999999</c:v>
                </c:pt>
                <c:pt idx="9">
                  <c:v>17863744.790199999</c:v>
                </c:pt>
                <c:pt idx="10">
                  <c:v>52817</c:v>
                </c:pt>
                <c:pt idx="11">
                  <c:v>118032.765</c:v>
                </c:pt>
                <c:pt idx="12">
                  <c:v>17232</c:v>
                </c:pt>
                <c:pt idx="13">
                  <c:v>1481</c:v>
                </c:pt>
                <c:pt idx="14">
                  <c:v>1314347.7010432926</c:v>
                </c:pt>
                <c:pt idx="15">
                  <c:v>1315437</c:v>
                </c:pt>
                <c:pt idx="16">
                  <c:v>1347598.1754899998</c:v>
                </c:pt>
                <c:pt idx="17">
                  <c:v>4383879.6049999995</c:v>
                </c:pt>
                <c:pt idx="18">
                  <c:v>25828</c:v>
                </c:pt>
                <c:pt idx="19">
                  <c:v>472129.78125</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2017</c:v>
                </c:pt>
              </c:strCache>
            </c:strRef>
          </c:tx>
          <c:invertIfNegative val="0"/>
          <c:cat>
            <c:strRef>
              <c:f>Figurer!$L$10:$L$29</c:f>
              <c:strCache>
                <c:ptCount val="20"/>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SpareBank 1</c:v>
                </c:pt>
                <c:pt idx="17">
                  <c:v>Storebrand </c:v>
                </c:pt>
                <c:pt idx="18">
                  <c:v>Telenor Fors</c:v>
                </c:pt>
                <c:pt idx="19">
                  <c:v>Tryg Fors</c:v>
                </c:pt>
              </c:strCache>
            </c:strRef>
          </c:cat>
          <c:val>
            <c:numRef>
              <c:f>Figurer!$N$10:$N$29</c:f>
              <c:numCache>
                <c:formatCode>#,##0</c:formatCode>
                <c:ptCount val="20"/>
                <c:pt idx="0">
                  <c:v>195763.908</c:v>
                </c:pt>
                <c:pt idx="1">
                  <c:v>3078142</c:v>
                </c:pt>
                <c:pt idx="2">
                  <c:v>154629</c:v>
                </c:pt>
                <c:pt idx="3">
                  <c:v>490232.783</c:v>
                </c:pt>
                <c:pt idx="4">
                  <c:v>4451</c:v>
                </c:pt>
                <c:pt idx="5">
                  <c:v>1205494</c:v>
                </c:pt>
                <c:pt idx="6">
                  <c:v>276379</c:v>
                </c:pt>
                <c:pt idx="7">
                  <c:v>19906</c:v>
                </c:pt>
                <c:pt idx="8">
                  <c:v>286954.01899999997</c:v>
                </c:pt>
                <c:pt idx="9">
                  <c:v>14896769.38098</c:v>
                </c:pt>
                <c:pt idx="10">
                  <c:v>42087</c:v>
                </c:pt>
                <c:pt idx="11">
                  <c:v>128824.133</c:v>
                </c:pt>
                <c:pt idx="12">
                  <c:v>24256</c:v>
                </c:pt>
                <c:pt idx="13">
                  <c:v>2011</c:v>
                </c:pt>
                <c:pt idx="14">
                  <c:v>927868.64466550318</c:v>
                </c:pt>
                <c:pt idx="15">
                  <c:v>1524757</c:v>
                </c:pt>
                <c:pt idx="16">
                  <c:v>1416935.0100199999</c:v>
                </c:pt>
                <c:pt idx="17">
                  <c:v>3161034.8239999996</c:v>
                </c:pt>
                <c:pt idx="18">
                  <c:v>23751</c:v>
                </c:pt>
                <c:pt idx="19">
                  <c:v>458748.43799999997</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a:pPr>
                <a:r>
                  <a:rPr lang="en-US" b="1"/>
                  <a:t>i 1000kr.</a:t>
                </a:r>
              </a:p>
            </c:rich>
          </c:tx>
          <c:layout>
            <c:manualLayout>
              <c:xMode val="edge"/>
              <c:yMode val="edge"/>
              <c:x val="1.9581387667906975E-2"/>
              <c:y val="0.30321655900796829"/>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Figurer!$M$36:$M$46</c:f>
              <c:numCache>
                <c:formatCode>#,##0</c:formatCode>
                <c:ptCount val="11"/>
                <c:pt idx="0">
                  <c:v>797149.23</c:v>
                </c:pt>
                <c:pt idx="1">
                  <c:v>3901376</c:v>
                </c:pt>
                <c:pt idx="2">
                  <c:v>148103</c:v>
                </c:pt>
                <c:pt idx="3">
                  <c:v>934615.7030000001</c:v>
                </c:pt>
                <c:pt idx="4">
                  <c:v>76382.539000000004</c:v>
                </c:pt>
                <c:pt idx="5">
                  <c:v>130945</c:v>
                </c:pt>
                <c:pt idx="6">
                  <c:v>4451546.6203800002</c:v>
                </c:pt>
                <c:pt idx="7">
                  <c:v>64356</c:v>
                </c:pt>
                <c:pt idx="8">
                  <c:v>-0.69540974</c:v>
                </c:pt>
                <c:pt idx="9">
                  <c:v>1016157.0894799998</c:v>
                </c:pt>
                <c:pt idx="10">
                  <c:v>4898885.9740000004</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2017</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Figurer!$N$36:$N$46</c:f>
              <c:numCache>
                <c:formatCode>#,##0</c:formatCode>
                <c:ptCount val="11"/>
                <c:pt idx="0">
                  <c:v>872284.58900000004</c:v>
                </c:pt>
                <c:pt idx="1">
                  <c:v>4145174</c:v>
                </c:pt>
                <c:pt idx="2">
                  <c:v>168384</c:v>
                </c:pt>
                <c:pt idx="3">
                  <c:v>1226333</c:v>
                </c:pt>
                <c:pt idx="4">
                  <c:v>52296.226000000002</c:v>
                </c:pt>
                <c:pt idx="5">
                  <c:v>176194</c:v>
                </c:pt>
                <c:pt idx="6">
                  <c:v>4608895.0639900006</c:v>
                </c:pt>
                <c:pt idx="7">
                  <c:v>59615</c:v>
                </c:pt>
                <c:pt idx="8">
                  <c:v>0</c:v>
                </c:pt>
                <c:pt idx="9">
                  <c:v>1413647.3683399998</c:v>
                </c:pt>
                <c:pt idx="10">
                  <c:v>5054517.3</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2016</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Figurer!$M$60:$M$74</c:f>
              <c:numCache>
                <c:formatCode>#,##0</c:formatCode>
                <c:ptCount val="15"/>
                <c:pt idx="0">
                  <c:v>910116.41500000004</c:v>
                </c:pt>
                <c:pt idx="1">
                  <c:v>204999593</c:v>
                </c:pt>
                <c:pt idx="2">
                  <c:v>0</c:v>
                </c:pt>
                <c:pt idx="3">
                  <c:v>832830</c:v>
                </c:pt>
                <c:pt idx="4">
                  <c:v>0</c:v>
                </c:pt>
                <c:pt idx="5">
                  <c:v>5116874.0429999996</c:v>
                </c:pt>
                <c:pt idx="6">
                  <c:v>28242</c:v>
                </c:pt>
                <c:pt idx="7">
                  <c:v>0</c:v>
                </c:pt>
                <c:pt idx="8">
                  <c:v>408022300.04294997</c:v>
                </c:pt>
                <c:pt idx="9">
                  <c:v>1444299</c:v>
                </c:pt>
                <c:pt idx="10">
                  <c:v>48064765.021499872</c:v>
                </c:pt>
                <c:pt idx="11">
                  <c:v>61571650</c:v>
                </c:pt>
                <c:pt idx="12">
                  <c:v>8612877.0735400002</c:v>
                </c:pt>
                <c:pt idx="13">
                  <c:v>16839593.38775</c:v>
                </c:pt>
                <c:pt idx="14">
                  <c:v>173966226.97000003</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2017</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Figurer!$N$60:$N$74</c:f>
              <c:numCache>
                <c:formatCode>#,##0</c:formatCode>
                <c:ptCount val="15"/>
                <c:pt idx="0">
                  <c:v>981728.21099999989</c:v>
                </c:pt>
                <c:pt idx="1">
                  <c:v>202823706</c:v>
                </c:pt>
                <c:pt idx="2">
                  <c:v>0</c:v>
                </c:pt>
                <c:pt idx="3">
                  <c:v>979049</c:v>
                </c:pt>
                <c:pt idx="4">
                  <c:v>0</c:v>
                </c:pt>
                <c:pt idx="5">
                  <c:v>5705784</c:v>
                </c:pt>
                <c:pt idx="6">
                  <c:v>27134</c:v>
                </c:pt>
                <c:pt idx="7">
                  <c:v>0</c:v>
                </c:pt>
                <c:pt idx="8">
                  <c:v>432230923.24921</c:v>
                </c:pt>
                <c:pt idx="9">
                  <c:v>1534741</c:v>
                </c:pt>
                <c:pt idx="10">
                  <c:v>49325851.608999982</c:v>
                </c:pt>
                <c:pt idx="11">
                  <c:v>66551653</c:v>
                </c:pt>
                <c:pt idx="12">
                  <c:v>0</c:v>
                </c:pt>
                <c:pt idx="13">
                  <c:v>17251701.960609999</c:v>
                </c:pt>
                <c:pt idx="14">
                  <c:v>175952011.514</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Figurer!$M$85:$M$95</c:f>
              <c:numCache>
                <c:formatCode>#,##0</c:formatCode>
                <c:ptCount val="11"/>
                <c:pt idx="0">
                  <c:v>12599531.244999999</c:v>
                </c:pt>
                <c:pt idx="1">
                  <c:v>52892825</c:v>
                </c:pt>
                <c:pt idx="2">
                  <c:v>2394875</c:v>
                </c:pt>
                <c:pt idx="3">
                  <c:v>16013492.852000002</c:v>
                </c:pt>
                <c:pt idx="4">
                  <c:v>2120218.96215</c:v>
                </c:pt>
                <c:pt idx="5">
                  <c:v>1361843</c:v>
                </c:pt>
                <c:pt idx="6">
                  <c:v>42006581.100000001</c:v>
                </c:pt>
                <c:pt idx="7">
                  <c:v>1571024</c:v>
                </c:pt>
                <c:pt idx="8">
                  <c:v>515694.20325000002</c:v>
                </c:pt>
                <c:pt idx="9">
                  <c:v>16928884.25474</c:v>
                </c:pt>
                <c:pt idx="10">
                  <c:v>58026529.603</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2017</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Figurer!$N$85:$N$95</c:f>
              <c:numCache>
                <c:formatCode>#,##0</c:formatCode>
                <c:ptCount val="11"/>
                <c:pt idx="0">
                  <c:v>15516241.074000001</c:v>
                </c:pt>
                <c:pt idx="1">
                  <c:v>67680359</c:v>
                </c:pt>
                <c:pt idx="2">
                  <c:v>2925269</c:v>
                </c:pt>
                <c:pt idx="3">
                  <c:v>20522578</c:v>
                </c:pt>
                <c:pt idx="4">
                  <c:v>2288839.25715</c:v>
                </c:pt>
                <c:pt idx="5">
                  <c:v>2183015</c:v>
                </c:pt>
                <c:pt idx="6">
                  <c:v>52390620</c:v>
                </c:pt>
                <c:pt idx="7">
                  <c:v>1903610</c:v>
                </c:pt>
                <c:pt idx="8">
                  <c:v>0</c:v>
                </c:pt>
                <c:pt idx="9">
                  <c:v>21802567.120070003</c:v>
                </c:pt>
                <c:pt idx="10">
                  <c:v>71261439.237000003</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Figurer!$M$111</c:f>
              <c:strCache>
                <c:ptCount val="1"/>
                <c:pt idx="0">
                  <c:v>2016</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Figurer!$M$112:$M$120</c:f>
              <c:numCache>
                <c:formatCode>#,##0</c:formatCode>
                <c:ptCount val="9"/>
                <c:pt idx="0">
                  <c:v>-12439.066000000001</c:v>
                </c:pt>
                <c:pt idx="1">
                  <c:v>262638</c:v>
                </c:pt>
                <c:pt idx="2">
                  <c:v>18936.523000000001</c:v>
                </c:pt>
                <c:pt idx="3">
                  <c:v>1614478.551</c:v>
                </c:pt>
                <c:pt idx="4">
                  <c:v>-820</c:v>
                </c:pt>
                <c:pt idx="5">
                  <c:v>-123516.09354999999</c:v>
                </c:pt>
                <c:pt idx="6">
                  <c:v>-6471.7848400000003</c:v>
                </c:pt>
                <c:pt idx="7">
                  <c:v>64200.531299999988</c:v>
                </c:pt>
                <c:pt idx="8">
                  <c:v>-1925751.284</c:v>
                </c:pt>
              </c:numCache>
            </c:numRef>
          </c:val>
          <c:extLst>
            <c:ext xmlns:c16="http://schemas.microsoft.com/office/drawing/2014/chart" uri="{C3380CC4-5D6E-409C-BE32-E72D297353CC}">
              <c16:uniqueId val="{00000000-2BF8-4278-857F-91A0E7196849}"/>
            </c:ext>
          </c:extLst>
        </c:ser>
        <c:ser>
          <c:idx val="1"/>
          <c:order val="1"/>
          <c:tx>
            <c:strRef>
              <c:f>Figurer!$N$111</c:f>
              <c:strCache>
                <c:ptCount val="1"/>
                <c:pt idx="0">
                  <c:v>2017</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Figurer!$N$112:$N$120</c:f>
              <c:numCache>
                <c:formatCode>#,##0</c:formatCode>
                <c:ptCount val="9"/>
                <c:pt idx="0">
                  <c:v>6533.34</c:v>
                </c:pt>
                <c:pt idx="1">
                  <c:v>265666</c:v>
                </c:pt>
                <c:pt idx="2">
                  <c:v>28932</c:v>
                </c:pt>
                <c:pt idx="3">
                  <c:v>-27046.426999999996</c:v>
                </c:pt>
                <c:pt idx="4">
                  <c:v>-12133</c:v>
                </c:pt>
                <c:pt idx="5">
                  <c:v>-56828.131709999798</c:v>
                </c:pt>
                <c:pt idx="6">
                  <c:v>0</c:v>
                </c:pt>
                <c:pt idx="7">
                  <c:v>1724.0824799999973</c:v>
                </c:pt>
                <c:pt idx="8">
                  <c:v>-257188.065</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Figurer!$M$137</c:f>
              <c:strCache>
                <c:ptCount val="1"/>
                <c:pt idx="0">
                  <c:v>2016</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Figurer!$M$138:$M$147</c:f>
              <c:numCache>
                <c:formatCode>#,##0</c:formatCode>
                <c:ptCount val="10"/>
                <c:pt idx="0">
                  <c:v>37077.396000000008</c:v>
                </c:pt>
                <c:pt idx="1">
                  <c:v>208921</c:v>
                </c:pt>
                <c:pt idx="2">
                  <c:v>-5750.4639999999999</c:v>
                </c:pt>
                <c:pt idx="3">
                  <c:v>183221.28399999999</c:v>
                </c:pt>
                <c:pt idx="4">
                  <c:v>32282</c:v>
                </c:pt>
                <c:pt idx="5">
                  <c:v>-398530.23641999997</c:v>
                </c:pt>
                <c:pt idx="6">
                  <c:v>48162</c:v>
                </c:pt>
                <c:pt idx="7">
                  <c:v>-19388</c:v>
                </c:pt>
                <c:pt idx="8">
                  <c:v>654348.20671000006</c:v>
                </c:pt>
                <c:pt idx="9">
                  <c:v>-523421.85800000001</c:v>
                </c:pt>
              </c:numCache>
            </c:numRef>
          </c:val>
          <c:extLst>
            <c:ext xmlns:c16="http://schemas.microsoft.com/office/drawing/2014/chart" uri="{C3380CC4-5D6E-409C-BE32-E72D297353CC}">
              <c16:uniqueId val="{00000000-B400-4C26-965B-0553A4A37873}"/>
            </c:ext>
          </c:extLst>
        </c:ser>
        <c:ser>
          <c:idx val="1"/>
          <c:order val="1"/>
          <c:tx>
            <c:strRef>
              <c:f>Figurer!$N$137</c:f>
              <c:strCache>
                <c:ptCount val="1"/>
                <c:pt idx="0">
                  <c:v>2017</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Figurer!$N$138:$N$147</c:f>
              <c:numCache>
                <c:formatCode>#,##0</c:formatCode>
                <c:ptCount val="10"/>
                <c:pt idx="0">
                  <c:v>161022.16700000002</c:v>
                </c:pt>
                <c:pt idx="1">
                  <c:v>1424944</c:v>
                </c:pt>
                <c:pt idx="2">
                  <c:v>-35332.91399999999</c:v>
                </c:pt>
                <c:pt idx="3">
                  <c:v>835231</c:v>
                </c:pt>
                <c:pt idx="4">
                  <c:v>264421</c:v>
                </c:pt>
                <c:pt idx="5">
                  <c:v>-874319.18146000011</c:v>
                </c:pt>
                <c:pt idx="6">
                  <c:v>42014</c:v>
                </c:pt>
                <c:pt idx="7">
                  <c:v>0</c:v>
                </c:pt>
                <c:pt idx="8">
                  <c:v>413293.57460000005</c:v>
                </c:pt>
                <c:pt idx="9">
                  <c:v>-2167031.818</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2017 </a:t>
          </a:r>
          <a:r>
            <a:rPr lang="nb-NO" sz="1100" b="0">
              <a:effectLst/>
              <a:latin typeface="Arial"/>
              <a:ea typeface="ＭＳ 明朝"/>
              <a:cs typeface="Times New Roman"/>
            </a:rPr>
            <a:t>(12.09.2017)</a:t>
          </a:r>
          <a:r>
            <a:rPr lang="nb-NO" sz="1600" b="1">
              <a:effectLst/>
              <a:latin typeface="Arial"/>
              <a:ea typeface="ＭＳ 明朝"/>
              <a:cs typeface="Times New Roman"/>
            </a:rPr>
            <a:t> </a:t>
          </a:r>
        </a:p>
        <a:p>
          <a:pPr>
            <a:spcAft>
              <a:spcPts val="0"/>
            </a:spcAft>
          </a:pPr>
          <a:endParaRPr lang="nb-NO" sz="1600" b="1">
            <a:effectLst/>
            <a:latin typeface="Arial"/>
            <a:ea typeface="ＭＳ 明朝"/>
            <a:cs typeface="Times New Roman"/>
          </a:endParaRPr>
        </a:p>
        <a:p>
          <a:pPr>
            <a:spcAft>
              <a:spcPts val="0"/>
            </a:spcAft>
          </a:pPr>
          <a:r>
            <a:rPr lang="nb-NO" sz="1000" b="0">
              <a:effectLst/>
              <a:latin typeface="Arial"/>
              <a:ea typeface="ＭＳ 明朝"/>
              <a:cs typeface="Times New Roman"/>
            </a:rPr>
            <a:t>Sist endret 17.11.2017</a:t>
          </a:r>
          <a:endParaRPr lang="nb-NO" sz="10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74</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82</xdr:row>
      <xdr:rowOff>57150</xdr:rowOff>
    </xdr:from>
    <xdr:to>
      <xdr:col>9</xdr:col>
      <xdr:colOff>123825</xdr:colOff>
      <xdr:row>102</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109</xdr:row>
      <xdr:rowOff>28575</xdr:rowOff>
    </xdr:from>
    <xdr:to>
      <xdr:col>9</xdr:col>
      <xdr:colOff>180975</xdr:colOff>
      <xdr:row>126</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134</xdr:row>
      <xdr:rowOff>57150</xdr:rowOff>
    </xdr:from>
    <xdr:to>
      <xdr:col>9</xdr:col>
      <xdr:colOff>171450</xdr:colOff>
      <xdr:row>153</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ACE European Group:</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Selskapet har ikke levert data for 2017.</a:t>
          </a:r>
          <a:br>
            <a:rPr lang="nb-NO" sz="1100" b="0" i="0" baseline="0">
              <a:solidFill>
                <a:schemeClr val="dk1"/>
              </a:solidFill>
              <a:effectLst/>
              <a:latin typeface="Times New Roman" panose="02020603050405020304" pitchFamily="18" charset="0"/>
              <a:ea typeface="+mn-ea"/>
              <a:cs typeface="Times New Roman" panose="02020603050405020304" pitchFamily="18" charset="0"/>
            </a:rPr>
          </a:br>
          <a:endParaRPr lang="en-US">
            <a:effectLst/>
            <a:latin typeface="Times New Roman" panose="02020603050405020304" pitchFamily="18" charset="0"/>
            <a:cs typeface="Times New Roman" panose="02020603050405020304" pitchFamily="18" charset="0"/>
          </a:endParaRPr>
        </a:p>
        <a:p>
          <a:pPr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Silver Pensjonsforsikring</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Selskapet har ikke levert data for 2017. </a:t>
          </a:r>
          <a:endParaRPr lang="en-US">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FA/Statistikk%20og%20analyse/Livstatistikk/Faste%20statistikker/MA/2017/Q2/Utkast%20Statistikkskjema%20MA%202%20kvartal%2020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 val="Utkast Statistikkskjema MA 2 kv"/>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topLeftCell="A28" workbookViewId="0">
      <selection activeCell="A56" sqref="A56"/>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651"/>
      <c r="C43" s="651"/>
      <c r="D43" s="651"/>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Q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1.28515625" style="148" bestFit="1" customWidth="1"/>
    <col min="3" max="3" width="11" style="148" customWidth="1"/>
    <col min="4" max="5" width="8.7109375" style="148" customWidth="1"/>
    <col min="6" max="7" width="10.85546875" style="148" customWidth="1"/>
    <col min="8" max="9" width="8.7109375" style="148" customWidth="1"/>
    <col min="10" max="11" width="11.28515625" style="148" bestFit="1" customWidth="1"/>
    <col min="12" max="13" width="8.7109375" style="148" customWidth="1"/>
    <col min="14" max="14" width="11.42578125" style="148"/>
    <col min="15" max="16384" width="11.42578125" style="1"/>
  </cols>
  <sheetData>
    <row r="1" spans="1:17" x14ac:dyDescent="0.2">
      <c r="A1" s="171" t="s">
        <v>152</v>
      </c>
      <c r="B1" s="434"/>
      <c r="C1" s="250" t="s">
        <v>139</v>
      </c>
      <c r="D1" s="26"/>
      <c r="E1" s="26"/>
      <c r="F1" s="26"/>
      <c r="G1" s="26"/>
      <c r="H1" s="26"/>
      <c r="I1" s="26"/>
      <c r="J1" s="26"/>
      <c r="K1" s="26"/>
      <c r="L1" s="26"/>
      <c r="M1" s="26"/>
    </row>
    <row r="2" spans="1:17" ht="15.75" x14ac:dyDescent="0.25">
      <c r="A2" s="164" t="s">
        <v>32</v>
      </c>
      <c r="B2" s="679"/>
      <c r="C2" s="679"/>
      <c r="D2" s="679"/>
      <c r="E2" s="297"/>
      <c r="F2" s="679"/>
      <c r="G2" s="679"/>
      <c r="H2" s="679"/>
      <c r="I2" s="297"/>
      <c r="J2" s="679"/>
      <c r="K2" s="679"/>
      <c r="L2" s="679"/>
      <c r="M2" s="297"/>
    </row>
    <row r="3" spans="1:17" ht="15.75" x14ac:dyDescent="0.25">
      <c r="A3" s="162"/>
      <c r="B3" s="297"/>
      <c r="C3" s="297"/>
      <c r="D3" s="297"/>
      <c r="E3" s="297"/>
      <c r="F3" s="297"/>
      <c r="G3" s="297"/>
      <c r="H3" s="297"/>
      <c r="I3" s="297"/>
      <c r="J3" s="297"/>
      <c r="K3" s="297"/>
      <c r="L3" s="297"/>
      <c r="M3" s="297"/>
    </row>
    <row r="4" spans="1:17" x14ac:dyDescent="0.2">
      <c r="A4" s="143"/>
      <c r="B4" s="676" t="s">
        <v>0</v>
      </c>
      <c r="C4" s="677"/>
      <c r="D4" s="677"/>
      <c r="E4" s="299"/>
      <c r="F4" s="676" t="s">
        <v>1</v>
      </c>
      <c r="G4" s="677"/>
      <c r="H4" s="677"/>
      <c r="I4" s="302"/>
      <c r="J4" s="676" t="s">
        <v>2</v>
      </c>
      <c r="K4" s="677"/>
      <c r="L4" s="677"/>
      <c r="M4" s="302"/>
    </row>
    <row r="5" spans="1:17"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7" x14ac:dyDescent="0.2">
      <c r="A6" s="435"/>
      <c r="B6" s="155"/>
      <c r="C6" s="155"/>
      <c r="D6" s="248" t="s">
        <v>4</v>
      </c>
      <c r="E6" s="155" t="s">
        <v>34</v>
      </c>
      <c r="F6" s="160"/>
      <c r="G6" s="160"/>
      <c r="H6" s="246" t="s">
        <v>4</v>
      </c>
      <c r="I6" s="155" t="s">
        <v>34</v>
      </c>
      <c r="J6" s="160"/>
      <c r="K6" s="160"/>
      <c r="L6" s="246" t="s">
        <v>4</v>
      </c>
      <c r="M6" s="155" t="s">
        <v>34</v>
      </c>
    </row>
    <row r="7" spans="1:17" ht="15.75" x14ac:dyDescent="0.2">
      <c r="A7" s="14" t="s">
        <v>27</v>
      </c>
      <c r="B7" s="304">
        <v>684813</v>
      </c>
      <c r="C7" s="305">
        <v>484191</v>
      </c>
      <c r="D7" s="344">
        <f>IF(B7=0, "    ---- ", IF(ABS(ROUND(100/B7*C7-100,1))&lt;999,ROUND(100/B7*C7-100,1),IF(ROUND(100/B7*C7-100,1)&gt;999,999,-999)))</f>
        <v>-29.3</v>
      </c>
      <c r="E7" s="11">
        <f>IFERROR(100/'Skjema total MA'!C7*C7,0)</f>
        <v>17.781931465258758</v>
      </c>
      <c r="F7" s="304">
        <v>685483</v>
      </c>
      <c r="G7" s="305">
        <v>413634</v>
      </c>
      <c r="H7" s="344">
        <f>IF(F7=0, "    ---- ", IF(ABS(ROUND(100/F7*G7-100,1))&lt;999,ROUND(100/F7*G7-100,1),IF(ROUND(100/F7*G7-100,1)&gt;999,999,-999)))</f>
        <v>-39.700000000000003</v>
      </c>
      <c r="I7" s="159">
        <f>IFERROR(100/'Skjema total MA'!F7*G7,0)</f>
        <v>9.1062369389499906</v>
      </c>
      <c r="J7" s="306">
        <v>1370296</v>
      </c>
      <c r="K7" s="307">
        <v>897825</v>
      </c>
      <c r="L7" s="403">
        <f>IF(J7=0, "    ---- ", IF(ABS(ROUND(100/J7*K7-100,1))&lt;999,ROUND(100/J7*K7-100,1),IF(ROUND(100/J7*K7-100,1)&gt;999,999,-999)))</f>
        <v>-34.5</v>
      </c>
      <c r="M7" s="11">
        <f>IFERROR(100/'Skjema total MA'!I7*K7,0)</f>
        <v>12.357793085497745</v>
      </c>
    </row>
    <row r="8" spans="1:17" ht="15.75" x14ac:dyDescent="0.2">
      <c r="A8" s="21" t="s">
        <v>29</v>
      </c>
      <c r="B8" s="286">
        <v>134839.34099999999</v>
      </c>
      <c r="C8" s="287">
        <v>136294</v>
      </c>
      <c r="D8" s="165">
        <f t="shared" ref="D8:D12" si="0">IF(B8=0, "    ---- ", IF(ABS(ROUND(100/B8*C8-100,1))&lt;999,ROUND(100/B8*C8-100,1),IF(ROUND(100/B8*C8-100,1)&gt;999,999,-999)))</f>
        <v>1.1000000000000001</v>
      </c>
      <c r="E8" s="27">
        <f>IFERROR(100/'Skjema total MA'!C8*C8,0)</f>
        <v>9.0709173975541972</v>
      </c>
      <c r="F8" s="423"/>
      <c r="G8" s="424"/>
      <c r="H8" s="170"/>
      <c r="I8" s="175"/>
      <c r="J8" s="234">
        <v>134839.34099999999</v>
      </c>
      <c r="K8" s="290">
        <v>136294</v>
      </c>
      <c r="L8" s="165">
        <f t="shared" ref="L8:L9" si="1">IF(J8=0, "    ---- ", IF(ABS(ROUND(100/J8*K8-100,1))&lt;999,ROUND(100/J8*K8-100,1),IF(ROUND(100/J8*K8-100,1)&gt;999,999,-999)))</f>
        <v>1.1000000000000001</v>
      </c>
      <c r="M8" s="27">
        <f>IFERROR(100/'Skjema total MA'!I8*K8,0)</f>
        <v>9.0709173975541972</v>
      </c>
    </row>
    <row r="9" spans="1:17" ht="15.75" x14ac:dyDescent="0.2">
      <c r="A9" s="21" t="s">
        <v>28</v>
      </c>
      <c r="B9" s="286">
        <v>60347.000719999902</v>
      </c>
      <c r="C9" s="287">
        <v>57586.463000000003</v>
      </c>
      <c r="D9" s="165">
        <f t="shared" si="0"/>
        <v>-4.5999999999999996</v>
      </c>
      <c r="E9" s="27">
        <f>IFERROR(100/'Skjema total MA'!C9*C9,0)</f>
        <v>7.9545479322308328</v>
      </c>
      <c r="F9" s="423"/>
      <c r="G9" s="424"/>
      <c r="H9" s="170"/>
      <c r="I9" s="175"/>
      <c r="J9" s="234">
        <v>60347.000719999902</v>
      </c>
      <c r="K9" s="290">
        <v>57586.463000000003</v>
      </c>
      <c r="L9" s="165">
        <f t="shared" si="1"/>
        <v>-4.5999999999999996</v>
      </c>
      <c r="M9" s="27">
        <f>IFERROR(100/'Skjema total MA'!I9*K9,0)</f>
        <v>7.9545479322308328</v>
      </c>
    </row>
    <row r="10" spans="1:17" ht="15.75" x14ac:dyDescent="0.2">
      <c r="A10" s="13" t="s">
        <v>26</v>
      </c>
      <c r="B10" s="308">
        <v>18392705</v>
      </c>
      <c r="C10" s="309">
        <v>16486332</v>
      </c>
      <c r="D10" s="170">
        <f t="shared" si="0"/>
        <v>-10.4</v>
      </c>
      <c r="E10" s="11">
        <f>IFERROR(100/'Skjema total MA'!C10*C10,0)</f>
        <v>71.650369747409442</v>
      </c>
      <c r="F10" s="308">
        <v>4614687</v>
      </c>
      <c r="G10" s="309">
        <v>5646532</v>
      </c>
      <c r="H10" s="170">
        <f t="shared" ref="H10:H12" si="2">IF(F10=0, "    ---- ", IF(ABS(ROUND(100/F10*G10-100,1))&lt;999,ROUND(100/F10*G10-100,1),IF(ROUND(100/F10*G10-100,1)&gt;999,999,-999)))</f>
        <v>22.4</v>
      </c>
      <c r="I10" s="159">
        <f>IFERROR(100/'Skjema total MA'!F10*G10,0)</f>
        <v>14.992288817624154</v>
      </c>
      <c r="J10" s="306">
        <v>23007392</v>
      </c>
      <c r="K10" s="307">
        <v>22132864</v>
      </c>
      <c r="L10" s="404">
        <f t="shared" ref="L10:L12" si="3">IF(J10=0, "    ---- ", IF(ABS(ROUND(100/J10*K10-100,1))&lt;999,ROUND(100/J10*K10-100,1),IF(ROUND(100/J10*K10-100,1)&gt;999,999,-999)))</f>
        <v>-3.8</v>
      </c>
      <c r="M10" s="11">
        <f>IFERROR(100/'Skjema total MA'!I10*K10,0)</f>
        <v>36.479340534208681</v>
      </c>
      <c r="Q10" s="148"/>
    </row>
    <row r="11" spans="1:17" s="43" customFormat="1" ht="15.75" x14ac:dyDescent="0.2">
      <c r="A11" s="13" t="s">
        <v>25</v>
      </c>
      <c r="B11" s="308">
        <v>55105</v>
      </c>
      <c r="C11" s="309">
        <v>11125</v>
      </c>
      <c r="D11" s="170">
        <f t="shared" si="0"/>
        <v>-79.8</v>
      </c>
      <c r="E11" s="11">
        <f>IFERROR(100/'Skjema total MA'!C11*C11,0)</f>
        <v>100.00000000000001</v>
      </c>
      <c r="F11" s="308">
        <v>29294</v>
      </c>
      <c r="G11" s="309">
        <v>27708</v>
      </c>
      <c r="H11" s="170">
        <f t="shared" si="2"/>
        <v>-5.4</v>
      </c>
      <c r="I11" s="159">
        <f>IFERROR(100/'Skjema total MA'!F11*G11,0)</f>
        <v>17.216605634678913</v>
      </c>
      <c r="J11" s="306">
        <v>84399</v>
      </c>
      <c r="K11" s="307">
        <v>38833</v>
      </c>
      <c r="L11" s="404">
        <f t="shared" si="3"/>
        <v>-54</v>
      </c>
      <c r="M11" s="11">
        <f>IFERROR(100/'Skjema total MA'!I11*K11,0)</f>
        <v>22.5691053109609</v>
      </c>
      <c r="N11" s="142"/>
    </row>
    <row r="12" spans="1:17" s="43" customFormat="1" ht="15.75" x14ac:dyDescent="0.2">
      <c r="A12" s="41" t="s">
        <v>24</v>
      </c>
      <c r="B12" s="310">
        <v>26590</v>
      </c>
      <c r="C12" s="311">
        <v>716</v>
      </c>
      <c r="D12" s="168">
        <f t="shared" si="0"/>
        <v>-97.3</v>
      </c>
      <c r="E12" s="36">
        <f>IFERROR(100/'Skjema total MA'!C12*C12,0)</f>
        <v>100</v>
      </c>
      <c r="F12" s="310">
        <v>16225</v>
      </c>
      <c r="G12" s="311">
        <v>13081</v>
      </c>
      <c r="H12" s="168">
        <f t="shared" si="2"/>
        <v>-19.399999999999999</v>
      </c>
      <c r="I12" s="168">
        <f>IFERROR(100/'Skjema total MA'!F12*G12,0)</f>
        <v>17.772752510681823</v>
      </c>
      <c r="J12" s="312">
        <v>42815</v>
      </c>
      <c r="K12" s="313">
        <v>13797</v>
      </c>
      <c r="L12" s="405">
        <f t="shared" si="3"/>
        <v>-67.8</v>
      </c>
      <c r="M12" s="36">
        <f>IFERROR(100/'Skjema total MA'!I12*K12,0)</f>
        <v>18.564958446684049</v>
      </c>
      <c r="N12" s="142"/>
      <c r="Q12" s="142"/>
    </row>
    <row r="13" spans="1:17" s="43" customFormat="1" x14ac:dyDescent="0.2">
      <c r="A13" s="167"/>
      <c r="B13" s="144"/>
      <c r="C13" s="33"/>
      <c r="D13" s="158"/>
      <c r="E13" s="158"/>
      <c r="F13" s="144"/>
      <c r="G13" s="33"/>
      <c r="H13" s="158"/>
      <c r="I13" s="158"/>
      <c r="J13" s="48"/>
      <c r="K13" s="48"/>
      <c r="L13" s="158"/>
      <c r="M13" s="158"/>
      <c r="N13" s="142"/>
    </row>
    <row r="14" spans="1:17" x14ac:dyDescent="0.2">
      <c r="A14" s="152" t="s">
        <v>296</v>
      </c>
      <c r="B14" s="26"/>
    </row>
    <row r="15" spans="1:17" x14ac:dyDescent="0.2">
      <c r="F15" s="145"/>
      <c r="G15" s="145"/>
      <c r="H15" s="145"/>
      <c r="I15" s="145"/>
      <c r="J15" s="145"/>
      <c r="K15" s="145"/>
      <c r="L15" s="145"/>
      <c r="M15" s="145"/>
    </row>
    <row r="16" spans="1:17"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v>168295</v>
      </c>
      <c r="C22" s="315">
        <v>324191</v>
      </c>
      <c r="D22" s="344">
        <f t="shared" ref="D22:D37" si="4">IF(B22=0, "    ---- ", IF(ABS(ROUND(100/B22*C22-100,1))&lt;999,ROUND(100/B22*C22-100,1),IF(ROUND(100/B22*C22-100,1)&gt;999,999,-999)))</f>
        <v>92.6</v>
      </c>
      <c r="E22" s="11">
        <f>IFERROR(100/'Skjema total MA'!C22*C22,0)</f>
        <v>33.808509765657</v>
      </c>
      <c r="F22" s="316">
        <v>80574</v>
      </c>
      <c r="G22" s="315">
        <v>83796</v>
      </c>
      <c r="H22" s="344">
        <f t="shared" ref="H22:H33" si="5">IF(F22=0, "    ---- ", IF(ABS(ROUND(100/F22*G22-100,1))&lt;999,ROUND(100/F22*G22-100,1),IF(ROUND(100/F22*G22-100,1)&gt;999,999,-999)))</f>
        <v>4</v>
      </c>
      <c r="I22" s="11">
        <f>IFERROR(100/'Skjema total MA'!F22*G22,0)</f>
        <v>42.029256632952716</v>
      </c>
      <c r="J22" s="314">
        <v>248869</v>
      </c>
      <c r="K22" s="314">
        <v>407987</v>
      </c>
      <c r="L22" s="403">
        <f t="shared" ref="L22:L33" si="6">IF(J22=0, "    ---- ", IF(ABS(ROUND(100/J22*K22-100,1))&lt;999,ROUND(100/J22*K22-100,1),IF(ROUND(100/J22*K22-100,1)&gt;999,999,-999)))</f>
        <v>63.9</v>
      </c>
      <c r="M22" s="24">
        <f>IFERROR(100/'Skjema total MA'!I22*K22,0)</f>
        <v>35.223552938313901</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v>185083.53242</v>
      </c>
      <c r="C27" s="290">
        <v>190441</v>
      </c>
      <c r="D27" s="165">
        <f t="shared" si="4"/>
        <v>2.9</v>
      </c>
      <c r="E27" s="27">
        <f>IFERROR(100/'Skjema total MA'!C27*C27,0)</f>
        <v>19.254653705413599</v>
      </c>
      <c r="F27" s="234"/>
      <c r="G27" s="290"/>
      <c r="H27" s="165"/>
      <c r="I27" s="27"/>
      <c r="J27" s="44">
        <v>185083.53242</v>
      </c>
      <c r="K27" s="44">
        <v>190441</v>
      </c>
      <c r="L27" s="259">
        <f t="shared" si="6"/>
        <v>2.9</v>
      </c>
      <c r="M27" s="23">
        <f>IFERROR(100/'Skjema total MA'!I27*K27,0)</f>
        <v>19.254653705413599</v>
      </c>
    </row>
    <row r="28" spans="1:14" s="3" customFormat="1" ht="15.75" x14ac:dyDescent="0.2">
      <c r="A28" s="13" t="s">
        <v>26</v>
      </c>
      <c r="B28" s="236">
        <v>29674571</v>
      </c>
      <c r="C28" s="307">
        <v>28614660</v>
      </c>
      <c r="D28" s="170">
        <f t="shared" si="4"/>
        <v>-3.6</v>
      </c>
      <c r="E28" s="11">
        <f>IFERROR(100/'Skjema total MA'!C28*C28,0)</f>
        <v>56.160328634956556</v>
      </c>
      <c r="F28" s="306">
        <v>5433167</v>
      </c>
      <c r="G28" s="307">
        <v>5744086</v>
      </c>
      <c r="H28" s="170">
        <f t="shared" si="5"/>
        <v>5.7</v>
      </c>
      <c r="I28" s="11">
        <f>IFERROR(100/'Skjema total MA'!F28*G28,0)</f>
        <v>29.252283404374634</v>
      </c>
      <c r="J28" s="236">
        <v>35107738</v>
      </c>
      <c r="K28" s="236">
        <v>34358746</v>
      </c>
      <c r="L28" s="404">
        <f t="shared" si="6"/>
        <v>-2.1</v>
      </c>
      <c r="M28" s="24">
        <f>IFERROR(100/'Skjema total MA'!I28*K28,0)</f>
        <v>48.674983669557328</v>
      </c>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v>18629</v>
      </c>
      <c r="C32" s="307">
        <v>18919</v>
      </c>
      <c r="D32" s="170">
        <f t="shared" si="4"/>
        <v>1.6</v>
      </c>
      <c r="E32" s="11">
        <f>IFERROR(100/'Skjema total MA'!C32*C32,0)</f>
        <v>80.57833771987454</v>
      </c>
      <c r="F32" s="306">
        <v>-54284</v>
      </c>
      <c r="G32" s="307">
        <v>-37479</v>
      </c>
      <c r="H32" s="170">
        <f t="shared" si="5"/>
        <v>-31</v>
      </c>
      <c r="I32" s="11">
        <f>IFERROR(100/'Skjema total MA'!F32*G32,0)</f>
        <v>-200.07733034995053</v>
      </c>
      <c r="J32" s="236">
        <v>-35655</v>
      </c>
      <c r="K32" s="236">
        <v>-18560</v>
      </c>
      <c r="L32" s="404">
        <f t="shared" si="6"/>
        <v>-47.9</v>
      </c>
      <c r="M32" s="24">
        <f>IFERROR(100/'Skjema total MA'!I32*K32,0)</f>
        <v>-43.969297912754158</v>
      </c>
    </row>
    <row r="33" spans="1:14" ht="15.75" x14ac:dyDescent="0.2">
      <c r="A33" s="13" t="s">
        <v>24</v>
      </c>
      <c r="B33" s="236">
        <v>-52669</v>
      </c>
      <c r="C33" s="307">
        <v>-34211</v>
      </c>
      <c r="D33" s="170">
        <f t="shared" si="4"/>
        <v>-35</v>
      </c>
      <c r="E33" s="11">
        <f>IFERROR(100/'Skjema total MA'!C33*C33,0)</f>
        <v>109.74133875994903</v>
      </c>
      <c r="F33" s="306">
        <v>32083</v>
      </c>
      <c r="G33" s="307">
        <v>13387</v>
      </c>
      <c r="H33" s="170">
        <f t="shared" si="5"/>
        <v>-58.3</v>
      </c>
      <c r="I33" s="11">
        <f>IFERROR(100/'Skjema total MA'!F33*G33,0)</f>
        <v>20.442332516451849</v>
      </c>
      <c r="J33" s="236">
        <v>-20586</v>
      </c>
      <c r="K33" s="236">
        <v>-20824</v>
      </c>
      <c r="L33" s="404">
        <f t="shared" si="6"/>
        <v>1.2</v>
      </c>
      <c r="M33" s="24">
        <f>IFERROR(100/'Skjema total MA'!I33*K33,0)</f>
        <v>-60.689355879752341</v>
      </c>
    </row>
    <row r="34" spans="1:14" ht="15.75" x14ac:dyDescent="0.2">
      <c r="A34" s="12" t="s">
        <v>308</v>
      </c>
      <c r="B34" s="236">
        <v>2822</v>
      </c>
      <c r="C34" s="307">
        <v>2300</v>
      </c>
      <c r="D34" s="170">
        <f t="shared" si="4"/>
        <v>-18.5</v>
      </c>
      <c r="E34" s="11">
        <f>100/'Skjema total MA'!C34*C34</f>
        <v>98.613494270555975</v>
      </c>
      <c r="F34" s="425"/>
      <c r="G34" s="426"/>
      <c r="H34" s="170"/>
      <c r="I34" s="410"/>
      <c r="J34" s="236">
        <v>2822</v>
      </c>
      <c r="K34" s="236">
        <v>2300</v>
      </c>
      <c r="L34" s="404"/>
      <c r="M34" s="24">
        <f>IFERROR(100/'Skjema total MA'!I34*K34,0)</f>
        <v>98.613494270555975</v>
      </c>
    </row>
    <row r="35" spans="1:14" ht="15.75" x14ac:dyDescent="0.2">
      <c r="A35" s="12" t="s">
        <v>309</v>
      </c>
      <c r="B35" s="236">
        <v>3697850</v>
      </c>
      <c r="C35" s="307">
        <v>3574782</v>
      </c>
      <c r="D35" s="170">
        <f t="shared" si="4"/>
        <v>-3.3</v>
      </c>
      <c r="E35" s="11">
        <f>100/'Skjema total MA'!C35*C35</f>
        <v>87.941458303502699</v>
      </c>
      <c r="F35" s="425"/>
      <c r="G35" s="427"/>
      <c r="H35" s="170"/>
      <c r="I35" s="410"/>
      <c r="J35" s="236">
        <v>3697850</v>
      </c>
      <c r="K35" s="236">
        <v>3574782</v>
      </c>
      <c r="L35" s="404"/>
      <c r="M35" s="24">
        <f>IFERROR(100/'Skjema total MA'!I35*K35,0)</f>
        <v>87.941458303502699</v>
      </c>
    </row>
    <row r="36" spans="1:14" ht="15.75" x14ac:dyDescent="0.2">
      <c r="A36" s="12" t="s">
        <v>310</v>
      </c>
      <c r="B36" s="236"/>
      <c r="C36" s="307"/>
      <c r="D36" s="170"/>
      <c r="E36" s="11"/>
      <c r="F36" s="425"/>
      <c r="G36" s="426"/>
      <c r="H36" s="170"/>
      <c r="I36" s="410"/>
      <c r="J36" s="236"/>
      <c r="K36" s="236"/>
      <c r="L36" s="404"/>
      <c r="M36" s="24"/>
    </row>
    <row r="37" spans="1:14" ht="15.75" x14ac:dyDescent="0.2">
      <c r="A37" s="18" t="s">
        <v>311</v>
      </c>
      <c r="B37" s="281">
        <v>9</v>
      </c>
      <c r="C37" s="313">
        <v>4</v>
      </c>
      <c r="D37" s="168">
        <f t="shared" si="4"/>
        <v>-55.6</v>
      </c>
      <c r="E37" s="11">
        <f>100/'Skjema total MA'!C37*C37</f>
        <v>100</v>
      </c>
      <c r="F37" s="428"/>
      <c r="G37" s="429"/>
      <c r="H37" s="168"/>
      <c r="I37" s="36"/>
      <c r="J37" s="236">
        <v>9</v>
      </c>
      <c r="K37" s="236">
        <v>4</v>
      </c>
      <c r="L37" s="405"/>
      <c r="M37" s="36">
        <f>IFERROR(100/'Skjema total MA'!I37*K37,0)</f>
        <v>100</v>
      </c>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409011</v>
      </c>
      <c r="C45" s="309">
        <v>386875</v>
      </c>
      <c r="D45" s="403">
        <f t="shared" ref="D45:D55" si="7">IF(B45=0, "    ---- ", IF(ABS(ROUND(100/B45*C45-100,1))&lt;999,ROUND(100/B45*C45-100,1),IF(ROUND(100/B45*C45-100,1)&gt;999,999,-999)))</f>
        <v>-5.4</v>
      </c>
      <c r="E45" s="11">
        <f>IFERROR(100/'Skjema total MA'!C45*C45,0)</f>
        <v>14.109237030165062</v>
      </c>
      <c r="F45" s="144"/>
      <c r="G45" s="33"/>
      <c r="H45" s="158"/>
      <c r="I45" s="158"/>
      <c r="J45" s="37"/>
      <c r="K45" s="37"/>
      <c r="L45" s="158"/>
      <c r="M45" s="158"/>
      <c r="N45" s="147"/>
    </row>
    <row r="46" spans="1:14" s="3" customFormat="1" ht="15.75" x14ac:dyDescent="0.2">
      <c r="A46" s="38" t="s">
        <v>312</v>
      </c>
      <c r="B46" s="286">
        <v>304543</v>
      </c>
      <c r="C46" s="287">
        <v>265346</v>
      </c>
      <c r="D46" s="259">
        <f t="shared" si="7"/>
        <v>-12.9</v>
      </c>
      <c r="E46" s="27">
        <f>IFERROR(100/'Skjema total MA'!C46*C46,0)</f>
        <v>18.230194939972442</v>
      </c>
      <c r="F46" s="144"/>
      <c r="G46" s="33"/>
      <c r="H46" s="144"/>
      <c r="I46" s="144"/>
      <c r="J46" s="33"/>
      <c r="K46" s="33"/>
      <c r="L46" s="158"/>
      <c r="M46" s="158"/>
      <c r="N46" s="147"/>
    </row>
    <row r="47" spans="1:14" s="3" customFormat="1" ht="15.75" x14ac:dyDescent="0.2">
      <c r="A47" s="38" t="s">
        <v>313</v>
      </c>
      <c r="B47" s="44">
        <v>104468</v>
      </c>
      <c r="C47" s="290">
        <v>121529</v>
      </c>
      <c r="D47" s="259">
        <f>IF(B47=0, "    ---- ", IF(ABS(ROUND(100/B47*C47-100,1))&lt;999,ROUND(100/B47*C47-100,1),IF(ROUND(100/B47*C47-100,1)&gt;999,999,-999)))</f>
        <v>16.3</v>
      </c>
      <c r="E47" s="27">
        <f>IFERROR(100/'Skjema total MA'!C47*C47,0)</f>
        <v>9.4467192889011358</v>
      </c>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v>22258</v>
      </c>
      <c r="C51" s="309">
        <v>17532</v>
      </c>
      <c r="D51" s="404">
        <f t="shared" si="7"/>
        <v>-21.2</v>
      </c>
      <c r="E51" s="11">
        <f>IFERROR(100/'Skjema total MA'!C51*C51,0)</f>
        <v>12.375569916277067</v>
      </c>
      <c r="F51" s="144"/>
      <c r="G51" s="33"/>
      <c r="H51" s="144"/>
      <c r="I51" s="144"/>
      <c r="J51" s="33"/>
      <c r="K51" s="33"/>
      <c r="L51" s="158"/>
      <c r="M51" s="158"/>
      <c r="N51" s="147"/>
    </row>
    <row r="52" spans="1:14" s="3" customFormat="1" ht="15.75" x14ac:dyDescent="0.2">
      <c r="A52" s="38" t="s">
        <v>312</v>
      </c>
      <c r="B52" s="286">
        <v>22258</v>
      </c>
      <c r="C52" s="287">
        <v>17532</v>
      </c>
      <c r="D52" s="259">
        <f t="shared" si="7"/>
        <v>-21.2</v>
      </c>
      <c r="E52" s="27">
        <f>IFERROR(100/'Skjema total MA'!C52*C52,0)</f>
        <v>20.792885180400042</v>
      </c>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v>6221</v>
      </c>
      <c r="C54" s="309">
        <v>38332</v>
      </c>
      <c r="D54" s="404">
        <f t="shared" si="7"/>
        <v>516.20000000000005</v>
      </c>
      <c r="E54" s="11">
        <f>IFERROR(100/'Skjema total MA'!C54*C54,0)</f>
        <v>44.409705321006101</v>
      </c>
      <c r="F54" s="144"/>
      <c r="G54" s="33"/>
      <c r="H54" s="144"/>
      <c r="I54" s="144"/>
      <c r="J54" s="33"/>
      <c r="K54" s="33"/>
      <c r="L54" s="158"/>
      <c r="M54" s="158"/>
      <c r="N54" s="147"/>
    </row>
    <row r="55" spans="1:14" s="3" customFormat="1" ht="15.75" x14ac:dyDescent="0.2">
      <c r="A55" s="38" t="s">
        <v>312</v>
      </c>
      <c r="B55" s="286">
        <v>6221</v>
      </c>
      <c r="C55" s="287">
        <v>38332</v>
      </c>
      <c r="D55" s="259">
        <f t="shared" si="7"/>
        <v>516.20000000000005</v>
      </c>
      <c r="E55" s="27">
        <f>IFERROR(100/'Skjema total MA'!C55*C55,0)</f>
        <v>44.409705321006101</v>
      </c>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v>3180815</v>
      </c>
      <c r="C64" s="347">
        <v>1880585</v>
      </c>
      <c r="D64" s="344">
        <f t="shared" ref="D64:D109" si="8">IF(B64=0, "    ---- ", IF(ABS(ROUND(100/B64*C64-100,1))&lt;999,ROUND(100/B64*C64-100,1),IF(ROUND(100/B64*C64-100,1)&gt;999,999,-999)))</f>
        <v>-40.9</v>
      </c>
      <c r="E64" s="11">
        <f>IFERROR(100/'Skjema total MA'!C64*C64,0)</f>
        <v>35.012022613657933</v>
      </c>
      <c r="F64" s="346">
        <v>3135319</v>
      </c>
      <c r="G64" s="346">
        <v>3647744</v>
      </c>
      <c r="H64" s="344">
        <f t="shared" ref="H64:H109" si="9">IF(F64=0, "    ---- ", IF(ABS(ROUND(100/F64*G64-100,1))&lt;999,ROUND(100/F64*G64-100,1),IF(ROUND(100/F64*G64-100,1)&gt;999,999,-999)))</f>
        <v>16.3</v>
      </c>
      <c r="I64" s="11">
        <f>IFERROR(100/'Skjema total MA'!F64*G64,0)</f>
        <v>28.095545470846055</v>
      </c>
      <c r="J64" s="307">
        <v>6316134</v>
      </c>
      <c r="K64" s="314">
        <v>5528329</v>
      </c>
      <c r="L64" s="404">
        <f t="shared" ref="L64:L109" si="10">IF(J64=0, "    ---- ", IF(ABS(ROUND(100/J64*K64-100,1))&lt;999,ROUND(100/J64*K64-100,1),IF(ROUND(100/J64*K64-100,1)&gt;999,999,-999)))</f>
        <v>-12.5</v>
      </c>
      <c r="M64" s="11">
        <f>IFERROR(100/'Skjema total MA'!I64*K64,0)</f>
        <v>30.119569144443737</v>
      </c>
    </row>
    <row r="65" spans="1:14" x14ac:dyDescent="0.2">
      <c r="A65" s="21" t="s">
        <v>9</v>
      </c>
      <c r="B65" s="44">
        <v>3180815</v>
      </c>
      <c r="C65" s="144">
        <v>1880585</v>
      </c>
      <c r="D65" s="165">
        <f t="shared" si="8"/>
        <v>-40.9</v>
      </c>
      <c r="E65" s="27">
        <f>IFERROR(100/'Skjema total MA'!C65*C65,0)</f>
        <v>36.646117598877758</v>
      </c>
      <c r="F65" s="234"/>
      <c r="G65" s="144"/>
      <c r="H65" s="165"/>
      <c r="I65" s="27"/>
      <c r="J65" s="290">
        <v>3180815</v>
      </c>
      <c r="K65" s="44">
        <v>1880585</v>
      </c>
      <c r="L65" s="259">
        <f t="shared" si="10"/>
        <v>-40.9</v>
      </c>
      <c r="M65" s="27">
        <f>IFERROR(100/'Skjema total MA'!I65*K65,0)</f>
        <v>36.646117598877758</v>
      </c>
    </row>
    <row r="66" spans="1:14" x14ac:dyDescent="0.2">
      <c r="A66" s="21" t="s">
        <v>10</v>
      </c>
      <c r="B66" s="292"/>
      <c r="C66" s="293"/>
      <c r="D66" s="165"/>
      <c r="E66" s="27"/>
      <c r="F66" s="292">
        <v>3135319</v>
      </c>
      <c r="G66" s="293">
        <v>3647744</v>
      </c>
      <c r="H66" s="165">
        <f t="shared" si="9"/>
        <v>16.3</v>
      </c>
      <c r="I66" s="27">
        <f>IFERROR(100/'Skjema total MA'!F66*G66,0)</f>
        <v>28.378038114044735</v>
      </c>
      <c r="J66" s="290">
        <v>3135319</v>
      </c>
      <c r="K66" s="44">
        <v>3647744</v>
      </c>
      <c r="L66" s="259">
        <f t="shared" si="10"/>
        <v>16.3</v>
      </c>
      <c r="M66" s="27">
        <f>IFERROR(100/'Skjema total MA'!I66*K66,0)</f>
        <v>28.121040734783982</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v>18056</v>
      </c>
      <c r="D74" s="165" t="str">
        <f t="shared" ref="D74" si="11">IF(B74=0, "    ---- ", IF(ABS(ROUND(100/B74*C74-100,1))&lt;999,ROUND(100/B74*C74-100,1),IF(ROUND(100/B74*C74-100,1)&gt;999,999,-999)))</f>
        <v xml:space="preserve">    ---- </v>
      </c>
      <c r="E74" s="27">
        <f>IFERROR(100/'Skjema total MA'!C75*C74,0)</f>
        <v>0.35374330266888632</v>
      </c>
      <c r="F74" s="234"/>
      <c r="G74" s="144"/>
      <c r="H74" s="165"/>
      <c r="I74" s="27"/>
      <c r="J74" s="290"/>
      <c r="K74" s="44">
        <v>18056</v>
      </c>
      <c r="L74" s="259" t="str">
        <f t="shared" ref="L74" si="12">IF(J74=0, "    ---- ", IF(ABS(ROUND(100/J74*K74-100,1))&lt;999,ROUND(100/J74*K74-100,1),IF(ROUND(100/J74*K74-100,1)&gt;999,999,-999)))</f>
        <v xml:space="preserve">    ---- </v>
      </c>
      <c r="M74" s="27">
        <f>IFERROR(100/'Skjema total MA'!I75*K74,0)</f>
        <v>0.10059062386446037</v>
      </c>
      <c r="N74" s="147"/>
    </row>
    <row r="75" spans="1:14" ht="15.75" x14ac:dyDescent="0.2">
      <c r="A75" s="21" t="s">
        <v>318</v>
      </c>
      <c r="B75" s="234">
        <v>3153597</v>
      </c>
      <c r="C75" s="234">
        <v>1860082.17</v>
      </c>
      <c r="D75" s="165">
        <f t="shared" si="8"/>
        <v>-41</v>
      </c>
      <c r="E75" s="27">
        <f>IFERROR(100/'Skjema total MA'!C75*C75,0)</f>
        <v>36.441715222159324</v>
      </c>
      <c r="F75" s="234">
        <v>3135319</v>
      </c>
      <c r="G75" s="144">
        <v>3647744</v>
      </c>
      <c r="H75" s="165">
        <f t="shared" si="9"/>
        <v>16.3</v>
      </c>
      <c r="I75" s="27">
        <f>IFERROR(100/'Skjema total MA'!F75*G75,0)</f>
        <v>28.396577919733637</v>
      </c>
      <c r="J75" s="290">
        <v>6288916</v>
      </c>
      <c r="K75" s="44">
        <v>5507826.1699999999</v>
      </c>
      <c r="L75" s="259">
        <f t="shared" si="10"/>
        <v>-12.4</v>
      </c>
      <c r="M75" s="27">
        <f>IFERROR(100/'Skjema total MA'!I75*K75,0)</f>
        <v>30.68429721850362</v>
      </c>
    </row>
    <row r="76" spans="1:14" x14ac:dyDescent="0.2">
      <c r="A76" s="21" t="s">
        <v>9</v>
      </c>
      <c r="B76" s="234">
        <v>3153597</v>
      </c>
      <c r="C76" s="144">
        <v>1860082.17</v>
      </c>
      <c r="D76" s="165">
        <f t="shared" si="8"/>
        <v>-41</v>
      </c>
      <c r="E76" s="27">
        <f>IFERROR(100/'Skjema total MA'!C76*C76,0)</f>
        <v>37.28357205349969</v>
      </c>
      <c r="F76" s="234"/>
      <c r="G76" s="144"/>
      <c r="H76" s="165"/>
      <c r="I76" s="27"/>
      <c r="J76" s="290">
        <v>3153597</v>
      </c>
      <c r="K76" s="44">
        <v>1860082.17</v>
      </c>
      <c r="L76" s="259">
        <f t="shared" si="10"/>
        <v>-41</v>
      </c>
      <c r="M76" s="27">
        <f>IFERROR(100/'Skjema total MA'!I76*K76,0)</f>
        <v>37.28357205349969</v>
      </c>
    </row>
    <row r="77" spans="1:14" x14ac:dyDescent="0.2">
      <c r="A77" s="21" t="s">
        <v>10</v>
      </c>
      <c r="B77" s="292"/>
      <c r="C77" s="293"/>
      <c r="D77" s="165"/>
      <c r="E77" s="27"/>
      <c r="F77" s="292">
        <v>3135319</v>
      </c>
      <c r="G77" s="293">
        <v>3647744</v>
      </c>
      <c r="H77" s="165">
        <f t="shared" si="9"/>
        <v>16.3</v>
      </c>
      <c r="I77" s="27">
        <f>IFERROR(100/'Skjema total MA'!F77*G77,0)</f>
        <v>28.396577919733637</v>
      </c>
      <c r="J77" s="290">
        <v>3135319</v>
      </c>
      <c r="K77" s="44">
        <v>3647744</v>
      </c>
      <c r="L77" s="259">
        <f t="shared" si="10"/>
        <v>16.3</v>
      </c>
      <c r="M77" s="27">
        <f>IFERROR(100/'Skjema total MA'!I77*K77,0)</f>
        <v>28.144065621302516</v>
      </c>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v>27218</v>
      </c>
      <c r="C84" s="144">
        <v>20502.830000000002</v>
      </c>
      <c r="D84" s="165">
        <f t="shared" si="8"/>
        <v>-24.7</v>
      </c>
      <c r="E84" s="27">
        <f>IFERROR(100/'Skjema total MA'!C84*C84,0)</f>
        <v>14.144638673889016</v>
      </c>
      <c r="F84" s="234"/>
      <c r="G84" s="144"/>
      <c r="H84" s="165"/>
      <c r="I84" s="27"/>
      <c r="J84" s="290">
        <v>27218</v>
      </c>
      <c r="K84" s="44">
        <v>20502.830000000002</v>
      </c>
      <c r="L84" s="259">
        <f t="shared" si="10"/>
        <v>-24.7</v>
      </c>
      <c r="M84" s="27">
        <f>IFERROR(100/'Skjema total MA'!I84*K84,0)</f>
        <v>13.370520072326583</v>
      </c>
    </row>
    <row r="85" spans="1:13" ht="15.75" x14ac:dyDescent="0.2">
      <c r="A85" s="13" t="s">
        <v>26</v>
      </c>
      <c r="B85" s="347">
        <v>151088177</v>
      </c>
      <c r="C85" s="347">
        <v>154147932</v>
      </c>
      <c r="D85" s="170">
        <f t="shared" si="8"/>
        <v>2</v>
      </c>
      <c r="E85" s="11">
        <f>IFERROR(100/'Skjema total MA'!C85*C85,0)</f>
        <v>41.236955211613811</v>
      </c>
      <c r="F85" s="346">
        <v>42844971</v>
      </c>
      <c r="G85" s="346">
        <v>56289741</v>
      </c>
      <c r="H85" s="170">
        <f t="shared" si="9"/>
        <v>31.4</v>
      </c>
      <c r="I85" s="11">
        <f>IFERROR(100/'Skjema total MA'!F85*G85,0)</f>
        <v>28.302455441479591</v>
      </c>
      <c r="J85" s="307">
        <v>193933148</v>
      </c>
      <c r="K85" s="236">
        <v>210437673</v>
      </c>
      <c r="L85" s="404">
        <f t="shared" si="10"/>
        <v>8.5</v>
      </c>
      <c r="M85" s="11">
        <f>IFERROR(100/'Skjema total MA'!I85*K85,0)</f>
        <v>36.745054228209334</v>
      </c>
    </row>
    <row r="86" spans="1:13" x14ac:dyDescent="0.2">
      <c r="A86" s="21" t="s">
        <v>9</v>
      </c>
      <c r="B86" s="234">
        <v>150989793</v>
      </c>
      <c r="C86" s="144">
        <v>154051756</v>
      </c>
      <c r="D86" s="165">
        <f t="shared" si="8"/>
        <v>2</v>
      </c>
      <c r="E86" s="27">
        <f>IFERROR(100/'Skjema total MA'!C86*C86,0)</f>
        <v>41.515725769185764</v>
      </c>
      <c r="F86" s="234"/>
      <c r="G86" s="144"/>
      <c r="H86" s="165"/>
      <c r="I86" s="27"/>
      <c r="J86" s="290">
        <v>150989793</v>
      </c>
      <c r="K86" s="44">
        <v>154051756</v>
      </c>
      <c r="L86" s="259">
        <f t="shared" si="10"/>
        <v>2</v>
      </c>
      <c r="M86" s="27">
        <f>IFERROR(100/'Skjema total MA'!I86*K86,0)</f>
        <v>41.515725769185764</v>
      </c>
    </row>
    <row r="87" spans="1:13" x14ac:dyDescent="0.2">
      <c r="A87" s="21" t="s">
        <v>10</v>
      </c>
      <c r="B87" s="234">
        <v>98384</v>
      </c>
      <c r="C87" s="144">
        <v>96176</v>
      </c>
      <c r="D87" s="165">
        <f t="shared" si="8"/>
        <v>-2.2000000000000002</v>
      </c>
      <c r="E87" s="27">
        <f>IFERROR(100/'Skjema total MA'!C87*C87,0)</f>
        <v>3.8484262504543088</v>
      </c>
      <c r="F87" s="234">
        <v>42844971</v>
      </c>
      <c r="G87" s="144">
        <v>56289741</v>
      </c>
      <c r="H87" s="165">
        <f t="shared" si="9"/>
        <v>31.4</v>
      </c>
      <c r="I87" s="27">
        <f>IFERROR(100/'Skjema total MA'!F87*G87,0)</f>
        <v>28.35369206019482</v>
      </c>
      <c r="J87" s="290">
        <v>42943355</v>
      </c>
      <c r="K87" s="44">
        <v>56385917</v>
      </c>
      <c r="L87" s="259">
        <f t="shared" si="10"/>
        <v>31.3</v>
      </c>
      <c r="M87" s="27">
        <f>IFERROR(100/'Skjema total MA'!I87*K87,0)</f>
        <v>28.049049580070186</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v>261562</v>
      </c>
      <c r="D95" s="165" t="str">
        <f t="shared" ref="D95" si="13">IF(B95=0, "    ---- ", IF(ABS(ROUND(100/B95*C95-100,1))&lt;999,ROUND(100/B95*C95-100,1),IF(ROUND(100/B95*C95-100,1)&gt;999,999,-999)))</f>
        <v xml:space="preserve">    ---- </v>
      </c>
      <c r="E95" s="27">
        <f>IFERROR(100/'Skjema total MA'!C96*C95,0)</f>
        <v>7.094965715725228E-2</v>
      </c>
      <c r="F95" s="234"/>
      <c r="G95" s="144"/>
      <c r="H95" s="165"/>
      <c r="I95" s="27"/>
      <c r="J95" s="290"/>
      <c r="K95" s="44">
        <v>261562</v>
      </c>
      <c r="L95" s="259" t="str">
        <f t="shared" ref="L95" si="14">IF(J95=0, "    ---- ", IF(ABS(ROUND(100/J95*K95-100,1))&lt;999,ROUND(100/J95*K95-100,1),IF(ROUND(100/J95*K95-100,1)&gt;999,999,-999)))</f>
        <v xml:space="preserve">    ---- </v>
      </c>
      <c r="M95" s="27">
        <f>IFERROR(100/'Skjema total MA'!I96*K95,0)</f>
        <v>4.6159128123456822E-2</v>
      </c>
    </row>
    <row r="96" spans="1:13" ht="15.75" x14ac:dyDescent="0.2">
      <c r="A96" s="21" t="s">
        <v>318</v>
      </c>
      <c r="B96" s="234">
        <v>149749776</v>
      </c>
      <c r="C96" s="234">
        <v>152799013</v>
      </c>
      <c r="D96" s="165">
        <f t="shared" si="8"/>
        <v>2</v>
      </c>
      <c r="E96" s="27">
        <f>IFERROR(100/'Skjema total MA'!C96*C96,0)</f>
        <v>41.447295808705135</v>
      </c>
      <c r="F96" s="292">
        <v>42674479.577</v>
      </c>
      <c r="G96" s="292">
        <v>56143714</v>
      </c>
      <c r="H96" s="165">
        <f t="shared" si="9"/>
        <v>31.6</v>
      </c>
      <c r="I96" s="27">
        <f>IFERROR(100/'Skjema total MA'!F96*G96,0)</f>
        <v>28.356236676261286</v>
      </c>
      <c r="J96" s="290">
        <v>192424255.57699999</v>
      </c>
      <c r="K96" s="44">
        <v>208942727</v>
      </c>
      <c r="L96" s="259">
        <f t="shared" si="10"/>
        <v>8.6</v>
      </c>
      <c r="M96" s="27">
        <f>IFERROR(100/'Skjema total MA'!I96*K96,0)</f>
        <v>36.873147116390996</v>
      </c>
    </row>
    <row r="97" spans="1:13" x14ac:dyDescent="0.2">
      <c r="A97" s="21" t="s">
        <v>9</v>
      </c>
      <c r="B97" s="292">
        <v>149651392</v>
      </c>
      <c r="C97" s="293">
        <v>152702837</v>
      </c>
      <c r="D97" s="165">
        <f t="shared" si="8"/>
        <v>2</v>
      </c>
      <c r="E97" s="27">
        <f>IFERROR(100/'Skjema total MA'!C97*C97,0)</f>
        <v>41.703914357300242</v>
      </c>
      <c r="F97" s="234"/>
      <c r="G97" s="144"/>
      <c r="H97" s="165"/>
      <c r="I97" s="27"/>
      <c r="J97" s="290">
        <v>149651392</v>
      </c>
      <c r="K97" s="44">
        <v>152702837</v>
      </c>
      <c r="L97" s="259">
        <f t="shared" si="10"/>
        <v>2</v>
      </c>
      <c r="M97" s="27">
        <f>IFERROR(100/'Skjema total MA'!I97*K97,0)</f>
        <v>41.703914357300242</v>
      </c>
    </row>
    <row r="98" spans="1:13" x14ac:dyDescent="0.2">
      <c r="A98" s="21" t="s">
        <v>10</v>
      </c>
      <c r="B98" s="292">
        <v>98384</v>
      </c>
      <c r="C98" s="293">
        <v>96176</v>
      </c>
      <c r="D98" s="165">
        <f t="shared" si="8"/>
        <v>-2.2000000000000002</v>
      </c>
      <c r="E98" s="27">
        <f>IFERROR(100/'Skjema total MA'!C98*C98,0)</f>
        <v>3.8484262504543088</v>
      </c>
      <c r="F98" s="234">
        <v>42674479.577</v>
      </c>
      <c r="G98" s="234">
        <v>56143714</v>
      </c>
      <c r="H98" s="165">
        <f t="shared" si="9"/>
        <v>31.6</v>
      </c>
      <c r="I98" s="27">
        <f>IFERROR(100/'Skjema total MA'!F98*G98,0)</f>
        <v>28.356236676261286</v>
      </c>
      <c r="J98" s="290">
        <v>42772863.577</v>
      </c>
      <c r="K98" s="44">
        <v>56239890</v>
      </c>
      <c r="L98" s="259">
        <f t="shared" si="10"/>
        <v>31.5</v>
      </c>
      <c r="M98" s="27">
        <f>IFERROR(100/'Skjema total MA'!I98*K98,0)</f>
        <v>28.050752925079038</v>
      </c>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v>1338401</v>
      </c>
      <c r="C105" s="144">
        <v>1348919</v>
      </c>
      <c r="D105" s="165">
        <f t="shared" si="8"/>
        <v>0.8</v>
      </c>
      <c r="E105" s="27">
        <f>IFERROR(100/'Skjema total MA'!C105*C105,0)</f>
        <v>27.478726031211622</v>
      </c>
      <c r="F105" s="234">
        <v>170491.864</v>
      </c>
      <c r="G105" s="144">
        <v>146027</v>
      </c>
      <c r="H105" s="165">
        <f t="shared" si="9"/>
        <v>-14.3</v>
      </c>
      <c r="I105" s="27">
        <f>IFERROR(100/'Skjema total MA'!F105*G105,0)</f>
        <v>27.408064722402369</v>
      </c>
      <c r="J105" s="290">
        <v>1508892.8640000001</v>
      </c>
      <c r="K105" s="44">
        <v>1494946</v>
      </c>
      <c r="L105" s="259">
        <f t="shared" si="10"/>
        <v>-0.9</v>
      </c>
      <c r="M105" s="27">
        <f>IFERROR(100/'Skjema total MA'!I105*K105,0)</f>
        <v>27.471807750139305</v>
      </c>
    </row>
    <row r="106" spans="1:13" ht="15.75" x14ac:dyDescent="0.2">
      <c r="A106" s="21" t="s">
        <v>328</v>
      </c>
      <c r="B106" s="234">
        <v>109903097</v>
      </c>
      <c r="C106" s="234">
        <v>125121529</v>
      </c>
      <c r="D106" s="165">
        <f t="shared" si="8"/>
        <v>13.8</v>
      </c>
      <c r="E106" s="27">
        <f>IFERROR(100/'Skjema total MA'!C106*C106,0)</f>
        <v>42.757379330377333</v>
      </c>
      <c r="F106" s="234">
        <v>154204.01500000001</v>
      </c>
      <c r="G106" s="234">
        <v>257088</v>
      </c>
      <c r="H106" s="165">
        <f t="shared" si="9"/>
        <v>66.7</v>
      </c>
      <c r="I106" s="27">
        <f>IFERROR(100/'Skjema total MA'!F106*G106,0)</f>
        <v>3.9474651406447681</v>
      </c>
      <c r="J106" s="290">
        <v>110057301.015</v>
      </c>
      <c r="K106" s="44">
        <v>125378617</v>
      </c>
      <c r="L106" s="259">
        <f t="shared" si="10"/>
        <v>13.9</v>
      </c>
      <c r="M106" s="27">
        <f>IFERROR(100/'Skjema total MA'!I106*K106,0)</f>
        <v>41.912439755482808</v>
      </c>
    </row>
    <row r="107" spans="1:13" ht="15.75" x14ac:dyDescent="0.2">
      <c r="A107" s="21" t="s">
        <v>320</v>
      </c>
      <c r="B107" s="234">
        <v>98384</v>
      </c>
      <c r="C107" s="234">
        <v>96176</v>
      </c>
      <c r="D107" s="165">
        <f t="shared" si="8"/>
        <v>-2.2000000000000002</v>
      </c>
      <c r="E107" s="27">
        <f>IFERROR(100/'Skjema total MA'!C107*C107,0)</f>
        <v>12.584024855547403</v>
      </c>
      <c r="F107" s="234">
        <v>12686715</v>
      </c>
      <c r="G107" s="234">
        <v>16508385</v>
      </c>
      <c r="H107" s="165">
        <f t="shared" si="9"/>
        <v>30.1</v>
      </c>
      <c r="I107" s="27">
        <f>IFERROR(100/'Skjema total MA'!F107*G107,0)</f>
        <v>26.096156186449004</v>
      </c>
      <c r="J107" s="290">
        <v>12785099</v>
      </c>
      <c r="K107" s="44">
        <v>16604561</v>
      </c>
      <c r="L107" s="259">
        <f t="shared" si="10"/>
        <v>29.9</v>
      </c>
      <c r="M107" s="27">
        <f>IFERROR(100/'Skjema total MA'!I107*K107,0)</f>
        <v>25.934858740817251</v>
      </c>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v>399943</v>
      </c>
      <c r="C109" s="158">
        <v>248028</v>
      </c>
      <c r="D109" s="170">
        <f t="shared" si="8"/>
        <v>-38</v>
      </c>
      <c r="E109" s="11">
        <f>IFERROR(100/'Skjema total MA'!C109*C109,0)</f>
        <v>71.235511536195503</v>
      </c>
      <c r="F109" s="306">
        <v>816344</v>
      </c>
      <c r="G109" s="158">
        <v>2443000</v>
      </c>
      <c r="H109" s="170">
        <f t="shared" si="9"/>
        <v>199.3</v>
      </c>
      <c r="I109" s="11">
        <f>IFERROR(100/'Skjema total MA'!F109*G109,0)</f>
        <v>37.754903608791246</v>
      </c>
      <c r="J109" s="307">
        <v>1216287</v>
      </c>
      <c r="K109" s="236">
        <v>2691028</v>
      </c>
      <c r="L109" s="404">
        <f t="shared" si="10"/>
        <v>121.2</v>
      </c>
      <c r="M109" s="11">
        <f>IFERROR(100/'Skjema total MA'!I109*K109,0)</f>
        <v>39.464468296200899</v>
      </c>
    </row>
    <row r="110" spans="1:13" x14ac:dyDescent="0.2">
      <c r="A110" s="21" t="s">
        <v>9</v>
      </c>
      <c r="B110" s="234">
        <v>399943</v>
      </c>
      <c r="C110" s="144">
        <v>248028</v>
      </c>
      <c r="D110" s="165">
        <f t="shared" ref="D110:D122" si="15">IF(B110=0, "    ---- ", IF(ABS(ROUND(100/B110*C110-100,1))&lt;999,ROUND(100/B110*C110-100,1),IF(ROUND(100/B110*C110-100,1)&gt;999,999,-999)))</f>
        <v>-38</v>
      </c>
      <c r="E110" s="27">
        <f>IFERROR(100/'Skjema total MA'!C110*C110,0)</f>
        <v>76.092431882607073</v>
      </c>
      <c r="F110" s="234"/>
      <c r="G110" s="144"/>
      <c r="H110" s="165"/>
      <c r="I110" s="27"/>
      <c r="J110" s="290">
        <v>399943</v>
      </c>
      <c r="K110" s="44">
        <v>248028</v>
      </c>
      <c r="L110" s="259">
        <f t="shared" ref="L110:L123" si="16">IF(J110=0, "    ---- ", IF(ABS(ROUND(100/J110*K110-100,1))&lt;999,ROUND(100/J110*K110-100,1),IF(ROUND(100/J110*K110-100,1)&gt;999,999,-999)))</f>
        <v>-38</v>
      </c>
      <c r="M110" s="27">
        <f>IFERROR(100/'Skjema total MA'!I110*K110,0)</f>
        <v>76.092431882607073</v>
      </c>
    </row>
    <row r="111" spans="1:13" x14ac:dyDescent="0.2">
      <c r="A111" s="21" t="s">
        <v>10</v>
      </c>
      <c r="B111" s="234"/>
      <c r="C111" s="144"/>
      <c r="D111" s="165"/>
      <c r="E111" s="27"/>
      <c r="F111" s="234">
        <v>816344</v>
      </c>
      <c r="G111" s="144">
        <v>2443000</v>
      </c>
      <c r="H111" s="165">
        <f t="shared" ref="H111:H123" si="17">IF(F111=0, "    ---- ", IF(ABS(ROUND(100/F111*G111-100,1))&lt;999,ROUND(100/F111*G111-100,1),IF(ROUND(100/F111*G111-100,1)&gt;999,999,-999)))</f>
        <v>199.3</v>
      </c>
      <c r="I111" s="27">
        <f>IFERROR(100/'Skjema total MA'!F111*G111,0)</f>
        <v>37.754903608791246</v>
      </c>
      <c r="J111" s="290">
        <v>816344</v>
      </c>
      <c r="K111" s="44">
        <v>2443000</v>
      </c>
      <c r="L111" s="259">
        <f t="shared" si="16"/>
        <v>199.3</v>
      </c>
      <c r="M111" s="27">
        <f>IFERROR(100/'Skjema total MA'!I111*K111,0)</f>
        <v>37.74015189241284</v>
      </c>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v>218450</v>
      </c>
      <c r="C114" s="234">
        <v>2776</v>
      </c>
      <c r="D114" s="165">
        <f t="shared" si="15"/>
        <v>-98.7</v>
      </c>
      <c r="E114" s="27">
        <f>IFERROR(100/'Skjema total MA'!C114*C114,0)</f>
        <v>9.04181088523314</v>
      </c>
      <c r="F114" s="234"/>
      <c r="G114" s="234"/>
      <c r="H114" s="165"/>
      <c r="I114" s="27"/>
      <c r="J114" s="290">
        <v>218450</v>
      </c>
      <c r="K114" s="44">
        <v>2776</v>
      </c>
      <c r="L114" s="259">
        <f t="shared" si="16"/>
        <v>-98.7</v>
      </c>
      <c r="M114" s="27">
        <f>IFERROR(100/'Skjema total MA'!I114*K114,0)</f>
        <v>6.4769545161263462</v>
      </c>
    </row>
    <row r="115" spans="1:14" ht="15.75" x14ac:dyDescent="0.2">
      <c r="A115" s="21" t="s">
        <v>322</v>
      </c>
      <c r="B115" s="234"/>
      <c r="C115" s="234"/>
      <c r="D115" s="165"/>
      <c r="E115" s="27"/>
      <c r="F115" s="234">
        <v>81968.741999999998</v>
      </c>
      <c r="G115" s="234">
        <v>147677</v>
      </c>
      <c r="H115" s="165">
        <f t="shared" si="17"/>
        <v>80.2</v>
      </c>
      <c r="I115" s="27">
        <f>IFERROR(100/'Skjema total MA'!F115*G115,0)</f>
        <v>13.363702561948665</v>
      </c>
      <c r="J115" s="290">
        <v>81968.741999999998</v>
      </c>
      <c r="K115" s="44">
        <v>147677</v>
      </c>
      <c r="L115" s="259">
        <f t="shared" si="16"/>
        <v>80.2</v>
      </c>
      <c r="M115" s="27">
        <f>IFERROR(100/'Skjema total MA'!I115*K115,0)</f>
        <v>13.363702561948665</v>
      </c>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237109</v>
      </c>
      <c r="C117" s="158">
        <v>45897</v>
      </c>
      <c r="D117" s="170">
        <f t="shared" si="15"/>
        <v>-80.599999999999994</v>
      </c>
      <c r="E117" s="11">
        <f>IFERROR(100/'Skjema total MA'!C117*C117,0)</f>
        <v>15.645258542923159</v>
      </c>
      <c r="F117" s="306">
        <v>534125</v>
      </c>
      <c r="G117" s="158">
        <v>981817</v>
      </c>
      <c r="H117" s="170">
        <f t="shared" si="17"/>
        <v>83.8</v>
      </c>
      <c r="I117" s="11">
        <f>IFERROR(100/'Skjema total MA'!F117*G117,0)</f>
        <v>15.228998776235089</v>
      </c>
      <c r="J117" s="307">
        <v>771234</v>
      </c>
      <c r="K117" s="236">
        <v>1027714</v>
      </c>
      <c r="L117" s="404">
        <f t="shared" si="16"/>
        <v>33.299999999999997</v>
      </c>
      <c r="M117" s="11">
        <f>IFERROR(100/'Skjema total MA'!I117*K117,0)</f>
        <v>15.247115572938668</v>
      </c>
    </row>
    <row r="118" spans="1:14" x14ac:dyDescent="0.2">
      <c r="A118" s="21" t="s">
        <v>9</v>
      </c>
      <c r="B118" s="234">
        <v>237109</v>
      </c>
      <c r="C118" s="144">
        <v>45897</v>
      </c>
      <c r="D118" s="165">
        <f t="shared" si="15"/>
        <v>-80.599999999999994</v>
      </c>
      <c r="E118" s="27">
        <f>IFERROR(100/'Skjema total MA'!C118*C118,0)</f>
        <v>17.767609398228064</v>
      </c>
      <c r="F118" s="234"/>
      <c r="G118" s="144"/>
      <c r="H118" s="165" t="str">
        <f t="shared" si="17"/>
        <v xml:space="preserve">    ---- </v>
      </c>
      <c r="I118" s="27">
        <f>IFERROR(100/'Skjema total MA'!F118*G118,0)</f>
        <v>0</v>
      </c>
      <c r="J118" s="290">
        <v>237109</v>
      </c>
      <c r="K118" s="44">
        <v>45897</v>
      </c>
      <c r="L118" s="259">
        <f t="shared" si="16"/>
        <v>-80.599999999999994</v>
      </c>
      <c r="M118" s="27">
        <f>IFERROR(100/'Skjema total MA'!I118*K118,0)</f>
        <v>17.767609398228064</v>
      </c>
    </row>
    <row r="119" spans="1:14" x14ac:dyDescent="0.2">
      <c r="A119" s="21" t="s">
        <v>10</v>
      </c>
      <c r="B119" s="234"/>
      <c r="C119" s="144"/>
      <c r="D119" s="165"/>
      <c r="E119" s="27"/>
      <c r="F119" s="234">
        <v>534125</v>
      </c>
      <c r="G119" s="144">
        <v>981817</v>
      </c>
      <c r="H119" s="165">
        <f t="shared" si="17"/>
        <v>83.8</v>
      </c>
      <c r="I119" s="27">
        <f>IFERROR(100/'Skjema total MA'!F119*G119,0)</f>
        <v>15.228998776235089</v>
      </c>
      <c r="J119" s="290">
        <v>534125</v>
      </c>
      <c r="K119" s="44">
        <v>981817</v>
      </c>
      <c r="L119" s="259">
        <f t="shared" si="16"/>
        <v>83.8</v>
      </c>
      <c r="M119" s="27">
        <f>IFERROR(100/'Skjema total MA'!I119*K119,0)</f>
        <v>15.187979682018783</v>
      </c>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v>15825</v>
      </c>
      <c r="C122" s="234">
        <v>2658</v>
      </c>
      <c r="D122" s="165">
        <f t="shared" si="15"/>
        <v>-83.2</v>
      </c>
      <c r="E122" s="27">
        <f>IFERROR(100/'Skjema total MA'!C122*C122,0)</f>
        <v>44.887669367357439</v>
      </c>
      <c r="F122" s="234"/>
      <c r="G122" s="234"/>
      <c r="H122" s="165"/>
      <c r="I122" s="27"/>
      <c r="J122" s="290">
        <v>15825</v>
      </c>
      <c r="K122" s="44">
        <v>2658</v>
      </c>
      <c r="L122" s="259">
        <f t="shared" si="16"/>
        <v>-83.2</v>
      </c>
      <c r="M122" s="27">
        <f>IFERROR(100/'Skjema total MA'!I122*K122,0)</f>
        <v>16.90369896559919</v>
      </c>
    </row>
    <row r="123" spans="1:14" ht="15.75" x14ac:dyDescent="0.2">
      <c r="A123" s="21" t="s">
        <v>320</v>
      </c>
      <c r="B123" s="234"/>
      <c r="C123" s="234"/>
      <c r="D123" s="165"/>
      <c r="E123" s="27"/>
      <c r="F123" s="234">
        <v>135029.67499999999</v>
      </c>
      <c r="G123" s="234">
        <v>328260</v>
      </c>
      <c r="H123" s="165">
        <f t="shared" si="17"/>
        <v>143.1</v>
      </c>
      <c r="I123" s="27">
        <f>IFERROR(100/'Skjema total MA'!F123*G123,0)</f>
        <v>34.840210869366928</v>
      </c>
      <c r="J123" s="290">
        <v>135029.67499999999</v>
      </c>
      <c r="K123" s="44">
        <v>328260</v>
      </c>
      <c r="L123" s="259">
        <f t="shared" si="16"/>
        <v>143.1</v>
      </c>
      <c r="M123" s="27">
        <f>IFERROR(100/'Skjema total MA'!I123*K123,0)</f>
        <v>34.727387013210084</v>
      </c>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v>1E-3</v>
      </c>
      <c r="C132" s="307"/>
      <c r="D132" s="344">
        <f t="shared" ref="D132:D133" si="18">IF(B132=0, "    ---- ", IF(ABS(ROUND(100/B132*C132-100,1))&lt;999,ROUND(100/B132*C132-100,1),IF(ROUND(100/B132*C132-100,1)&gt;999,999,-999)))</f>
        <v>-100</v>
      </c>
      <c r="E132" s="11">
        <f>IFERROR(100/'Skjema total MA'!C132*C132,0)</f>
        <v>0</v>
      </c>
      <c r="F132" s="314"/>
      <c r="G132" s="315"/>
      <c r="H132" s="407"/>
      <c r="I132" s="24"/>
      <c r="J132" s="316">
        <v>1E-3</v>
      </c>
      <c r="K132" s="316"/>
      <c r="L132" s="403">
        <f t="shared" ref="L132:L133" si="19">IF(J132=0, "    ---- ", IF(ABS(ROUND(100/J132*K132-100,1))&lt;999,ROUND(100/J132*K132-100,1),IF(ROUND(100/J132*K132-100,1)&gt;999,999,-999)))</f>
        <v>-100</v>
      </c>
      <c r="M132" s="11">
        <f>IFERROR(100/'Skjema total MA'!I132*K132,0)</f>
        <v>0</v>
      </c>
      <c r="N132" s="147"/>
    </row>
    <row r="133" spans="1:14" s="3" customFormat="1" ht="15.75" x14ac:dyDescent="0.2">
      <c r="A133" s="13" t="s">
        <v>324</v>
      </c>
      <c r="B133" s="236">
        <v>2146290</v>
      </c>
      <c r="C133" s="307"/>
      <c r="D133" s="170">
        <f t="shared" si="18"/>
        <v>-100</v>
      </c>
      <c r="E133" s="11">
        <f>IFERROR(100/'Skjema total MA'!C133*C133,0)</f>
        <v>0</v>
      </c>
      <c r="F133" s="236"/>
      <c r="G133" s="307"/>
      <c r="H133" s="408"/>
      <c r="I133" s="24"/>
      <c r="J133" s="306">
        <v>2146290</v>
      </c>
      <c r="K133" s="306"/>
      <c r="L133" s="404">
        <f t="shared" si="19"/>
        <v>-100</v>
      </c>
      <c r="M133" s="11">
        <f>IFERROR(100/'Skjema total MA'!I133*K133,0)</f>
        <v>0</v>
      </c>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721" priority="132">
      <formula>kvartal &lt; 4</formula>
    </cfRule>
  </conditionalFormatting>
  <conditionalFormatting sqref="B29">
    <cfRule type="expression" dxfId="1720" priority="130">
      <formula>kvartal &lt; 4</formula>
    </cfRule>
  </conditionalFormatting>
  <conditionalFormatting sqref="B30">
    <cfRule type="expression" dxfId="1719" priority="129">
      <formula>kvartal &lt; 4</formula>
    </cfRule>
  </conditionalFormatting>
  <conditionalFormatting sqref="B31">
    <cfRule type="expression" dxfId="1718" priority="128">
      <formula>kvartal &lt; 4</formula>
    </cfRule>
  </conditionalFormatting>
  <conditionalFormatting sqref="C29">
    <cfRule type="expression" dxfId="1717" priority="127">
      <formula>kvartal &lt; 4</formula>
    </cfRule>
  </conditionalFormatting>
  <conditionalFormatting sqref="C30">
    <cfRule type="expression" dxfId="1716" priority="126">
      <formula>kvartal &lt; 4</formula>
    </cfRule>
  </conditionalFormatting>
  <conditionalFormatting sqref="C31">
    <cfRule type="expression" dxfId="1715" priority="125">
      <formula>kvartal &lt; 4</formula>
    </cfRule>
  </conditionalFormatting>
  <conditionalFormatting sqref="B23:C25">
    <cfRule type="expression" dxfId="1714" priority="124">
      <formula>kvartal &lt; 4</formula>
    </cfRule>
  </conditionalFormatting>
  <conditionalFormatting sqref="F23:G25">
    <cfRule type="expression" dxfId="1713" priority="120">
      <formula>kvartal &lt; 4</formula>
    </cfRule>
  </conditionalFormatting>
  <conditionalFormatting sqref="F29">
    <cfRule type="expression" dxfId="1712" priority="113">
      <formula>kvartal &lt; 4</formula>
    </cfRule>
  </conditionalFormatting>
  <conditionalFormatting sqref="F30">
    <cfRule type="expression" dxfId="1711" priority="112">
      <formula>kvartal &lt; 4</formula>
    </cfRule>
  </conditionalFormatting>
  <conditionalFormatting sqref="F31">
    <cfRule type="expression" dxfId="1710" priority="111">
      <formula>kvartal &lt; 4</formula>
    </cfRule>
  </conditionalFormatting>
  <conditionalFormatting sqref="G29">
    <cfRule type="expression" dxfId="1709" priority="110">
      <formula>kvartal &lt; 4</formula>
    </cfRule>
  </conditionalFormatting>
  <conditionalFormatting sqref="G30">
    <cfRule type="expression" dxfId="1708" priority="109">
      <formula>kvartal &lt; 4</formula>
    </cfRule>
  </conditionalFormatting>
  <conditionalFormatting sqref="G31">
    <cfRule type="expression" dxfId="1707" priority="108">
      <formula>kvartal &lt; 4</formula>
    </cfRule>
  </conditionalFormatting>
  <conditionalFormatting sqref="B26">
    <cfRule type="expression" dxfId="1706" priority="107">
      <formula>kvartal &lt; 4</formula>
    </cfRule>
  </conditionalFormatting>
  <conditionalFormatting sqref="C26">
    <cfRule type="expression" dxfId="1705" priority="106">
      <formula>kvartal &lt; 4</formula>
    </cfRule>
  </conditionalFormatting>
  <conditionalFormatting sqref="F26">
    <cfRule type="expression" dxfId="1704" priority="105">
      <formula>kvartal &lt; 4</formula>
    </cfRule>
  </conditionalFormatting>
  <conditionalFormatting sqref="G26">
    <cfRule type="expression" dxfId="1703" priority="104">
      <formula>kvartal &lt; 4</formula>
    </cfRule>
  </conditionalFormatting>
  <conditionalFormatting sqref="J23:K26">
    <cfRule type="expression" dxfId="1702" priority="103">
      <formula>kvartal &lt; 4</formula>
    </cfRule>
  </conditionalFormatting>
  <conditionalFormatting sqref="J29:K31">
    <cfRule type="expression" dxfId="1701" priority="101">
      <formula>kvartal &lt; 4</formula>
    </cfRule>
  </conditionalFormatting>
  <conditionalFormatting sqref="B67">
    <cfRule type="expression" dxfId="1700" priority="100">
      <formula>kvartal &lt; 4</formula>
    </cfRule>
  </conditionalFormatting>
  <conditionalFormatting sqref="C67">
    <cfRule type="expression" dxfId="1699" priority="99">
      <formula>kvartal &lt; 4</formula>
    </cfRule>
  </conditionalFormatting>
  <conditionalFormatting sqref="B70">
    <cfRule type="expression" dxfId="1698" priority="98">
      <formula>kvartal &lt; 4</formula>
    </cfRule>
  </conditionalFormatting>
  <conditionalFormatting sqref="C70">
    <cfRule type="expression" dxfId="1697" priority="97">
      <formula>kvartal &lt; 4</formula>
    </cfRule>
  </conditionalFormatting>
  <conditionalFormatting sqref="B78">
    <cfRule type="expression" dxfId="1696" priority="96">
      <formula>kvartal &lt; 4</formula>
    </cfRule>
  </conditionalFormatting>
  <conditionalFormatting sqref="C78">
    <cfRule type="expression" dxfId="1695" priority="95">
      <formula>kvartal &lt; 4</formula>
    </cfRule>
  </conditionalFormatting>
  <conditionalFormatting sqref="B81">
    <cfRule type="expression" dxfId="1694" priority="94">
      <formula>kvartal &lt; 4</formula>
    </cfRule>
  </conditionalFormatting>
  <conditionalFormatting sqref="C81">
    <cfRule type="expression" dxfId="1693" priority="93">
      <formula>kvartal &lt; 4</formula>
    </cfRule>
  </conditionalFormatting>
  <conditionalFormatting sqref="B88">
    <cfRule type="expression" dxfId="1692" priority="84">
      <formula>kvartal &lt; 4</formula>
    </cfRule>
  </conditionalFormatting>
  <conditionalFormatting sqref="C88">
    <cfRule type="expression" dxfId="1691" priority="83">
      <formula>kvartal &lt; 4</formula>
    </cfRule>
  </conditionalFormatting>
  <conditionalFormatting sqref="B91">
    <cfRule type="expression" dxfId="1690" priority="82">
      <formula>kvartal &lt; 4</formula>
    </cfRule>
  </conditionalFormatting>
  <conditionalFormatting sqref="C91">
    <cfRule type="expression" dxfId="1689" priority="81">
      <formula>kvartal &lt; 4</formula>
    </cfRule>
  </conditionalFormatting>
  <conditionalFormatting sqref="B99">
    <cfRule type="expression" dxfId="1688" priority="80">
      <formula>kvartal &lt; 4</formula>
    </cfRule>
  </conditionalFormatting>
  <conditionalFormatting sqref="C99">
    <cfRule type="expression" dxfId="1687" priority="79">
      <formula>kvartal &lt; 4</formula>
    </cfRule>
  </conditionalFormatting>
  <conditionalFormatting sqref="B102">
    <cfRule type="expression" dxfId="1686" priority="78">
      <formula>kvartal &lt; 4</formula>
    </cfRule>
  </conditionalFormatting>
  <conditionalFormatting sqref="C102">
    <cfRule type="expression" dxfId="1685" priority="77">
      <formula>kvartal &lt; 4</formula>
    </cfRule>
  </conditionalFormatting>
  <conditionalFormatting sqref="B113">
    <cfRule type="expression" dxfId="1684" priority="76">
      <formula>kvartal &lt; 4</formula>
    </cfRule>
  </conditionalFormatting>
  <conditionalFormatting sqref="C113">
    <cfRule type="expression" dxfId="1683" priority="75">
      <formula>kvartal &lt; 4</formula>
    </cfRule>
  </conditionalFormatting>
  <conditionalFormatting sqref="B121">
    <cfRule type="expression" dxfId="1682" priority="74">
      <formula>kvartal &lt; 4</formula>
    </cfRule>
  </conditionalFormatting>
  <conditionalFormatting sqref="C121">
    <cfRule type="expression" dxfId="1681" priority="73">
      <formula>kvartal &lt; 4</formula>
    </cfRule>
  </conditionalFormatting>
  <conditionalFormatting sqref="F68">
    <cfRule type="expression" dxfId="1680" priority="72">
      <formula>kvartal &lt; 4</formula>
    </cfRule>
  </conditionalFormatting>
  <conditionalFormatting sqref="G68">
    <cfRule type="expression" dxfId="1679" priority="71">
      <formula>kvartal &lt; 4</formula>
    </cfRule>
  </conditionalFormatting>
  <conditionalFormatting sqref="F69:G69">
    <cfRule type="expression" dxfId="1678" priority="70">
      <formula>kvartal &lt; 4</formula>
    </cfRule>
  </conditionalFormatting>
  <conditionalFormatting sqref="F71:G72">
    <cfRule type="expression" dxfId="1677" priority="69">
      <formula>kvartal &lt; 4</formula>
    </cfRule>
  </conditionalFormatting>
  <conditionalFormatting sqref="F79:G80">
    <cfRule type="expression" dxfId="1676" priority="68">
      <formula>kvartal &lt; 4</formula>
    </cfRule>
  </conditionalFormatting>
  <conditionalFormatting sqref="F82:G83">
    <cfRule type="expression" dxfId="1675" priority="67">
      <formula>kvartal &lt; 4</formula>
    </cfRule>
  </conditionalFormatting>
  <conditionalFormatting sqref="F89:G90">
    <cfRule type="expression" dxfId="1674" priority="62">
      <formula>kvartal &lt; 4</formula>
    </cfRule>
  </conditionalFormatting>
  <conditionalFormatting sqref="F92:G93">
    <cfRule type="expression" dxfId="1673" priority="61">
      <formula>kvartal &lt; 4</formula>
    </cfRule>
  </conditionalFormatting>
  <conditionalFormatting sqref="F100:G101">
    <cfRule type="expression" dxfId="1672" priority="60">
      <formula>kvartal &lt; 4</formula>
    </cfRule>
  </conditionalFormatting>
  <conditionalFormatting sqref="F103:G104">
    <cfRule type="expression" dxfId="1671" priority="59">
      <formula>kvartal &lt; 4</formula>
    </cfRule>
  </conditionalFormatting>
  <conditionalFormatting sqref="F113">
    <cfRule type="expression" dxfId="1670" priority="58">
      <formula>kvartal &lt; 4</formula>
    </cfRule>
  </conditionalFormatting>
  <conditionalFormatting sqref="G113">
    <cfRule type="expression" dxfId="1669" priority="57">
      <formula>kvartal &lt; 4</formula>
    </cfRule>
  </conditionalFormatting>
  <conditionalFormatting sqref="F121:G121">
    <cfRule type="expression" dxfId="1668" priority="56">
      <formula>kvartal &lt; 4</formula>
    </cfRule>
  </conditionalFormatting>
  <conditionalFormatting sqref="F67:G67">
    <cfRule type="expression" dxfId="1667" priority="55">
      <formula>kvartal &lt; 4</formula>
    </cfRule>
  </conditionalFormatting>
  <conditionalFormatting sqref="F70:G70">
    <cfRule type="expression" dxfId="1666" priority="54">
      <formula>kvartal &lt; 4</formula>
    </cfRule>
  </conditionalFormatting>
  <conditionalFormatting sqref="F78:G78">
    <cfRule type="expression" dxfId="1665" priority="53">
      <formula>kvartal &lt; 4</formula>
    </cfRule>
  </conditionalFormatting>
  <conditionalFormatting sqref="F81:G81">
    <cfRule type="expression" dxfId="1664" priority="52">
      <formula>kvartal &lt; 4</formula>
    </cfRule>
  </conditionalFormatting>
  <conditionalFormatting sqref="F88:G88">
    <cfRule type="expression" dxfId="1663" priority="46">
      <formula>kvartal &lt; 4</formula>
    </cfRule>
  </conditionalFormatting>
  <conditionalFormatting sqref="F91">
    <cfRule type="expression" dxfId="1662" priority="45">
      <formula>kvartal &lt; 4</formula>
    </cfRule>
  </conditionalFormatting>
  <conditionalFormatting sqref="G91">
    <cfRule type="expression" dxfId="1661" priority="44">
      <formula>kvartal &lt; 4</formula>
    </cfRule>
  </conditionalFormatting>
  <conditionalFormatting sqref="F99">
    <cfRule type="expression" dxfId="1660" priority="43">
      <formula>kvartal &lt; 4</formula>
    </cfRule>
  </conditionalFormatting>
  <conditionalFormatting sqref="G99">
    <cfRule type="expression" dxfId="1659" priority="42">
      <formula>kvartal &lt; 4</formula>
    </cfRule>
  </conditionalFormatting>
  <conditionalFormatting sqref="G102">
    <cfRule type="expression" dxfId="1658" priority="41">
      <formula>kvartal &lt; 4</formula>
    </cfRule>
  </conditionalFormatting>
  <conditionalFormatting sqref="F102">
    <cfRule type="expression" dxfId="1657" priority="40">
      <formula>kvartal &lt; 4</formula>
    </cfRule>
  </conditionalFormatting>
  <conditionalFormatting sqref="J67:K71">
    <cfRule type="expression" dxfId="1656" priority="39">
      <formula>kvartal &lt; 4</formula>
    </cfRule>
  </conditionalFormatting>
  <conditionalFormatting sqref="J72:K72">
    <cfRule type="expression" dxfId="1655" priority="38">
      <formula>kvartal &lt; 4</formula>
    </cfRule>
  </conditionalFormatting>
  <conditionalFormatting sqref="J78:K83">
    <cfRule type="expression" dxfId="1654" priority="37">
      <formula>kvartal &lt; 4</formula>
    </cfRule>
  </conditionalFormatting>
  <conditionalFormatting sqref="J88:K93">
    <cfRule type="expression" dxfId="1653" priority="34">
      <formula>kvartal &lt; 4</formula>
    </cfRule>
  </conditionalFormatting>
  <conditionalFormatting sqref="J99:K104">
    <cfRule type="expression" dxfId="1652" priority="33">
      <formula>kvartal &lt; 4</formula>
    </cfRule>
  </conditionalFormatting>
  <conditionalFormatting sqref="J113:K113">
    <cfRule type="expression" dxfId="1651" priority="32">
      <formula>kvartal &lt; 4</formula>
    </cfRule>
  </conditionalFormatting>
  <conditionalFormatting sqref="J121:K121">
    <cfRule type="expression" dxfId="1650" priority="31">
      <formula>kvartal &lt; 4</formula>
    </cfRule>
  </conditionalFormatting>
  <conditionalFormatting sqref="A23:A25">
    <cfRule type="expression" dxfId="1649" priority="15">
      <formula>kvartal &lt; 4</formula>
    </cfRule>
  </conditionalFormatting>
  <conditionalFormatting sqref="A29:A31">
    <cfRule type="expression" dxfId="1648" priority="13">
      <formula>kvartal &lt; 4</formula>
    </cfRule>
  </conditionalFormatting>
  <conditionalFormatting sqref="A48:A50">
    <cfRule type="expression" dxfId="1647" priority="12">
      <formula>kvartal &lt; 4</formula>
    </cfRule>
  </conditionalFormatting>
  <conditionalFormatting sqref="A67:A72">
    <cfRule type="expression" dxfId="1646" priority="10">
      <formula>kvartal &lt; 4</formula>
    </cfRule>
  </conditionalFormatting>
  <conditionalFormatting sqref="A78:A83">
    <cfRule type="expression" dxfId="1645" priority="9">
      <formula>kvartal &lt; 4</formula>
    </cfRule>
  </conditionalFormatting>
  <conditionalFormatting sqref="A88:A93">
    <cfRule type="expression" dxfId="1644" priority="6">
      <formula>kvartal &lt; 4</formula>
    </cfRule>
  </conditionalFormatting>
  <conditionalFormatting sqref="A99:A104">
    <cfRule type="expression" dxfId="1643" priority="5">
      <formula>kvartal &lt; 4</formula>
    </cfRule>
  </conditionalFormatting>
  <conditionalFormatting sqref="A113">
    <cfRule type="expression" dxfId="1642" priority="4">
      <formula>kvartal &lt; 4</formula>
    </cfRule>
  </conditionalFormatting>
  <conditionalFormatting sqref="A121">
    <cfRule type="expression" dxfId="1641" priority="3">
      <formula>kvartal &lt; 4</formula>
    </cfRule>
  </conditionalFormatting>
  <conditionalFormatting sqref="A26">
    <cfRule type="expression" dxfId="1640" priority="2">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140</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v>248926</v>
      </c>
      <c r="C7" s="305">
        <v>154629</v>
      </c>
      <c r="D7" s="344">
        <f>IF(B7=0, "    ---- ", IF(ABS(ROUND(100/B7*C7-100,1))&lt;999,ROUND(100/B7*C7-100,1),IF(ROUND(100/B7*C7-100,1)&gt;999,999,-999)))</f>
        <v>-37.9</v>
      </c>
      <c r="E7" s="11">
        <f>IFERROR(100/'Skjema total MA'!C7*C7,0)</f>
        <v>5.678755450930514</v>
      </c>
      <c r="F7" s="304"/>
      <c r="G7" s="305"/>
      <c r="H7" s="344"/>
      <c r="I7" s="159"/>
      <c r="J7" s="306">
        <v>248926</v>
      </c>
      <c r="K7" s="307">
        <v>154629</v>
      </c>
      <c r="L7" s="403">
        <f>IF(J7=0, "    ---- ", IF(ABS(ROUND(100/J7*K7-100,1))&lt;999,ROUND(100/J7*K7-100,1),IF(ROUND(100/J7*K7-100,1)&gt;999,999,-999)))</f>
        <v>-37.9</v>
      </c>
      <c r="M7" s="11">
        <f>IFERROR(100/'Skjema total MA'!I7*K7,0)</f>
        <v>2.1283359084648241</v>
      </c>
    </row>
    <row r="8" spans="1:14" ht="15.75" x14ac:dyDescent="0.2">
      <c r="A8" s="21" t="s">
        <v>29</v>
      </c>
      <c r="B8" s="286">
        <v>124178</v>
      </c>
      <c r="C8" s="287">
        <v>77365</v>
      </c>
      <c r="D8" s="165">
        <f t="shared" ref="D8:D9" si="0">IF(B8=0, "    ---- ", IF(ABS(ROUND(100/B8*C8-100,1))&lt;999,ROUND(100/B8*C8-100,1),IF(ROUND(100/B8*C8-100,1)&gt;999,999,-999)))</f>
        <v>-37.700000000000003</v>
      </c>
      <c r="E8" s="27">
        <f>IFERROR(100/'Skjema total MA'!C8*C8,0)</f>
        <v>5.1489539118507084</v>
      </c>
      <c r="F8" s="423"/>
      <c r="G8" s="424"/>
      <c r="H8" s="170"/>
      <c r="I8" s="175"/>
      <c r="J8" s="234">
        <v>124178</v>
      </c>
      <c r="K8" s="290">
        <v>77365</v>
      </c>
      <c r="L8" s="165">
        <f t="shared" ref="L8:L9" si="1">IF(J8=0, "    ---- ", IF(ABS(ROUND(100/J8*K8-100,1))&lt;999,ROUND(100/J8*K8-100,1),IF(ROUND(100/J8*K8-100,1)&gt;999,999,-999)))</f>
        <v>-37.700000000000003</v>
      </c>
      <c r="M8" s="27">
        <f>IFERROR(100/'Skjema total MA'!I8*K8,0)</f>
        <v>5.1489539118507084</v>
      </c>
    </row>
    <row r="9" spans="1:14" ht="15.75" x14ac:dyDescent="0.2">
      <c r="A9" s="21" t="s">
        <v>28</v>
      </c>
      <c r="B9" s="286">
        <v>124748</v>
      </c>
      <c r="C9" s="287">
        <v>77264</v>
      </c>
      <c r="D9" s="165">
        <f t="shared" si="0"/>
        <v>-38.1</v>
      </c>
      <c r="E9" s="27">
        <f>IFERROR(100/'Skjema total MA'!C9*C9,0)</f>
        <v>10.672650470578182</v>
      </c>
      <c r="F9" s="423"/>
      <c r="G9" s="424"/>
      <c r="H9" s="170"/>
      <c r="I9" s="175"/>
      <c r="J9" s="234">
        <v>124748</v>
      </c>
      <c r="K9" s="290">
        <v>77264</v>
      </c>
      <c r="L9" s="165">
        <f t="shared" si="1"/>
        <v>-38.1</v>
      </c>
      <c r="M9" s="27">
        <f>IFERROR(100/'Skjema total MA'!I9*K9,0)</f>
        <v>10.672650470578182</v>
      </c>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c r="C45" s="309"/>
      <c r="D45" s="403"/>
      <c r="E45" s="11"/>
      <c r="F45" s="144"/>
      <c r="G45" s="33"/>
      <c r="H45" s="158"/>
      <c r="I45" s="158"/>
      <c r="J45" s="37"/>
      <c r="K45" s="37"/>
      <c r="L45" s="158"/>
      <c r="M45" s="158"/>
      <c r="N45" s="147"/>
    </row>
    <row r="46" spans="1:14" s="3" customFormat="1" ht="15.75" x14ac:dyDescent="0.2">
      <c r="A46" s="38" t="s">
        <v>312</v>
      </c>
      <c r="B46" s="286"/>
      <c r="C46" s="287"/>
      <c r="D46" s="259"/>
      <c r="E46" s="27"/>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639" priority="132">
      <formula>kvartal &lt; 4</formula>
    </cfRule>
  </conditionalFormatting>
  <conditionalFormatting sqref="B29">
    <cfRule type="expression" dxfId="1638" priority="130">
      <formula>kvartal &lt; 4</formula>
    </cfRule>
  </conditionalFormatting>
  <conditionalFormatting sqref="B30">
    <cfRule type="expression" dxfId="1637" priority="129">
      <formula>kvartal &lt; 4</formula>
    </cfRule>
  </conditionalFormatting>
  <conditionalFormatting sqref="B31">
    <cfRule type="expression" dxfId="1636" priority="128">
      <formula>kvartal &lt; 4</formula>
    </cfRule>
  </conditionalFormatting>
  <conditionalFormatting sqref="C29">
    <cfRule type="expression" dxfId="1635" priority="127">
      <formula>kvartal &lt; 4</formula>
    </cfRule>
  </conditionalFormatting>
  <conditionalFormatting sqref="C30">
    <cfRule type="expression" dxfId="1634" priority="126">
      <formula>kvartal &lt; 4</formula>
    </cfRule>
  </conditionalFormatting>
  <conditionalFormatting sqref="C31">
    <cfRule type="expression" dxfId="1633" priority="125">
      <formula>kvartal &lt; 4</formula>
    </cfRule>
  </conditionalFormatting>
  <conditionalFormatting sqref="B23:C25">
    <cfRule type="expression" dxfId="1632" priority="124">
      <formula>kvartal &lt; 4</formula>
    </cfRule>
  </conditionalFormatting>
  <conditionalFormatting sqref="F23:G25">
    <cfRule type="expression" dxfId="1631" priority="120">
      <formula>kvartal &lt; 4</formula>
    </cfRule>
  </conditionalFormatting>
  <conditionalFormatting sqref="F29">
    <cfRule type="expression" dxfId="1630" priority="113">
      <formula>kvartal &lt; 4</formula>
    </cfRule>
  </conditionalFormatting>
  <conditionalFormatting sqref="F30">
    <cfRule type="expression" dxfId="1629" priority="112">
      <formula>kvartal &lt; 4</formula>
    </cfRule>
  </conditionalFormatting>
  <conditionalFormatting sqref="F31">
    <cfRule type="expression" dxfId="1628" priority="111">
      <formula>kvartal &lt; 4</formula>
    </cfRule>
  </conditionalFormatting>
  <conditionalFormatting sqref="G29">
    <cfRule type="expression" dxfId="1627" priority="110">
      <formula>kvartal &lt; 4</formula>
    </cfRule>
  </conditionalFormatting>
  <conditionalFormatting sqref="G30">
    <cfRule type="expression" dxfId="1626" priority="109">
      <formula>kvartal &lt; 4</formula>
    </cfRule>
  </conditionalFormatting>
  <conditionalFormatting sqref="G31">
    <cfRule type="expression" dxfId="1625" priority="108">
      <formula>kvartal &lt; 4</formula>
    </cfRule>
  </conditionalFormatting>
  <conditionalFormatting sqref="B26">
    <cfRule type="expression" dxfId="1624" priority="107">
      <formula>kvartal &lt; 4</formula>
    </cfRule>
  </conditionalFormatting>
  <conditionalFormatting sqref="C26">
    <cfRule type="expression" dxfId="1623" priority="106">
      <formula>kvartal &lt; 4</formula>
    </cfRule>
  </conditionalFormatting>
  <conditionalFormatting sqref="F26">
    <cfRule type="expression" dxfId="1622" priority="105">
      <formula>kvartal &lt; 4</formula>
    </cfRule>
  </conditionalFormatting>
  <conditionalFormatting sqref="G26">
    <cfRule type="expression" dxfId="1621" priority="104">
      <formula>kvartal &lt; 4</formula>
    </cfRule>
  </conditionalFormatting>
  <conditionalFormatting sqref="J23:K26">
    <cfRule type="expression" dxfId="1620" priority="103">
      <formula>kvartal &lt; 4</formula>
    </cfRule>
  </conditionalFormatting>
  <conditionalFormatting sqref="J29:K31">
    <cfRule type="expression" dxfId="1619" priority="101">
      <formula>kvartal &lt; 4</formula>
    </cfRule>
  </conditionalFormatting>
  <conditionalFormatting sqref="B67">
    <cfRule type="expression" dxfId="1618" priority="100">
      <formula>kvartal &lt; 4</formula>
    </cfRule>
  </conditionalFormatting>
  <conditionalFormatting sqref="C67">
    <cfRule type="expression" dxfId="1617" priority="99">
      <formula>kvartal &lt; 4</formula>
    </cfRule>
  </conditionalFormatting>
  <conditionalFormatting sqref="B70">
    <cfRule type="expression" dxfId="1616" priority="98">
      <formula>kvartal &lt; 4</formula>
    </cfRule>
  </conditionalFormatting>
  <conditionalFormatting sqref="C70">
    <cfRule type="expression" dxfId="1615" priority="97">
      <formula>kvartal &lt; 4</formula>
    </cfRule>
  </conditionalFormatting>
  <conditionalFormatting sqref="B78">
    <cfRule type="expression" dxfId="1614" priority="96">
      <formula>kvartal &lt; 4</formula>
    </cfRule>
  </conditionalFormatting>
  <conditionalFormatting sqref="C78">
    <cfRule type="expression" dxfId="1613" priority="95">
      <formula>kvartal &lt; 4</formula>
    </cfRule>
  </conditionalFormatting>
  <conditionalFormatting sqref="B81">
    <cfRule type="expression" dxfId="1612" priority="94">
      <formula>kvartal &lt; 4</formula>
    </cfRule>
  </conditionalFormatting>
  <conditionalFormatting sqref="C81">
    <cfRule type="expression" dxfId="1611" priority="93">
      <formula>kvartal &lt; 4</formula>
    </cfRule>
  </conditionalFormatting>
  <conditionalFormatting sqref="B88">
    <cfRule type="expression" dxfId="1610" priority="84">
      <formula>kvartal &lt; 4</formula>
    </cfRule>
  </conditionalFormatting>
  <conditionalFormatting sqref="C88">
    <cfRule type="expression" dxfId="1609" priority="83">
      <formula>kvartal &lt; 4</formula>
    </cfRule>
  </conditionalFormatting>
  <conditionalFormatting sqref="B91">
    <cfRule type="expression" dxfId="1608" priority="82">
      <formula>kvartal &lt; 4</formula>
    </cfRule>
  </conditionalFormatting>
  <conditionalFormatting sqref="C91">
    <cfRule type="expression" dxfId="1607" priority="81">
      <formula>kvartal &lt; 4</formula>
    </cfRule>
  </conditionalFormatting>
  <conditionalFormatting sqref="B99">
    <cfRule type="expression" dxfId="1606" priority="80">
      <formula>kvartal &lt; 4</formula>
    </cfRule>
  </conditionalFormatting>
  <conditionalFormatting sqref="C99">
    <cfRule type="expression" dxfId="1605" priority="79">
      <formula>kvartal &lt; 4</formula>
    </cfRule>
  </conditionalFormatting>
  <conditionalFormatting sqref="B102">
    <cfRule type="expression" dxfId="1604" priority="78">
      <formula>kvartal &lt; 4</formula>
    </cfRule>
  </conditionalFormatting>
  <conditionalFormatting sqref="C102">
    <cfRule type="expression" dxfId="1603" priority="77">
      <formula>kvartal &lt; 4</formula>
    </cfRule>
  </conditionalFormatting>
  <conditionalFormatting sqref="B113">
    <cfRule type="expression" dxfId="1602" priority="76">
      <formula>kvartal &lt; 4</formula>
    </cfRule>
  </conditionalFormatting>
  <conditionalFormatting sqref="C113">
    <cfRule type="expression" dxfId="1601" priority="75">
      <formula>kvartal &lt; 4</formula>
    </cfRule>
  </conditionalFormatting>
  <conditionalFormatting sqref="B121">
    <cfRule type="expression" dxfId="1600" priority="74">
      <formula>kvartal &lt; 4</formula>
    </cfRule>
  </conditionalFormatting>
  <conditionalFormatting sqref="C121">
    <cfRule type="expression" dxfId="1599" priority="73">
      <formula>kvartal &lt; 4</formula>
    </cfRule>
  </conditionalFormatting>
  <conditionalFormatting sqref="F68">
    <cfRule type="expression" dxfId="1598" priority="72">
      <formula>kvartal &lt; 4</formula>
    </cfRule>
  </conditionalFormatting>
  <conditionalFormatting sqref="G68">
    <cfRule type="expression" dxfId="1597" priority="71">
      <formula>kvartal &lt; 4</formula>
    </cfRule>
  </conditionalFormatting>
  <conditionalFormatting sqref="F69:G69">
    <cfRule type="expression" dxfId="1596" priority="70">
      <formula>kvartal &lt; 4</formula>
    </cfRule>
  </conditionalFormatting>
  <conditionalFormatting sqref="F71:G72">
    <cfRule type="expression" dxfId="1595" priority="69">
      <formula>kvartal &lt; 4</formula>
    </cfRule>
  </conditionalFormatting>
  <conditionalFormatting sqref="F79:G80">
    <cfRule type="expression" dxfId="1594" priority="68">
      <formula>kvartal &lt; 4</formula>
    </cfRule>
  </conditionalFormatting>
  <conditionalFormatting sqref="F82:G83">
    <cfRule type="expression" dxfId="1593" priority="67">
      <formula>kvartal &lt; 4</formula>
    </cfRule>
  </conditionalFormatting>
  <conditionalFormatting sqref="F89:G90">
    <cfRule type="expression" dxfId="1592" priority="62">
      <formula>kvartal &lt; 4</formula>
    </cfRule>
  </conditionalFormatting>
  <conditionalFormatting sqref="F92:G93">
    <cfRule type="expression" dxfId="1591" priority="61">
      <formula>kvartal &lt; 4</formula>
    </cfRule>
  </conditionalFormatting>
  <conditionalFormatting sqref="F100:G101">
    <cfRule type="expression" dxfId="1590" priority="60">
      <formula>kvartal &lt; 4</formula>
    </cfRule>
  </conditionalFormatting>
  <conditionalFormatting sqref="F103:G104">
    <cfRule type="expression" dxfId="1589" priority="59">
      <formula>kvartal &lt; 4</formula>
    </cfRule>
  </conditionalFormatting>
  <conditionalFormatting sqref="F113">
    <cfRule type="expression" dxfId="1588" priority="58">
      <formula>kvartal &lt; 4</formula>
    </cfRule>
  </conditionalFormatting>
  <conditionalFormatting sqref="G113">
    <cfRule type="expression" dxfId="1587" priority="57">
      <formula>kvartal &lt; 4</formula>
    </cfRule>
  </conditionalFormatting>
  <conditionalFormatting sqref="F121:G121">
    <cfRule type="expression" dxfId="1586" priority="56">
      <formula>kvartal &lt; 4</formula>
    </cfRule>
  </conditionalFormatting>
  <conditionalFormatting sqref="F67:G67">
    <cfRule type="expression" dxfId="1585" priority="55">
      <formula>kvartal &lt; 4</formula>
    </cfRule>
  </conditionalFormatting>
  <conditionalFormatting sqref="F70:G70">
    <cfRule type="expression" dxfId="1584" priority="54">
      <formula>kvartal &lt; 4</formula>
    </cfRule>
  </conditionalFormatting>
  <conditionalFormatting sqref="F78:G78">
    <cfRule type="expression" dxfId="1583" priority="53">
      <formula>kvartal &lt; 4</formula>
    </cfRule>
  </conditionalFormatting>
  <conditionalFormatting sqref="F81:G81">
    <cfRule type="expression" dxfId="1582" priority="52">
      <formula>kvartal &lt; 4</formula>
    </cfRule>
  </conditionalFormatting>
  <conditionalFormatting sqref="F88:G88">
    <cfRule type="expression" dxfId="1581" priority="46">
      <formula>kvartal &lt; 4</formula>
    </cfRule>
  </conditionalFormatting>
  <conditionalFormatting sqref="F91">
    <cfRule type="expression" dxfId="1580" priority="45">
      <formula>kvartal &lt; 4</formula>
    </cfRule>
  </conditionalFormatting>
  <conditionalFormatting sqref="G91">
    <cfRule type="expression" dxfId="1579" priority="44">
      <formula>kvartal &lt; 4</formula>
    </cfRule>
  </conditionalFormatting>
  <conditionalFormatting sqref="F99">
    <cfRule type="expression" dxfId="1578" priority="43">
      <formula>kvartal &lt; 4</formula>
    </cfRule>
  </conditionalFormatting>
  <conditionalFormatting sqref="G99">
    <cfRule type="expression" dxfId="1577" priority="42">
      <formula>kvartal &lt; 4</formula>
    </cfRule>
  </conditionalFormatting>
  <conditionalFormatting sqref="G102">
    <cfRule type="expression" dxfId="1576" priority="41">
      <formula>kvartal &lt; 4</formula>
    </cfRule>
  </conditionalFormatting>
  <conditionalFormatting sqref="F102">
    <cfRule type="expression" dxfId="1575" priority="40">
      <formula>kvartal &lt; 4</formula>
    </cfRule>
  </conditionalFormatting>
  <conditionalFormatting sqref="J67:K71">
    <cfRule type="expression" dxfId="1574" priority="39">
      <formula>kvartal &lt; 4</formula>
    </cfRule>
  </conditionalFormatting>
  <conditionalFormatting sqref="J72:K72">
    <cfRule type="expression" dxfId="1573" priority="38">
      <formula>kvartal &lt; 4</formula>
    </cfRule>
  </conditionalFormatting>
  <conditionalFormatting sqref="J78:K83">
    <cfRule type="expression" dxfId="1572" priority="37">
      <formula>kvartal &lt; 4</formula>
    </cfRule>
  </conditionalFormatting>
  <conditionalFormatting sqref="J88:K93">
    <cfRule type="expression" dxfId="1571" priority="34">
      <formula>kvartal &lt; 4</formula>
    </cfRule>
  </conditionalFormatting>
  <conditionalFormatting sqref="J99:K104">
    <cfRule type="expression" dxfId="1570" priority="33">
      <formula>kvartal &lt; 4</formula>
    </cfRule>
  </conditionalFormatting>
  <conditionalFormatting sqref="J113:K113">
    <cfRule type="expression" dxfId="1569" priority="32">
      <formula>kvartal &lt; 4</formula>
    </cfRule>
  </conditionalFormatting>
  <conditionalFormatting sqref="J121:K121">
    <cfRule type="expression" dxfId="1568" priority="31">
      <formula>kvartal &lt; 4</formula>
    </cfRule>
  </conditionalFormatting>
  <conditionalFormatting sqref="A23:A25">
    <cfRule type="expression" dxfId="1567" priority="15">
      <formula>kvartal &lt; 4</formula>
    </cfRule>
  </conditionalFormatting>
  <conditionalFormatting sqref="A29:A31">
    <cfRule type="expression" dxfId="1566" priority="13">
      <formula>kvartal &lt; 4</formula>
    </cfRule>
  </conditionalFormatting>
  <conditionalFormatting sqref="A48:A50">
    <cfRule type="expression" dxfId="1565" priority="12">
      <formula>kvartal &lt; 4</formula>
    </cfRule>
  </conditionalFormatting>
  <conditionalFormatting sqref="A67:A72">
    <cfRule type="expression" dxfId="1564" priority="10">
      <formula>kvartal &lt; 4</formula>
    </cfRule>
  </conditionalFormatting>
  <conditionalFormatting sqref="A78:A83">
    <cfRule type="expression" dxfId="1563" priority="9">
      <formula>kvartal &lt; 4</formula>
    </cfRule>
  </conditionalFormatting>
  <conditionalFormatting sqref="A88:A93">
    <cfRule type="expression" dxfId="1562" priority="6">
      <formula>kvartal &lt; 4</formula>
    </cfRule>
  </conditionalFormatting>
  <conditionalFormatting sqref="A99:A104">
    <cfRule type="expression" dxfId="1561" priority="5">
      <formula>kvartal &lt; 4</formula>
    </cfRule>
  </conditionalFormatting>
  <conditionalFormatting sqref="A113">
    <cfRule type="expression" dxfId="1560" priority="4">
      <formula>kvartal &lt; 4</formula>
    </cfRule>
  </conditionalFormatting>
  <conditionalFormatting sqref="A121">
    <cfRule type="expression" dxfId="1559" priority="3">
      <formula>kvartal &lt; 4</formula>
    </cfRule>
  </conditionalFormatting>
  <conditionalFormatting sqref="A26">
    <cfRule type="expression" dxfId="1558" priority="2">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R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8" x14ac:dyDescent="0.2">
      <c r="A1" s="171" t="s">
        <v>152</v>
      </c>
      <c r="B1" s="434"/>
      <c r="C1" s="250" t="s">
        <v>141</v>
      </c>
      <c r="D1" s="26"/>
      <c r="E1" s="26"/>
      <c r="F1" s="26"/>
      <c r="G1" s="26"/>
      <c r="H1" s="26"/>
      <c r="I1" s="26"/>
      <c r="J1" s="26"/>
      <c r="K1" s="26"/>
      <c r="L1" s="26"/>
      <c r="M1" s="26"/>
    </row>
    <row r="2" spans="1:18" ht="15.75" x14ac:dyDescent="0.25">
      <c r="A2" s="164" t="s">
        <v>32</v>
      </c>
      <c r="B2" s="679"/>
      <c r="C2" s="679"/>
      <c r="D2" s="679"/>
      <c r="E2" s="297"/>
      <c r="F2" s="679"/>
      <c r="G2" s="679"/>
      <c r="H2" s="679"/>
      <c r="I2" s="297"/>
      <c r="J2" s="679"/>
      <c r="K2" s="679"/>
      <c r="L2" s="679"/>
      <c r="M2" s="297"/>
    </row>
    <row r="3" spans="1:18" ht="15.75" x14ac:dyDescent="0.25">
      <c r="A3" s="162"/>
      <c r="B3" s="297"/>
      <c r="C3" s="297"/>
      <c r="D3" s="297"/>
      <c r="E3" s="297"/>
      <c r="F3" s="297"/>
      <c r="G3" s="297"/>
      <c r="H3" s="297"/>
      <c r="I3" s="297"/>
      <c r="J3" s="297"/>
      <c r="K3" s="297"/>
      <c r="L3" s="297"/>
      <c r="M3" s="297"/>
    </row>
    <row r="4" spans="1:18" x14ac:dyDescent="0.2">
      <c r="A4" s="143"/>
      <c r="B4" s="676" t="s">
        <v>0</v>
      </c>
      <c r="C4" s="677"/>
      <c r="D4" s="677"/>
      <c r="E4" s="299"/>
      <c r="F4" s="676" t="s">
        <v>1</v>
      </c>
      <c r="G4" s="677"/>
      <c r="H4" s="677"/>
      <c r="I4" s="302"/>
      <c r="J4" s="676" t="s">
        <v>2</v>
      </c>
      <c r="K4" s="677"/>
      <c r="L4" s="677"/>
      <c r="M4" s="302"/>
    </row>
    <row r="5" spans="1:18"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8" x14ac:dyDescent="0.2">
      <c r="A6" s="435"/>
      <c r="B6" s="155"/>
      <c r="C6" s="155"/>
      <c r="D6" s="248" t="s">
        <v>4</v>
      </c>
      <c r="E6" s="155" t="s">
        <v>34</v>
      </c>
      <c r="F6" s="160"/>
      <c r="G6" s="160"/>
      <c r="H6" s="246" t="s">
        <v>4</v>
      </c>
      <c r="I6" s="155" t="s">
        <v>34</v>
      </c>
      <c r="J6" s="160"/>
      <c r="K6" s="160"/>
      <c r="L6" s="246" t="s">
        <v>4</v>
      </c>
      <c r="M6" s="155" t="s">
        <v>34</v>
      </c>
    </row>
    <row r="7" spans="1:18" ht="15.75" x14ac:dyDescent="0.2">
      <c r="A7" s="14" t="s">
        <v>27</v>
      </c>
      <c r="B7" s="304">
        <v>233822</v>
      </c>
      <c r="C7" s="305">
        <v>263380</v>
      </c>
      <c r="D7" s="344">
        <f>IF(B7=0, "    ---- ", IF(ABS(ROUND(100/B7*C7-100,1))&lt;999,ROUND(100/B7*C7-100,1),IF(ROUND(100/B7*C7-100,1)&gt;999,999,-999)))</f>
        <v>12.6</v>
      </c>
      <c r="E7" s="11">
        <f>IFERROR(100/'Skjema total MA'!C7*C7,0)</f>
        <v>9.6726397420023336</v>
      </c>
      <c r="F7" s="304"/>
      <c r="G7" s="305"/>
      <c r="H7" s="344"/>
      <c r="I7" s="159"/>
      <c r="J7" s="306">
        <v>233822</v>
      </c>
      <c r="K7" s="307">
        <v>263380</v>
      </c>
      <c r="L7" s="403">
        <f>IF(J7=0, "    ---- ", IF(ABS(ROUND(100/J7*K7-100,1))&lt;999,ROUND(100/J7*K7-100,1),IF(ROUND(100/J7*K7-100,1)&gt;999,999,-999)))</f>
        <v>12.6</v>
      </c>
      <c r="M7" s="11">
        <f>IFERROR(100/'Skjema total MA'!I7*K7,0)</f>
        <v>3.6252003930146701</v>
      </c>
    </row>
    <row r="8" spans="1:18" ht="15.75" x14ac:dyDescent="0.2">
      <c r="A8" s="21" t="s">
        <v>29</v>
      </c>
      <c r="B8" s="286">
        <v>120987</v>
      </c>
      <c r="C8" s="287">
        <v>138367</v>
      </c>
      <c r="D8" s="165">
        <f t="shared" ref="D8:D10" si="0">IF(B8=0, "    ---- ", IF(ABS(ROUND(100/B8*C8-100,1))&lt;999,ROUND(100/B8*C8-100,1),IF(ROUND(100/B8*C8-100,1)&gt;999,999,-999)))</f>
        <v>14.4</v>
      </c>
      <c r="E8" s="27">
        <f>IFERROR(100/'Skjema total MA'!C8*C8,0)</f>
        <v>9.208883938745517</v>
      </c>
      <c r="F8" s="423"/>
      <c r="G8" s="424"/>
      <c r="H8" s="170"/>
      <c r="I8" s="175"/>
      <c r="J8" s="234">
        <v>120987</v>
      </c>
      <c r="K8" s="290">
        <v>138367</v>
      </c>
      <c r="L8" s="165">
        <f t="shared" ref="L8:L9" si="1">IF(J8=0, "    ---- ", IF(ABS(ROUND(100/J8*K8-100,1))&lt;999,ROUND(100/J8*K8-100,1),IF(ROUND(100/J8*K8-100,1)&gt;999,999,-999)))</f>
        <v>14.4</v>
      </c>
      <c r="M8" s="27">
        <f>IFERROR(100/'Skjema total MA'!I8*K8,0)</f>
        <v>9.208883938745517</v>
      </c>
    </row>
    <row r="9" spans="1:18" ht="15.75" x14ac:dyDescent="0.2">
      <c r="A9" s="21" t="s">
        <v>28</v>
      </c>
      <c r="B9" s="286">
        <v>112835</v>
      </c>
      <c r="C9" s="287">
        <v>125012</v>
      </c>
      <c r="D9" s="165">
        <f t="shared" si="0"/>
        <v>10.8</v>
      </c>
      <c r="E9" s="27">
        <f>IFERROR(100/'Skjema total MA'!C9*C9,0)</f>
        <v>17.268189333038926</v>
      </c>
      <c r="F9" s="423"/>
      <c r="G9" s="424"/>
      <c r="H9" s="170"/>
      <c r="I9" s="175"/>
      <c r="J9" s="234">
        <v>112835</v>
      </c>
      <c r="K9" s="290">
        <v>125012</v>
      </c>
      <c r="L9" s="165">
        <f t="shared" si="1"/>
        <v>10.8</v>
      </c>
      <c r="M9" s="27">
        <f>IFERROR(100/'Skjema total MA'!I9*K9,0)</f>
        <v>17.268189333038926</v>
      </c>
    </row>
    <row r="10" spans="1:18" ht="15.75" x14ac:dyDescent="0.2">
      <c r="A10" s="13" t="s">
        <v>26</v>
      </c>
      <c r="B10" s="308">
        <v>316486</v>
      </c>
      <c r="C10" s="309">
        <v>363793</v>
      </c>
      <c r="D10" s="170">
        <f t="shared" si="0"/>
        <v>14.9</v>
      </c>
      <c r="E10" s="11">
        <f>IFERROR(100/'Skjema total MA'!C10*C10,0)</f>
        <v>1.5810613883985427</v>
      </c>
      <c r="F10" s="308"/>
      <c r="G10" s="309"/>
      <c r="H10" s="170"/>
      <c r="I10" s="159"/>
      <c r="J10" s="306">
        <v>316486</v>
      </c>
      <c r="K10" s="307">
        <v>363793</v>
      </c>
      <c r="L10" s="404">
        <f t="shared" ref="L10" si="2">IF(J10=0, "    ---- ", IF(ABS(ROUND(100/J10*K10-100,1))&lt;999,ROUND(100/J10*K10-100,1),IF(ROUND(100/J10*K10-100,1)&gt;999,999,-999)))</f>
        <v>14.9</v>
      </c>
      <c r="M10" s="11">
        <f>IFERROR(100/'Skjema total MA'!I10*K10,0)</f>
        <v>0.59960286797774476</v>
      </c>
    </row>
    <row r="11" spans="1:18" s="43" customFormat="1" ht="15.75" x14ac:dyDescent="0.2">
      <c r="A11" s="13" t="s">
        <v>25</v>
      </c>
      <c r="B11" s="308"/>
      <c r="C11" s="309"/>
      <c r="D11" s="170"/>
      <c r="E11" s="11"/>
      <c r="F11" s="308"/>
      <c r="G11" s="309"/>
      <c r="H11" s="170"/>
      <c r="I11" s="159"/>
      <c r="J11" s="306"/>
      <c r="K11" s="307"/>
      <c r="L11" s="404"/>
      <c r="M11" s="11"/>
      <c r="N11" s="142"/>
      <c r="Q11" s="142"/>
    </row>
    <row r="12" spans="1:18" s="43" customFormat="1" ht="15.75" x14ac:dyDescent="0.2">
      <c r="A12" s="41" t="s">
        <v>24</v>
      </c>
      <c r="B12" s="310"/>
      <c r="C12" s="311"/>
      <c r="D12" s="168"/>
      <c r="E12" s="36"/>
      <c r="F12" s="310"/>
      <c r="G12" s="311"/>
      <c r="H12" s="168"/>
      <c r="I12" s="168"/>
      <c r="J12" s="312"/>
      <c r="K12" s="313"/>
      <c r="L12" s="405"/>
      <c r="M12" s="36"/>
      <c r="N12" s="142"/>
    </row>
    <row r="13" spans="1:18" s="43" customFormat="1" x14ac:dyDescent="0.2">
      <c r="A13" s="167"/>
      <c r="B13" s="144"/>
      <c r="C13" s="33"/>
      <c r="D13" s="158"/>
      <c r="E13" s="158"/>
      <c r="F13" s="144"/>
      <c r="G13" s="33"/>
      <c r="H13" s="158"/>
      <c r="I13" s="158"/>
      <c r="J13" s="48"/>
      <c r="K13" s="48"/>
      <c r="L13" s="158"/>
      <c r="M13" s="158"/>
      <c r="N13" s="142"/>
      <c r="P13" s="1"/>
    </row>
    <row r="14" spans="1:18" x14ac:dyDescent="0.2">
      <c r="A14" s="152" t="s">
        <v>296</v>
      </c>
      <c r="B14" s="26"/>
      <c r="R14" s="43"/>
    </row>
    <row r="15" spans="1:18" x14ac:dyDescent="0.2">
      <c r="F15" s="145"/>
      <c r="G15" s="145"/>
      <c r="H15" s="145"/>
      <c r="I15" s="145"/>
      <c r="J15" s="145"/>
      <c r="K15" s="145"/>
      <c r="L15" s="145"/>
      <c r="M15" s="145"/>
    </row>
    <row r="16" spans="1:18"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v>119464</v>
      </c>
      <c r="C22" s="315">
        <v>124081</v>
      </c>
      <c r="D22" s="344">
        <f t="shared" ref="D22:D28" si="3">IF(B22=0, "    ---- ", IF(ABS(ROUND(100/B22*C22-100,1))&lt;999,ROUND(100/B22*C22-100,1),IF(ROUND(100/B22*C22-100,1)&gt;999,999,-999)))</f>
        <v>3.9</v>
      </c>
      <c r="E22" s="11">
        <f>IFERROR(100/'Skjema total MA'!C22*C22,0)</f>
        <v>12.939883279401608</v>
      </c>
      <c r="F22" s="316">
        <v>3214</v>
      </c>
      <c r="G22" s="315">
        <v>3017</v>
      </c>
      <c r="H22" s="344">
        <f t="shared" ref="H22:H28" si="4">IF(F22=0, "    ---- ", IF(ABS(ROUND(100/F22*G22-100,1))&lt;999,ROUND(100/F22*G22-100,1),IF(ROUND(100/F22*G22-100,1)&gt;999,999,-999)))</f>
        <v>-6.1</v>
      </c>
      <c r="I22" s="11">
        <f>IFERROR(100/'Skjema total MA'!F22*G22,0)</f>
        <v>1.5132257776220623</v>
      </c>
      <c r="J22" s="314">
        <v>122678</v>
      </c>
      <c r="K22" s="314">
        <v>127098</v>
      </c>
      <c r="L22" s="403">
        <f t="shared" ref="L22:L28" si="5">IF(J22=0, "    ---- ", IF(ABS(ROUND(100/J22*K22-100,1))&lt;999,ROUND(100/J22*K22-100,1),IF(ROUND(100/J22*K22-100,1)&gt;999,999,-999)))</f>
        <v>3.6</v>
      </c>
      <c r="M22" s="24">
        <f>IFERROR(100/'Skjema total MA'!I22*K22,0)</f>
        <v>10.973004363751345</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v>119464</v>
      </c>
      <c r="C27" s="290">
        <v>124081</v>
      </c>
      <c r="D27" s="165">
        <f t="shared" si="3"/>
        <v>3.9</v>
      </c>
      <c r="E27" s="27">
        <f>IFERROR(100/'Skjema total MA'!C27*C27,0)</f>
        <v>12.545285345180002</v>
      </c>
      <c r="F27" s="234"/>
      <c r="G27" s="290"/>
      <c r="H27" s="165"/>
      <c r="I27" s="27"/>
      <c r="J27" s="44">
        <v>119464</v>
      </c>
      <c r="K27" s="44">
        <v>124081</v>
      </c>
      <c r="L27" s="259">
        <f t="shared" si="5"/>
        <v>3.9</v>
      </c>
      <c r="M27" s="23">
        <f>IFERROR(100/'Skjema total MA'!I27*K27,0)</f>
        <v>12.545285345180002</v>
      </c>
    </row>
    <row r="28" spans="1:14" s="3" customFormat="1" ht="15.75" x14ac:dyDescent="0.2">
      <c r="A28" s="13" t="s">
        <v>26</v>
      </c>
      <c r="B28" s="236">
        <v>353936</v>
      </c>
      <c r="C28" s="307">
        <v>428167</v>
      </c>
      <c r="D28" s="170">
        <f t="shared" si="3"/>
        <v>21</v>
      </c>
      <c r="E28" s="11">
        <f>IFERROR(100/'Skjema total MA'!C28*C28,0)</f>
        <v>0.84033846394272882</v>
      </c>
      <c r="F28" s="306">
        <v>74317</v>
      </c>
      <c r="G28" s="307">
        <v>100569</v>
      </c>
      <c r="H28" s="170">
        <f t="shared" si="4"/>
        <v>35.299999999999997</v>
      </c>
      <c r="I28" s="11">
        <f>IFERROR(100/'Skjema total MA'!F28*G28,0)</f>
        <v>0.51215683220873653</v>
      </c>
      <c r="J28" s="236">
        <v>428253</v>
      </c>
      <c r="K28" s="236">
        <v>528736</v>
      </c>
      <c r="L28" s="404">
        <f t="shared" si="5"/>
        <v>23.5</v>
      </c>
      <c r="M28" s="24">
        <f>IFERROR(100/'Skjema total MA'!I28*K28,0)</f>
        <v>0.74904410555341761</v>
      </c>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65"/>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28500</v>
      </c>
      <c r="C45" s="309">
        <v>29804.782999999999</v>
      </c>
      <c r="D45" s="403">
        <f t="shared" ref="D45:D46" si="6">IF(B45=0, "    ---- ", IF(ABS(ROUND(100/B45*C45-100,1))&lt;999,ROUND(100/B45*C45-100,1),IF(ROUND(100/B45*C45-100,1)&gt;999,999,-999)))</f>
        <v>4.5999999999999996</v>
      </c>
      <c r="E45" s="11">
        <f>IFERROR(100/'Skjema total MA'!C45*C45,0)</f>
        <v>1.0869731773302336</v>
      </c>
      <c r="F45" s="144"/>
      <c r="G45" s="33"/>
      <c r="H45" s="158"/>
      <c r="I45" s="158"/>
      <c r="J45" s="37"/>
      <c r="K45" s="37"/>
      <c r="L45" s="158"/>
      <c r="M45" s="158"/>
      <c r="N45" s="147"/>
    </row>
    <row r="46" spans="1:14" s="3" customFormat="1" ht="15.75" x14ac:dyDescent="0.2">
      <c r="A46" s="38" t="s">
        <v>312</v>
      </c>
      <c r="B46" s="286">
        <v>28500</v>
      </c>
      <c r="C46" s="287">
        <v>29804.782999999999</v>
      </c>
      <c r="D46" s="259">
        <f t="shared" si="6"/>
        <v>4.5999999999999996</v>
      </c>
      <c r="E46" s="27">
        <f>IFERROR(100/'Skjema total MA'!C46*C46,0)</f>
        <v>2.0476924627979192</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v>67651</v>
      </c>
      <c r="C64" s="347">
        <v>72967</v>
      </c>
      <c r="D64" s="344">
        <f t="shared" ref="D64:D109" si="7">IF(B64=0, "    ---- ", IF(ABS(ROUND(100/B64*C64-100,1))&lt;999,ROUND(100/B64*C64-100,1),IF(ROUND(100/B64*C64-100,1)&gt;999,999,-999)))</f>
        <v>7.9</v>
      </c>
      <c r="E64" s="11">
        <f>IFERROR(100/'Skjema total MA'!C64*C64,0)</f>
        <v>1.3584720999320841</v>
      </c>
      <c r="F64" s="346">
        <v>144889</v>
      </c>
      <c r="G64" s="346">
        <v>165367</v>
      </c>
      <c r="H64" s="344">
        <f t="shared" ref="H64:H109" si="8">IF(F64=0, "    ---- ", IF(ABS(ROUND(100/F64*G64-100,1))&lt;999,ROUND(100/F64*G64-100,1),IF(ROUND(100/F64*G64-100,1)&gt;999,999,-999)))</f>
        <v>14.1</v>
      </c>
      <c r="I64" s="11">
        <f>IFERROR(100/'Skjema total MA'!F64*G64,0)</f>
        <v>1.2736847947326895</v>
      </c>
      <c r="J64" s="307">
        <v>212540</v>
      </c>
      <c r="K64" s="314">
        <v>238334</v>
      </c>
      <c r="L64" s="404">
        <f t="shared" ref="L64:L109" si="9">IF(J64=0, "    ---- ", IF(ABS(ROUND(100/J64*K64-100,1))&lt;999,ROUND(100/J64*K64-100,1),IF(ROUND(100/J64*K64-100,1)&gt;999,999,-999)))</f>
        <v>12.1</v>
      </c>
      <c r="M64" s="11">
        <f>IFERROR(100/'Skjema total MA'!I64*K64,0)</f>
        <v>1.2984967776830674</v>
      </c>
    </row>
    <row r="65" spans="1:14" x14ac:dyDescent="0.2">
      <c r="A65" s="395" t="s">
        <v>9</v>
      </c>
      <c r="B65" s="44"/>
      <c r="C65" s="144"/>
      <c r="D65" s="165"/>
      <c r="E65" s="27"/>
      <c r="F65" s="234"/>
      <c r="G65" s="144"/>
      <c r="H65" s="165"/>
      <c r="I65" s="27"/>
      <c r="J65" s="290"/>
      <c r="K65" s="44"/>
      <c r="L65" s="259"/>
      <c r="M65" s="27"/>
    </row>
    <row r="66" spans="1:14" x14ac:dyDescent="0.2">
      <c r="A66" s="21" t="s">
        <v>10</v>
      </c>
      <c r="B66" s="292">
        <v>67651</v>
      </c>
      <c r="C66" s="293">
        <v>72967</v>
      </c>
      <c r="D66" s="165">
        <f t="shared" si="7"/>
        <v>7.9</v>
      </c>
      <c r="E66" s="27">
        <f>IFERROR(100/'Skjema total MA'!C66*C66,0)</f>
        <v>62.113671601972442</v>
      </c>
      <c r="F66" s="292">
        <v>144889</v>
      </c>
      <c r="G66" s="293">
        <v>165367</v>
      </c>
      <c r="H66" s="165">
        <f t="shared" si="8"/>
        <v>14.1</v>
      </c>
      <c r="I66" s="27">
        <f>IFERROR(100/'Skjema total MA'!F66*G66,0)</f>
        <v>1.286491329656148</v>
      </c>
      <c r="J66" s="290">
        <v>212540</v>
      </c>
      <c r="K66" s="44">
        <v>238334</v>
      </c>
      <c r="L66" s="259">
        <f t="shared" si="9"/>
        <v>12.1</v>
      </c>
      <c r="M66" s="27">
        <f>IFERROR(100/'Skjema total MA'!I66*K66,0)</f>
        <v>1.8373548479509541</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v>67651</v>
      </c>
      <c r="C75" s="234">
        <v>72967</v>
      </c>
      <c r="D75" s="165">
        <f t="shared" si="7"/>
        <v>7.9</v>
      </c>
      <c r="E75" s="27">
        <f>IFERROR(100/'Skjema total MA'!C75*C75,0)</f>
        <v>1.42952966137797</v>
      </c>
      <c r="F75" s="234">
        <v>144889</v>
      </c>
      <c r="G75" s="144">
        <v>165367</v>
      </c>
      <c r="H75" s="165">
        <f t="shared" si="8"/>
        <v>14.1</v>
      </c>
      <c r="I75" s="27">
        <f>IFERROR(100/'Skjema total MA'!F75*G75,0)</f>
        <v>1.2873318140890897</v>
      </c>
      <c r="J75" s="290">
        <v>212540</v>
      </c>
      <c r="K75" s="44">
        <v>238334</v>
      </c>
      <c r="L75" s="259">
        <f t="shared" si="9"/>
        <v>12.1</v>
      </c>
      <c r="M75" s="27">
        <f>IFERROR(100/'Skjema total MA'!I75*K75,0)</f>
        <v>1.3277672656242965</v>
      </c>
    </row>
    <row r="76" spans="1:14" x14ac:dyDescent="0.2">
      <c r="A76" s="21" t="s">
        <v>9</v>
      </c>
      <c r="B76" s="234"/>
      <c r="C76" s="144"/>
      <c r="D76" s="165"/>
      <c r="E76" s="27"/>
      <c r="F76" s="234"/>
      <c r="G76" s="144"/>
      <c r="H76" s="165"/>
      <c r="I76" s="27"/>
      <c r="J76" s="290"/>
      <c r="K76" s="44"/>
      <c r="L76" s="259"/>
      <c r="M76" s="27"/>
    </row>
    <row r="77" spans="1:14" x14ac:dyDescent="0.2">
      <c r="A77" s="21" t="s">
        <v>10</v>
      </c>
      <c r="B77" s="292">
        <v>67651</v>
      </c>
      <c r="C77" s="293">
        <v>72967</v>
      </c>
      <c r="D77" s="165">
        <f t="shared" si="7"/>
        <v>7.9</v>
      </c>
      <c r="E77" s="27">
        <f>IFERROR(100/'Skjema total MA'!C77*C77,0)</f>
        <v>63.310019172432014</v>
      </c>
      <c r="F77" s="292">
        <v>144889</v>
      </c>
      <c r="G77" s="293">
        <v>165367</v>
      </c>
      <c r="H77" s="165">
        <f t="shared" si="8"/>
        <v>14.1</v>
      </c>
      <c r="I77" s="27">
        <f>IFERROR(100/'Skjema total MA'!F77*G77,0)</f>
        <v>1.2873318140890897</v>
      </c>
      <c r="J77" s="290">
        <v>212540</v>
      </c>
      <c r="K77" s="44">
        <v>238334</v>
      </c>
      <c r="L77" s="259">
        <f t="shared" si="9"/>
        <v>12.1</v>
      </c>
      <c r="M77" s="27">
        <f>IFERROR(100/'Skjema total MA'!I77*K77,0)</f>
        <v>1.8388592334844533</v>
      </c>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v>162408</v>
      </c>
      <c r="C85" s="347">
        <v>187089</v>
      </c>
      <c r="D85" s="170">
        <f t="shared" si="7"/>
        <v>15.2</v>
      </c>
      <c r="E85" s="11">
        <f>IFERROR(100/'Skjema total MA'!C85*C85,0)</f>
        <v>5.0049200229203311E-2</v>
      </c>
      <c r="F85" s="346">
        <v>2320558</v>
      </c>
      <c r="G85" s="346">
        <v>2824700</v>
      </c>
      <c r="H85" s="170">
        <f t="shared" si="8"/>
        <v>21.7</v>
      </c>
      <c r="I85" s="11">
        <f>IFERROR(100/'Skjema total MA'!F85*G85,0)</f>
        <v>1.4202578385561837</v>
      </c>
      <c r="J85" s="307">
        <v>2482966</v>
      </c>
      <c r="K85" s="236">
        <v>3011789</v>
      </c>
      <c r="L85" s="404">
        <f t="shared" si="9"/>
        <v>21.3</v>
      </c>
      <c r="M85" s="11">
        <f>IFERROR(100/'Skjema total MA'!I85*K85,0)</f>
        <v>0.52589609337166721</v>
      </c>
    </row>
    <row r="86" spans="1:13" x14ac:dyDescent="0.2">
      <c r="A86" s="21" t="s">
        <v>9</v>
      </c>
      <c r="B86" s="234"/>
      <c r="C86" s="144"/>
      <c r="D86" s="165"/>
      <c r="E86" s="27"/>
      <c r="F86" s="234"/>
      <c r="G86" s="144"/>
      <c r="H86" s="165"/>
      <c r="I86" s="27"/>
      <c r="J86" s="290"/>
      <c r="K86" s="44"/>
      <c r="L86" s="259"/>
      <c r="M86" s="27"/>
    </row>
    <row r="87" spans="1:13" x14ac:dyDescent="0.2">
      <c r="A87" s="21" t="s">
        <v>10</v>
      </c>
      <c r="B87" s="234">
        <v>162408</v>
      </c>
      <c r="C87" s="144">
        <v>187089</v>
      </c>
      <c r="D87" s="165">
        <f t="shared" si="7"/>
        <v>15.2</v>
      </c>
      <c r="E87" s="27">
        <f>IFERROR(100/'Skjema total MA'!C87*C87,0)</f>
        <v>7.4862566416907148</v>
      </c>
      <c r="F87" s="234">
        <v>2320558</v>
      </c>
      <c r="G87" s="144">
        <v>2824700</v>
      </c>
      <c r="H87" s="165">
        <f t="shared" si="8"/>
        <v>21.7</v>
      </c>
      <c r="I87" s="27">
        <f>IFERROR(100/'Skjema total MA'!F87*G87,0)</f>
        <v>1.4228289656268327</v>
      </c>
      <c r="J87" s="290">
        <v>2482966</v>
      </c>
      <c r="K87" s="44">
        <v>3011789</v>
      </c>
      <c r="L87" s="259">
        <f t="shared" si="9"/>
        <v>21.3</v>
      </c>
      <c r="M87" s="27">
        <f>IFERROR(100/'Skjema total MA'!I87*K87,0)</f>
        <v>1.4982077703145273</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v>162408</v>
      </c>
      <c r="C96" s="234">
        <v>187089</v>
      </c>
      <c r="D96" s="165">
        <f t="shared" si="7"/>
        <v>15.2</v>
      </c>
      <c r="E96" s="27">
        <f>IFERROR(100/'Skjema total MA'!C96*C96,0)</f>
        <v>5.0748581246102917E-2</v>
      </c>
      <c r="F96" s="292">
        <v>2320558</v>
      </c>
      <c r="G96" s="292">
        <v>2824700</v>
      </c>
      <c r="H96" s="165">
        <f t="shared" si="8"/>
        <v>21.7</v>
      </c>
      <c r="I96" s="27">
        <f>IFERROR(100/'Skjema total MA'!F96*G96,0)</f>
        <v>1.4266576974126659</v>
      </c>
      <c r="J96" s="290">
        <v>2482966</v>
      </c>
      <c r="K96" s="44">
        <v>3011789</v>
      </c>
      <c r="L96" s="259">
        <f t="shared" si="9"/>
        <v>21.3</v>
      </c>
      <c r="M96" s="27">
        <f>IFERROR(100/'Skjema total MA'!I96*K96,0)</f>
        <v>0.53150516639197554</v>
      </c>
    </row>
    <row r="97" spans="1:13" x14ac:dyDescent="0.2">
      <c r="A97" s="21" t="s">
        <v>9</v>
      </c>
      <c r="B97" s="292"/>
      <c r="C97" s="293"/>
      <c r="D97" s="165"/>
      <c r="E97" s="27"/>
      <c r="F97" s="234"/>
      <c r="G97" s="144"/>
      <c r="H97" s="165"/>
      <c r="I97" s="27"/>
      <c r="J97" s="290"/>
      <c r="K97" s="44"/>
      <c r="L97" s="259"/>
      <c r="M97" s="27"/>
    </row>
    <row r="98" spans="1:13" x14ac:dyDescent="0.2">
      <c r="A98" s="21" t="s">
        <v>10</v>
      </c>
      <c r="B98" s="292">
        <v>162408</v>
      </c>
      <c r="C98" s="293">
        <v>187089</v>
      </c>
      <c r="D98" s="165">
        <f t="shared" si="7"/>
        <v>15.2</v>
      </c>
      <c r="E98" s="27">
        <f>IFERROR(100/'Skjema total MA'!C98*C98,0)</f>
        <v>7.4862566416907148</v>
      </c>
      <c r="F98" s="234">
        <v>2320558</v>
      </c>
      <c r="G98" s="234">
        <v>2824700</v>
      </c>
      <c r="H98" s="165">
        <f t="shared" si="8"/>
        <v>21.7</v>
      </c>
      <c r="I98" s="27">
        <f>IFERROR(100/'Skjema total MA'!F98*G98,0)</f>
        <v>1.4266576974126659</v>
      </c>
      <c r="J98" s="290">
        <v>2482966</v>
      </c>
      <c r="K98" s="44">
        <v>3011789</v>
      </c>
      <c r="L98" s="259">
        <f t="shared" si="9"/>
        <v>21.3</v>
      </c>
      <c r="M98" s="27">
        <f>IFERROR(100/'Skjema total MA'!I98*K98,0)</f>
        <v>1.5021890885894491</v>
      </c>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v>828.38</v>
      </c>
      <c r="C109" s="158">
        <v>303.44600000000003</v>
      </c>
      <c r="D109" s="170">
        <f t="shared" si="7"/>
        <v>-63.4</v>
      </c>
      <c r="E109" s="11">
        <f>IFERROR(100/'Skjema total MA'!C109*C109,0)</f>
        <v>8.7151978944362676E-2</v>
      </c>
      <c r="F109" s="306">
        <v>30749.536</v>
      </c>
      <c r="G109" s="158">
        <v>46177.891000000003</v>
      </c>
      <c r="H109" s="170">
        <f t="shared" si="8"/>
        <v>50.2</v>
      </c>
      <c r="I109" s="11">
        <f>IFERROR(100/'Skjema total MA'!F109*G109,0)</f>
        <v>0.71364790158095337</v>
      </c>
      <c r="J109" s="307">
        <v>31577.916000000001</v>
      </c>
      <c r="K109" s="236">
        <v>46481.337000000007</v>
      </c>
      <c r="L109" s="404">
        <f t="shared" si="9"/>
        <v>47.2</v>
      </c>
      <c r="M109" s="11">
        <f>IFERROR(100/'Skjema total MA'!I109*K109,0)</f>
        <v>0.68165818059177763</v>
      </c>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v>828.38</v>
      </c>
      <c r="C111" s="144">
        <v>303.44600000000003</v>
      </c>
      <c r="D111" s="165">
        <f t="shared" ref="D111:D119" si="10">IF(B111=0, "    ---- ", IF(ABS(ROUND(100/B111*C111-100,1))&lt;999,ROUND(100/B111*C111-100,1),IF(ROUND(100/B111*C111-100,1)&gt;999,999,-999)))</f>
        <v>-63.4</v>
      </c>
      <c r="E111" s="27">
        <f>IFERROR(100/'Skjema total MA'!C111*C111,0)</f>
        <v>11.997545501918763</v>
      </c>
      <c r="F111" s="234">
        <v>30749.536</v>
      </c>
      <c r="G111" s="144">
        <v>46177.891000000003</v>
      </c>
      <c r="H111" s="165">
        <f t="shared" ref="H111:H119" si="11">IF(F111=0, "    ---- ", IF(ABS(ROUND(100/F111*G111-100,1))&lt;999,ROUND(100/F111*G111-100,1),IF(ROUND(100/F111*G111-100,1)&gt;999,999,-999)))</f>
        <v>50.2</v>
      </c>
      <c r="I111" s="27">
        <f>IFERROR(100/'Skjema total MA'!F111*G111,0)</f>
        <v>0.71364790158095337</v>
      </c>
      <c r="J111" s="290">
        <v>31577.916000000001</v>
      </c>
      <c r="K111" s="44">
        <v>46481.337000000007</v>
      </c>
      <c r="L111" s="259">
        <f t="shared" ref="L111:L119" si="12">IF(J111=0, "    ---- ", IF(ABS(ROUND(100/J111*K111-100,1))&lt;999,ROUND(100/J111*K111-100,1),IF(ROUND(100/J111*K111-100,1)&gt;999,999,-999)))</f>
        <v>47.2</v>
      </c>
      <c r="M111" s="27">
        <f>IFERROR(100/'Skjema total MA'!I111*K111,0)</f>
        <v>0.71805678204765833</v>
      </c>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2696.0970000000002</v>
      </c>
      <c r="C117" s="158">
        <v>733.12800000000004</v>
      </c>
      <c r="D117" s="170">
        <f t="shared" si="10"/>
        <v>-72.8</v>
      </c>
      <c r="E117" s="11">
        <f>IFERROR(100/'Skjema total MA'!C117*C117,0)</f>
        <v>0.24990690252208578</v>
      </c>
      <c r="F117" s="306">
        <v>36500</v>
      </c>
      <c r="G117" s="158">
        <v>81510.804999999993</v>
      </c>
      <c r="H117" s="170">
        <f t="shared" si="11"/>
        <v>123.3</v>
      </c>
      <c r="I117" s="11">
        <f>IFERROR(100/'Skjema total MA'!F117*G117,0)</f>
        <v>1.2643170260801524</v>
      </c>
      <c r="J117" s="307">
        <v>39196.097000000002</v>
      </c>
      <c r="K117" s="236">
        <v>82243.93299999999</v>
      </c>
      <c r="L117" s="404">
        <f t="shared" si="12"/>
        <v>109.8</v>
      </c>
      <c r="M117" s="11">
        <f>IFERROR(100/'Skjema total MA'!I117*K117,0)</f>
        <v>1.2201670422160487</v>
      </c>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v>2696.0970000000002</v>
      </c>
      <c r="C119" s="144">
        <v>733.12800000000004</v>
      </c>
      <c r="D119" s="165">
        <f t="shared" si="10"/>
        <v>-72.8</v>
      </c>
      <c r="E119" s="27">
        <f>IFERROR(100/'Skjema total MA'!C119*C119,0)</f>
        <v>4.2105085372274971</v>
      </c>
      <c r="F119" s="234">
        <v>36500</v>
      </c>
      <c r="G119" s="144">
        <v>81510.804999999993</v>
      </c>
      <c r="H119" s="165">
        <f t="shared" si="11"/>
        <v>123.3</v>
      </c>
      <c r="I119" s="27">
        <f>IFERROR(100/'Skjema total MA'!F119*G119,0)</f>
        <v>1.2643170260801524</v>
      </c>
      <c r="J119" s="290">
        <v>39196.097000000002</v>
      </c>
      <c r="K119" s="44">
        <v>82243.93299999999</v>
      </c>
      <c r="L119" s="259">
        <f t="shared" si="12"/>
        <v>109.8</v>
      </c>
      <c r="M119" s="27">
        <f>IFERROR(100/'Skjema total MA'!I119*K119,0)</f>
        <v>1.2722525515175578</v>
      </c>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557" priority="132">
      <formula>kvartal &lt; 4</formula>
    </cfRule>
  </conditionalFormatting>
  <conditionalFormatting sqref="B29">
    <cfRule type="expression" dxfId="1556" priority="130">
      <formula>kvartal &lt; 4</formula>
    </cfRule>
  </conditionalFormatting>
  <conditionalFormatting sqref="B30">
    <cfRule type="expression" dxfId="1555" priority="129">
      <formula>kvartal &lt; 4</formula>
    </cfRule>
  </conditionalFormatting>
  <conditionalFormatting sqref="B31">
    <cfRule type="expression" dxfId="1554" priority="128">
      <formula>kvartal &lt; 4</formula>
    </cfRule>
  </conditionalFormatting>
  <conditionalFormatting sqref="C29">
    <cfRule type="expression" dxfId="1553" priority="127">
      <formula>kvartal &lt; 4</formula>
    </cfRule>
  </conditionalFormatting>
  <conditionalFormatting sqref="C30">
    <cfRule type="expression" dxfId="1552" priority="126">
      <formula>kvartal &lt; 4</formula>
    </cfRule>
  </conditionalFormatting>
  <conditionalFormatting sqref="C31">
    <cfRule type="expression" dxfId="1551" priority="125">
      <formula>kvartal &lt; 4</formula>
    </cfRule>
  </conditionalFormatting>
  <conditionalFormatting sqref="B23:C25">
    <cfRule type="expression" dxfId="1550" priority="124">
      <formula>kvartal &lt; 4</formula>
    </cfRule>
  </conditionalFormatting>
  <conditionalFormatting sqref="F23:G25">
    <cfRule type="expression" dxfId="1549" priority="120">
      <formula>kvartal &lt; 4</formula>
    </cfRule>
  </conditionalFormatting>
  <conditionalFormatting sqref="F29">
    <cfRule type="expression" dxfId="1548" priority="113">
      <formula>kvartal &lt; 4</formula>
    </cfRule>
  </conditionalFormatting>
  <conditionalFormatting sqref="F30">
    <cfRule type="expression" dxfId="1547" priority="112">
      <formula>kvartal &lt; 4</formula>
    </cfRule>
  </conditionalFormatting>
  <conditionalFormatting sqref="F31">
    <cfRule type="expression" dxfId="1546" priority="111">
      <formula>kvartal &lt; 4</formula>
    </cfRule>
  </conditionalFormatting>
  <conditionalFormatting sqref="G29">
    <cfRule type="expression" dxfId="1545" priority="110">
      <formula>kvartal &lt; 4</formula>
    </cfRule>
  </conditionalFormatting>
  <conditionalFormatting sqref="G30">
    <cfRule type="expression" dxfId="1544" priority="109">
      <formula>kvartal &lt; 4</formula>
    </cfRule>
  </conditionalFormatting>
  <conditionalFormatting sqref="G31">
    <cfRule type="expression" dxfId="1543" priority="108">
      <formula>kvartal &lt; 4</formula>
    </cfRule>
  </conditionalFormatting>
  <conditionalFormatting sqref="B26">
    <cfRule type="expression" dxfId="1542" priority="107">
      <formula>kvartal &lt; 4</formula>
    </cfRule>
  </conditionalFormatting>
  <conditionalFormatting sqref="C26">
    <cfRule type="expression" dxfId="1541" priority="106">
      <formula>kvartal &lt; 4</formula>
    </cfRule>
  </conditionalFormatting>
  <conditionalFormatting sqref="F26">
    <cfRule type="expression" dxfId="1540" priority="105">
      <formula>kvartal &lt; 4</formula>
    </cfRule>
  </conditionalFormatting>
  <conditionalFormatting sqref="G26">
    <cfRule type="expression" dxfId="1539" priority="104">
      <formula>kvartal &lt; 4</formula>
    </cfRule>
  </conditionalFormatting>
  <conditionalFormatting sqref="J23:K26">
    <cfRule type="expression" dxfId="1538" priority="103">
      <formula>kvartal &lt; 4</formula>
    </cfRule>
  </conditionalFormatting>
  <conditionalFormatting sqref="J29:K31">
    <cfRule type="expression" dxfId="1537" priority="101">
      <formula>kvartal &lt; 4</formula>
    </cfRule>
  </conditionalFormatting>
  <conditionalFormatting sqref="B67">
    <cfRule type="expression" dxfId="1536" priority="100">
      <formula>kvartal &lt; 4</formula>
    </cfRule>
  </conditionalFormatting>
  <conditionalFormatting sqref="C67">
    <cfRule type="expression" dxfId="1535" priority="99">
      <formula>kvartal &lt; 4</formula>
    </cfRule>
  </conditionalFormatting>
  <conditionalFormatting sqref="B70">
    <cfRule type="expression" dxfId="1534" priority="98">
      <formula>kvartal &lt; 4</formula>
    </cfRule>
  </conditionalFormatting>
  <conditionalFormatting sqref="C70">
    <cfRule type="expression" dxfId="1533" priority="97">
      <formula>kvartal &lt; 4</formula>
    </cfRule>
  </conditionalFormatting>
  <conditionalFormatting sqref="B78">
    <cfRule type="expression" dxfId="1532" priority="96">
      <formula>kvartal &lt; 4</formula>
    </cfRule>
  </conditionalFormatting>
  <conditionalFormatting sqref="C78">
    <cfRule type="expression" dxfId="1531" priority="95">
      <formula>kvartal &lt; 4</formula>
    </cfRule>
  </conditionalFormatting>
  <conditionalFormatting sqref="B81">
    <cfRule type="expression" dxfId="1530" priority="94">
      <formula>kvartal &lt; 4</formula>
    </cfRule>
  </conditionalFormatting>
  <conditionalFormatting sqref="C81">
    <cfRule type="expression" dxfId="1529" priority="93">
      <formula>kvartal &lt; 4</formula>
    </cfRule>
  </conditionalFormatting>
  <conditionalFormatting sqref="B88">
    <cfRule type="expression" dxfId="1528" priority="84">
      <formula>kvartal &lt; 4</formula>
    </cfRule>
  </conditionalFormatting>
  <conditionalFormatting sqref="C88">
    <cfRule type="expression" dxfId="1527" priority="83">
      <formula>kvartal &lt; 4</formula>
    </cfRule>
  </conditionalFormatting>
  <conditionalFormatting sqref="B91">
    <cfRule type="expression" dxfId="1526" priority="82">
      <formula>kvartal &lt; 4</formula>
    </cfRule>
  </conditionalFormatting>
  <conditionalFormatting sqref="C91">
    <cfRule type="expression" dxfId="1525" priority="81">
      <formula>kvartal &lt; 4</formula>
    </cfRule>
  </conditionalFormatting>
  <conditionalFormatting sqref="B99">
    <cfRule type="expression" dxfId="1524" priority="80">
      <formula>kvartal &lt; 4</formula>
    </cfRule>
  </conditionalFormatting>
  <conditionalFormatting sqref="C99">
    <cfRule type="expression" dxfId="1523" priority="79">
      <formula>kvartal &lt; 4</formula>
    </cfRule>
  </conditionalFormatting>
  <conditionalFormatting sqref="B102">
    <cfRule type="expression" dxfId="1522" priority="78">
      <formula>kvartal &lt; 4</formula>
    </cfRule>
  </conditionalFormatting>
  <conditionalFormatting sqref="C102">
    <cfRule type="expression" dxfId="1521" priority="77">
      <formula>kvartal &lt; 4</formula>
    </cfRule>
  </conditionalFormatting>
  <conditionalFormatting sqref="B113">
    <cfRule type="expression" dxfId="1520" priority="76">
      <formula>kvartal &lt; 4</formula>
    </cfRule>
  </conditionalFormatting>
  <conditionalFormatting sqref="C113">
    <cfRule type="expression" dxfId="1519" priority="75">
      <formula>kvartal &lt; 4</formula>
    </cfRule>
  </conditionalFormatting>
  <conditionalFormatting sqref="B121">
    <cfRule type="expression" dxfId="1518" priority="74">
      <formula>kvartal &lt; 4</formula>
    </cfRule>
  </conditionalFormatting>
  <conditionalFormatting sqref="C121">
    <cfRule type="expression" dxfId="1517" priority="73">
      <formula>kvartal &lt; 4</formula>
    </cfRule>
  </conditionalFormatting>
  <conditionalFormatting sqref="F68">
    <cfRule type="expression" dxfId="1516" priority="72">
      <formula>kvartal &lt; 4</formula>
    </cfRule>
  </conditionalFormatting>
  <conditionalFormatting sqref="G68">
    <cfRule type="expression" dxfId="1515" priority="71">
      <formula>kvartal &lt; 4</formula>
    </cfRule>
  </conditionalFormatting>
  <conditionalFormatting sqref="F69:G69">
    <cfRule type="expression" dxfId="1514" priority="70">
      <formula>kvartal &lt; 4</formula>
    </cfRule>
  </conditionalFormatting>
  <conditionalFormatting sqref="F71:G72">
    <cfRule type="expression" dxfId="1513" priority="69">
      <formula>kvartal &lt; 4</formula>
    </cfRule>
  </conditionalFormatting>
  <conditionalFormatting sqref="F79:G80">
    <cfRule type="expression" dxfId="1512" priority="68">
      <formula>kvartal &lt; 4</formula>
    </cfRule>
  </conditionalFormatting>
  <conditionalFormatting sqref="F82:G83">
    <cfRule type="expression" dxfId="1511" priority="67">
      <formula>kvartal &lt; 4</formula>
    </cfRule>
  </conditionalFormatting>
  <conditionalFormatting sqref="F89:G90">
    <cfRule type="expression" dxfId="1510" priority="62">
      <formula>kvartal &lt; 4</formula>
    </cfRule>
  </conditionalFormatting>
  <conditionalFormatting sqref="F92:G93">
    <cfRule type="expression" dxfId="1509" priority="61">
      <formula>kvartal &lt; 4</formula>
    </cfRule>
  </conditionalFormatting>
  <conditionalFormatting sqref="F100:G101">
    <cfRule type="expression" dxfId="1508" priority="60">
      <formula>kvartal &lt; 4</formula>
    </cfRule>
  </conditionalFormatting>
  <conditionalFormatting sqref="F103:G104">
    <cfRule type="expression" dxfId="1507" priority="59">
      <formula>kvartal &lt; 4</formula>
    </cfRule>
  </conditionalFormatting>
  <conditionalFormatting sqref="F113">
    <cfRule type="expression" dxfId="1506" priority="58">
      <formula>kvartal &lt; 4</formula>
    </cfRule>
  </conditionalFormatting>
  <conditionalFormatting sqref="G113">
    <cfRule type="expression" dxfId="1505" priority="57">
      <formula>kvartal &lt; 4</formula>
    </cfRule>
  </conditionalFormatting>
  <conditionalFormatting sqref="F121:G121">
    <cfRule type="expression" dxfId="1504" priority="56">
      <formula>kvartal &lt; 4</formula>
    </cfRule>
  </conditionalFormatting>
  <conditionalFormatting sqref="F67:G67">
    <cfRule type="expression" dxfId="1503" priority="55">
      <formula>kvartal &lt; 4</formula>
    </cfRule>
  </conditionalFormatting>
  <conditionalFormatting sqref="F70:G70">
    <cfRule type="expression" dxfId="1502" priority="54">
      <formula>kvartal &lt; 4</formula>
    </cfRule>
  </conditionalFormatting>
  <conditionalFormatting sqref="F78:G78">
    <cfRule type="expression" dxfId="1501" priority="53">
      <formula>kvartal &lt; 4</formula>
    </cfRule>
  </conditionalFormatting>
  <conditionalFormatting sqref="F81:G81">
    <cfRule type="expression" dxfId="1500" priority="52">
      <formula>kvartal &lt; 4</formula>
    </cfRule>
  </conditionalFormatting>
  <conditionalFormatting sqref="F88:G88">
    <cfRule type="expression" dxfId="1499" priority="46">
      <formula>kvartal &lt; 4</formula>
    </cfRule>
  </conditionalFormatting>
  <conditionalFormatting sqref="F91">
    <cfRule type="expression" dxfId="1498" priority="45">
      <formula>kvartal &lt; 4</formula>
    </cfRule>
  </conditionalFormatting>
  <conditionalFormatting sqref="G91">
    <cfRule type="expression" dxfId="1497" priority="44">
      <formula>kvartal &lt; 4</formula>
    </cfRule>
  </conditionalFormatting>
  <conditionalFormatting sqref="F99">
    <cfRule type="expression" dxfId="1496" priority="43">
      <formula>kvartal &lt; 4</formula>
    </cfRule>
  </conditionalFormatting>
  <conditionalFormatting sqref="G99">
    <cfRule type="expression" dxfId="1495" priority="42">
      <formula>kvartal &lt; 4</formula>
    </cfRule>
  </conditionalFormatting>
  <conditionalFormatting sqref="G102">
    <cfRule type="expression" dxfId="1494" priority="41">
      <formula>kvartal &lt; 4</formula>
    </cfRule>
  </conditionalFormatting>
  <conditionalFormatting sqref="F102">
    <cfRule type="expression" dxfId="1493" priority="40">
      <formula>kvartal &lt; 4</formula>
    </cfRule>
  </conditionalFormatting>
  <conditionalFormatting sqref="J67:K71">
    <cfRule type="expression" dxfId="1492" priority="39">
      <formula>kvartal &lt; 4</formula>
    </cfRule>
  </conditionalFormatting>
  <conditionalFormatting sqref="J72:K72">
    <cfRule type="expression" dxfId="1491" priority="38">
      <formula>kvartal &lt; 4</formula>
    </cfRule>
  </conditionalFormatting>
  <conditionalFormatting sqref="J78:K83">
    <cfRule type="expression" dxfId="1490" priority="37">
      <formula>kvartal &lt; 4</formula>
    </cfRule>
  </conditionalFormatting>
  <conditionalFormatting sqref="J88:K93">
    <cfRule type="expression" dxfId="1489" priority="34">
      <formula>kvartal &lt; 4</formula>
    </cfRule>
  </conditionalFormatting>
  <conditionalFormatting sqref="J99:K104">
    <cfRule type="expression" dxfId="1488" priority="33">
      <formula>kvartal &lt; 4</formula>
    </cfRule>
  </conditionalFormatting>
  <conditionalFormatting sqref="J113:K113">
    <cfRule type="expression" dxfId="1487" priority="32">
      <formula>kvartal &lt; 4</formula>
    </cfRule>
  </conditionalFormatting>
  <conditionalFormatting sqref="J121:K121">
    <cfRule type="expression" dxfId="1486" priority="31">
      <formula>kvartal &lt; 4</formula>
    </cfRule>
  </conditionalFormatting>
  <conditionalFormatting sqref="A23:A25">
    <cfRule type="expression" dxfId="1485" priority="15">
      <formula>kvartal &lt; 4</formula>
    </cfRule>
  </conditionalFormatting>
  <conditionalFormatting sqref="A29:A31">
    <cfRule type="expression" dxfId="1484" priority="13">
      <formula>kvartal &lt; 4</formula>
    </cfRule>
  </conditionalFormatting>
  <conditionalFormatting sqref="A48:A50">
    <cfRule type="expression" dxfId="1483" priority="12">
      <formula>kvartal &lt; 4</formula>
    </cfRule>
  </conditionalFormatting>
  <conditionalFormatting sqref="A67:A72">
    <cfRule type="expression" dxfId="1482" priority="10">
      <formula>kvartal &lt; 4</formula>
    </cfRule>
  </conditionalFormatting>
  <conditionalFormatting sqref="A78:A83">
    <cfRule type="expression" dxfId="1481" priority="9">
      <formula>kvartal &lt; 4</formula>
    </cfRule>
  </conditionalFormatting>
  <conditionalFormatting sqref="A88:A93">
    <cfRule type="expression" dxfId="1480" priority="6">
      <formula>kvartal &lt; 4</formula>
    </cfRule>
  </conditionalFormatting>
  <conditionalFormatting sqref="A99:A104">
    <cfRule type="expression" dxfId="1479" priority="5">
      <formula>kvartal &lt; 4</formula>
    </cfRule>
  </conditionalFormatting>
  <conditionalFormatting sqref="A113">
    <cfRule type="expression" dxfId="1478" priority="4">
      <formula>kvartal &lt; 4</formula>
    </cfRule>
  </conditionalFormatting>
  <conditionalFormatting sqref="A121">
    <cfRule type="expression" dxfId="1477" priority="3">
      <formula>kvartal &lt; 4</formula>
    </cfRule>
  </conditionalFormatting>
  <conditionalFormatting sqref="A26">
    <cfRule type="expression" dxfId="1476" priority="2">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142</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4457</v>
      </c>
      <c r="C45" s="309">
        <v>4451</v>
      </c>
      <c r="D45" s="403">
        <f t="shared" ref="D45:D46" si="0">IF(B45=0, "    ---- ", IF(ABS(ROUND(100/B45*C45-100,1))&lt;999,ROUND(100/B45*C45-100,1),IF(ROUND(100/B45*C45-100,1)&gt;999,999,-999)))</f>
        <v>-0.1</v>
      </c>
      <c r="E45" s="11">
        <f>IFERROR(100/'Skjema total MA'!C45*C45,0)</f>
        <v>0.16232688600003797</v>
      </c>
      <c r="F45" s="144"/>
      <c r="G45" s="33"/>
      <c r="H45" s="158"/>
      <c r="I45" s="158"/>
      <c r="J45" s="37"/>
      <c r="K45" s="37"/>
      <c r="L45" s="158"/>
      <c r="M45" s="158"/>
      <c r="N45" s="147"/>
    </row>
    <row r="46" spans="1:14" s="3" customFormat="1" ht="15.75" x14ac:dyDescent="0.2">
      <c r="A46" s="38" t="s">
        <v>312</v>
      </c>
      <c r="B46" s="286">
        <v>4457</v>
      </c>
      <c r="C46" s="287">
        <v>4451</v>
      </c>
      <c r="D46" s="259">
        <f t="shared" si="0"/>
        <v>-0.1</v>
      </c>
      <c r="E46" s="27">
        <f>IFERROR(100/'Skjema total MA'!C46*C46,0)</f>
        <v>0.3057992118886938</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475" priority="132">
      <formula>kvartal &lt; 4</formula>
    </cfRule>
  </conditionalFormatting>
  <conditionalFormatting sqref="B29">
    <cfRule type="expression" dxfId="1474" priority="130">
      <formula>kvartal &lt; 4</formula>
    </cfRule>
  </conditionalFormatting>
  <conditionalFormatting sqref="B30">
    <cfRule type="expression" dxfId="1473" priority="129">
      <formula>kvartal &lt; 4</formula>
    </cfRule>
  </conditionalFormatting>
  <conditionalFormatting sqref="B31">
    <cfRule type="expression" dxfId="1472" priority="128">
      <formula>kvartal &lt; 4</formula>
    </cfRule>
  </conditionalFormatting>
  <conditionalFormatting sqref="C29">
    <cfRule type="expression" dxfId="1471" priority="127">
      <formula>kvartal &lt; 4</formula>
    </cfRule>
  </conditionalFormatting>
  <conditionalFormatting sqref="C30">
    <cfRule type="expression" dxfId="1470" priority="126">
      <formula>kvartal &lt; 4</formula>
    </cfRule>
  </conditionalFormatting>
  <conditionalFormatting sqref="C31">
    <cfRule type="expression" dxfId="1469" priority="125">
      <formula>kvartal &lt; 4</formula>
    </cfRule>
  </conditionalFormatting>
  <conditionalFormatting sqref="B23:C25">
    <cfRule type="expression" dxfId="1468" priority="124">
      <formula>kvartal &lt; 4</formula>
    </cfRule>
  </conditionalFormatting>
  <conditionalFormatting sqref="F23:G25">
    <cfRule type="expression" dxfId="1467" priority="120">
      <formula>kvartal &lt; 4</formula>
    </cfRule>
  </conditionalFormatting>
  <conditionalFormatting sqref="F29">
    <cfRule type="expression" dxfId="1466" priority="113">
      <formula>kvartal &lt; 4</formula>
    </cfRule>
  </conditionalFormatting>
  <conditionalFormatting sqref="F30">
    <cfRule type="expression" dxfId="1465" priority="112">
      <formula>kvartal &lt; 4</formula>
    </cfRule>
  </conditionalFormatting>
  <conditionalFormatting sqref="F31">
    <cfRule type="expression" dxfId="1464" priority="111">
      <formula>kvartal &lt; 4</formula>
    </cfRule>
  </conditionalFormatting>
  <conditionalFormatting sqref="G29">
    <cfRule type="expression" dxfId="1463" priority="110">
      <formula>kvartal &lt; 4</formula>
    </cfRule>
  </conditionalFormatting>
  <conditionalFormatting sqref="G30">
    <cfRule type="expression" dxfId="1462" priority="109">
      <formula>kvartal &lt; 4</formula>
    </cfRule>
  </conditionalFormatting>
  <conditionalFormatting sqref="G31">
    <cfRule type="expression" dxfId="1461" priority="108">
      <formula>kvartal &lt; 4</formula>
    </cfRule>
  </conditionalFormatting>
  <conditionalFormatting sqref="B26">
    <cfRule type="expression" dxfId="1460" priority="107">
      <formula>kvartal &lt; 4</formula>
    </cfRule>
  </conditionalFormatting>
  <conditionalFormatting sqref="C26">
    <cfRule type="expression" dxfId="1459" priority="106">
      <formula>kvartal &lt; 4</formula>
    </cfRule>
  </conditionalFormatting>
  <conditionalFormatting sqref="F26">
    <cfRule type="expression" dxfId="1458" priority="105">
      <formula>kvartal &lt; 4</formula>
    </cfRule>
  </conditionalFormatting>
  <conditionalFormatting sqref="G26">
    <cfRule type="expression" dxfId="1457" priority="104">
      <formula>kvartal &lt; 4</formula>
    </cfRule>
  </conditionalFormatting>
  <conditionalFormatting sqref="J23:K26">
    <cfRule type="expression" dxfId="1456" priority="103">
      <formula>kvartal &lt; 4</formula>
    </cfRule>
  </conditionalFormatting>
  <conditionalFormatting sqref="J29:K31">
    <cfRule type="expression" dxfId="1455" priority="101">
      <formula>kvartal &lt; 4</formula>
    </cfRule>
  </conditionalFormatting>
  <conditionalFormatting sqref="B67">
    <cfRule type="expression" dxfId="1454" priority="100">
      <formula>kvartal &lt; 4</formula>
    </cfRule>
  </conditionalFormatting>
  <conditionalFormatting sqref="C67">
    <cfRule type="expression" dxfId="1453" priority="99">
      <formula>kvartal &lt; 4</formula>
    </cfRule>
  </conditionalFormatting>
  <conditionalFormatting sqref="B70">
    <cfRule type="expression" dxfId="1452" priority="98">
      <formula>kvartal &lt; 4</formula>
    </cfRule>
  </conditionalFormatting>
  <conditionalFormatting sqref="C70">
    <cfRule type="expression" dxfId="1451" priority="97">
      <formula>kvartal &lt; 4</formula>
    </cfRule>
  </conditionalFormatting>
  <conditionalFormatting sqref="B78">
    <cfRule type="expression" dxfId="1450" priority="96">
      <formula>kvartal &lt; 4</formula>
    </cfRule>
  </conditionalFormatting>
  <conditionalFormatting sqref="C78">
    <cfRule type="expression" dxfId="1449" priority="95">
      <formula>kvartal &lt; 4</formula>
    </cfRule>
  </conditionalFormatting>
  <conditionalFormatting sqref="B81">
    <cfRule type="expression" dxfId="1448" priority="94">
      <formula>kvartal &lt; 4</formula>
    </cfRule>
  </conditionalFormatting>
  <conditionalFormatting sqref="C81">
    <cfRule type="expression" dxfId="1447" priority="93">
      <formula>kvartal &lt; 4</formula>
    </cfRule>
  </conditionalFormatting>
  <conditionalFormatting sqref="B88">
    <cfRule type="expression" dxfId="1446" priority="84">
      <formula>kvartal &lt; 4</formula>
    </cfRule>
  </conditionalFormatting>
  <conditionalFormatting sqref="C88">
    <cfRule type="expression" dxfId="1445" priority="83">
      <formula>kvartal &lt; 4</formula>
    </cfRule>
  </conditionalFormatting>
  <conditionalFormatting sqref="B91">
    <cfRule type="expression" dxfId="1444" priority="82">
      <formula>kvartal &lt; 4</formula>
    </cfRule>
  </conditionalFormatting>
  <conditionalFormatting sqref="C91">
    <cfRule type="expression" dxfId="1443" priority="81">
      <formula>kvartal &lt; 4</formula>
    </cfRule>
  </conditionalFormatting>
  <conditionalFormatting sqref="B99">
    <cfRule type="expression" dxfId="1442" priority="80">
      <formula>kvartal &lt; 4</formula>
    </cfRule>
  </conditionalFormatting>
  <conditionalFormatting sqref="C99">
    <cfRule type="expression" dxfId="1441" priority="79">
      <formula>kvartal &lt; 4</formula>
    </cfRule>
  </conditionalFormatting>
  <conditionalFormatting sqref="B102">
    <cfRule type="expression" dxfId="1440" priority="78">
      <formula>kvartal &lt; 4</formula>
    </cfRule>
  </conditionalFormatting>
  <conditionalFormatting sqref="C102">
    <cfRule type="expression" dxfId="1439" priority="77">
      <formula>kvartal &lt; 4</formula>
    </cfRule>
  </conditionalFormatting>
  <conditionalFormatting sqref="B113">
    <cfRule type="expression" dxfId="1438" priority="76">
      <formula>kvartal &lt; 4</formula>
    </cfRule>
  </conditionalFormatting>
  <conditionalFormatting sqref="C113">
    <cfRule type="expression" dxfId="1437" priority="75">
      <formula>kvartal &lt; 4</formula>
    </cfRule>
  </conditionalFormatting>
  <conditionalFormatting sqref="B121">
    <cfRule type="expression" dxfId="1436" priority="74">
      <formula>kvartal &lt; 4</formula>
    </cfRule>
  </conditionalFormatting>
  <conditionalFormatting sqref="C121">
    <cfRule type="expression" dxfId="1435" priority="73">
      <formula>kvartal &lt; 4</formula>
    </cfRule>
  </conditionalFormatting>
  <conditionalFormatting sqref="F68">
    <cfRule type="expression" dxfId="1434" priority="72">
      <formula>kvartal &lt; 4</formula>
    </cfRule>
  </conditionalFormatting>
  <conditionalFormatting sqref="G68">
    <cfRule type="expression" dxfId="1433" priority="71">
      <formula>kvartal &lt; 4</formula>
    </cfRule>
  </conditionalFormatting>
  <conditionalFormatting sqref="F69:G69">
    <cfRule type="expression" dxfId="1432" priority="70">
      <formula>kvartal &lt; 4</formula>
    </cfRule>
  </conditionalFormatting>
  <conditionalFormatting sqref="F71:G72">
    <cfRule type="expression" dxfId="1431" priority="69">
      <formula>kvartal &lt; 4</formula>
    </cfRule>
  </conditionalFormatting>
  <conditionalFormatting sqref="F79:G80">
    <cfRule type="expression" dxfId="1430" priority="68">
      <formula>kvartal &lt; 4</formula>
    </cfRule>
  </conditionalFormatting>
  <conditionalFormatting sqref="F82:G83">
    <cfRule type="expression" dxfId="1429" priority="67">
      <formula>kvartal &lt; 4</formula>
    </cfRule>
  </conditionalFormatting>
  <conditionalFormatting sqref="F89:G90">
    <cfRule type="expression" dxfId="1428" priority="62">
      <formula>kvartal &lt; 4</formula>
    </cfRule>
  </conditionalFormatting>
  <conditionalFormatting sqref="F92:G93">
    <cfRule type="expression" dxfId="1427" priority="61">
      <formula>kvartal &lt; 4</formula>
    </cfRule>
  </conditionalFormatting>
  <conditionalFormatting sqref="F100:G101">
    <cfRule type="expression" dxfId="1426" priority="60">
      <formula>kvartal &lt; 4</formula>
    </cfRule>
  </conditionalFormatting>
  <conditionalFormatting sqref="F103:G104">
    <cfRule type="expression" dxfId="1425" priority="59">
      <formula>kvartal &lt; 4</formula>
    </cfRule>
  </conditionalFormatting>
  <conditionalFormatting sqref="F113">
    <cfRule type="expression" dxfId="1424" priority="58">
      <formula>kvartal &lt; 4</formula>
    </cfRule>
  </conditionalFormatting>
  <conditionalFormatting sqref="G113">
    <cfRule type="expression" dxfId="1423" priority="57">
      <formula>kvartal &lt; 4</formula>
    </cfRule>
  </conditionalFormatting>
  <conditionalFormatting sqref="F121:G121">
    <cfRule type="expression" dxfId="1422" priority="56">
      <formula>kvartal &lt; 4</formula>
    </cfRule>
  </conditionalFormatting>
  <conditionalFormatting sqref="F67:G67">
    <cfRule type="expression" dxfId="1421" priority="55">
      <formula>kvartal &lt; 4</formula>
    </cfRule>
  </conditionalFormatting>
  <conditionalFormatting sqref="F70:G70">
    <cfRule type="expression" dxfId="1420" priority="54">
      <formula>kvartal &lt; 4</formula>
    </cfRule>
  </conditionalFormatting>
  <conditionalFormatting sqref="F78:G78">
    <cfRule type="expression" dxfId="1419" priority="53">
      <formula>kvartal &lt; 4</formula>
    </cfRule>
  </conditionalFormatting>
  <conditionalFormatting sqref="F81:G81">
    <cfRule type="expression" dxfId="1418" priority="52">
      <formula>kvartal &lt; 4</formula>
    </cfRule>
  </conditionalFormatting>
  <conditionalFormatting sqref="F88:G88">
    <cfRule type="expression" dxfId="1417" priority="46">
      <formula>kvartal &lt; 4</formula>
    </cfRule>
  </conditionalFormatting>
  <conditionalFormatting sqref="F91">
    <cfRule type="expression" dxfId="1416" priority="45">
      <formula>kvartal &lt; 4</formula>
    </cfRule>
  </conditionalFormatting>
  <conditionalFormatting sqref="G91">
    <cfRule type="expression" dxfId="1415" priority="44">
      <formula>kvartal &lt; 4</formula>
    </cfRule>
  </conditionalFormatting>
  <conditionalFormatting sqref="F99">
    <cfRule type="expression" dxfId="1414" priority="43">
      <formula>kvartal &lt; 4</formula>
    </cfRule>
  </conditionalFormatting>
  <conditionalFormatting sqref="G99">
    <cfRule type="expression" dxfId="1413" priority="42">
      <formula>kvartal &lt; 4</formula>
    </cfRule>
  </conditionalFormatting>
  <conditionalFormatting sqref="G102">
    <cfRule type="expression" dxfId="1412" priority="41">
      <formula>kvartal &lt; 4</formula>
    </cfRule>
  </conditionalFormatting>
  <conditionalFormatting sqref="F102">
    <cfRule type="expression" dxfId="1411" priority="40">
      <formula>kvartal &lt; 4</formula>
    </cfRule>
  </conditionalFormatting>
  <conditionalFormatting sqref="J67:K71">
    <cfRule type="expression" dxfId="1410" priority="39">
      <formula>kvartal &lt; 4</formula>
    </cfRule>
  </conditionalFormatting>
  <conditionalFormatting sqref="J72:K72">
    <cfRule type="expression" dxfId="1409" priority="38">
      <formula>kvartal &lt; 4</formula>
    </cfRule>
  </conditionalFormatting>
  <conditionalFormatting sqref="J78:K83">
    <cfRule type="expression" dxfId="1408" priority="37">
      <formula>kvartal &lt; 4</formula>
    </cfRule>
  </conditionalFormatting>
  <conditionalFormatting sqref="J88:K93">
    <cfRule type="expression" dxfId="1407" priority="34">
      <formula>kvartal &lt; 4</formula>
    </cfRule>
  </conditionalFormatting>
  <conditionalFormatting sqref="J99:K104">
    <cfRule type="expression" dxfId="1406" priority="33">
      <formula>kvartal &lt; 4</formula>
    </cfRule>
  </conditionalFormatting>
  <conditionalFormatting sqref="J113:K113">
    <cfRule type="expression" dxfId="1405" priority="32">
      <formula>kvartal &lt; 4</formula>
    </cfRule>
  </conditionalFormatting>
  <conditionalFormatting sqref="J121:K121">
    <cfRule type="expression" dxfId="1404" priority="31">
      <formula>kvartal &lt; 4</formula>
    </cfRule>
  </conditionalFormatting>
  <conditionalFormatting sqref="A23:A25">
    <cfRule type="expression" dxfId="1403" priority="15">
      <formula>kvartal &lt; 4</formula>
    </cfRule>
  </conditionalFormatting>
  <conditionalFormatting sqref="A29:A31">
    <cfRule type="expression" dxfId="1402" priority="13">
      <formula>kvartal &lt; 4</formula>
    </cfRule>
  </conditionalFormatting>
  <conditionalFormatting sqref="A48:A50">
    <cfRule type="expression" dxfId="1401" priority="12">
      <formula>kvartal &lt; 4</formula>
    </cfRule>
  </conditionalFormatting>
  <conditionalFormatting sqref="A67:A72">
    <cfRule type="expression" dxfId="1400" priority="10">
      <formula>kvartal &lt; 4</formula>
    </cfRule>
  </conditionalFormatting>
  <conditionalFormatting sqref="A78:A83">
    <cfRule type="expression" dxfId="1399" priority="9">
      <formula>kvartal &lt; 4</formula>
    </cfRule>
  </conditionalFormatting>
  <conditionalFormatting sqref="A88:A93">
    <cfRule type="expression" dxfId="1398" priority="6">
      <formula>kvartal &lt; 4</formula>
    </cfRule>
  </conditionalFormatting>
  <conditionalFormatting sqref="A99:A104">
    <cfRule type="expression" dxfId="1397" priority="5">
      <formula>kvartal &lt; 4</formula>
    </cfRule>
  </conditionalFormatting>
  <conditionalFormatting sqref="A113">
    <cfRule type="expression" dxfId="1396" priority="4">
      <formula>kvartal &lt; 4</formula>
    </cfRule>
  </conditionalFormatting>
  <conditionalFormatting sqref="A121">
    <cfRule type="expression" dxfId="1395" priority="3">
      <formula>kvartal &lt; 4</formula>
    </cfRule>
  </conditionalFormatting>
  <conditionalFormatting sqref="A26">
    <cfRule type="expression" dxfId="1394" priority="2">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N142"/>
  <sheetViews>
    <sheetView showGridLines="0"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143</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v>531506</v>
      </c>
      <c r="C7" s="305">
        <v>530475</v>
      </c>
      <c r="D7" s="344">
        <f>IF(B7=0, "    ---- ", IF(ABS(ROUND(100/B7*C7-100,1))&lt;999,ROUND(100/B7*C7-100,1),IF(ROUND(100/B7*C7-100,1)&gt;999,999,-999)))</f>
        <v>-0.2</v>
      </c>
      <c r="E7" s="11">
        <f>IFERROR(100/'Skjema total MA'!C7*C7,0)</f>
        <v>19.481712989363992</v>
      </c>
      <c r="F7" s="304"/>
      <c r="G7" s="305"/>
      <c r="H7" s="344"/>
      <c r="I7" s="159"/>
      <c r="J7" s="306">
        <v>531506</v>
      </c>
      <c r="K7" s="307">
        <v>530475</v>
      </c>
      <c r="L7" s="403">
        <f>IF(J7=0, "    ---- ", IF(ABS(ROUND(100/J7*K7-100,1))&lt;999,ROUND(100/J7*K7-100,1),IF(ROUND(100/J7*K7-100,1)&gt;999,999,-999)))</f>
        <v>-0.2</v>
      </c>
      <c r="M7" s="11">
        <f>IFERROR(100/'Skjema total MA'!I7*K7,0)</f>
        <v>7.30153458305284</v>
      </c>
    </row>
    <row r="8" spans="1:14" ht="15.75" x14ac:dyDescent="0.2">
      <c r="A8" s="21" t="s">
        <v>29</v>
      </c>
      <c r="B8" s="286">
        <v>300133</v>
      </c>
      <c r="C8" s="287">
        <v>309666</v>
      </c>
      <c r="D8" s="165">
        <f t="shared" ref="D8:D9" si="0">IF(B8=0, "    ---- ", IF(ABS(ROUND(100/B8*C8-100,1))&lt;999,ROUND(100/B8*C8-100,1),IF(ROUND(100/B8*C8-100,1)&gt;999,999,-999)))</f>
        <v>3.2</v>
      </c>
      <c r="E8" s="27">
        <f>IFERROR(100/'Skjema total MA'!C8*C8,0)</f>
        <v>20.609525781259762</v>
      </c>
      <c r="F8" s="423"/>
      <c r="G8" s="424"/>
      <c r="H8" s="170"/>
      <c r="I8" s="175"/>
      <c r="J8" s="234">
        <v>300133</v>
      </c>
      <c r="K8" s="290">
        <v>309666</v>
      </c>
      <c r="L8" s="165">
        <f t="shared" ref="L8:L9" si="1">IF(J8=0, "    ---- ", IF(ABS(ROUND(100/J8*K8-100,1))&lt;999,ROUND(100/J8*K8-100,1),IF(ROUND(100/J8*K8-100,1)&gt;999,999,-999)))</f>
        <v>3.2</v>
      </c>
      <c r="M8" s="27">
        <f>IFERROR(100/'Skjema total MA'!I8*K8,0)</f>
        <v>20.609525781259762</v>
      </c>
    </row>
    <row r="9" spans="1:14" ht="15.75" x14ac:dyDescent="0.2">
      <c r="A9" s="21" t="s">
        <v>28</v>
      </c>
      <c r="B9" s="286">
        <v>231373</v>
      </c>
      <c r="C9" s="287">
        <v>220809</v>
      </c>
      <c r="D9" s="165">
        <f t="shared" si="0"/>
        <v>-4.5999999999999996</v>
      </c>
      <c r="E9" s="27">
        <f>IFERROR(100/'Skjema total MA'!C9*C9,0)</f>
        <v>30.500844866404766</v>
      </c>
      <c r="F9" s="423"/>
      <c r="G9" s="424"/>
      <c r="H9" s="170"/>
      <c r="I9" s="175"/>
      <c r="J9" s="234">
        <v>231373</v>
      </c>
      <c r="K9" s="290">
        <v>220809</v>
      </c>
      <c r="L9" s="165">
        <f t="shared" si="1"/>
        <v>-4.5999999999999996</v>
      </c>
      <c r="M9" s="27">
        <f>IFERROR(100/'Skjema total MA'!I9*K9,0)</f>
        <v>30.500844866404766</v>
      </c>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607855</v>
      </c>
      <c r="C45" s="309">
        <v>675019</v>
      </c>
      <c r="D45" s="403">
        <f t="shared" ref="D45:D55" si="2">IF(B45=0, "    ---- ", IF(ABS(ROUND(100/B45*C45-100,1))&lt;999,ROUND(100/B45*C45-100,1),IF(ROUND(100/B45*C45-100,1)&gt;999,999,-999)))</f>
        <v>11</v>
      </c>
      <c r="E45" s="11">
        <f>IFERROR(100/'Skjema total MA'!C45*C45,0)</f>
        <v>24.617778535353771</v>
      </c>
      <c r="F45" s="144"/>
      <c r="G45" s="33"/>
      <c r="H45" s="158"/>
      <c r="I45" s="158"/>
      <c r="J45" s="37"/>
      <c r="K45" s="37"/>
      <c r="L45" s="158"/>
      <c r="M45" s="158"/>
      <c r="N45" s="147"/>
    </row>
    <row r="46" spans="1:14" s="3" customFormat="1" ht="15.75" x14ac:dyDescent="0.2">
      <c r="A46" s="38" t="s">
        <v>312</v>
      </c>
      <c r="B46" s="286">
        <v>401856</v>
      </c>
      <c r="C46" s="287">
        <v>387910</v>
      </c>
      <c r="D46" s="259">
        <f t="shared" si="2"/>
        <v>-3.5</v>
      </c>
      <c r="E46" s="27">
        <f>IFERROR(100/'Skjema total MA'!C46*C46,0)</f>
        <v>26.650768879744597</v>
      </c>
      <c r="F46" s="144"/>
      <c r="G46" s="33"/>
      <c r="H46" s="144"/>
      <c r="I46" s="144"/>
      <c r="J46" s="33"/>
      <c r="K46" s="33"/>
      <c r="L46" s="158"/>
      <c r="M46" s="158"/>
      <c r="N46" s="147"/>
    </row>
    <row r="47" spans="1:14" s="3" customFormat="1" ht="15.75" x14ac:dyDescent="0.2">
      <c r="A47" s="38" t="s">
        <v>313</v>
      </c>
      <c r="B47" s="44">
        <v>205999</v>
      </c>
      <c r="C47" s="290">
        <v>287109</v>
      </c>
      <c r="D47" s="259">
        <f>IF(B47=0, "    ---- ", IF(ABS(ROUND(100/B47*C47-100,1))&lt;999,ROUND(100/B47*C47-100,1),IF(ROUND(100/B47*C47-100,1)&gt;999,999,-999)))</f>
        <v>39.4</v>
      </c>
      <c r="E47" s="27">
        <f>IFERROR(100/'Skjema total MA'!C47*C47,0)</f>
        <v>22.317620718652471</v>
      </c>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v>58632</v>
      </c>
      <c r="C51" s="309">
        <v>97996</v>
      </c>
      <c r="D51" s="404">
        <f t="shared" si="2"/>
        <v>67.099999999999994</v>
      </c>
      <c r="E51" s="11">
        <f>IFERROR(100/'Skjema total MA'!C51*C51,0)</f>
        <v>69.173873460842316</v>
      </c>
      <c r="F51" s="144"/>
      <c r="G51" s="33"/>
      <c r="H51" s="144"/>
      <c r="I51" s="144"/>
      <c r="J51" s="33"/>
      <c r="K51" s="33"/>
      <c r="L51" s="158"/>
      <c r="M51" s="158"/>
      <c r="N51" s="147"/>
    </row>
    <row r="52" spans="1:14" s="3" customFormat="1" ht="15.75" x14ac:dyDescent="0.2">
      <c r="A52" s="38" t="s">
        <v>312</v>
      </c>
      <c r="B52" s="286">
        <v>58632</v>
      </c>
      <c r="C52" s="287">
        <v>42830</v>
      </c>
      <c r="D52" s="259">
        <f t="shared" si="2"/>
        <v>-27</v>
      </c>
      <c r="E52" s="27">
        <f>IFERROR(100/'Skjema total MA'!C52*C52,0)</f>
        <v>50.796216762293739</v>
      </c>
      <c r="F52" s="144"/>
      <c r="G52" s="33"/>
      <c r="H52" s="144"/>
      <c r="I52" s="144"/>
      <c r="J52" s="33"/>
      <c r="K52" s="33"/>
      <c r="L52" s="158"/>
      <c r="M52" s="158"/>
      <c r="N52" s="147"/>
    </row>
    <row r="53" spans="1:14" s="3" customFormat="1" ht="15.75" x14ac:dyDescent="0.2">
      <c r="A53" s="38" t="s">
        <v>313</v>
      </c>
      <c r="B53" s="286"/>
      <c r="C53" s="287">
        <v>55166</v>
      </c>
      <c r="D53" s="259" t="str">
        <f t="shared" si="2"/>
        <v xml:space="preserve">    ---- </v>
      </c>
      <c r="E53" s="27">
        <f>IFERROR(100/'Skjema total MA'!C53*C53,0)</f>
        <v>96.193649747423223</v>
      </c>
      <c r="F53" s="144"/>
      <c r="G53" s="33"/>
      <c r="H53" s="144"/>
      <c r="I53" s="144"/>
      <c r="J53" s="33"/>
      <c r="K53" s="33"/>
      <c r="L53" s="158"/>
      <c r="M53" s="158"/>
      <c r="N53" s="147"/>
    </row>
    <row r="54" spans="1:14" s="3" customFormat="1" ht="15.75" x14ac:dyDescent="0.2">
      <c r="A54" s="39" t="s">
        <v>315</v>
      </c>
      <c r="B54" s="308">
        <v>47250</v>
      </c>
      <c r="C54" s="309">
        <v>34445</v>
      </c>
      <c r="D54" s="404">
        <f t="shared" si="2"/>
        <v>-27.1</v>
      </c>
      <c r="E54" s="11">
        <f>IFERROR(100/'Skjema total MA'!C54*C54,0)</f>
        <v>39.906404564908044</v>
      </c>
      <c r="F54" s="144"/>
      <c r="G54" s="33"/>
      <c r="H54" s="144"/>
      <c r="I54" s="144"/>
      <c r="J54" s="33"/>
      <c r="K54" s="33"/>
      <c r="L54" s="158"/>
      <c r="M54" s="158"/>
      <c r="N54" s="147"/>
    </row>
    <row r="55" spans="1:14" s="3" customFormat="1" ht="15.75" x14ac:dyDescent="0.2">
      <c r="A55" s="38" t="s">
        <v>312</v>
      </c>
      <c r="B55" s="286">
        <v>47250</v>
      </c>
      <c r="C55" s="287">
        <v>34445</v>
      </c>
      <c r="D55" s="259">
        <f t="shared" si="2"/>
        <v>-27.1</v>
      </c>
      <c r="E55" s="27">
        <f>IFERROR(100/'Skjema total MA'!C55*C55,0)</f>
        <v>39.906404564908044</v>
      </c>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393" priority="132">
      <formula>kvartal &lt; 4</formula>
    </cfRule>
  </conditionalFormatting>
  <conditionalFormatting sqref="B29">
    <cfRule type="expression" dxfId="1392" priority="130">
      <formula>kvartal &lt; 4</formula>
    </cfRule>
  </conditionalFormatting>
  <conditionalFormatting sqref="B30">
    <cfRule type="expression" dxfId="1391" priority="129">
      <formula>kvartal &lt; 4</formula>
    </cfRule>
  </conditionalFormatting>
  <conditionalFormatting sqref="B31">
    <cfRule type="expression" dxfId="1390" priority="128">
      <formula>kvartal &lt; 4</formula>
    </cfRule>
  </conditionalFormatting>
  <conditionalFormatting sqref="C29">
    <cfRule type="expression" dxfId="1389" priority="127">
      <formula>kvartal &lt; 4</formula>
    </cfRule>
  </conditionalFormatting>
  <conditionalFormatting sqref="C30">
    <cfRule type="expression" dxfId="1388" priority="126">
      <formula>kvartal &lt; 4</formula>
    </cfRule>
  </conditionalFormatting>
  <conditionalFormatting sqref="C31">
    <cfRule type="expression" dxfId="1387" priority="125">
      <formula>kvartal &lt; 4</formula>
    </cfRule>
  </conditionalFormatting>
  <conditionalFormatting sqref="B23:C25">
    <cfRule type="expression" dxfId="1386" priority="124">
      <formula>kvartal &lt; 4</formula>
    </cfRule>
  </conditionalFormatting>
  <conditionalFormatting sqref="F23:G25">
    <cfRule type="expression" dxfId="1385" priority="120">
      <formula>kvartal &lt; 4</formula>
    </cfRule>
  </conditionalFormatting>
  <conditionalFormatting sqref="F29">
    <cfRule type="expression" dxfId="1384" priority="113">
      <formula>kvartal &lt; 4</formula>
    </cfRule>
  </conditionalFormatting>
  <conditionalFormatting sqref="F30">
    <cfRule type="expression" dxfId="1383" priority="112">
      <formula>kvartal &lt; 4</formula>
    </cfRule>
  </conditionalFormatting>
  <conditionalFormatting sqref="F31">
    <cfRule type="expression" dxfId="1382" priority="111">
      <formula>kvartal &lt; 4</formula>
    </cfRule>
  </conditionalFormatting>
  <conditionalFormatting sqref="G29">
    <cfRule type="expression" dxfId="1381" priority="110">
      <formula>kvartal &lt; 4</formula>
    </cfRule>
  </conditionalFormatting>
  <conditionalFormatting sqref="G30">
    <cfRule type="expression" dxfId="1380" priority="109">
      <formula>kvartal &lt; 4</formula>
    </cfRule>
  </conditionalFormatting>
  <conditionalFormatting sqref="G31">
    <cfRule type="expression" dxfId="1379" priority="108">
      <formula>kvartal &lt; 4</formula>
    </cfRule>
  </conditionalFormatting>
  <conditionalFormatting sqref="B26">
    <cfRule type="expression" dxfId="1378" priority="107">
      <formula>kvartal &lt; 4</formula>
    </cfRule>
  </conditionalFormatting>
  <conditionalFormatting sqref="C26">
    <cfRule type="expression" dxfId="1377" priority="106">
      <formula>kvartal &lt; 4</formula>
    </cfRule>
  </conditionalFormatting>
  <conditionalFormatting sqref="F26">
    <cfRule type="expression" dxfId="1376" priority="105">
      <formula>kvartal &lt; 4</formula>
    </cfRule>
  </conditionalFormatting>
  <conditionalFormatting sqref="G26">
    <cfRule type="expression" dxfId="1375" priority="104">
      <formula>kvartal &lt; 4</formula>
    </cfRule>
  </conditionalFormatting>
  <conditionalFormatting sqref="J23:K26">
    <cfRule type="expression" dxfId="1374" priority="103">
      <formula>kvartal &lt; 4</formula>
    </cfRule>
  </conditionalFormatting>
  <conditionalFormatting sqref="J29:K31">
    <cfRule type="expression" dxfId="1373" priority="101">
      <formula>kvartal &lt; 4</formula>
    </cfRule>
  </conditionalFormatting>
  <conditionalFormatting sqref="B67">
    <cfRule type="expression" dxfId="1372" priority="100">
      <formula>kvartal &lt; 4</formula>
    </cfRule>
  </conditionalFormatting>
  <conditionalFormatting sqref="C67">
    <cfRule type="expression" dxfId="1371" priority="99">
      <formula>kvartal &lt; 4</formula>
    </cfRule>
  </conditionalFormatting>
  <conditionalFormatting sqref="B70">
    <cfRule type="expression" dxfId="1370" priority="98">
      <formula>kvartal &lt; 4</formula>
    </cfRule>
  </conditionalFormatting>
  <conditionalFormatting sqref="C70">
    <cfRule type="expression" dxfId="1369" priority="97">
      <formula>kvartal &lt; 4</formula>
    </cfRule>
  </conditionalFormatting>
  <conditionalFormatting sqref="B78">
    <cfRule type="expression" dxfId="1368" priority="96">
      <formula>kvartal &lt; 4</formula>
    </cfRule>
  </conditionalFormatting>
  <conditionalFormatting sqref="C78">
    <cfRule type="expression" dxfId="1367" priority="95">
      <formula>kvartal &lt; 4</formula>
    </cfRule>
  </conditionalFormatting>
  <conditionalFormatting sqref="B81">
    <cfRule type="expression" dxfId="1366" priority="94">
      <formula>kvartal &lt; 4</formula>
    </cfRule>
  </conditionalFormatting>
  <conditionalFormatting sqref="C81">
    <cfRule type="expression" dxfId="1365" priority="93">
      <formula>kvartal &lt; 4</formula>
    </cfRule>
  </conditionalFormatting>
  <conditionalFormatting sqref="B88">
    <cfRule type="expression" dxfId="1364" priority="84">
      <formula>kvartal &lt; 4</formula>
    </cfRule>
  </conditionalFormatting>
  <conditionalFormatting sqref="C88">
    <cfRule type="expression" dxfId="1363" priority="83">
      <formula>kvartal &lt; 4</formula>
    </cfRule>
  </conditionalFormatting>
  <conditionalFormatting sqref="B91">
    <cfRule type="expression" dxfId="1362" priority="82">
      <formula>kvartal &lt; 4</formula>
    </cfRule>
  </conditionalFormatting>
  <conditionalFormatting sqref="C91">
    <cfRule type="expression" dxfId="1361" priority="81">
      <formula>kvartal &lt; 4</formula>
    </cfRule>
  </conditionalFormatting>
  <conditionalFormatting sqref="B99">
    <cfRule type="expression" dxfId="1360" priority="80">
      <formula>kvartal &lt; 4</formula>
    </cfRule>
  </conditionalFormatting>
  <conditionalFormatting sqref="C99">
    <cfRule type="expression" dxfId="1359" priority="79">
      <formula>kvartal &lt; 4</formula>
    </cfRule>
  </conditionalFormatting>
  <conditionalFormatting sqref="B102">
    <cfRule type="expression" dxfId="1358" priority="78">
      <formula>kvartal &lt; 4</formula>
    </cfRule>
  </conditionalFormatting>
  <conditionalFormatting sqref="C102">
    <cfRule type="expression" dxfId="1357" priority="77">
      <formula>kvartal &lt; 4</formula>
    </cfRule>
  </conditionalFormatting>
  <conditionalFormatting sqref="B113">
    <cfRule type="expression" dxfId="1356" priority="76">
      <formula>kvartal &lt; 4</formula>
    </cfRule>
  </conditionalFormatting>
  <conditionalFormatting sqref="C113">
    <cfRule type="expression" dxfId="1355" priority="75">
      <formula>kvartal &lt; 4</formula>
    </cfRule>
  </conditionalFormatting>
  <conditionalFormatting sqref="B121">
    <cfRule type="expression" dxfId="1354" priority="74">
      <formula>kvartal &lt; 4</formula>
    </cfRule>
  </conditionalFormatting>
  <conditionalFormatting sqref="C121">
    <cfRule type="expression" dxfId="1353" priority="73">
      <formula>kvartal &lt; 4</formula>
    </cfRule>
  </conditionalFormatting>
  <conditionalFormatting sqref="F68">
    <cfRule type="expression" dxfId="1352" priority="72">
      <formula>kvartal &lt; 4</formula>
    </cfRule>
  </conditionalFormatting>
  <conditionalFormatting sqref="G68">
    <cfRule type="expression" dxfId="1351" priority="71">
      <formula>kvartal &lt; 4</formula>
    </cfRule>
  </conditionalFormatting>
  <conditionalFormatting sqref="F69:G69">
    <cfRule type="expression" dxfId="1350" priority="70">
      <formula>kvartal &lt; 4</formula>
    </cfRule>
  </conditionalFormatting>
  <conditionalFormatting sqref="F71:G72">
    <cfRule type="expression" dxfId="1349" priority="69">
      <formula>kvartal &lt; 4</formula>
    </cfRule>
  </conditionalFormatting>
  <conditionalFormatting sqref="F79:G80">
    <cfRule type="expression" dxfId="1348" priority="68">
      <formula>kvartal &lt; 4</formula>
    </cfRule>
  </conditionalFormatting>
  <conditionalFormatting sqref="F82:G83">
    <cfRule type="expression" dxfId="1347" priority="67">
      <formula>kvartal &lt; 4</formula>
    </cfRule>
  </conditionalFormatting>
  <conditionalFormatting sqref="F89:G90">
    <cfRule type="expression" dxfId="1346" priority="62">
      <formula>kvartal &lt; 4</formula>
    </cfRule>
  </conditionalFormatting>
  <conditionalFormatting sqref="F92:G93">
    <cfRule type="expression" dxfId="1345" priority="61">
      <formula>kvartal &lt; 4</formula>
    </cfRule>
  </conditionalFormatting>
  <conditionalFormatting sqref="F100:G101">
    <cfRule type="expression" dxfId="1344" priority="60">
      <formula>kvartal &lt; 4</formula>
    </cfRule>
  </conditionalFormatting>
  <conditionalFormatting sqref="F103:G104">
    <cfRule type="expression" dxfId="1343" priority="59">
      <formula>kvartal &lt; 4</formula>
    </cfRule>
  </conditionalFormatting>
  <conditionalFormatting sqref="F113">
    <cfRule type="expression" dxfId="1342" priority="58">
      <formula>kvartal &lt; 4</formula>
    </cfRule>
  </conditionalFormatting>
  <conditionalFormatting sqref="G113">
    <cfRule type="expression" dxfId="1341" priority="57">
      <formula>kvartal &lt; 4</formula>
    </cfRule>
  </conditionalFormatting>
  <conditionalFormatting sqref="F121:G121">
    <cfRule type="expression" dxfId="1340" priority="56">
      <formula>kvartal &lt; 4</formula>
    </cfRule>
  </conditionalFormatting>
  <conditionalFormatting sqref="F67:G67">
    <cfRule type="expression" dxfId="1339" priority="55">
      <formula>kvartal &lt; 4</formula>
    </cfRule>
  </conditionalFormatting>
  <conditionalFormatting sqref="F70:G70">
    <cfRule type="expression" dxfId="1338" priority="54">
      <formula>kvartal &lt; 4</formula>
    </cfRule>
  </conditionalFormatting>
  <conditionalFormatting sqref="F78:G78">
    <cfRule type="expression" dxfId="1337" priority="53">
      <formula>kvartal &lt; 4</formula>
    </cfRule>
  </conditionalFormatting>
  <conditionalFormatting sqref="F81:G81">
    <cfRule type="expression" dxfId="1336" priority="52">
      <formula>kvartal &lt; 4</formula>
    </cfRule>
  </conditionalFormatting>
  <conditionalFormatting sqref="F88:G88">
    <cfRule type="expression" dxfId="1335" priority="46">
      <formula>kvartal &lt; 4</formula>
    </cfRule>
  </conditionalFormatting>
  <conditionalFormatting sqref="F91">
    <cfRule type="expression" dxfId="1334" priority="45">
      <formula>kvartal &lt; 4</formula>
    </cfRule>
  </conditionalFormatting>
  <conditionalFormatting sqref="G91">
    <cfRule type="expression" dxfId="1333" priority="44">
      <formula>kvartal &lt; 4</formula>
    </cfRule>
  </conditionalFormatting>
  <conditionalFormatting sqref="F99">
    <cfRule type="expression" dxfId="1332" priority="43">
      <formula>kvartal &lt; 4</formula>
    </cfRule>
  </conditionalFormatting>
  <conditionalFormatting sqref="G99">
    <cfRule type="expression" dxfId="1331" priority="42">
      <formula>kvartal &lt; 4</formula>
    </cfRule>
  </conditionalFormatting>
  <conditionalFormatting sqref="G102">
    <cfRule type="expression" dxfId="1330" priority="41">
      <formula>kvartal &lt; 4</formula>
    </cfRule>
  </conditionalFormatting>
  <conditionalFormatting sqref="F102">
    <cfRule type="expression" dxfId="1329" priority="40">
      <formula>kvartal &lt; 4</formula>
    </cfRule>
  </conditionalFormatting>
  <conditionalFormatting sqref="J67:K71">
    <cfRule type="expression" dxfId="1328" priority="39">
      <formula>kvartal &lt; 4</formula>
    </cfRule>
  </conditionalFormatting>
  <conditionalFormatting sqref="J72:K72">
    <cfRule type="expression" dxfId="1327" priority="38">
      <formula>kvartal &lt; 4</formula>
    </cfRule>
  </conditionalFormatting>
  <conditionalFormatting sqref="J78:K83">
    <cfRule type="expression" dxfId="1326" priority="37">
      <formula>kvartal &lt; 4</formula>
    </cfRule>
  </conditionalFormatting>
  <conditionalFormatting sqref="J88:K93">
    <cfRule type="expression" dxfId="1325" priority="34">
      <formula>kvartal &lt; 4</formula>
    </cfRule>
  </conditionalFormatting>
  <conditionalFormatting sqref="J99:K104">
    <cfRule type="expression" dxfId="1324" priority="33">
      <formula>kvartal &lt; 4</formula>
    </cfRule>
  </conditionalFormatting>
  <conditionalFormatting sqref="J113:K113">
    <cfRule type="expression" dxfId="1323" priority="32">
      <formula>kvartal &lt; 4</formula>
    </cfRule>
  </conditionalFormatting>
  <conditionalFormatting sqref="J121:K121">
    <cfRule type="expression" dxfId="1322" priority="31">
      <formula>kvartal &lt; 4</formula>
    </cfRule>
  </conditionalFormatting>
  <conditionalFormatting sqref="A23:A25">
    <cfRule type="expression" dxfId="1321" priority="15">
      <formula>kvartal &lt; 4</formula>
    </cfRule>
  </conditionalFormatting>
  <conditionalFormatting sqref="A29:A31">
    <cfRule type="expression" dxfId="1320" priority="13">
      <formula>kvartal &lt; 4</formula>
    </cfRule>
  </conditionalFormatting>
  <conditionalFormatting sqref="A48:A50">
    <cfRule type="expression" dxfId="1319" priority="12">
      <formula>kvartal &lt; 4</formula>
    </cfRule>
  </conditionalFormatting>
  <conditionalFormatting sqref="A67:A72">
    <cfRule type="expression" dxfId="1318" priority="10">
      <formula>kvartal &lt; 4</formula>
    </cfRule>
  </conditionalFormatting>
  <conditionalFormatting sqref="A78:A83">
    <cfRule type="expression" dxfId="1317" priority="9">
      <formula>kvartal &lt; 4</formula>
    </cfRule>
  </conditionalFormatting>
  <conditionalFormatting sqref="A88:A93">
    <cfRule type="expression" dxfId="1316" priority="6">
      <formula>kvartal &lt; 4</formula>
    </cfRule>
  </conditionalFormatting>
  <conditionalFormatting sqref="A99:A104">
    <cfRule type="expression" dxfId="1315" priority="5">
      <formula>kvartal &lt; 4</formula>
    </cfRule>
  </conditionalFormatting>
  <conditionalFormatting sqref="A113">
    <cfRule type="expression" dxfId="1314" priority="4">
      <formula>kvartal &lt; 4</formula>
    </cfRule>
  </conditionalFormatting>
  <conditionalFormatting sqref="A121">
    <cfRule type="expression" dxfId="1313" priority="3">
      <formula>kvartal &lt; 4</formula>
    </cfRule>
  </conditionalFormatting>
  <conditionalFormatting sqref="A26">
    <cfRule type="expression" dxfId="1312" priority="2">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144</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v>54647.447999999997</v>
      </c>
      <c r="G7" s="305">
        <v>89929</v>
      </c>
      <c r="H7" s="344">
        <f>IF(F7=0, "    ---- ", IF(ABS(ROUND(100/F7*G7-100,1))&lt;999,ROUND(100/F7*G7-100,1),IF(ROUND(100/F7*G7-100,1)&gt;999,999,-999)))</f>
        <v>64.599999999999994</v>
      </c>
      <c r="I7" s="159">
        <f>IFERROR(100/'Skjema total MA'!F7*G7,0)</f>
        <v>1.9798052908678536</v>
      </c>
      <c r="J7" s="306">
        <v>54647.447999999997</v>
      </c>
      <c r="K7" s="307">
        <v>89929</v>
      </c>
      <c r="L7" s="403">
        <f>IF(J7=0, "    ---- ", IF(ABS(ROUND(100/J7*K7-100,1))&lt;999,ROUND(100/J7*K7-100,1),IF(ROUND(100/J7*K7-100,1)&gt;999,999,-999)))</f>
        <v>64.599999999999994</v>
      </c>
      <c r="M7" s="11">
        <f>IFERROR(100/'Skjema total MA'!I7*K7,0)</f>
        <v>1.237795755727148</v>
      </c>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v>290667.46999999997</v>
      </c>
      <c r="G10" s="309">
        <v>449769</v>
      </c>
      <c r="H10" s="170">
        <f t="shared" ref="H10:H12" si="0">IF(F10=0, "    ---- ", IF(ABS(ROUND(100/F10*G10-100,1))&lt;999,ROUND(100/F10*G10-100,1),IF(ROUND(100/F10*G10-100,1)&gt;999,999,-999)))</f>
        <v>54.7</v>
      </c>
      <c r="I10" s="159">
        <f>IFERROR(100/'Skjema total MA'!F10*G10,0)</f>
        <v>1.1941961453887089</v>
      </c>
      <c r="J10" s="306">
        <v>290667.46999999997</v>
      </c>
      <c r="K10" s="307">
        <v>449769</v>
      </c>
      <c r="L10" s="404">
        <f t="shared" ref="L10:L12" si="1">IF(J10=0, "    ---- ", IF(ABS(ROUND(100/J10*K10-100,1))&lt;999,ROUND(100/J10*K10-100,1),IF(ROUND(100/J10*K10-100,1)&gt;999,999,-999)))</f>
        <v>54.7</v>
      </c>
      <c r="M10" s="11">
        <f>IFERROR(100/'Skjema total MA'!I10*K10,0)</f>
        <v>0.74130833283620701</v>
      </c>
    </row>
    <row r="11" spans="1:14" s="43" customFormat="1" ht="15.75" x14ac:dyDescent="0.2">
      <c r="A11" s="13" t="s">
        <v>25</v>
      </c>
      <c r="B11" s="308"/>
      <c r="C11" s="309"/>
      <c r="D11" s="170"/>
      <c r="E11" s="11"/>
      <c r="F11" s="308">
        <v>7267.8059999999996</v>
      </c>
      <c r="G11" s="309">
        <v>5186</v>
      </c>
      <c r="H11" s="170">
        <f t="shared" si="0"/>
        <v>-28.6</v>
      </c>
      <c r="I11" s="159">
        <f>IFERROR(100/'Skjema total MA'!F11*G11,0)</f>
        <v>3.2223659889362222</v>
      </c>
      <c r="J11" s="306">
        <v>7267.8059999999996</v>
      </c>
      <c r="K11" s="307">
        <v>5186</v>
      </c>
      <c r="L11" s="404">
        <f t="shared" si="1"/>
        <v>-28.6</v>
      </c>
      <c r="M11" s="11">
        <f>IFERROR(100/'Skjema total MA'!I11*K11,0)</f>
        <v>3.0140184931023417</v>
      </c>
      <c r="N11" s="142"/>
    </row>
    <row r="12" spans="1:14" s="43" customFormat="1" ht="15.75" x14ac:dyDescent="0.2">
      <c r="A12" s="41" t="s">
        <v>24</v>
      </c>
      <c r="B12" s="310"/>
      <c r="C12" s="311"/>
      <c r="D12" s="168"/>
      <c r="E12" s="36"/>
      <c r="F12" s="310">
        <v>984.78399999999999</v>
      </c>
      <c r="G12" s="311">
        <v>251</v>
      </c>
      <c r="H12" s="168">
        <f t="shared" si="0"/>
        <v>-74.5</v>
      </c>
      <c r="I12" s="168">
        <f>IFERROR(100/'Skjema total MA'!F12*G12,0)</f>
        <v>0.34102598273688078</v>
      </c>
      <c r="J12" s="312">
        <v>984.78399999999999</v>
      </c>
      <c r="K12" s="313">
        <v>251</v>
      </c>
      <c r="L12" s="405">
        <f t="shared" si="1"/>
        <v>-74.5</v>
      </c>
      <c r="M12" s="36">
        <f>IFERROR(100/'Skjema total MA'!I12*K12,0)</f>
        <v>0.33774041966497759</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v>155583.666</v>
      </c>
      <c r="C22" s="315">
        <v>177823</v>
      </c>
      <c r="D22" s="344">
        <f t="shared" ref="D22:D28" si="2">IF(B22=0, "    ---- ", IF(ABS(ROUND(100/B22*C22-100,1))&lt;999,ROUND(100/B22*C22-100,1),IF(ROUND(100/B22*C22-100,1)&gt;999,999,-999)))</f>
        <v>14.3</v>
      </c>
      <c r="E22" s="11">
        <f>IFERROR(100/'Skjema total MA'!C22*C22,0)</f>
        <v>18.544409413149733</v>
      </c>
      <c r="F22" s="316">
        <v>3749.0749999999998</v>
      </c>
      <c r="G22" s="315">
        <v>3832</v>
      </c>
      <c r="H22" s="344">
        <f t="shared" ref="H22:H33" si="3">IF(F22=0, "    ---- ", IF(ABS(ROUND(100/F22*G22-100,1))&lt;999,ROUND(100/F22*G22-100,1),IF(ROUND(100/F22*G22-100,1)&gt;999,999,-999)))</f>
        <v>2.2000000000000002</v>
      </c>
      <c r="I22" s="11">
        <f>IFERROR(100/'Skjema total MA'!F22*G22,0)</f>
        <v>1.9220023797970642</v>
      </c>
      <c r="J22" s="314">
        <v>159332.74100000001</v>
      </c>
      <c r="K22" s="314">
        <v>181655</v>
      </c>
      <c r="L22" s="403">
        <f t="shared" ref="L22:L33" si="4">IF(J22=0, "    ---- ", IF(ABS(ROUND(100/J22*K22-100,1))&lt;999,ROUND(100/J22*K22-100,1),IF(ROUND(100/J22*K22-100,1)&gt;999,999,-999)))</f>
        <v>14</v>
      </c>
      <c r="M22" s="24">
        <f>IFERROR(100/'Skjema total MA'!I22*K22,0)</f>
        <v>15.683182329361992</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v>155583.666</v>
      </c>
      <c r="C27" s="290">
        <v>177823</v>
      </c>
      <c r="D27" s="165">
        <f t="shared" si="2"/>
        <v>14.3</v>
      </c>
      <c r="E27" s="27">
        <f>IFERROR(100/'Skjema total MA'!C27*C27,0)</f>
        <v>17.978903103101551</v>
      </c>
      <c r="F27" s="234"/>
      <c r="G27" s="290"/>
      <c r="H27" s="165"/>
      <c r="I27" s="27"/>
      <c r="J27" s="44">
        <v>155583.666</v>
      </c>
      <c r="K27" s="44">
        <v>177823</v>
      </c>
      <c r="L27" s="259">
        <f t="shared" si="4"/>
        <v>14.3</v>
      </c>
      <c r="M27" s="23">
        <f>IFERROR(100/'Skjema total MA'!I27*K27,0)</f>
        <v>17.978903103101551</v>
      </c>
    </row>
    <row r="28" spans="1:14" s="3" customFormat="1" ht="15.75" x14ac:dyDescent="0.2">
      <c r="A28" s="13" t="s">
        <v>26</v>
      </c>
      <c r="B28" s="236">
        <v>890452.39800000004</v>
      </c>
      <c r="C28" s="307">
        <v>1163363</v>
      </c>
      <c r="D28" s="170">
        <f t="shared" si="2"/>
        <v>30.6</v>
      </c>
      <c r="E28" s="11">
        <f>IFERROR(100/'Skjema total MA'!C28*C28,0)</f>
        <v>2.2832648859622644</v>
      </c>
      <c r="F28" s="306">
        <v>1604478.888</v>
      </c>
      <c r="G28" s="307">
        <v>1582276</v>
      </c>
      <c r="H28" s="170">
        <f t="shared" si="3"/>
        <v>-1.4</v>
      </c>
      <c r="I28" s="11">
        <f>IFERROR(100/'Skjema total MA'!F28*G28,0)</f>
        <v>8.0578852712059454</v>
      </c>
      <c r="J28" s="236">
        <v>2494931.2860000003</v>
      </c>
      <c r="K28" s="236">
        <v>2745639</v>
      </c>
      <c r="L28" s="404">
        <f t="shared" si="4"/>
        <v>10</v>
      </c>
      <c r="M28" s="24">
        <f>IFERROR(100/'Skjema total MA'!I28*K28,0)</f>
        <v>3.8896627219020079</v>
      </c>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v>8872.1460000000006</v>
      </c>
      <c r="G32" s="307">
        <v>14407</v>
      </c>
      <c r="H32" s="170">
        <f t="shared" si="3"/>
        <v>62.4</v>
      </c>
      <c r="I32" s="11">
        <f>IFERROR(100/'Skjema total MA'!F32*G32,0)</f>
        <v>76.91011228559293</v>
      </c>
      <c r="J32" s="236">
        <v>8872.1460000000006</v>
      </c>
      <c r="K32" s="236">
        <v>14407</v>
      </c>
      <c r="L32" s="404">
        <f t="shared" si="4"/>
        <v>62.4</v>
      </c>
      <c r="M32" s="24">
        <f>IFERROR(100/'Skjema total MA'!I32*K32,0)</f>
        <v>34.130693697685842</v>
      </c>
    </row>
    <row r="33" spans="1:14" ht="15.75" x14ac:dyDescent="0.2">
      <c r="A33" s="13" t="s">
        <v>24</v>
      </c>
      <c r="B33" s="236"/>
      <c r="C33" s="307"/>
      <c r="D33" s="170"/>
      <c r="E33" s="11"/>
      <c r="F33" s="306">
        <v>2690.732</v>
      </c>
      <c r="G33" s="307">
        <v>2231</v>
      </c>
      <c r="H33" s="170">
        <f t="shared" si="3"/>
        <v>-17.100000000000001</v>
      </c>
      <c r="I33" s="11">
        <f>IFERROR(100/'Skjema total MA'!F33*G33,0)</f>
        <v>3.4068009146339042</v>
      </c>
      <c r="J33" s="236">
        <v>2690.732</v>
      </c>
      <c r="K33" s="236">
        <v>2231</v>
      </c>
      <c r="L33" s="404">
        <f t="shared" si="4"/>
        <v>-17.100000000000001</v>
      </c>
      <c r="M33" s="24">
        <f>IFERROR(100/'Skjema total MA'!I33*K33,0)</f>
        <v>6.5020146450118839</v>
      </c>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c r="C45" s="309"/>
      <c r="D45" s="403"/>
      <c r="E45" s="11"/>
      <c r="F45" s="144"/>
      <c r="G45" s="33"/>
      <c r="H45" s="158"/>
      <c r="I45" s="158"/>
      <c r="J45" s="37"/>
      <c r="K45" s="37"/>
      <c r="L45" s="158"/>
      <c r="M45" s="158"/>
      <c r="N45" s="147"/>
    </row>
    <row r="46" spans="1:14" s="3" customFormat="1" ht="15.75" x14ac:dyDescent="0.2">
      <c r="A46" s="38" t="s">
        <v>312</v>
      </c>
      <c r="B46" s="286"/>
      <c r="C46" s="287"/>
      <c r="D46" s="259"/>
      <c r="E46" s="27"/>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v>113244.598</v>
      </c>
      <c r="C64" s="347">
        <v>98556</v>
      </c>
      <c r="D64" s="344">
        <f t="shared" ref="D64:D109" si="5">IF(B64=0, "    ---- ", IF(ABS(ROUND(100/B64*C64-100,1))&lt;999,ROUND(100/B64*C64-100,1),IF(ROUND(100/B64*C64-100,1)&gt;999,999,-999)))</f>
        <v>-13</v>
      </c>
      <c r="E64" s="11">
        <f>IFERROR(100/'Skjema total MA'!C64*C64,0)</f>
        <v>1.8348784557526892</v>
      </c>
      <c r="F64" s="346">
        <v>876219.18</v>
      </c>
      <c r="G64" s="346">
        <v>1132572</v>
      </c>
      <c r="H64" s="344">
        <f t="shared" ref="H64:H109" si="6">IF(F64=0, "    ---- ", IF(ABS(ROUND(100/F64*G64-100,1))&lt;999,ROUND(100/F64*G64-100,1),IF(ROUND(100/F64*G64-100,1)&gt;999,999,-999)))</f>
        <v>29.3</v>
      </c>
      <c r="I64" s="11">
        <f>IFERROR(100/'Skjema total MA'!F64*G64,0)</f>
        <v>8.7232624123313087</v>
      </c>
      <c r="J64" s="307">
        <v>989463.77800000005</v>
      </c>
      <c r="K64" s="314">
        <v>1231128</v>
      </c>
      <c r="L64" s="404">
        <f t="shared" ref="L64:L109" si="7">IF(J64=0, "    ---- ", IF(ABS(ROUND(100/J64*K64-100,1))&lt;999,ROUND(100/J64*K64-100,1),IF(ROUND(100/J64*K64-100,1)&gt;999,999,-999)))</f>
        <v>24.4</v>
      </c>
      <c r="M64" s="11">
        <f>IFERROR(100/'Skjema total MA'!I64*K64,0)</f>
        <v>6.7074598710859519</v>
      </c>
    </row>
    <row r="65" spans="1:14" x14ac:dyDescent="0.2">
      <c r="A65" s="395" t="s">
        <v>9</v>
      </c>
      <c r="B65" s="44">
        <v>113244.598</v>
      </c>
      <c r="C65" s="144">
        <v>98556</v>
      </c>
      <c r="D65" s="165">
        <f t="shared" si="5"/>
        <v>-13</v>
      </c>
      <c r="E65" s="27">
        <f>IFERROR(100/'Skjema total MA'!C65*C65,0)</f>
        <v>1.9205166297056482</v>
      </c>
      <c r="F65" s="234"/>
      <c r="G65" s="144"/>
      <c r="H65" s="165"/>
      <c r="I65" s="27"/>
      <c r="J65" s="290">
        <v>113244.598</v>
      </c>
      <c r="K65" s="44">
        <v>98556</v>
      </c>
      <c r="L65" s="259">
        <f t="shared" si="7"/>
        <v>-13</v>
      </c>
      <c r="M65" s="27">
        <f>IFERROR(100/'Skjema total MA'!I65*K65,0)</f>
        <v>1.9205166297056482</v>
      </c>
    </row>
    <row r="66" spans="1:14" x14ac:dyDescent="0.2">
      <c r="A66" s="21" t="s">
        <v>10</v>
      </c>
      <c r="B66" s="292"/>
      <c r="C66" s="293"/>
      <c r="D66" s="165"/>
      <c r="E66" s="27"/>
      <c r="F66" s="292">
        <v>876219.18</v>
      </c>
      <c r="G66" s="293">
        <v>1132572</v>
      </c>
      <c r="H66" s="165">
        <f t="shared" si="6"/>
        <v>29.3</v>
      </c>
      <c r="I66" s="27">
        <f>IFERROR(100/'Skjema total MA'!F66*G66,0)</f>
        <v>8.8109723113518594</v>
      </c>
      <c r="J66" s="290">
        <v>876219.18</v>
      </c>
      <c r="K66" s="44">
        <v>1132572</v>
      </c>
      <c r="L66" s="259">
        <f t="shared" si="7"/>
        <v>29.3</v>
      </c>
      <c r="M66" s="27">
        <f>IFERROR(100/'Skjema total MA'!I66*K66,0)</f>
        <v>8.7311783247606645</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v>113244.598</v>
      </c>
      <c r="C75" s="234">
        <v>98556</v>
      </c>
      <c r="D75" s="165">
        <f t="shared" si="5"/>
        <v>-13</v>
      </c>
      <c r="E75" s="27">
        <f>IFERROR(100/'Skjema total MA'!C75*C75,0)</f>
        <v>1.9308553908858417</v>
      </c>
      <c r="F75" s="234">
        <v>876219.18</v>
      </c>
      <c r="G75" s="144">
        <v>1132572</v>
      </c>
      <c r="H75" s="165">
        <f t="shared" si="6"/>
        <v>29.3</v>
      </c>
      <c r="I75" s="27">
        <f>IFERROR(100/'Skjema total MA'!F75*G75,0)</f>
        <v>8.81672865412391</v>
      </c>
      <c r="J75" s="290">
        <v>989463.77800000005</v>
      </c>
      <c r="K75" s="44">
        <v>1231128</v>
      </c>
      <c r="L75" s="259">
        <f t="shared" si="7"/>
        <v>24.4</v>
      </c>
      <c r="M75" s="27">
        <f>IFERROR(100/'Skjema total MA'!I75*K75,0)</f>
        <v>6.8586582619076966</v>
      </c>
    </row>
    <row r="76" spans="1:14" x14ac:dyDescent="0.2">
      <c r="A76" s="21" t="s">
        <v>9</v>
      </c>
      <c r="B76" s="234">
        <v>113244.598</v>
      </c>
      <c r="C76" s="144">
        <v>98556</v>
      </c>
      <c r="D76" s="165">
        <f t="shared" si="5"/>
        <v>-13</v>
      </c>
      <c r="E76" s="27">
        <f>IFERROR(100/'Skjema total MA'!C76*C76,0)</f>
        <v>1.975460969718728</v>
      </c>
      <c r="F76" s="234"/>
      <c r="G76" s="144"/>
      <c r="H76" s="165"/>
      <c r="I76" s="27"/>
      <c r="J76" s="290">
        <v>113244.598</v>
      </c>
      <c r="K76" s="44">
        <v>98556</v>
      </c>
      <c r="L76" s="259">
        <f t="shared" si="7"/>
        <v>-13</v>
      </c>
      <c r="M76" s="27">
        <f>IFERROR(100/'Skjema total MA'!I76*K76,0)</f>
        <v>1.975460969718728</v>
      </c>
    </row>
    <row r="77" spans="1:14" x14ac:dyDescent="0.2">
      <c r="A77" s="21" t="s">
        <v>10</v>
      </c>
      <c r="B77" s="292"/>
      <c r="C77" s="293"/>
      <c r="D77" s="165"/>
      <c r="E77" s="27"/>
      <c r="F77" s="292">
        <v>876219.18</v>
      </c>
      <c r="G77" s="293">
        <v>1132572</v>
      </c>
      <c r="H77" s="165">
        <f t="shared" si="6"/>
        <v>29.3</v>
      </c>
      <c r="I77" s="27">
        <f>IFERROR(100/'Skjema total MA'!F77*G77,0)</f>
        <v>8.81672865412391</v>
      </c>
      <c r="J77" s="290">
        <v>876219.18</v>
      </c>
      <c r="K77" s="44">
        <v>1132572</v>
      </c>
      <c r="L77" s="259">
        <f t="shared" si="7"/>
        <v>29.3</v>
      </c>
      <c r="M77" s="27">
        <f>IFERROR(100/'Skjema total MA'!I77*K77,0)</f>
        <v>8.7383272205642264</v>
      </c>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v>4226421.6449999996</v>
      </c>
      <c r="C85" s="347">
        <v>4542421</v>
      </c>
      <c r="D85" s="170">
        <f t="shared" si="5"/>
        <v>7.5</v>
      </c>
      <c r="E85" s="11">
        <f>IFERROR(100/'Skjema total MA'!C85*C85,0)</f>
        <v>1.2151678514201152</v>
      </c>
      <c r="F85" s="346">
        <v>14118346.494000001</v>
      </c>
      <c r="G85" s="346">
        <v>18490533</v>
      </c>
      <c r="H85" s="170">
        <f t="shared" si="6"/>
        <v>31</v>
      </c>
      <c r="I85" s="11">
        <f>IFERROR(100/'Skjema total MA'!F85*G85,0)</f>
        <v>9.2970313422068855</v>
      </c>
      <c r="J85" s="307">
        <v>18344768.138999999</v>
      </c>
      <c r="K85" s="236">
        <v>23032954</v>
      </c>
      <c r="L85" s="404">
        <f t="shared" si="7"/>
        <v>25.6</v>
      </c>
      <c r="M85" s="11">
        <f>IFERROR(100/'Skjema total MA'!I85*K85,0)</f>
        <v>4.0218423426771643</v>
      </c>
    </row>
    <row r="86" spans="1:13" x14ac:dyDescent="0.2">
      <c r="A86" s="21" t="s">
        <v>9</v>
      </c>
      <c r="B86" s="234">
        <v>4226421.6449999996</v>
      </c>
      <c r="C86" s="144">
        <v>4542421</v>
      </c>
      <c r="D86" s="165">
        <f t="shared" si="5"/>
        <v>7.5</v>
      </c>
      <c r="E86" s="27">
        <f>IFERROR(100/'Skjema total MA'!C86*C86,0)</f>
        <v>1.2241464132625048</v>
      </c>
      <c r="F86" s="234"/>
      <c r="G86" s="144"/>
      <c r="H86" s="165"/>
      <c r="I86" s="27"/>
      <c r="J86" s="290">
        <v>4226421.6449999996</v>
      </c>
      <c r="K86" s="44">
        <v>4542421</v>
      </c>
      <c r="L86" s="259">
        <f t="shared" si="7"/>
        <v>7.5</v>
      </c>
      <c r="M86" s="27">
        <f>IFERROR(100/'Skjema total MA'!I86*K86,0)</f>
        <v>1.2241464132625048</v>
      </c>
    </row>
    <row r="87" spans="1:13" x14ac:dyDescent="0.2">
      <c r="A87" s="21" t="s">
        <v>10</v>
      </c>
      <c r="B87" s="234"/>
      <c r="C87" s="144"/>
      <c r="D87" s="165"/>
      <c r="E87" s="27"/>
      <c r="F87" s="234">
        <v>14118346.494000001</v>
      </c>
      <c r="G87" s="144">
        <v>18490533</v>
      </c>
      <c r="H87" s="165">
        <f t="shared" si="6"/>
        <v>31</v>
      </c>
      <c r="I87" s="27">
        <f>IFERROR(100/'Skjema total MA'!F87*G87,0)</f>
        <v>9.3138619826101241</v>
      </c>
      <c r="J87" s="290">
        <v>14118346.494000001</v>
      </c>
      <c r="K87" s="44">
        <v>18490533</v>
      </c>
      <c r="L87" s="259">
        <f t="shared" si="7"/>
        <v>31</v>
      </c>
      <c r="M87" s="27">
        <f>IFERROR(100/'Skjema total MA'!I87*K87,0)</f>
        <v>9.1980747050531058</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v>4226421.6449999996</v>
      </c>
      <c r="C96" s="234">
        <v>4542421</v>
      </c>
      <c r="D96" s="165">
        <f t="shared" si="5"/>
        <v>7.5</v>
      </c>
      <c r="E96" s="27">
        <f>IFERROR(100/'Skjema total MA'!C96*C96,0)</f>
        <v>1.2321484489868675</v>
      </c>
      <c r="F96" s="292">
        <v>14118346.494000001</v>
      </c>
      <c r="G96" s="292">
        <v>18490533</v>
      </c>
      <c r="H96" s="165">
        <f t="shared" si="6"/>
        <v>31</v>
      </c>
      <c r="I96" s="27">
        <f>IFERROR(100/'Skjema total MA'!F96*G96,0)</f>
        <v>9.3389249243151173</v>
      </c>
      <c r="J96" s="290">
        <v>18344768.138999999</v>
      </c>
      <c r="K96" s="44">
        <v>23032954</v>
      </c>
      <c r="L96" s="259">
        <f t="shared" si="7"/>
        <v>25.6</v>
      </c>
      <c r="M96" s="27">
        <f>IFERROR(100/'Skjema total MA'!I96*K96,0)</f>
        <v>4.0647382828839334</v>
      </c>
    </row>
    <row r="97" spans="1:13" x14ac:dyDescent="0.2">
      <c r="A97" s="21" t="s">
        <v>9</v>
      </c>
      <c r="B97" s="292">
        <v>4226421.6449999996</v>
      </c>
      <c r="C97" s="293">
        <v>4542421</v>
      </c>
      <c r="D97" s="165">
        <f t="shared" si="5"/>
        <v>7.5</v>
      </c>
      <c r="E97" s="27">
        <f>IFERROR(100/'Skjema total MA'!C97*C97,0)</f>
        <v>1.2405580674234762</v>
      </c>
      <c r="F97" s="234"/>
      <c r="G97" s="144"/>
      <c r="H97" s="165"/>
      <c r="I97" s="27"/>
      <c r="J97" s="290">
        <v>4226421.6449999996</v>
      </c>
      <c r="K97" s="44">
        <v>4542421</v>
      </c>
      <c r="L97" s="259">
        <f t="shared" si="7"/>
        <v>7.5</v>
      </c>
      <c r="M97" s="27">
        <f>IFERROR(100/'Skjema total MA'!I97*K97,0)</f>
        <v>1.2405580674234762</v>
      </c>
    </row>
    <row r="98" spans="1:13" x14ac:dyDescent="0.2">
      <c r="A98" s="21" t="s">
        <v>10</v>
      </c>
      <c r="B98" s="292"/>
      <c r="C98" s="293"/>
      <c r="D98" s="165"/>
      <c r="E98" s="27"/>
      <c r="F98" s="234">
        <v>14118346.494000001</v>
      </c>
      <c r="G98" s="234">
        <v>18490533</v>
      </c>
      <c r="H98" s="165">
        <f t="shared" si="6"/>
        <v>31</v>
      </c>
      <c r="I98" s="27">
        <f>IFERROR(100/'Skjema total MA'!F98*G98,0)</f>
        <v>9.3389249243151173</v>
      </c>
      <c r="J98" s="290">
        <v>14118346.494000001</v>
      </c>
      <c r="K98" s="44">
        <v>18490533</v>
      </c>
      <c r="L98" s="259">
        <f t="shared" si="7"/>
        <v>31</v>
      </c>
      <c r="M98" s="27">
        <f>IFERROR(100/'Skjema total MA'!I98*K98,0)</f>
        <v>9.222517551795006</v>
      </c>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v>3370691.0959999999</v>
      </c>
      <c r="C106" s="234">
        <v>3865541</v>
      </c>
      <c r="D106" s="165">
        <f t="shared" si="5"/>
        <v>14.7</v>
      </c>
      <c r="E106" s="27">
        <f>IFERROR(100/'Skjema total MA'!C106*C106,0)</f>
        <v>1.3209589442766971</v>
      </c>
      <c r="F106" s="234"/>
      <c r="G106" s="234"/>
      <c r="H106" s="165"/>
      <c r="I106" s="27"/>
      <c r="J106" s="290">
        <v>3370691.0959999999</v>
      </c>
      <c r="K106" s="44">
        <v>3865541</v>
      </c>
      <c r="L106" s="259">
        <f t="shared" si="7"/>
        <v>14.7</v>
      </c>
      <c r="M106" s="27">
        <f>IFERROR(100/'Skjema total MA'!I106*K106,0)</f>
        <v>1.2922000430491969</v>
      </c>
    </row>
    <row r="107" spans="1:13" ht="15.75" x14ac:dyDescent="0.2">
      <c r="A107" s="21" t="s">
        <v>320</v>
      </c>
      <c r="B107" s="234"/>
      <c r="C107" s="234"/>
      <c r="D107" s="165"/>
      <c r="E107" s="27"/>
      <c r="F107" s="234">
        <v>4727050.2120000003</v>
      </c>
      <c r="G107" s="234">
        <v>6052886</v>
      </c>
      <c r="H107" s="165">
        <f t="shared" si="6"/>
        <v>28</v>
      </c>
      <c r="I107" s="27">
        <f>IFERROR(100/'Skjema total MA'!F107*G107,0)</f>
        <v>9.5682926243100432</v>
      </c>
      <c r="J107" s="290">
        <v>4727050.2120000003</v>
      </c>
      <c r="K107" s="44">
        <v>6052886</v>
      </c>
      <c r="L107" s="259">
        <f t="shared" si="7"/>
        <v>28</v>
      </c>
      <c r="M107" s="27">
        <f>IFERROR(100/'Skjema total MA'!I107*K107,0)</f>
        <v>9.4540736960326974</v>
      </c>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v>27598.878000000001</v>
      </c>
      <c r="C109" s="158">
        <v>40038</v>
      </c>
      <c r="D109" s="170">
        <f t="shared" si="5"/>
        <v>45.1</v>
      </c>
      <c r="E109" s="11">
        <f>IFERROR(100/'Skjema total MA'!C109*C109,0)</f>
        <v>11.499215455054252</v>
      </c>
      <c r="F109" s="306">
        <v>396690.967</v>
      </c>
      <c r="G109" s="158">
        <v>1313065</v>
      </c>
      <c r="H109" s="170">
        <f t="shared" si="6"/>
        <v>231</v>
      </c>
      <c r="I109" s="11">
        <f>IFERROR(100/'Skjema total MA'!F109*G109,0)</f>
        <v>20.292526609528235</v>
      </c>
      <c r="J109" s="307">
        <v>424289.84500000003</v>
      </c>
      <c r="K109" s="236">
        <v>1353103</v>
      </c>
      <c r="L109" s="404">
        <f t="shared" si="7"/>
        <v>218.9</v>
      </c>
      <c r="M109" s="11">
        <f>IFERROR(100/'Skjema total MA'!I109*K109,0)</f>
        <v>19.843528363508046</v>
      </c>
    </row>
    <row r="110" spans="1:13" x14ac:dyDescent="0.2">
      <c r="A110" s="21" t="s">
        <v>9</v>
      </c>
      <c r="B110" s="234">
        <v>27598.878000000001</v>
      </c>
      <c r="C110" s="144">
        <v>40038</v>
      </c>
      <c r="D110" s="165">
        <f t="shared" ref="D110:D122" si="8">IF(B110=0, "    ---- ", IF(ABS(ROUND(100/B110*C110-100,1))&lt;999,ROUND(100/B110*C110-100,1),IF(ROUND(100/B110*C110-100,1)&gt;999,999,-999)))</f>
        <v>45.1</v>
      </c>
      <c r="E110" s="27">
        <f>IFERROR(100/'Skjema total MA'!C110*C110,0)</f>
        <v>12.283245390503581</v>
      </c>
      <c r="F110" s="234"/>
      <c r="G110" s="144"/>
      <c r="H110" s="165"/>
      <c r="I110" s="27"/>
      <c r="J110" s="290">
        <v>27598.878000000001</v>
      </c>
      <c r="K110" s="44">
        <v>40038</v>
      </c>
      <c r="L110" s="259">
        <f t="shared" ref="L110:L123" si="9">IF(J110=0, "    ---- ", IF(ABS(ROUND(100/J110*K110-100,1))&lt;999,ROUND(100/J110*K110-100,1),IF(ROUND(100/J110*K110-100,1)&gt;999,999,-999)))</f>
        <v>45.1</v>
      </c>
      <c r="M110" s="27">
        <f>IFERROR(100/'Skjema total MA'!I110*K110,0)</f>
        <v>12.283245390503581</v>
      </c>
    </row>
    <row r="111" spans="1:13" x14ac:dyDescent="0.2">
      <c r="A111" s="21" t="s">
        <v>10</v>
      </c>
      <c r="B111" s="234"/>
      <c r="C111" s="144"/>
      <c r="D111" s="165"/>
      <c r="E111" s="27"/>
      <c r="F111" s="234">
        <v>396690.967</v>
      </c>
      <c r="G111" s="144">
        <v>1313065</v>
      </c>
      <c r="H111" s="165">
        <f t="shared" ref="H111:H123" si="10">IF(F111=0, "    ---- ", IF(ABS(ROUND(100/F111*G111-100,1))&lt;999,ROUND(100/F111*G111-100,1),IF(ROUND(100/F111*G111-100,1)&gt;999,999,-999)))</f>
        <v>231</v>
      </c>
      <c r="I111" s="27">
        <f>IFERROR(100/'Skjema total MA'!F111*G111,0)</f>
        <v>20.292526609528235</v>
      </c>
      <c r="J111" s="290">
        <v>396690.967</v>
      </c>
      <c r="K111" s="44">
        <v>1313065</v>
      </c>
      <c r="L111" s="259">
        <f t="shared" si="9"/>
        <v>231</v>
      </c>
      <c r="M111" s="27">
        <f>IFERROR(100/'Skjema total MA'!I111*K111,0)</f>
        <v>20.284597848796999</v>
      </c>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v>5604.4089999999997</v>
      </c>
      <c r="C114" s="234">
        <v>10600</v>
      </c>
      <c r="D114" s="165">
        <f t="shared" si="8"/>
        <v>89.1</v>
      </c>
      <c r="E114" s="27">
        <f>IFERROR(100/'Skjema total MA'!C114*C114,0)</f>
        <v>34.525646751970925</v>
      </c>
      <c r="F114" s="234"/>
      <c r="G114" s="234"/>
      <c r="H114" s="165"/>
      <c r="I114" s="27"/>
      <c r="J114" s="290">
        <v>5604.4089999999997</v>
      </c>
      <c r="K114" s="44">
        <v>10600</v>
      </c>
      <c r="L114" s="259">
        <f t="shared" si="9"/>
        <v>89.1</v>
      </c>
      <c r="M114" s="27">
        <f>IFERROR(100/'Skjema total MA'!I114*K114,0)</f>
        <v>24.731886841116452</v>
      </c>
    </row>
    <row r="115" spans="1:14" ht="15.75" x14ac:dyDescent="0.2">
      <c r="A115" s="21" t="s">
        <v>322</v>
      </c>
      <c r="B115" s="234"/>
      <c r="C115" s="234"/>
      <c r="D115" s="165"/>
      <c r="E115" s="27"/>
      <c r="F115" s="234">
        <v>42463.885999999999</v>
      </c>
      <c r="G115" s="234">
        <v>113587</v>
      </c>
      <c r="H115" s="165">
        <f t="shared" si="10"/>
        <v>167.5</v>
      </c>
      <c r="I115" s="27">
        <f>IFERROR(100/'Skjema total MA'!F115*G115,0)</f>
        <v>10.278803624830292</v>
      </c>
      <c r="J115" s="290">
        <v>42463.885999999999</v>
      </c>
      <c r="K115" s="44">
        <v>113587</v>
      </c>
      <c r="L115" s="259">
        <f t="shared" si="9"/>
        <v>167.5</v>
      </c>
      <c r="M115" s="27">
        <f>IFERROR(100/'Skjema total MA'!I115*K115,0)</f>
        <v>10.278803624830292</v>
      </c>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8662.3549999999996</v>
      </c>
      <c r="C117" s="158">
        <v>11106</v>
      </c>
      <c r="D117" s="170">
        <f t="shared" si="8"/>
        <v>28.2</v>
      </c>
      <c r="E117" s="11">
        <f>IFERROR(100/'Skjema total MA'!C117*C117,0)</f>
        <v>3.785786464860549</v>
      </c>
      <c r="F117" s="306">
        <v>225934.11900000001</v>
      </c>
      <c r="G117" s="158">
        <v>494945</v>
      </c>
      <c r="H117" s="170">
        <f t="shared" si="10"/>
        <v>119.1</v>
      </c>
      <c r="I117" s="11">
        <f>IFERROR(100/'Skjema total MA'!F117*G117,0)</f>
        <v>7.6771096847005866</v>
      </c>
      <c r="J117" s="307">
        <v>234596.47400000002</v>
      </c>
      <c r="K117" s="236">
        <v>506051</v>
      </c>
      <c r="L117" s="404">
        <f t="shared" si="9"/>
        <v>115.7</v>
      </c>
      <c r="M117" s="11">
        <f>IFERROR(100/'Skjema total MA'!I117*K117,0)</f>
        <v>7.5077483451633293</v>
      </c>
    </row>
    <row r="118" spans="1:14" x14ac:dyDescent="0.2">
      <c r="A118" s="21" t="s">
        <v>9</v>
      </c>
      <c r="B118" s="234">
        <v>8662.3549999999996</v>
      </c>
      <c r="C118" s="144">
        <v>11106</v>
      </c>
      <c r="D118" s="165">
        <f t="shared" si="8"/>
        <v>28.2</v>
      </c>
      <c r="E118" s="27">
        <f>IFERROR(100/'Skjema total MA'!C118*C118,0)</f>
        <v>4.2993457083626572</v>
      </c>
      <c r="F118" s="234"/>
      <c r="G118" s="144"/>
      <c r="H118" s="165"/>
      <c r="I118" s="27"/>
      <c r="J118" s="290">
        <v>8662.3549999999996</v>
      </c>
      <c r="K118" s="44">
        <v>11106</v>
      </c>
      <c r="L118" s="259">
        <f t="shared" si="9"/>
        <v>28.2</v>
      </c>
      <c r="M118" s="27">
        <f>IFERROR(100/'Skjema total MA'!I118*K118,0)</f>
        <v>4.2993457083626572</v>
      </c>
    </row>
    <row r="119" spans="1:14" x14ac:dyDescent="0.2">
      <c r="A119" s="21" t="s">
        <v>10</v>
      </c>
      <c r="B119" s="234"/>
      <c r="C119" s="144"/>
      <c r="D119" s="165"/>
      <c r="E119" s="27"/>
      <c r="F119" s="234">
        <v>225934.11900000001</v>
      </c>
      <c r="G119" s="144">
        <v>494945</v>
      </c>
      <c r="H119" s="165">
        <f t="shared" si="10"/>
        <v>119.1</v>
      </c>
      <c r="I119" s="27">
        <f>IFERROR(100/'Skjema total MA'!F119*G119,0)</f>
        <v>7.6771096847005866</v>
      </c>
      <c r="J119" s="290">
        <v>225934.11900000001</v>
      </c>
      <c r="K119" s="44">
        <v>494945</v>
      </c>
      <c r="L119" s="259">
        <f t="shared" si="9"/>
        <v>119.1</v>
      </c>
      <c r="M119" s="27">
        <f>IFERROR(100/'Skjema total MA'!I119*K119,0)</f>
        <v>7.6564314976383452</v>
      </c>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v>7.0910000000000002</v>
      </c>
      <c r="C122" s="234"/>
      <c r="D122" s="165">
        <f t="shared" si="8"/>
        <v>-100</v>
      </c>
      <c r="E122" s="27">
        <f>IFERROR(100/'Skjema total MA'!C122*C122,0)</f>
        <v>0</v>
      </c>
      <c r="F122" s="234"/>
      <c r="G122" s="234"/>
      <c r="H122" s="165"/>
      <c r="I122" s="27"/>
      <c r="J122" s="290">
        <v>7.0910000000000002</v>
      </c>
      <c r="K122" s="44"/>
      <c r="L122" s="259">
        <f t="shared" si="9"/>
        <v>-100</v>
      </c>
      <c r="M122" s="27">
        <f>IFERROR(100/'Skjema total MA'!I122*K122,0)</f>
        <v>0</v>
      </c>
    </row>
    <row r="123" spans="1:14" ht="15.75" x14ac:dyDescent="0.2">
      <c r="A123" s="21" t="s">
        <v>320</v>
      </c>
      <c r="B123" s="234"/>
      <c r="C123" s="234"/>
      <c r="D123" s="165"/>
      <c r="E123" s="27"/>
      <c r="F123" s="234">
        <v>47690.652000000002</v>
      </c>
      <c r="G123" s="234">
        <v>129850</v>
      </c>
      <c r="H123" s="165">
        <f t="shared" si="10"/>
        <v>172.3</v>
      </c>
      <c r="I123" s="27">
        <f>IFERROR(100/'Skjema total MA'!F123*G123,0)</f>
        <v>13.781762570484664</v>
      </c>
      <c r="J123" s="290">
        <v>47690.652000000002</v>
      </c>
      <c r="K123" s="44">
        <v>129850</v>
      </c>
      <c r="L123" s="259">
        <f t="shared" si="9"/>
        <v>172.3</v>
      </c>
      <c r="M123" s="27">
        <f>IFERROR(100/'Skjema total MA'!I123*K123,0)</f>
        <v>13.737132771782518</v>
      </c>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311" priority="132">
      <formula>kvartal &lt; 4</formula>
    </cfRule>
  </conditionalFormatting>
  <conditionalFormatting sqref="B29">
    <cfRule type="expression" dxfId="1310" priority="130">
      <formula>kvartal &lt; 4</formula>
    </cfRule>
  </conditionalFormatting>
  <conditionalFormatting sqref="B30">
    <cfRule type="expression" dxfId="1309" priority="129">
      <formula>kvartal &lt; 4</formula>
    </cfRule>
  </conditionalFormatting>
  <conditionalFormatting sqref="B31">
    <cfRule type="expression" dxfId="1308" priority="128">
      <formula>kvartal &lt; 4</formula>
    </cfRule>
  </conditionalFormatting>
  <conditionalFormatting sqref="C29">
    <cfRule type="expression" dxfId="1307" priority="127">
      <formula>kvartal &lt; 4</formula>
    </cfRule>
  </conditionalFormatting>
  <conditionalFormatting sqref="C30">
    <cfRule type="expression" dxfId="1306" priority="126">
      <formula>kvartal &lt; 4</formula>
    </cfRule>
  </conditionalFormatting>
  <conditionalFormatting sqref="C31">
    <cfRule type="expression" dxfId="1305" priority="125">
      <formula>kvartal &lt; 4</formula>
    </cfRule>
  </conditionalFormatting>
  <conditionalFormatting sqref="B23:C25">
    <cfRule type="expression" dxfId="1304" priority="124">
      <formula>kvartal &lt; 4</formula>
    </cfRule>
  </conditionalFormatting>
  <conditionalFormatting sqref="F23:G25">
    <cfRule type="expression" dxfId="1303" priority="120">
      <formula>kvartal &lt; 4</formula>
    </cfRule>
  </conditionalFormatting>
  <conditionalFormatting sqref="F29">
    <cfRule type="expression" dxfId="1302" priority="113">
      <formula>kvartal &lt; 4</formula>
    </cfRule>
  </conditionalFormatting>
  <conditionalFormatting sqref="F30">
    <cfRule type="expression" dxfId="1301" priority="112">
      <formula>kvartal &lt; 4</formula>
    </cfRule>
  </conditionalFormatting>
  <conditionalFormatting sqref="F31">
    <cfRule type="expression" dxfId="1300" priority="111">
      <formula>kvartal &lt; 4</formula>
    </cfRule>
  </conditionalFormatting>
  <conditionalFormatting sqref="G29">
    <cfRule type="expression" dxfId="1299" priority="110">
      <formula>kvartal &lt; 4</formula>
    </cfRule>
  </conditionalFormatting>
  <conditionalFormatting sqref="G30">
    <cfRule type="expression" dxfId="1298" priority="109">
      <formula>kvartal &lt; 4</formula>
    </cfRule>
  </conditionalFormatting>
  <conditionalFormatting sqref="G31">
    <cfRule type="expression" dxfId="1297" priority="108">
      <formula>kvartal &lt; 4</formula>
    </cfRule>
  </conditionalFormatting>
  <conditionalFormatting sqref="B26">
    <cfRule type="expression" dxfId="1296" priority="107">
      <formula>kvartal &lt; 4</formula>
    </cfRule>
  </conditionalFormatting>
  <conditionalFormatting sqref="C26">
    <cfRule type="expression" dxfId="1295" priority="106">
      <formula>kvartal &lt; 4</formula>
    </cfRule>
  </conditionalFormatting>
  <conditionalFormatting sqref="F26">
    <cfRule type="expression" dxfId="1294" priority="105">
      <formula>kvartal &lt; 4</formula>
    </cfRule>
  </conditionalFormatting>
  <conditionalFormatting sqref="G26">
    <cfRule type="expression" dxfId="1293" priority="104">
      <formula>kvartal &lt; 4</formula>
    </cfRule>
  </conditionalFormatting>
  <conditionalFormatting sqref="J23:K26">
    <cfRule type="expression" dxfId="1292" priority="103">
      <formula>kvartal &lt; 4</formula>
    </cfRule>
  </conditionalFormatting>
  <conditionalFormatting sqref="J29:K31">
    <cfRule type="expression" dxfId="1291" priority="101">
      <formula>kvartal &lt; 4</formula>
    </cfRule>
  </conditionalFormatting>
  <conditionalFormatting sqref="B67">
    <cfRule type="expression" dxfId="1290" priority="100">
      <formula>kvartal &lt; 4</formula>
    </cfRule>
  </conditionalFormatting>
  <conditionalFormatting sqref="C67">
    <cfRule type="expression" dxfId="1289" priority="99">
      <formula>kvartal &lt; 4</formula>
    </cfRule>
  </conditionalFormatting>
  <conditionalFormatting sqref="B70">
    <cfRule type="expression" dxfId="1288" priority="98">
      <formula>kvartal &lt; 4</formula>
    </cfRule>
  </conditionalFormatting>
  <conditionalFormatting sqref="C70">
    <cfRule type="expression" dxfId="1287" priority="97">
      <formula>kvartal &lt; 4</formula>
    </cfRule>
  </conditionalFormatting>
  <conditionalFormatting sqref="B78">
    <cfRule type="expression" dxfId="1286" priority="96">
      <formula>kvartal &lt; 4</formula>
    </cfRule>
  </conditionalFormatting>
  <conditionalFormatting sqref="C78">
    <cfRule type="expression" dxfId="1285" priority="95">
      <formula>kvartal &lt; 4</formula>
    </cfRule>
  </conditionalFormatting>
  <conditionalFormatting sqref="B81">
    <cfRule type="expression" dxfId="1284" priority="94">
      <formula>kvartal &lt; 4</formula>
    </cfRule>
  </conditionalFormatting>
  <conditionalFormatting sqref="C81">
    <cfRule type="expression" dxfId="1283" priority="93">
      <formula>kvartal &lt; 4</formula>
    </cfRule>
  </conditionalFormatting>
  <conditionalFormatting sqref="B88">
    <cfRule type="expression" dxfId="1282" priority="84">
      <formula>kvartal &lt; 4</formula>
    </cfRule>
  </conditionalFormatting>
  <conditionalFormatting sqref="C88">
    <cfRule type="expression" dxfId="1281" priority="83">
      <formula>kvartal &lt; 4</formula>
    </cfRule>
  </conditionalFormatting>
  <conditionalFormatting sqref="B91">
    <cfRule type="expression" dxfId="1280" priority="82">
      <formula>kvartal &lt; 4</formula>
    </cfRule>
  </conditionalFormatting>
  <conditionalFormatting sqref="C91">
    <cfRule type="expression" dxfId="1279" priority="81">
      <formula>kvartal &lt; 4</formula>
    </cfRule>
  </conditionalFormatting>
  <conditionalFormatting sqref="B99">
    <cfRule type="expression" dxfId="1278" priority="80">
      <formula>kvartal &lt; 4</formula>
    </cfRule>
  </conditionalFormatting>
  <conditionalFormatting sqref="C99">
    <cfRule type="expression" dxfId="1277" priority="79">
      <formula>kvartal &lt; 4</formula>
    </cfRule>
  </conditionalFormatting>
  <conditionalFormatting sqref="B102">
    <cfRule type="expression" dxfId="1276" priority="78">
      <formula>kvartal &lt; 4</formula>
    </cfRule>
  </conditionalFormatting>
  <conditionalFormatting sqref="C102">
    <cfRule type="expression" dxfId="1275" priority="77">
      <formula>kvartal &lt; 4</formula>
    </cfRule>
  </conditionalFormatting>
  <conditionalFormatting sqref="B113">
    <cfRule type="expression" dxfId="1274" priority="76">
      <formula>kvartal &lt; 4</formula>
    </cfRule>
  </conditionalFormatting>
  <conditionalFormatting sqref="C113">
    <cfRule type="expression" dxfId="1273" priority="75">
      <formula>kvartal &lt; 4</formula>
    </cfRule>
  </conditionalFormatting>
  <conditionalFormatting sqref="B121">
    <cfRule type="expression" dxfId="1272" priority="74">
      <formula>kvartal &lt; 4</formula>
    </cfRule>
  </conditionalFormatting>
  <conditionalFormatting sqref="C121">
    <cfRule type="expression" dxfId="1271" priority="73">
      <formula>kvartal &lt; 4</formula>
    </cfRule>
  </conditionalFormatting>
  <conditionalFormatting sqref="F68">
    <cfRule type="expression" dxfId="1270" priority="72">
      <formula>kvartal &lt; 4</formula>
    </cfRule>
  </conditionalFormatting>
  <conditionalFormatting sqref="G68">
    <cfRule type="expression" dxfId="1269" priority="71">
      <formula>kvartal &lt; 4</formula>
    </cfRule>
  </conditionalFormatting>
  <conditionalFormatting sqref="F69:G69">
    <cfRule type="expression" dxfId="1268" priority="70">
      <formula>kvartal &lt; 4</formula>
    </cfRule>
  </conditionalFormatting>
  <conditionalFormatting sqref="F71:G72">
    <cfRule type="expression" dxfId="1267" priority="69">
      <formula>kvartal &lt; 4</formula>
    </cfRule>
  </conditionalFormatting>
  <conditionalFormatting sqref="F79:G80">
    <cfRule type="expression" dxfId="1266" priority="68">
      <formula>kvartal &lt; 4</formula>
    </cfRule>
  </conditionalFormatting>
  <conditionalFormatting sqref="F82:G83">
    <cfRule type="expression" dxfId="1265" priority="67">
      <formula>kvartal &lt; 4</formula>
    </cfRule>
  </conditionalFormatting>
  <conditionalFormatting sqref="F89:G90">
    <cfRule type="expression" dxfId="1264" priority="62">
      <formula>kvartal &lt; 4</formula>
    </cfRule>
  </conditionalFormatting>
  <conditionalFormatting sqref="F92:G93">
    <cfRule type="expression" dxfId="1263" priority="61">
      <formula>kvartal &lt; 4</formula>
    </cfRule>
  </conditionalFormatting>
  <conditionalFormatting sqref="F100:G101">
    <cfRule type="expression" dxfId="1262" priority="60">
      <formula>kvartal &lt; 4</formula>
    </cfRule>
  </conditionalFormatting>
  <conditionalFormatting sqref="F103:G104">
    <cfRule type="expression" dxfId="1261" priority="59">
      <formula>kvartal &lt; 4</formula>
    </cfRule>
  </conditionalFormatting>
  <conditionalFormatting sqref="F113">
    <cfRule type="expression" dxfId="1260" priority="58">
      <formula>kvartal &lt; 4</formula>
    </cfRule>
  </conditionalFormatting>
  <conditionalFormatting sqref="G113">
    <cfRule type="expression" dxfId="1259" priority="57">
      <formula>kvartal &lt; 4</formula>
    </cfRule>
  </conditionalFormatting>
  <conditionalFormatting sqref="F121:G121">
    <cfRule type="expression" dxfId="1258" priority="56">
      <formula>kvartal &lt; 4</formula>
    </cfRule>
  </conditionalFormatting>
  <conditionalFormatting sqref="F67:G67">
    <cfRule type="expression" dxfId="1257" priority="55">
      <formula>kvartal &lt; 4</formula>
    </cfRule>
  </conditionalFormatting>
  <conditionalFormatting sqref="F70:G70">
    <cfRule type="expression" dxfId="1256" priority="54">
      <formula>kvartal &lt; 4</formula>
    </cfRule>
  </conditionalFormatting>
  <conditionalFormatting sqref="F78:G78">
    <cfRule type="expression" dxfId="1255" priority="53">
      <formula>kvartal &lt; 4</formula>
    </cfRule>
  </conditionalFormatting>
  <conditionalFormatting sqref="F81:G81">
    <cfRule type="expression" dxfId="1254" priority="52">
      <formula>kvartal &lt; 4</formula>
    </cfRule>
  </conditionalFormatting>
  <conditionalFormatting sqref="F88:G88">
    <cfRule type="expression" dxfId="1253" priority="46">
      <formula>kvartal &lt; 4</formula>
    </cfRule>
  </conditionalFormatting>
  <conditionalFormatting sqref="F91">
    <cfRule type="expression" dxfId="1252" priority="45">
      <formula>kvartal &lt; 4</formula>
    </cfRule>
  </conditionalFormatting>
  <conditionalFormatting sqref="G91">
    <cfRule type="expression" dxfId="1251" priority="44">
      <formula>kvartal &lt; 4</formula>
    </cfRule>
  </conditionalFormatting>
  <conditionalFormatting sqref="F99">
    <cfRule type="expression" dxfId="1250" priority="43">
      <formula>kvartal &lt; 4</formula>
    </cfRule>
  </conditionalFormatting>
  <conditionalFormatting sqref="G99">
    <cfRule type="expression" dxfId="1249" priority="42">
      <formula>kvartal &lt; 4</formula>
    </cfRule>
  </conditionalFormatting>
  <conditionalFormatting sqref="G102">
    <cfRule type="expression" dxfId="1248" priority="41">
      <formula>kvartal &lt; 4</formula>
    </cfRule>
  </conditionalFormatting>
  <conditionalFormatting sqref="F102">
    <cfRule type="expression" dxfId="1247" priority="40">
      <formula>kvartal &lt; 4</formula>
    </cfRule>
  </conditionalFormatting>
  <conditionalFormatting sqref="J67:K71">
    <cfRule type="expression" dxfId="1246" priority="39">
      <formula>kvartal &lt; 4</formula>
    </cfRule>
  </conditionalFormatting>
  <conditionalFormatting sqref="J72:K72">
    <cfRule type="expression" dxfId="1245" priority="38">
      <formula>kvartal &lt; 4</formula>
    </cfRule>
  </conditionalFormatting>
  <conditionalFormatting sqref="J78:K83">
    <cfRule type="expression" dxfId="1244" priority="37">
      <formula>kvartal &lt; 4</formula>
    </cfRule>
  </conditionalFormatting>
  <conditionalFormatting sqref="J88:K93">
    <cfRule type="expression" dxfId="1243" priority="34">
      <formula>kvartal &lt; 4</formula>
    </cfRule>
  </conditionalFormatting>
  <conditionalFormatting sqref="J99:K104">
    <cfRule type="expression" dxfId="1242" priority="33">
      <formula>kvartal &lt; 4</formula>
    </cfRule>
  </conditionalFormatting>
  <conditionalFormatting sqref="J113:K113">
    <cfRule type="expression" dxfId="1241" priority="32">
      <formula>kvartal &lt; 4</formula>
    </cfRule>
  </conditionalFormatting>
  <conditionalFormatting sqref="J121:K121">
    <cfRule type="expression" dxfId="1240" priority="31">
      <formula>kvartal &lt; 4</formula>
    </cfRule>
  </conditionalFormatting>
  <conditionalFormatting sqref="A23:A25">
    <cfRule type="expression" dxfId="1239" priority="15">
      <formula>kvartal &lt; 4</formula>
    </cfRule>
  </conditionalFormatting>
  <conditionalFormatting sqref="A29:A31">
    <cfRule type="expression" dxfId="1238" priority="13">
      <formula>kvartal &lt; 4</formula>
    </cfRule>
  </conditionalFormatting>
  <conditionalFormatting sqref="A48:A50">
    <cfRule type="expression" dxfId="1237" priority="12">
      <formula>kvartal &lt; 4</formula>
    </cfRule>
  </conditionalFormatting>
  <conditionalFormatting sqref="A67:A72">
    <cfRule type="expression" dxfId="1236" priority="10">
      <formula>kvartal &lt; 4</formula>
    </cfRule>
  </conditionalFormatting>
  <conditionalFormatting sqref="A78:A83">
    <cfRule type="expression" dxfId="1235" priority="9">
      <formula>kvartal &lt; 4</formula>
    </cfRule>
  </conditionalFormatting>
  <conditionalFormatting sqref="A88:A93">
    <cfRule type="expression" dxfId="1234" priority="6">
      <formula>kvartal &lt; 4</formula>
    </cfRule>
  </conditionalFormatting>
  <conditionalFormatting sqref="A99:A104">
    <cfRule type="expression" dxfId="1233" priority="5">
      <formula>kvartal &lt; 4</formula>
    </cfRule>
  </conditionalFormatting>
  <conditionalFormatting sqref="A113">
    <cfRule type="expression" dxfId="1232" priority="4">
      <formula>kvartal &lt; 4</formula>
    </cfRule>
  </conditionalFormatting>
  <conditionalFormatting sqref="A121">
    <cfRule type="expression" dxfId="1231" priority="3">
      <formula>kvartal &lt; 4</formula>
    </cfRule>
  </conditionalFormatting>
  <conditionalFormatting sqref="A26">
    <cfRule type="expression" dxfId="1230" priority="2">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101</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v>20492</v>
      </c>
      <c r="C7" s="305">
        <v>19797</v>
      </c>
      <c r="D7" s="344">
        <f>IF(B7=0, "    ---- ", IF(ABS(ROUND(100/B7*C7-100,1))&lt;999,ROUND(100/B7*C7-100,1),IF(ROUND(100/B7*C7-100,1)&gt;999,999,-999)))</f>
        <v>-3.4</v>
      </c>
      <c r="E7" s="11">
        <f>IFERROR(100/'Skjema total MA'!C7*C7,0)</f>
        <v>0.7270455196765897</v>
      </c>
      <c r="F7" s="304"/>
      <c r="G7" s="305"/>
      <c r="H7" s="344"/>
      <c r="I7" s="159"/>
      <c r="J7" s="306">
        <v>20492</v>
      </c>
      <c r="K7" s="307">
        <v>19797</v>
      </c>
      <c r="L7" s="403">
        <f>IF(J7=0, "    ---- ", IF(ABS(ROUND(100/J7*K7-100,1))&lt;999,ROUND(100/J7*K7-100,1),IF(ROUND(100/J7*K7-100,1)&gt;999,999,-999)))</f>
        <v>-3.4</v>
      </c>
      <c r="M7" s="11">
        <f>IFERROR(100/'Skjema total MA'!I7*K7,0)</f>
        <v>0.27248876976426234</v>
      </c>
    </row>
    <row r="8" spans="1:14" ht="15.75" x14ac:dyDescent="0.2">
      <c r="A8" s="21" t="s">
        <v>29</v>
      </c>
      <c r="B8" s="286">
        <v>11328.343338410499</v>
      </c>
      <c r="C8" s="287">
        <v>7420</v>
      </c>
      <c r="D8" s="165">
        <f t="shared" ref="D8:D10" si="0">IF(B8=0, "    ---- ", IF(ABS(ROUND(100/B8*C8-100,1))&lt;999,ROUND(100/B8*C8-100,1),IF(ROUND(100/B8*C8-100,1)&gt;999,999,-999)))</f>
        <v>-34.5</v>
      </c>
      <c r="E8" s="27">
        <f>IFERROR(100/'Skjema total MA'!C8*C8,0)</f>
        <v>0.49383103504080988</v>
      </c>
      <c r="F8" s="423"/>
      <c r="G8" s="424"/>
      <c r="H8" s="170"/>
      <c r="I8" s="175"/>
      <c r="J8" s="234">
        <v>11328.343338410499</v>
      </c>
      <c r="K8" s="290">
        <v>7420</v>
      </c>
      <c r="L8" s="165">
        <f t="shared" ref="L8:L9" si="1">IF(J8=0, "    ---- ", IF(ABS(ROUND(100/J8*K8-100,1))&lt;999,ROUND(100/J8*K8-100,1),IF(ROUND(100/J8*K8-100,1)&gt;999,999,-999)))</f>
        <v>-34.5</v>
      </c>
      <c r="M8" s="27">
        <f>IFERROR(100/'Skjema total MA'!I8*K8,0)</f>
        <v>0.49383103504080988</v>
      </c>
    </row>
    <row r="9" spans="1:14" ht="15.75" x14ac:dyDescent="0.2">
      <c r="A9" s="21" t="s">
        <v>28</v>
      </c>
      <c r="B9" s="286">
        <v>6624.4186004838302</v>
      </c>
      <c r="C9" s="287">
        <v>12075</v>
      </c>
      <c r="D9" s="165">
        <f t="shared" si="0"/>
        <v>82.3</v>
      </c>
      <c r="E9" s="27">
        <f>IFERROR(100/'Skjema total MA'!C9*C9,0)</f>
        <v>1.6679469666627607</v>
      </c>
      <c r="F9" s="423"/>
      <c r="G9" s="424"/>
      <c r="H9" s="170"/>
      <c r="I9" s="175"/>
      <c r="J9" s="234">
        <v>6624.4186004838302</v>
      </c>
      <c r="K9" s="290">
        <v>12075</v>
      </c>
      <c r="L9" s="165">
        <f t="shared" si="1"/>
        <v>82.3</v>
      </c>
      <c r="M9" s="27">
        <f>IFERROR(100/'Skjema total MA'!I9*K9,0)</f>
        <v>1.6679469666627607</v>
      </c>
    </row>
    <row r="10" spans="1:14" ht="15.75" x14ac:dyDescent="0.2">
      <c r="A10" s="13" t="s">
        <v>26</v>
      </c>
      <c r="B10" s="308">
        <v>25877</v>
      </c>
      <c r="C10" s="309">
        <v>24810</v>
      </c>
      <c r="D10" s="170">
        <f t="shared" si="0"/>
        <v>-4.0999999999999996</v>
      </c>
      <c r="E10" s="11">
        <f>IFERROR(100/'Skjema total MA'!C10*C10,0)</f>
        <v>0.1078254200772633</v>
      </c>
      <c r="F10" s="308"/>
      <c r="G10" s="309"/>
      <c r="H10" s="170"/>
      <c r="I10" s="159"/>
      <c r="J10" s="306">
        <v>25877</v>
      </c>
      <c r="K10" s="307">
        <v>24810</v>
      </c>
      <c r="L10" s="404">
        <f t="shared" ref="L10" si="2">IF(J10=0, "    ---- ", IF(ABS(ROUND(100/J10*K10-100,1))&lt;999,ROUND(100/J10*K10-100,1),IF(ROUND(100/J10*K10-100,1)&gt;999,999,-999)))</f>
        <v>-4.0999999999999996</v>
      </c>
      <c r="M10" s="11">
        <f>IFERROR(100/'Skjema total MA'!I10*K10,0)</f>
        <v>4.089179053617812E-2</v>
      </c>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v>123</v>
      </c>
      <c r="C22" s="315">
        <v>109</v>
      </c>
      <c r="D22" s="344">
        <f t="shared" ref="D22:D28" si="3">IF(B22=0, "    ---- ", IF(ABS(ROUND(100/B22*C22-100,1))&lt;999,ROUND(100/B22*C22-100,1),IF(ROUND(100/B22*C22-100,1)&gt;999,999,-999)))</f>
        <v>-11.4</v>
      </c>
      <c r="E22" s="11">
        <f>IFERROR(100/'Skjema total MA'!C22*C22,0)</f>
        <v>1.1367149502782659E-2</v>
      </c>
      <c r="F22" s="316"/>
      <c r="G22" s="315"/>
      <c r="H22" s="344"/>
      <c r="I22" s="11"/>
      <c r="J22" s="314">
        <v>123</v>
      </c>
      <c r="K22" s="314">
        <v>109</v>
      </c>
      <c r="L22" s="403">
        <f t="shared" ref="L22:L28" si="4">IF(J22=0, "    ---- ", IF(ABS(ROUND(100/J22*K22-100,1))&lt;999,ROUND(100/J22*K22-100,1),IF(ROUND(100/J22*K22-100,1)&gt;999,999,-999)))</f>
        <v>-11.4</v>
      </c>
      <c r="M22" s="24">
        <f>IFERROR(100/'Skjema total MA'!I22*K22,0)</f>
        <v>9.4105137425364409E-3</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v>123</v>
      </c>
      <c r="C27" s="290">
        <v>109</v>
      </c>
      <c r="D27" s="165">
        <f t="shared" si="3"/>
        <v>-11.4</v>
      </c>
      <c r="E27" s="27">
        <f>IFERROR(100/'Skjema total MA'!C27*C27,0)</f>
        <v>1.1020511622445179E-2</v>
      </c>
      <c r="F27" s="234"/>
      <c r="G27" s="290"/>
      <c r="H27" s="165"/>
      <c r="I27" s="27"/>
      <c r="J27" s="44">
        <v>123</v>
      </c>
      <c r="K27" s="44">
        <v>109</v>
      </c>
      <c r="L27" s="259">
        <f t="shared" si="4"/>
        <v>-11.4</v>
      </c>
      <c r="M27" s="23">
        <f>IFERROR(100/'Skjema total MA'!I27*K27,0)</f>
        <v>1.1020511622445179E-2</v>
      </c>
    </row>
    <row r="28" spans="1:14" s="3" customFormat="1" ht="15.75" x14ac:dyDescent="0.2">
      <c r="A28" s="13" t="s">
        <v>26</v>
      </c>
      <c r="B28" s="236">
        <v>2365</v>
      </c>
      <c r="C28" s="307">
        <v>2324</v>
      </c>
      <c r="D28" s="170">
        <f t="shared" si="3"/>
        <v>-1.7</v>
      </c>
      <c r="E28" s="11">
        <f>IFERROR(100/'Skjema total MA'!C28*C28,0)</f>
        <v>4.5611796102990225E-3</v>
      </c>
      <c r="F28" s="306"/>
      <c r="G28" s="307"/>
      <c r="H28" s="170"/>
      <c r="I28" s="11"/>
      <c r="J28" s="236">
        <v>2365</v>
      </c>
      <c r="K28" s="236">
        <v>2324</v>
      </c>
      <c r="L28" s="404">
        <f t="shared" si="4"/>
        <v>-1.7</v>
      </c>
      <c r="M28" s="24">
        <f>IFERROR(100/'Skjema total MA'!I28*K28,0)</f>
        <v>3.2923396577992465E-3</v>
      </c>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c r="C45" s="309"/>
      <c r="D45" s="403"/>
      <c r="E45" s="11"/>
      <c r="F45" s="144"/>
      <c r="G45" s="33"/>
      <c r="H45" s="158"/>
      <c r="I45" s="158"/>
      <c r="J45" s="37"/>
      <c r="K45" s="37"/>
      <c r="L45" s="158"/>
      <c r="M45" s="158"/>
      <c r="N45" s="147"/>
    </row>
    <row r="46" spans="1:14" s="3" customFormat="1" ht="15.75" x14ac:dyDescent="0.2">
      <c r="A46" s="38" t="s">
        <v>312</v>
      </c>
      <c r="B46" s="286"/>
      <c r="C46" s="287"/>
      <c r="D46" s="259"/>
      <c r="E46" s="27"/>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229" priority="132">
      <formula>kvartal &lt; 4</formula>
    </cfRule>
  </conditionalFormatting>
  <conditionalFormatting sqref="B29">
    <cfRule type="expression" dxfId="1228" priority="130">
      <formula>kvartal &lt; 4</formula>
    </cfRule>
  </conditionalFormatting>
  <conditionalFormatting sqref="B30">
    <cfRule type="expression" dxfId="1227" priority="129">
      <formula>kvartal &lt; 4</formula>
    </cfRule>
  </conditionalFormatting>
  <conditionalFormatting sqref="B31">
    <cfRule type="expression" dxfId="1226" priority="128">
      <formula>kvartal &lt; 4</formula>
    </cfRule>
  </conditionalFormatting>
  <conditionalFormatting sqref="C29">
    <cfRule type="expression" dxfId="1225" priority="127">
      <formula>kvartal &lt; 4</formula>
    </cfRule>
  </conditionalFormatting>
  <conditionalFormatting sqref="C30">
    <cfRule type="expression" dxfId="1224" priority="126">
      <formula>kvartal &lt; 4</formula>
    </cfRule>
  </conditionalFormatting>
  <conditionalFormatting sqref="C31">
    <cfRule type="expression" dxfId="1223" priority="125">
      <formula>kvartal &lt; 4</formula>
    </cfRule>
  </conditionalFormatting>
  <conditionalFormatting sqref="B23:C25">
    <cfRule type="expression" dxfId="1222" priority="124">
      <formula>kvartal &lt; 4</formula>
    </cfRule>
  </conditionalFormatting>
  <conditionalFormatting sqref="F23:G25">
    <cfRule type="expression" dxfId="1221" priority="120">
      <formula>kvartal &lt; 4</formula>
    </cfRule>
  </conditionalFormatting>
  <conditionalFormatting sqref="F29">
    <cfRule type="expression" dxfId="1220" priority="113">
      <formula>kvartal &lt; 4</formula>
    </cfRule>
  </conditionalFormatting>
  <conditionalFormatting sqref="F30">
    <cfRule type="expression" dxfId="1219" priority="112">
      <formula>kvartal &lt; 4</formula>
    </cfRule>
  </conditionalFormatting>
  <conditionalFormatting sqref="F31">
    <cfRule type="expression" dxfId="1218" priority="111">
      <formula>kvartal &lt; 4</formula>
    </cfRule>
  </conditionalFormatting>
  <conditionalFormatting sqref="G29">
    <cfRule type="expression" dxfId="1217" priority="110">
      <formula>kvartal &lt; 4</formula>
    </cfRule>
  </conditionalFormatting>
  <conditionalFormatting sqref="G30">
    <cfRule type="expression" dxfId="1216" priority="109">
      <formula>kvartal &lt; 4</formula>
    </cfRule>
  </conditionalFormatting>
  <conditionalFormatting sqref="G31">
    <cfRule type="expression" dxfId="1215" priority="108">
      <formula>kvartal &lt; 4</formula>
    </cfRule>
  </conditionalFormatting>
  <conditionalFormatting sqref="B26">
    <cfRule type="expression" dxfId="1214" priority="107">
      <formula>kvartal &lt; 4</formula>
    </cfRule>
  </conditionalFormatting>
  <conditionalFormatting sqref="C26">
    <cfRule type="expression" dxfId="1213" priority="106">
      <formula>kvartal &lt; 4</formula>
    </cfRule>
  </conditionalFormatting>
  <conditionalFormatting sqref="F26">
    <cfRule type="expression" dxfId="1212" priority="105">
      <formula>kvartal &lt; 4</formula>
    </cfRule>
  </conditionalFormatting>
  <conditionalFormatting sqref="G26">
    <cfRule type="expression" dxfId="1211" priority="104">
      <formula>kvartal &lt; 4</formula>
    </cfRule>
  </conditionalFormatting>
  <conditionalFormatting sqref="J23:K26">
    <cfRule type="expression" dxfId="1210" priority="103">
      <formula>kvartal &lt; 4</formula>
    </cfRule>
  </conditionalFormatting>
  <conditionalFormatting sqref="J29:K31">
    <cfRule type="expression" dxfId="1209" priority="101">
      <formula>kvartal &lt; 4</formula>
    </cfRule>
  </conditionalFormatting>
  <conditionalFormatting sqref="B67">
    <cfRule type="expression" dxfId="1208" priority="100">
      <formula>kvartal &lt; 4</formula>
    </cfRule>
  </conditionalFormatting>
  <conditionalFormatting sqref="C67">
    <cfRule type="expression" dxfId="1207" priority="99">
      <formula>kvartal &lt; 4</formula>
    </cfRule>
  </conditionalFormatting>
  <conditionalFormatting sqref="B70">
    <cfRule type="expression" dxfId="1206" priority="98">
      <formula>kvartal &lt; 4</formula>
    </cfRule>
  </conditionalFormatting>
  <conditionalFormatting sqref="C70">
    <cfRule type="expression" dxfId="1205" priority="97">
      <formula>kvartal &lt; 4</formula>
    </cfRule>
  </conditionalFormatting>
  <conditionalFormatting sqref="B78">
    <cfRule type="expression" dxfId="1204" priority="96">
      <formula>kvartal &lt; 4</formula>
    </cfRule>
  </conditionalFormatting>
  <conditionalFormatting sqref="C78">
    <cfRule type="expression" dxfId="1203" priority="95">
      <formula>kvartal &lt; 4</formula>
    </cfRule>
  </conditionalFormatting>
  <conditionalFormatting sqref="B81">
    <cfRule type="expression" dxfId="1202" priority="94">
      <formula>kvartal &lt; 4</formula>
    </cfRule>
  </conditionalFormatting>
  <conditionalFormatting sqref="C81">
    <cfRule type="expression" dxfId="1201" priority="93">
      <formula>kvartal &lt; 4</formula>
    </cfRule>
  </conditionalFormatting>
  <conditionalFormatting sqref="B88">
    <cfRule type="expression" dxfId="1200" priority="84">
      <formula>kvartal &lt; 4</formula>
    </cfRule>
  </conditionalFormatting>
  <conditionalFormatting sqref="C88">
    <cfRule type="expression" dxfId="1199" priority="83">
      <formula>kvartal &lt; 4</formula>
    </cfRule>
  </conditionalFormatting>
  <conditionalFormatting sqref="B91">
    <cfRule type="expression" dxfId="1198" priority="82">
      <formula>kvartal &lt; 4</formula>
    </cfRule>
  </conditionalFormatting>
  <conditionalFormatting sqref="C91">
    <cfRule type="expression" dxfId="1197" priority="81">
      <formula>kvartal &lt; 4</formula>
    </cfRule>
  </conditionalFormatting>
  <conditionalFormatting sqref="B99">
    <cfRule type="expression" dxfId="1196" priority="80">
      <formula>kvartal &lt; 4</formula>
    </cfRule>
  </conditionalFormatting>
  <conditionalFormatting sqref="C99">
    <cfRule type="expression" dxfId="1195" priority="79">
      <formula>kvartal &lt; 4</formula>
    </cfRule>
  </conditionalFormatting>
  <conditionalFormatting sqref="B102">
    <cfRule type="expression" dxfId="1194" priority="78">
      <formula>kvartal &lt; 4</formula>
    </cfRule>
  </conditionalFormatting>
  <conditionalFormatting sqref="C102">
    <cfRule type="expression" dxfId="1193" priority="77">
      <formula>kvartal &lt; 4</formula>
    </cfRule>
  </conditionalFormatting>
  <conditionalFormatting sqref="B113">
    <cfRule type="expression" dxfId="1192" priority="76">
      <formula>kvartal &lt; 4</formula>
    </cfRule>
  </conditionalFormatting>
  <conditionalFormatting sqref="C113">
    <cfRule type="expression" dxfId="1191" priority="75">
      <formula>kvartal &lt; 4</formula>
    </cfRule>
  </conditionalFormatting>
  <conditionalFormatting sqref="B121">
    <cfRule type="expression" dxfId="1190" priority="74">
      <formula>kvartal &lt; 4</formula>
    </cfRule>
  </conditionalFormatting>
  <conditionalFormatting sqref="C121">
    <cfRule type="expression" dxfId="1189" priority="73">
      <formula>kvartal &lt; 4</formula>
    </cfRule>
  </conditionalFormatting>
  <conditionalFormatting sqref="F68">
    <cfRule type="expression" dxfId="1188" priority="72">
      <formula>kvartal &lt; 4</formula>
    </cfRule>
  </conditionalFormatting>
  <conditionalFormatting sqref="G68">
    <cfRule type="expression" dxfId="1187" priority="71">
      <formula>kvartal &lt; 4</formula>
    </cfRule>
  </conditionalFormatting>
  <conditionalFormatting sqref="F69:G69">
    <cfRule type="expression" dxfId="1186" priority="70">
      <formula>kvartal &lt; 4</formula>
    </cfRule>
  </conditionalFormatting>
  <conditionalFormatting sqref="F71:G72">
    <cfRule type="expression" dxfId="1185" priority="69">
      <formula>kvartal &lt; 4</formula>
    </cfRule>
  </conditionalFormatting>
  <conditionalFormatting sqref="F79:G80">
    <cfRule type="expression" dxfId="1184" priority="68">
      <formula>kvartal &lt; 4</formula>
    </cfRule>
  </conditionalFormatting>
  <conditionalFormatting sqref="F82:G83">
    <cfRule type="expression" dxfId="1183" priority="67">
      <formula>kvartal &lt; 4</formula>
    </cfRule>
  </conditionalFormatting>
  <conditionalFormatting sqref="F89:G90">
    <cfRule type="expression" dxfId="1182" priority="62">
      <formula>kvartal &lt; 4</formula>
    </cfRule>
  </conditionalFormatting>
  <conditionalFormatting sqref="F92:G93">
    <cfRule type="expression" dxfId="1181" priority="61">
      <formula>kvartal &lt; 4</formula>
    </cfRule>
  </conditionalFormatting>
  <conditionalFormatting sqref="F100:G101">
    <cfRule type="expression" dxfId="1180" priority="60">
      <formula>kvartal &lt; 4</formula>
    </cfRule>
  </conditionalFormatting>
  <conditionalFormatting sqref="F103:G104">
    <cfRule type="expression" dxfId="1179" priority="59">
      <formula>kvartal &lt; 4</formula>
    </cfRule>
  </conditionalFormatting>
  <conditionalFormatting sqref="F113">
    <cfRule type="expression" dxfId="1178" priority="58">
      <formula>kvartal &lt; 4</formula>
    </cfRule>
  </conditionalFormatting>
  <conditionalFormatting sqref="G113">
    <cfRule type="expression" dxfId="1177" priority="57">
      <formula>kvartal &lt; 4</formula>
    </cfRule>
  </conditionalFormatting>
  <conditionalFormatting sqref="F121:G121">
    <cfRule type="expression" dxfId="1176" priority="56">
      <formula>kvartal &lt; 4</formula>
    </cfRule>
  </conditionalFormatting>
  <conditionalFormatting sqref="F67:G67">
    <cfRule type="expression" dxfId="1175" priority="55">
      <formula>kvartal &lt; 4</formula>
    </cfRule>
  </conditionalFormatting>
  <conditionalFormatting sqref="F70:G70">
    <cfRule type="expression" dxfId="1174" priority="54">
      <formula>kvartal &lt; 4</formula>
    </cfRule>
  </conditionalFormatting>
  <conditionalFormatting sqref="F78:G78">
    <cfRule type="expression" dxfId="1173" priority="53">
      <formula>kvartal &lt; 4</formula>
    </cfRule>
  </conditionalFormatting>
  <conditionalFormatting sqref="F81:G81">
    <cfRule type="expression" dxfId="1172" priority="52">
      <formula>kvartal &lt; 4</formula>
    </cfRule>
  </conditionalFormatting>
  <conditionalFormatting sqref="F88:G88">
    <cfRule type="expression" dxfId="1171" priority="46">
      <formula>kvartal &lt; 4</formula>
    </cfRule>
  </conditionalFormatting>
  <conditionalFormatting sqref="F91">
    <cfRule type="expression" dxfId="1170" priority="45">
      <formula>kvartal &lt; 4</formula>
    </cfRule>
  </conditionalFormatting>
  <conditionalFormatting sqref="G91">
    <cfRule type="expression" dxfId="1169" priority="44">
      <formula>kvartal &lt; 4</formula>
    </cfRule>
  </conditionalFormatting>
  <conditionalFormatting sqref="F99">
    <cfRule type="expression" dxfId="1168" priority="43">
      <formula>kvartal &lt; 4</formula>
    </cfRule>
  </conditionalFormatting>
  <conditionalFormatting sqref="G99">
    <cfRule type="expression" dxfId="1167" priority="42">
      <formula>kvartal &lt; 4</formula>
    </cfRule>
  </conditionalFormatting>
  <conditionalFormatting sqref="G102">
    <cfRule type="expression" dxfId="1166" priority="41">
      <formula>kvartal &lt; 4</formula>
    </cfRule>
  </conditionalFormatting>
  <conditionalFormatting sqref="F102">
    <cfRule type="expression" dxfId="1165" priority="40">
      <formula>kvartal &lt; 4</formula>
    </cfRule>
  </conditionalFormatting>
  <conditionalFormatting sqref="J67:K71">
    <cfRule type="expression" dxfId="1164" priority="39">
      <formula>kvartal &lt; 4</formula>
    </cfRule>
  </conditionalFormatting>
  <conditionalFormatting sqref="J72:K72">
    <cfRule type="expression" dxfId="1163" priority="38">
      <formula>kvartal &lt; 4</formula>
    </cfRule>
  </conditionalFormatting>
  <conditionalFormatting sqref="J78:K83">
    <cfRule type="expression" dxfId="1162" priority="37">
      <formula>kvartal &lt; 4</formula>
    </cfRule>
  </conditionalFormatting>
  <conditionalFormatting sqref="J88:K93">
    <cfRule type="expression" dxfId="1161" priority="34">
      <formula>kvartal &lt; 4</formula>
    </cfRule>
  </conditionalFormatting>
  <conditionalFormatting sqref="J99:K104">
    <cfRule type="expression" dxfId="1160" priority="33">
      <formula>kvartal &lt; 4</formula>
    </cfRule>
  </conditionalFormatting>
  <conditionalFormatting sqref="J113:K113">
    <cfRule type="expression" dxfId="1159" priority="32">
      <formula>kvartal &lt; 4</formula>
    </cfRule>
  </conditionalFormatting>
  <conditionalFormatting sqref="J121:K121">
    <cfRule type="expression" dxfId="1158" priority="31">
      <formula>kvartal &lt; 4</formula>
    </cfRule>
  </conditionalFormatting>
  <conditionalFormatting sqref="A23:A25">
    <cfRule type="expression" dxfId="1157" priority="15">
      <formula>kvartal &lt; 4</formula>
    </cfRule>
  </conditionalFormatting>
  <conditionalFormatting sqref="A29:A31">
    <cfRule type="expression" dxfId="1156" priority="13">
      <formula>kvartal &lt; 4</formula>
    </cfRule>
  </conditionalFormatting>
  <conditionalFormatting sqref="A48:A50">
    <cfRule type="expression" dxfId="1155" priority="12">
      <formula>kvartal &lt; 4</formula>
    </cfRule>
  </conditionalFormatting>
  <conditionalFormatting sqref="A67:A72">
    <cfRule type="expression" dxfId="1154" priority="10">
      <formula>kvartal &lt; 4</formula>
    </cfRule>
  </conditionalFormatting>
  <conditionalFormatting sqref="A78:A83">
    <cfRule type="expression" dxfId="1153" priority="9">
      <formula>kvartal &lt; 4</formula>
    </cfRule>
  </conditionalFormatting>
  <conditionalFormatting sqref="A88:A93">
    <cfRule type="expression" dxfId="1152" priority="6">
      <formula>kvartal &lt; 4</formula>
    </cfRule>
  </conditionalFormatting>
  <conditionalFormatting sqref="A99:A104">
    <cfRule type="expression" dxfId="1151" priority="5">
      <formula>kvartal &lt; 4</formula>
    </cfRule>
  </conditionalFormatting>
  <conditionalFormatting sqref="A113">
    <cfRule type="expression" dxfId="1150" priority="4">
      <formula>kvartal &lt; 4</formula>
    </cfRule>
  </conditionalFormatting>
  <conditionalFormatting sqref="A121">
    <cfRule type="expression" dxfId="1149" priority="3">
      <formula>kvartal &lt; 4</formula>
    </cfRule>
  </conditionalFormatting>
  <conditionalFormatting sqref="A26">
    <cfRule type="expression" dxfId="1148" priority="2">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145</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v>164190.26199999999</v>
      </c>
      <c r="C7" s="305">
        <v>180928.019</v>
      </c>
      <c r="D7" s="344">
        <f>IF(B7=0, "    ---- ", IF(ABS(ROUND(100/B7*C7-100,1))&lt;999,ROUND(100/B7*C7-100,1),IF(ROUND(100/B7*C7-100,1)&gt;999,999,-999)))</f>
        <v>10.199999999999999</v>
      </c>
      <c r="E7" s="11">
        <f>IFERROR(100/'Skjema total MA'!C7*C7,0)</f>
        <v>6.6445878465379051</v>
      </c>
      <c r="F7" s="304"/>
      <c r="G7" s="305"/>
      <c r="H7" s="344"/>
      <c r="I7" s="159"/>
      <c r="J7" s="306">
        <v>164190.26199999999</v>
      </c>
      <c r="K7" s="307">
        <v>180928.019</v>
      </c>
      <c r="L7" s="403">
        <f>IF(J7=0, "    ---- ", IF(ABS(ROUND(100/J7*K7-100,1))&lt;999,ROUND(100/J7*K7-100,1),IF(ROUND(100/J7*K7-100,1)&gt;999,999,-999)))</f>
        <v>10.199999999999999</v>
      </c>
      <c r="M7" s="11">
        <f>IFERROR(100/'Skjema total MA'!I7*K7,0)</f>
        <v>2.4903194076473754</v>
      </c>
    </row>
    <row r="8" spans="1:14" ht="15.75" x14ac:dyDescent="0.2">
      <c r="A8" s="21" t="s">
        <v>29</v>
      </c>
      <c r="B8" s="286">
        <v>97546.528999999995</v>
      </c>
      <c r="C8" s="287">
        <v>113442.439</v>
      </c>
      <c r="D8" s="165">
        <f t="shared" ref="D8:D9" si="0">IF(B8=0, "    ---- ", IF(ABS(ROUND(100/B8*C8-100,1))&lt;999,ROUND(100/B8*C8-100,1),IF(ROUND(100/B8*C8-100,1)&gt;999,999,-999)))</f>
        <v>16.3</v>
      </c>
      <c r="E8" s="27">
        <f>IFERROR(100/'Skjema total MA'!C8*C8,0)</f>
        <v>7.5500535133320668</v>
      </c>
      <c r="F8" s="423"/>
      <c r="G8" s="424"/>
      <c r="H8" s="170"/>
      <c r="I8" s="175"/>
      <c r="J8" s="234">
        <v>97546.528999999995</v>
      </c>
      <c r="K8" s="290">
        <v>113442.439</v>
      </c>
      <c r="L8" s="165">
        <f t="shared" ref="L8:L9" si="1">IF(J8=0, "    ---- ", IF(ABS(ROUND(100/J8*K8-100,1))&lt;999,ROUND(100/J8*K8-100,1),IF(ROUND(100/J8*K8-100,1)&gt;999,999,-999)))</f>
        <v>16.3</v>
      </c>
      <c r="M8" s="27">
        <f>IFERROR(100/'Skjema total MA'!I8*K8,0)</f>
        <v>7.5500535133320668</v>
      </c>
    </row>
    <row r="9" spans="1:14" ht="15.75" x14ac:dyDescent="0.2">
      <c r="A9" s="21" t="s">
        <v>28</v>
      </c>
      <c r="B9" s="286">
        <v>66643.732999999993</v>
      </c>
      <c r="C9" s="287">
        <v>67485.58</v>
      </c>
      <c r="D9" s="165">
        <f t="shared" si="0"/>
        <v>1.3</v>
      </c>
      <c r="E9" s="27">
        <f>IFERROR(100/'Skjema total MA'!C9*C9,0)</f>
        <v>9.3219352757330913</v>
      </c>
      <c r="F9" s="423"/>
      <c r="G9" s="424"/>
      <c r="H9" s="170"/>
      <c r="I9" s="175"/>
      <c r="J9" s="234">
        <v>66643.732999999993</v>
      </c>
      <c r="K9" s="290">
        <v>67485.58</v>
      </c>
      <c r="L9" s="165">
        <f t="shared" si="1"/>
        <v>1.3</v>
      </c>
      <c r="M9" s="27">
        <f>IFERROR(100/'Skjema total MA'!I9*K9,0)</f>
        <v>9.3219352757330913</v>
      </c>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v>53962.389000000003</v>
      </c>
      <c r="C27" s="290">
        <v>65514.394999999997</v>
      </c>
      <c r="D27" s="165">
        <f t="shared" ref="D27" si="2">IF(B27=0, "    ---- ", IF(ABS(ROUND(100/B27*C27-100,1))&lt;999,ROUND(100/B27*C27-100,1),IF(ROUND(100/B27*C27-100,1)&gt;999,999,-999)))</f>
        <v>21.4</v>
      </c>
      <c r="E27" s="27">
        <f>IFERROR(100/'Skjema total MA'!C27*C27,0)</f>
        <v>6.623872949862057</v>
      </c>
      <c r="F27" s="234"/>
      <c r="G27" s="290"/>
      <c r="H27" s="165"/>
      <c r="I27" s="27"/>
      <c r="J27" s="44">
        <v>53962.389000000003</v>
      </c>
      <c r="K27" s="44">
        <v>65514.394999999997</v>
      </c>
      <c r="L27" s="259">
        <f t="shared" ref="L27" si="3">IF(J27=0, "    ---- ", IF(ABS(ROUND(100/J27*K27-100,1))&lt;999,ROUND(100/J27*K27-100,1),IF(ROUND(100/J27*K27-100,1)&gt;999,999,-999)))</f>
        <v>21.4</v>
      </c>
      <c r="M27" s="23">
        <f>IFERROR(100/'Skjema total MA'!I27*K27,0)</f>
        <v>6.623872949862057</v>
      </c>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84269.861000000004</v>
      </c>
      <c r="C45" s="309">
        <v>106026</v>
      </c>
      <c r="D45" s="403">
        <f t="shared" ref="D45:D55" si="4">IF(B45=0, "    ---- ", IF(ABS(ROUND(100/B45*C45-100,1))&lt;999,ROUND(100/B45*C45-100,1),IF(ROUND(100/B45*C45-100,1)&gt;999,999,-999)))</f>
        <v>25.8</v>
      </c>
      <c r="E45" s="11">
        <f>IFERROR(100/'Skjema total MA'!C45*C45,0)</f>
        <v>3.8667423983464451</v>
      </c>
      <c r="F45" s="144"/>
      <c r="G45" s="33"/>
      <c r="H45" s="158"/>
      <c r="I45" s="158"/>
      <c r="J45" s="37"/>
      <c r="K45" s="37"/>
      <c r="L45" s="158"/>
      <c r="M45" s="158"/>
      <c r="N45" s="147"/>
    </row>
    <row r="46" spans="1:14" s="3" customFormat="1" ht="15.75" x14ac:dyDescent="0.2">
      <c r="A46" s="38" t="s">
        <v>312</v>
      </c>
      <c r="B46" s="286">
        <v>84269.861000000004</v>
      </c>
      <c r="C46" s="287">
        <v>106026</v>
      </c>
      <c r="D46" s="259">
        <f t="shared" si="4"/>
        <v>25.8</v>
      </c>
      <c r="E46" s="27">
        <f>IFERROR(100/'Skjema total MA'!C46*C46,0)</f>
        <v>7.2843557042710954</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v>14861.025</v>
      </c>
      <c r="C51" s="309">
        <v>6089.0619999999999</v>
      </c>
      <c r="D51" s="404">
        <f t="shared" si="4"/>
        <v>-59</v>
      </c>
      <c r="E51" s="11">
        <f>IFERROR(100/'Skjema total MA'!C51*C51,0)</f>
        <v>4.2981754794402161</v>
      </c>
      <c r="F51" s="144"/>
      <c r="G51" s="33"/>
      <c r="H51" s="144"/>
      <c r="I51" s="144"/>
      <c r="J51" s="33"/>
      <c r="K51" s="33"/>
      <c r="L51" s="158"/>
      <c r="M51" s="158"/>
      <c r="N51" s="147"/>
    </row>
    <row r="52" spans="1:14" s="3" customFormat="1" ht="15.75" x14ac:dyDescent="0.2">
      <c r="A52" s="38" t="s">
        <v>312</v>
      </c>
      <c r="B52" s="286">
        <v>14861.025</v>
      </c>
      <c r="C52" s="287">
        <v>6089.0619999999999</v>
      </c>
      <c r="D52" s="259">
        <f t="shared" si="4"/>
        <v>-59</v>
      </c>
      <c r="E52" s="27">
        <f>IFERROR(100/'Skjema total MA'!C52*C52,0)</f>
        <v>7.2216043247967745</v>
      </c>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v>5481.5609999999997</v>
      </c>
      <c r="C54" s="309">
        <v>761.95799999999997</v>
      </c>
      <c r="D54" s="404">
        <f t="shared" si="4"/>
        <v>-86.1</v>
      </c>
      <c r="E54" s="11">
        <f>IFERROR(100/'Skjema total MA'!C54*C54,0)</f>
        <v>0.88276975495625498</v>
      </c>
      <c r="F54" s="144"/>
      <c r="G54" s="33"/>
      <c r="H54" s="144"/>
      <c r="I54" s="144"/>
      <c r="J54" s="33"/>
      <c r="K54" s="33"/>
      <c r="L54" s="158"/>
      <c r="M54" s="158"/>
      <c r="N54" s="147"/>
    </row>
    <row r="55" spans="1:14" s="3" customFormat="1" ht="15.75" x14ac:dyDescent="0.2">
      <c r="A55" s="38" t="s">
        <v>312</v>
      </c>
      <c r="B55" s="286">
        <v>5481.5609999999997</v>
      </c>
      <c r="C55" s="287">
        <v>761.95799999999997</v>
      </c>
      <c r="D55" s="259">
        <f t="shared" si="4"/>
        <v>-86.1</v>
      </c>
      <c r="E55" s="27">
        <f>IFERROR(100/'Skjema total MA'!C55*C55,0)</f>
        <v>0.88276975495625498</v>
      </c>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147" priority="132">
      <formula>kvartal &lt; 4</formula>
    </cfRule>
  </conditionalFormatting>
  <conditionalFormatting sqref="B29">
    <cfRule type="expression" dxfId="1146" priority="130">
      <formula>kvartal &lt; 4</formula>
    </cfRule>
  </conditionalFormatting>
  <conditionalFormatting sqref="B30">
    <cfRule type="expression" dxfId="1145" priority="129">
      <formula>kvartal &lt; 4</formula>
    </cfRule>
  </conditionalFormatting>
  <conditionalFormatting sqref="B31">
    <cfRule type="expression" dxfId="1144" priority="128">
      <formula>kvartal &lt; 4</formula>
    </cfRule>
  </conditionalFormatting>
  <conditionalFormatting sqref="C29">
    <cfRule type="expression" dxfId="1143" priority="127">
      <formula>kvartal &lt; 4</formula>
    </cfRule>
  </conditionalFormatting>
  <conditionalFormatting sqref="C30">
    <cfRule type="expression" dxfId="1142" priority="126">
      <formula>kvartal &lt; 4</formula>
    </cfRule>
  </conditionalFormatting>
  <conditionalFormatting sqref="C31">
    <cfRule type="expression" dxfId="1141" priority="125">
      <formula>kvartal &lt; 4</formula>
    </cfRule>
  </conditionalFormatting>
  <conditionalFormatting sqref="B23:C25">
    <cfRule type="expression" dxfId="1140" priority="124">
      <formula>kvartal &lt; 4</formula>
    </cfRule>
  </conditionalFormatting>
  <conditionalFormatting sqref="F23:G25">
    <cfRule type="expression" dxfId="1139" priority="120">
      <formula>kvartal &lt; 4</formula>
    </cfRule>
  </conditionalFormatting>
  <conditionalFormatting sqref="F29">
    <cfRule type="expression" dxfId="1138" priority="113">
      <formula>kvartal &lt; 4</formula>
    </cfRule>
  </conditionalFormatting>
  <conditionalFormatting sqref="F30">
    <cfRule type="expression" dxfId="1137" priority="112">
      <formula>kvartal &lt; 4</formula>
    </cfRule>
  </conditionalFormatting>
  <conditionalFormatting sqref="F31">
    <cfRule type="expression" dxfId="1136" priority="111">
      <formula>kvartal &lt; 4</formula>
    </cfRule>
  </conditionalFormatting>
  <conditionalFormatting sqref="G29">
    <cfRule type="expression" dxfId="1135" priority="110">
      <formula>kvartal &lt; 4</formula>
    </cfRule>
  </conditionalFormatting>
  <conditionalFormatting sqref="G30">
    <cfRule type="expression" dxfId="1134" priority="109">
      <formula>kvartal &lt; 4</formula>
    </cfRule>
  </conditionalFormatting>
  <conditionalFormatting sqref="G31">
    <cfRule type="expression" dxfId="1133" priority="108">
      <formula>kvartal &lt; 4</formula>
    </cfRule>
  </conditionalFormatting>
  <conditionalFormatting sqref="B26">
    <cfRule type="expression" dxfId="1132" priority="107">
      <formula>kvartal &lt; 4</formula>
    </cfRule>
  </conditionalFormatting>
  <conditionalFormatting sqref="C26">
    <cfRule type="expression" dxfId="1131" priority="106">
      <formula>kvartal &lt; 4</formula>
    </cfRule>
  </conditionalFormatting>
  <conditionalFormatting sqref="F26">
    <cfRule type="expression" dxfId="1130" priority="105">
      <formula>kvartal &lt; 4</formula>
    </cfRule>
  </conditionalFormatting>
  <conditionalFormatting sqref="G26">
    <cfRule type="expression" dxfId="1129" priority="104">
      <formula>kvartal &lt; 4</formula>
    </cfRule>
  </conditionalFormatting>
  <conditionalFormatting sqref="J23:K26">
    <cfRule type="expression" dxfId="1128" priority="103">
      <formula>kvartal &lt; 4</formula>
    </cfRule>
  </conditionalFormatting>
  <conditionalFormatting sqref="J29:K31">
    <cfRule type="expression" dxfId="1127" priority="101">
      <formula>kvartal &lt; 4</formula>
    </cfRule>
  </conditionalFormatting>
  <conditionalFormatting sqref="B67">
    <cfRule type="expression" dxfId="1126" priority="100">
      <formula>kvartal &lt; 4</formula>
    </cfRule>
  </conditionalFormatting>
  <conditionalFormatting sqref="C67">
    <cfRule type="expression" dxfId="1125" priority="99">
      <formula>kvartal &lt; 4</formula>
    </cfRule>
  </conditionalFormatting>
  <conditionalFormatting sqref="B70">
    <cfRule type="expression" dxfId="1124" priority="98">
      <formula>kvartal &lt; 4</formula>
    </cfRule>
  </conditionalFormatting>
  <conditionalFormatting sqref="C70">
    <cfRule type="expression" dxfId="1123" priority="97">
      <formula>kvartal &lt; 4</formula>
    </cfRule>
  </conditionalFormatting>
  <conditionalFormatting sqref="B78">
    <cfRule type="expression" dxfId="1122" priority="96">
      <formula>kvartal &lt; 4</formula>
    </cfRule>
  </conditionalFormatting>
  <conditionalFormatting sqref="C78">
    <cfRule type="expression" dxfId="1121" priority="95">
      <formula>kvartal &lt; 4</formula>
    </cfRule>
  </conditionalFormatting>
  <conditionalFormatting sqref="B81">
    <cfRule type="expression" dxfId="1120" priority="94">
      <formula>kvartal &lt; 4</formula>
    </cfRule>
  </conditionalFormatting>
  <conditionalFormatting sqref="C81">
    <cfRule type="expression" dxfId="1119" priority="93">
      <formula>kvartal &lt; 4</formula>
    </cfRule>
  </conditionalFormatting>
  <conditionalFormatting sqref="B88">
    <cfRule type="expression" dxfId="1118" priority="84">
      <formula>kvartal &lt; 4</formula>
    </cfRule>
  </conditionalFormatting>
  <conditionalFormatting sqref="C88">
    <cfRule type="expression" dxfId="1117" priority="83">
      <formula>kvartal &lt; 4</formula>
    </cfRule>
  </conditionalFormatting>
  <conditionalFormatting sqref="B91">
    <cfRule type="expression" dxfId="1116" priority="82">
      <formula>kvartal &lt; 4</formula>
    </cfRule>
  </conditionalFormatting>
  <conditionalFormatting sqref="C91">
    <cfRule type="expression" dxfId="1115" priority="81">
      <formula>kvartal &lt; 4</formula>
    </cfRule>
  </conditionalFormatting>
  <conditionalFormatting sqref="B99">
    <cfRule type="expression" dxfId="1114" priority="80">
      <formula>kvartal &lt; 4</formula>
    </cfRule>
  </conditionalFormatting>
  <conditionalFormatting sqref="C99">
    <cfRule type="expression" dxfId="1113" priority="79">
      <formula>kvartal &lt; 4</formula>
    </cfRule>
  </conditionalFormatting>
  <conditionalFormatting sqref="B102">
    <cfRule type="expression" dxfId="1112" priority="78">
      <formula>kvartal &lt; 4</formula>
    </cfRule>
  </conditionalFormatting>
  <conditionalFormatting sqref="C102">
    <cfRule type="expression" dxfId="1111" priority="77">
      <formula>kvartal &lt; 4</formula>
    </cfRule>
  </conditionalFormatting>
  <conditionalFormatting sqref="B113">
    <cfRule type="expression" dxfId="1110" priority="76">
      <formula>kvartal &lt; 4</formula>
    </cfRule>
  </conditionalFormatting>
  <conditionalFormatting sqref="C113">
    <cfRule type="expression" dxfId="1109" priority="75">
      <formula>kvartal &lt; 4</formula>
    </cfRule>
  </conditionalFormatting>
  <conditionalFormatting sqref="B121">
    <cfRule type="expression" dxfId="1108" priority="74">
      <formula>kvartal &lt; 4</formula>
    </cfRule>
  </conditionalFormatting>
  <conditionalFormatting sqref="C121">
    <cfRule type="expression" dxfId="1107" priority="73">
      <formula>kvartal &lt; 4</formula>
    </cfRule>
  </conditionalFormatting>
  <conditionalFormatting sqref="F68">
    <cfRule type="expression" dxfId="1106" priority="72">
      <formula>kvartal &lt; 4</formula>
    </cfRule>
  </conditionalFormatting>
  <conditionalFormatting sqref="G68">
    <cfRule type="expression" dxfId="1105" priority="71">
      <formula>kvartal &lt; 4</formula>
    </cfRule>
  </conditionalFormatting>
  <conditionalFormatting sqref="F69:G69">
    <cfRule type="expression" dxfId="1104" priority="70">
      <formula>kvartal &lt; 4</formula>
    </cfRule>
  </conditionalFormatting>
  <conditionalFormatting sqref="F71:G72">
    <cfRule type="expression" dxfId="1103" priority="69">
      <formula>kvartal &lt; 4</formula>
    </cfRule>
  </conditionalFormatting>
  <conditionalFormatting sqref="F79:G80">
    <cfRule type="expression" dxfId="1102" priority="68">
      <formula>kvartal &lt; 4</formula>
    </cfRule>
  </conditionalFormatting>
  <conditionalFormatting sqref="F82:G83">
    <cfRule type="expression" dxfId="1101" priority="67">
      <formula>kvartal &lt; 4</formula>
    </cfRule>
  </conditionalFormatting>
  <conditionalFormatting sqref="F89:G90">
    <cfRule type="expression" dxfId="1100" priority="62">
      <formula>kvartal &lt; 4</formula>
    </cfRule>
  </conditionalFormatting>
  <conditionalFormatting sqref="F92:G93">
    <cfRule type="expression" dxfId="1099" priority="61">
      <formula>kvartal &lt; 4</formula>
    </cfRule>
  </conditionalFormatting>
  <conditionalFormatting sqref="F100:G101">
    <cfRule type="expression" dxfId="1098" priority="60">
      <formula>kvartal &lt; 4</formula>
    </cfRule>
  </conditionalFormatting>
  <conditionalFormatting sqref="F103:G104">
    <cfRule type="expression" dxfId="1097" priority="59">
      <formula>kvartal &lt; 4</formula>
    </cfRule>
  </conditionalFormatting>
  <conditionalFormatting sqref="F113">
    <cfRule type="expression" dxfId="1096" priority="58">
      <formula>kvartal &lt; 4</formula>
    </cfRule>
  </conditionalFormatting>
  <conditionalFormatting sqref="G113">
    <cfRule type="expression" dxfId="1095" priority="57">
      <formula>kvartal &lt; 4</formula>
    </cfRule>
  </conditionalFormatting>
  <conditionalFormatting sqref="F121:G121">
    <cfRule type="expression" dxfId="1094" priority="56">
      <formula>kvartal &lt; 4</formula>
    </cfRule>
  </conditionalFormatting>
  <conditionalFormatting sqref="F67:G67">
    <cfRule type="expression" dxfId="1093" priority="55">
      <formula>kvartal &lt; 4</formula>
    </cfRule>
  </conditionalFormatting>
  <conditionalFormatting sqref="F70:G70">
    <cfRule type="expression" dxfId="1092" priority="54">
      <formula>kvartal &lt; 4</formula>
    </cfRule>
  </conditionalFormatting>
  <conditionalFormatting sqref="F78:G78">
    <cfRule type="expression" dxfId="1091" priority="53">
      <formula>kvartal &lt; 4</formula>
    </cfRule>
  </conditionalFormatting>
  <conditionalFormatting sqref="F81:G81">
    <cfRule type="expression" dxfId="1090" priority="52">
      <formula>kvartal &lt; 4</formula>
    </cfRule>
  </conditionalFormatting>
  <conditionalFormatting sqref="F88:G88">
    <cfRule type="expression" dxfId="1089" priority="46">
      <formula>kvartal &lt; 4</formula>
    </cfRule>
  </conditionalFormatting>
  <conditionalFormatting sqref="F91">
    <cfRule type="expression" dxfId="1088" priority="45">
      <formula>kvartal &lt; 4</formula>
    </cfRule>
  </conditionalFormatting>
  <conditionalFormatting sqref="G91">
    <cfRule type="expression" dxfId="1087" priority="44">
      <formula>kvartal &lt; 4</formula>
    </cfRule>
  </conditionalFormatting>
  <conditionalFormatting sqref="F99">
    <cfRule type="expression" dxfId="1086" priority="43">
      <formula>kvartal &lt; 4</formula>
    </cfRule>
  </conditionalFormatting>
  <conditionalFormatting sqref="G99">
    <cfRule type="expression" dxfId="1085" priority="42">
      <formula>kvartal &lt; 4</formula>
    </cfRule>
  </conditionalFormatting>
  <conditionalFormatting sqref="G102">
    <cfRule type="expression" dxfId="1084" priority="41">
      <formula>kvartal &lt; 4</formula>
    </cfRule>
  </conditionalFormatting>
  <conditionalFormatting sqref="F102">
    <cfRule type="expression" dxfId="1083" priority="40">
      <formula>kvartal &lt; 4</formula>
    </cfRule>
  </conditionalFormatting>
  <conditionalFormatting sqref="J67:K71">
    <cfRule type="expression" dxfId="1082" priority="39">
      <formula>kvartal &lt; 4</formula>
    </cfRule>
  </conditionalFormatting>
  <conditionalFormatting sqref="J72:K72">
    <cfRule type="expression" dxfId="1081" priority="38">
      <formula>kvartal &lt; 4</formula>
    </cfRule>
  </conditionalFormatting>
  <conditionalFormatting sqref="J78:K83">
    <cfRule type="expression" dxfId="1080" priority="37">
      <formula>kvartal &lt; 4</formula>
    </cfRule>
  </conditionalFormatting>
  <conditionalFormatting sqref="J88:K93">
    <cfRule type="expression" dxfId="1079" priority="34">
      <formula>kvartal &lt; 4</formula>
    </cfRule>
  </conditionalFormatting>
  <conditionalFormatting sqref="J99:K104">
    <cfRule type="expression" dxfId="1078" priority="33">
      <formula>kvartal &lt; 4</formula>
    </cfRule>
  </conditionalFormatting>
  <conditionalFormatting sqref="J113:K113">
    <cfRule type="expression" dxfId="1077" priority="32">
      <formula>kvartal &lt; 4</formula>
    </cfRule>
  </conditionalFormatting>
  <conditionalFormatting sqref="J121:K121">
    <cfRule type="expression" dxfId="1076" priority="31">
      <formula>kvartal &lt; 4</formula>
    </cfRule>
  </conditionalFormatting>
  <conditionalFormatting sqref="A23:A25">
    <cfRule type="expression" dxfId="1075" priority="15">
      <formula>kvartal &lt; 4</formula>
    </cfRule>
  </conditionalFormatting>
  <conditionalFormatting sqref="A29:A31">
    <cfRule type="expression" dxfId="1074" priority="13">
      <formula>kvartal &lt; 4</formula>
    </cfRule>
  </conditionalFormatting>
  <conditionalFormatting sqref="A48:A50">
    <cfRule type="expression" dxfId="1073" priority="12">
      <formula>kvartal &lt; 4</formula>
    </cfRule>
  </conditionalFormatting>
  <conditionalFormatting sqref="A67:A72">
    <cfRule type="expression" dxfId="1072" priority="10">
      <formula>kvartal &lt; 4</formula>
    </cfRule>
  </conditionalFormatting>
  <conditionalFormatting sqref="A78:A83">
    <cfRule type="expression" dxfId="1071" priority="9">
      <formula>kvartal &lt; 4</formula>
    </cfRule>
  </conditionalFormatting>
  <conditionalFormatting sqref="A88:A93">
    <cfRule type="expression" dxfId="1070" priority="6">
      <formula>kvartal &lt; 4</formula>
    </cfRule>
  </conditionalFormatting>
  <conditionalFormatting sqref="A99:A104">
    <cfRule type="expression" dxfId="1069" priority="5">
      <formula>kvartal &lt; 4</formula>
    </cfRule>
  </conditionalFormatting>
  <conditionalFormatting sqref="A113">
    <cfRule type="expression" dxfId="1068" priority="4">
      <formula>kvartal &lt; 4</formula>
    </cfRule>
  </conditionalFormatting>
  <conditionalFormatting sqref="A121">
    <cfRule type="expression" dxfId="1067" priority="3">
      <formula>kvartal &lt; 4</formula>
    </cfRule>
  </conditionalFormatting>
  <conditionalFormatting sqref="A26">
    <cfRule type="expression" dxfId="1066" priority="2">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68</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3445.7845000000002</v>
      </c>
      <c r="C45" s="309">
        <v>3185.37707</v>
      </c>
      <c r="D45" s="403">
        <f t="shared" ref="D45:D46" si="0">IF(B45=0, "    ---- ", IF(ABS(ROUND(100/B45*C45-100,1))&lt;999,ROUND(100/B45*C45-100,1),IF(ROUND(100/B45*C45-100,1)&gt;999,999,-999)))</f>
        <v>-7.6</v>
      </c>
      <c r="E45" s="11">
        <f>IFERROR(100/'Skjema total MA'!C45*C45,0)</f>
        <v>0.11616992597371939</v>
      </c>
      <c r="F45" s="144"/>
      <c r="G45" s="33"/>
      <c r="H45" s="158"/>
      <c r="I45" s="158"/>
      <c r="J45" s="37"/>
      <c r="K45" s="37"/>
      <c r="L45" s="158"/>
      <c r="M45" s="158"/>
      <c r="N45" s="147"/>
    </row>
    <row r="46" spans="1:14" s="3" customFormat="1" ht="15.75" x14ac:dyDescent="0.2">
      <c r="A46" s="38" t="s">
        <v>312</v>
      </c>
      <c r="B46" s="286">
        <v>2971.0143200000002</v>
      </c>
      <c r="C46" s="287">
        <v>703.15611000000001</v>
      </c>
      <c r="D46" s="259">
        <f t="shared" si="0"/>
        <v>-76.3</v>
      </c>
      <c r="E46" s="27">
        <f>IFERROR(100/'Skjema total MA'!C46*C46,0)</f>
        <v>4.8309275280323451E-2</v>
      </c>
      <c r="F46" s="144"/>
      <c r="G46" s="33"/>
      <c r="H46" s="144"/>
      <c r="I46" s="144"/>
      <c r="J46" s="33"/>
      <c r="K46" s="33"/>
      <c r="L46" s="158"/>
      <c r="M46" s="158"/>
      <c r="N46" s="147"/>
    </row>
    <row r="47" spans="1:14" s="3" customFormat="1" ht="15.75" x14ac:dyDescent="0.2">
      <c r="A47" s="38" t="s">
        <v>313</v>
      </c>
      <c r="B47" s="44">
        <v>474.77017999999998</v>
      </c>
      <c r="C47" s="290">
        <v>2482.2209600000001</v>
      </c>
      <c r="D47" s="259">
        <f>IF(B47=0, "    ---- ", IF(ABS(ROUND(100/B47*C47-100,1))&lt;999,ROUND(100/B47*C47-100,1),IF(ROUND(100/B47*C47-100,1)&gt;999,999,-999)))</f>
        <v>422.8</v>
      </c>
      <c r="E47" s="27">
        <f>IFERROR(100/'Skjema total MA'!C47*C47,0)</f>
        <v>0.19294855237965172</v>
      </c>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v>17860299.0057</v>
      </c>
      <c r="C132" s="307">
        <v>14893584.00391</v>
      </c>
      <c r="D132" s="344">
        <f t="shared" ref="D132:D135" si="1">IF(B132=0, "    ---- ", IF(ABS(ROUND(100/B132*C132-100,1))&lt;999,ROUND(100/B132*C132-100,1),IF(ROUND(100/B132*C132-100,1)&gt;999,999,-999)))</f>
        <v>-16.600000000000001</v>
      </c>
      <c r="E132" s="11">
        <f>IFERROR(100/'Skjema total MA'!C132*C132,0)</f>
        <v>90.146315486542093</v>
      </c>
      <c r="F132" s="314">
        <v>76382.539000000004</v>
      </c>
      <c r="G132" s="315">
        <v>52296.226000000002</v>
      </c>
      <c r="H132" s="407">
        <f t="shared" ref="H132:H134" si="2">IF(F132=0, "    ---- ", IF(ABS(ROUND(100/F132*G132-100,1))&lt;999,ROUND(100/F132*G132-100,1),IF(ROUND(100/F132*G132-100,1)&gt;999,999,-999)))</f>
        <v>-31.5</v>
      </c>
      <c r="I132" s="24">
        <f>IFERROR(100/'Skjema total MA'!F132*G132,0)</f>
        <v>100</v>
      </c>
      <c r="J132" s="316">
        <v>17936681.5447</v>
      </c>
      <c r="K132" s="316">
        <v>14945880.229909999</v>
      </c>
      <c r="L132" s="403">
        <f t="shared" ref="L132:L135" si="3">IF(J132=0, "    ---- ", IF(ABS(ROUND(100/J132*K132-100,1))&lt;999,ROUND(100/J132*K132-100,1),IF(ROUND(100/J132*K132-100,1)&gt;999,999,-999)))</f>
        <v>-16.7</v>
      </c>
      <c r="M132" s="11">
        <f>IFERROR(100/'Skjema total MA'!I132*K132,0)</f>
        <v>90.177407242400221</v>
      </c>
      <c r="N132" s="147"/>
    </row>
    <row r="133" spans="1:14" s="3" customFormat="1" ht="15.75" x14ac:dyDescent="0.2">
      <c r="A133" s="13" t="s">
        <v>324</v>
      </c>
      <c r="B133" s="236">
        <v>408022300.04294997</v>
      </c>
      <c r="C133" s="307">
        <v>432230923.24921</v>
      </c>
      <c r="D133" s="170">
        <f t="shared" si="1"/>
        <v>5.9</v>
      </c>
      <c r="E133" s="11">
        <f>IFERROR(100/'Skjema total MA'!C133*C133,0)</f>
        <v>86.18280830980413</v>
      </c>
      <c r="F133" s="236">
        <v>2120218.96215</v>
      </c>
      <c r="G133" s="307">
        <v>2288839.25715</v>
      </c>
      <c r="H133" s="408">
        <f t="shared" si="2"/>
        <v>8</v>
      </c>
      <c r="I133" s="24">
        <f>IFERROR(100/'Skjema total MA'!F133*G133,0)</f>
        <v>100</v>
      </c>
      <c r="J133" s="306">
        <v>410142519.00509995</v>
      </c>
      <c r="K133" s="306">
        <v>434519762.50635999</v>
      </c>
      <c r="L133" s="404">
        <f t="shared" si="3"/>
        <v>5.9</v>
      </c>
      <c r="M133" s="11">
        <f>IFERROR(100/'Skjema total MA'!I133*K133,0)</f>
        <v>86.245579792789272</v>
      </c>
      <c r="N133" s="147"/>
    </row>
    <row r="134" spans="1:14" s="3" customFormat="1" ht="15.75" x14ac:dyDescent="0.2">
      <c r="A134" s="13" t="s">
        <v>325</v>
      </c>
      <c r="B134" s="236">
        <v>1738366.0020000001</v>
      </c>
      <c r="C134" s="307">
        <v>183490.30300000001</v>
      </c>
      <c r="D134" s="170">
        <f t="shared" si="1"/>
        <v>-89.4</v>
      </c>
      <c r="E134" s="11">
        <f>IFERROR(100/'Skjema total MA'!C134*C134,0)</f>
        <v>100</v>
      </c>
      <c r="F134" s="236"/>
      <c r="G134" s="307">
        <v>24988.125</v>
      </c>
      <c r="H134" s="408" t="str">
        <f t="shared" si="2"/>
        <v xml:space="preserve">    ---- </v>
      </c>
      <c r="I134" s="24">
        <f>IFERROR(100/'Skjema total MA'!F134*G134,0)</f>
        <v>100</v>
      </c>
      <c r="J134" s="306">
        <v>1738366.0020000001</v>
      </c>
      <c r="K134" s="306">
        <v>208478.42800000001</v>
      </c>
      <c r="L134" s="404">
        <f t="shared" si="3"/>
        <v>-88</v>
      </c>
      <c r="M134" s="11">
        <f>IFERROR(100/'Skjema total MA'!I134*K134,0)</f>
        <v>100</v>
      </c>
      <c r="N134" s="147"/>
    </row>
    <row r="135" spans="1:14" s="3" customFormat="1" ht="15.75" x14ac:dyDescent="0.2">
      <c r="A135" s="41" t="s">
        <v>326</v>
      </c>
      <c r="B135" s="281">
        <v>123887.451</v>
      </c>
      <c r="C135" s="313">
        <v>210536.73</v>
      </c>
      <c r="D135" s="168">
        <f t="shared" si="1"/>
        <v>69.900000000000006</v>
      </c>
      <c r="E135" s="9">
        <f>IFERROR(100/'Skjema total MA'!C135*C135,0)</f>
        <v>59.450435635805341</v>
      </c>
      <c r="F135" s="281"/>
      <c r="G135" s="313"/>
      <c r="H135" s="409"/>
      <c r="I135" s="36"/>
      <c r="J135" s="312">
        <v>123887.451</v>
      </c>
      <c r="K135" s="312">
        <v>210536.73</v>
      </c>
      <c r="L135" s="405">
        <f t="shared" si="3"/>
        <v>69.900000000000006</v>
      </c>
      <c r="M135" s="36">
        <f>IFERROR(100/'Skjema total MA'!I135*K135,0)</f>
        <v>59.450435635805341</v>
      </c>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065" priority="132">
      <formula>kvartal &lt; 4</formula>
    </cfRule>
  </conditionalFormatting>
  <conditionalFormatting sqref="B29">
    <cfRule type="expression" dxfId="1064" priority="130">
      <formula>kvartal &lt; 4</formula>
    </cfRule>
  </conditionalFormatting>
  <conditionalFormatting sqref="B30">
    <cfRule type="expression" dxfId="1063" priority="129">
      <formula>kvartal &lt; 4</formula>
    </cfRule>
  </conditionalFormatting>
  <conditionalFormatting sqref="B31">
    <cfRule type="expression" dxfId="1062" priority="128">
      <formula>kvartal &lt; 4</formula>
    </cfRule>
  </conditionalFormatting>
  <conditionalFormatting sqref="C29">
    <cfRule type="expression" dxfId="1061" priority="127">
      <formula>kvartal &lt; 4</formula>
    </cfRule>
  </conditionalFormatting>
  <conditionalFormatting sqref="C30">
    <cfRule type="expression" dxfId="1060" priority="126">
      <formula>kvartal &lt; 4</formula>
    </cfRule>
  </conditionalFormatting>
  <conditionalFormatting sqref="C31">
    <cfRule type="expression" dxfId="1059" priority="125">
      <formula>kvartal &lt; 4</formula>
    </cfRule>
  </conditionalFormatting>
  <conditionalFormatting sqref="B23:C25">
    <cfRule type="expression" dxfId="1058" priority="124">
      <formula>kvartal &lt; 4</formula>
    </cfRule>
  </conditionalFormatting>
  <conditionalFormatting sqref="F23:G25">
    <cfRule type="expression" dxfId="1057" priority="120">
      <formula>kvartal &lt; 4</formula>
    </cfRule>
  </conditionalFormatting>
  <conditionalFormatting sqref="F29">
    <cfRule type="expression" dxfId="1056" priority="113">
      <formula>kvartal &lt; 4</formula>
    </cfRule>
  </conditionalFormatting>
  <conditionalFormatting sqref="F30">
    <cfRule type="expression" dxfId="1055" priority="112">
      <formula>kvartal &lt; 4</formula>
    </cfRule>
  </conditionalFormatting>
  <conditionalFormatting sqref="F31">
    <cfRule type="expression" dxfId="1054" priority="111">
      <formula>kvartal &lt; 4</formula>
    </cfRule>
  </conditionalFormatting>
  <conditionalFormatting sqref="G29">
    <cfRule type="expression" dxfId="1053" priority="110">
      <formula>kvartal &lt; 4</formula>
    </cfRule>
  </conditionalFormatting>
  <conditionalFormatting sqref="G30">
    <cfRule type="expression" dxfId="1052" priority="109">
      <formula>kvartal &lt; 4</formula>
    </cfRule>
  </conditionalFormatting>
  <conditionalFormatting sqref="G31">
    <cfRule type="expression" dxfId="1051" priority="108">
      <formula>kvartal &lt; 4</formula>
    </cfRule>
  </conditionalFormatting>
  <conditionalFormatting sqref="B26">
    <cfRule type="expression" dxfId="1050" priority="107">
      <formula>kvartal &lt; 4</formula>
    </cfRule>
  </conditionalFormatting>
  <conditionalFormatting sqref="C26">
    <cfRule type="expression" dxfId="1049" priority="106">
      <formula>kvartal &lt; 4</formula>
    </cfRule>
  </conditionalFormatting>
  <conditionalFormatting sqref="F26">
    <cfRule type="expression" dxfId="1048" priority="105">
      <formula>kvartal &lt; 4</formula>
    </cfRule>
  </conditionalFormatting>
  <conditionalFormatting sqref="G26">
    <cfRule type="expression" dxfId="1047" priority="104">
      <formula>kvartal &lt; 4</formula>
    </cfRule>
  </conditionalFormatting>
  <conditionalFormatting sqref="J23:K26">
    <cfRule type="expression" dxfId="1046" priority="103">
      <formula>kvartal &lt; 4</formula>
    </cfRule>
  </conditionalFormatting>
  <conditionalFormatting sqref="J29:K31">
    <cfRule type="expression" dxfId="1045" priority="101">
      <formula>kvartal &lt; 4</formula>
    </cfRule>
  </conditionalFormatting>
  <conditionalFormatting sqref="B67">
    <cfRule type="expression" dxfId="1044" priority="100">
      <formula>kvartal &lt; 4</formula>
    </cfRule>
  </conditionalFormatting>
  <conditionalFormatting sqref="C67">
    <cfRule type="expression" dxfId="1043" priority="99">
      <formula>kvartal &lt; 4</formula>
    </cfRule>
  </conditionalFormatting>
  <conditionalFormatting sqref="B70">
    <cfRule type="expression" dxfId="1042" priority="98">
      <formula>kvartal &lt; 4</formula>
    </cfRule>
  </conditionalFormatting>
  <conditionalFormatting sqref="C70">
    <cfRule type="expression" dxfId="1041" priority="97">
      <formula>kvartal &lt; 4</formula>
    </cfRule>
  </conditionalFormatting>
  <conditionalFormatting sqref="B78">
    <cfRule type="expression" dxfId="1040" priority="96">
      <formula>kvartal &lt; 4</formula>
    </cfRule>
  </conditionalFormatting>
  <conditionalFormatting sqref="C78">
    <cfRule type="expression" dxfId="1039" priority="95">
      <formula>kvartal &lt; 4</formula>
    </cfRule>
  </conditionalFormatting>
  <conditionalFormatting sqref="B81">
    <cfRule type="expression" dxfId="1038" priority="94">
      <formula>kvartal &lt; 4</formula>
    </cfRule>
  </conditionalFormatting>
  <conditionalFormatting sqref="C81">
    <cfRule type="expression" dxfId="1037" priority="93">
      <formula>kvartal &lt; 4</formula>
    </cfRule>
  </conditionalFormatting>
  <conditionalFormatting sqref="B88">
    <cfRule type="expression" dxfId="1036" priority="84">
      <formula>kvartal &lt; 4</formula>
    </cfRule>
  </conditionalFormatting>
  <conditionalFormatting sqref="C88">
    <cfRule type="expression" dxfId="1035" priority="83">
      <formula>kvartal &lt; 4</formula>
    </cfRule>
  </conditionalFormatting>
  <conditionalFormatting sqref="B91">
    <cfRule type="expression" dxfId="1034" priority="82">
      <formula>kvartal &lt; 4</formula>
    </cfRule>
  </conditionalFormatting>
  <conditionalFormatting sqref="C91">
    <cfRule type="expression" dxfId="1033" priority="81">
      <formula>kvartal &lt; 4</formula>
    </cfRule>
  </conditionalFormatting>
  <conditionalFormatting sqref="B99">
    <cfRule type="expression" dxfId="1032" priority="80">
      <formula>kvartal &lt; 4</formula>
    </cfRule>
  </conditionalFormatting>
  <conditionalFormatting sqref="C99">
    <cfRule type="expression" dxfId="1031" priority="79">
      <formula>kvartal &lt; 4</formula>
    </cfRule>
  </conditionalFormatting>
  <conditionalFormatting sqref="B102">
    <cfRule type="expression" dxfId="1030" priority="78">
      <formula>kvartal &lt; 4</formula>
    </cfRule>
  </conditionalFormatting>
  <conditionalFormatting sqref="C102">
    <cfRule type="expression" dxfId="1029" priority="77">
      <formula>kvartal &lt; 4</formula>
    </cfRule>
  </conditionalFormatting>
  <conditionalFormatting sqref="B113">
    <cfRule type="expression" dxfId="1028" priority="76">
      <formula>kvartal &lt; 4</formula>
    </cfRule>
  </conditionalFormatting>
  <conditionalFormatting sqref="C113">
    <cfRule type="expression" dxfId="1027" priority="75">
      <formula>kvartal &lt; 4</formula>
    </cfRule>
  </conditionalFormatting>
  <conditionalFormatting sqref="B121">
    <cfRule type="expression" dxfId="1026" priority="74">
      <formula>kvartal &lt; 4</formula>
    </cfRule>
  </conditionalFormatting>
  <conditionalFormatting sqref="C121">
    <cfRule type="expression" dxfId="1025" priority="73">
      <formula>kvartal &lt; 4</formula>
    </cfRule>
  </conditionalFormatting>
  <conditionalFormatting sqref="F68">
    <cfRule type="expression" dxfId="1024" priority="72">
      <formula>kvartal &lt; 4</formula>
    </cfRule>
  </conditionalFormatting>
  <conditionalFormatting sqref="G68">
    <cfRule type="expression" dxfId="1023" priority="71">
      <formula>kvartal &lt; 4</formula>
    </cfRule>
  </conditionalFormatting>
  <conditionalFormatting sqref="F69:G69">
    <cfRule type="expression" dxfId="1022" priority="70">
      <formula>kvartal &lt; 4</formula>
    </cfRule>
  </conditionalFormatting>
  <conditionalFormatting sqref="F71:G72">
    <cfRule type="expression" dxfId="1021" priority="69">
      <formula>kvartal &lt; 4</formula>
    </cfRule>
  </conditionalFormatting>
  <conditionalFormatting sqref="F79:G80">
    <cfRule type="expression" dxfId="1020" priority="68">
      <formula>kvartal &lt; 4</formula>
    </cfRule>
  </conditionalFormatting>
  <conditionalFormatting sqref="F82:G83">
    <cfRule type="expression" dxfId="1019" priority="67">
      <formula>kvartal &lt; 4</formula>
    </cfRule>
  </conditionalFormatting>
  <conditionalFormatting sqref="F89:G90">
    <cfRule type="expression" dxfId="1018" priority="62">
      <formula>kvartal &lt; 4</formula>
    </cfRule>
  </conditionalFormatting>
  <conditionalFormatting sqref="F92:G93">
    <cfRule type="expression" dxfId="1017" priority="61">
      <formula>kvartal &lt; 4</formula>
    </cfRule>
  </conditionalFormatting>
  <conditionalFormatting sqref="F100:G101">
    <cfRule type="expression" dxfId="1016" priority="60">
      <formula>kvartal &lt; 4</formula>
    </cfRule>
  </conditionalFormatting>
  <conditionalFormatting sqref="F103:G104">
    <cfRule type="expression" dxfId="1015" priority="59">
      <formula>kvartal &lt; 4</formula>
    </cfRule>
  </conditionalFormatting>
  <conditionalFormatting sqref="F113">
    <cfRule type="expression" dxfId="1014" priority="58">
      <formula>kvartal &lt; 4</formula>
    </cfRule>
  </conditionalFormatting>
  <conditionalFormatting sqref="G113">
    <cfRule type="expression" dxfId="1013" priority="57">
      <formula>kvartal &lt; 4</formula>
    </cfRule>
  </conditionalFormatting>
  <conditionalFormatting sqref="F121:G121">
    <cfRule type="expression" dxfId="1012" priority="56">
      <formula>kvartal &lt; 4</formula>
    </cfRule>
  </conditionalFormatting>
  <conditionalFormatting sqref="F67:G67">
    <cfRule type="expression" dxfId="1011" priority="55">
      <formula>kvartal &lt; 4</formula>
    </cfRule>
  </conditionalFormatting>
  <conditionalFormatting sqref="F70:G70">
    <cfRule type="expression" dxfId="1010" priority="54">
      <formula>kvartal &lt; 4</formula>
    </cfRule>
  </conditionalFormatting>
  <conditionalFormatting sqref="F78:G78">
    <cfRule type="expression" dxfId="1009" priority="53">
      <formula>kvartal &lt; 4</formula>
    </cfRule>
  </conditionalFormatting>
  <conditionalFormatting sqref="F81:G81">
    <cfRule type="expression" dxfId="1008" priority="52">
      <formula>kvartal &lt; 4</formula>
    </cfRule>
  </conditionalFormatting>
  <conditionalFormatting sqref="F88:G88">
    <cfRule type="expression" dxfId="1007" priority="46">
      <formula>kvartal &lt; 4</formula>
    </cfRule>
  </conditionalFormatting>
  <conditionalFormatting sqref="F91">
    <cfRule type="expression" dxfId="1006" priority="45">
      <formula>kvartal &lt; 4</formula>
    </cfRule>
  </conditionalFormatting>
  <conditionalFormatting sqref="G91">
    <cfRule type="expression" dxfId="1005" priority="44">
      <formula>kvartal &lt; 4</formula>
    </cfRule>
  </conditionalFormatting>
  <conditionalFormatting sqref="F99">
    <cfRule type="expression" dxfId="1004" priority="43">
      <formula>kvartal &lt; 4</formula>
    </cfRule>
  </conditionalFormatting>
  <conditionalFormatting sqref="G99">
    <cfRule type="expression" dxfId="1003" priority="42">
      <formula>kvartal &lt; 4</formula>
    </cfRule>
  </conditionalFormatting>
  <conditionalFormatting sqref="G102">
    <cfRule type="expression" dxfId="1002" priority="41">
      <formula>kvartal &lt; 4</formula>
    </cfRule>
  </conditionalFormatting>
  <conditionalFormatting sqref="F102">
    <cfRule type="expression" dxfId="1001" priority="40">
      <formula>kvartal &lt; 4</formula>
    </cfRule>
  </conditionalFormatting>
  <conditionalFormatting sqref="J67:K71">
    <cfRule type="expression" dxfId="1000" priority="39">
      <formula>kvartal &lt; 4</formula>
    </cfRule>
  </conditionalFormatting>
  <conditionalFormatting sqref="J72:K72">
    <cfRule type="expression" dxfId="999" priority="38">
      <formula>kvartal &lt; 4</formula>
    </cfRule>
  </conditionalFormatting>
  <conditionalFormatting sqref="J78:K83">
    <cfRule type="expression" dxfId="998" priority="37">
      <formula>kvartal &lt; 4</formula>
    </cfRule>
  </conditionalFormatting>
  <conditionalFormatting sqref="J88:K93">
    <cfRule type="expression" dxfId="997" priority="34">
      <formula>kvartal &lt; 4</formula>
    </cfRule>
  </conditionalFormatting>
  <conditionalFormatting sqref="J99:K104">
    <cfRule type="expression" dxfId="996" priority="33">
      <formula>kvartal &lt; 4</formula>
    </cfRule>
  </conditionalFormatting>
  <conditionalFormatting sqref="J113:K113">
    <cfRule type="expression" dxfId="995" priority="32">
      <formula>kvartal &lt; 4</formula>
    </cfRule>
  </conditionalFormatting>
  <conditionalFormatting sqref="J121:K121">
    <cfRule type="expression" dxfId="994" priority="31">
      <formula>kvartal &lt; 4</formula>
    </cfRule>
  </conditionalFormatting>
  <conditionalFormatting sqref="A23:A25">
    <cfRule type="expression" dxfId="993" priority="15">
      <formula>kvartal &lt; 4</formula>
    </cfRule>
  </conditionalFormatting>
  <conditionalFormatting sqref="A29:A31">
    <cfRule type="expression" dxfId="992" priority="13">
      <formula>kvartal &lt; 4</formula>
    </cfRule>
  </conditionalFormatting>
  <conditionalFormatting sqref="A48:A50">
    <cfRule type="expression" dxfId="991" priority="12">
      <formula>kvartal &lt; 4</formula>
    </cfRule>
  </conditionalFormatting>
  <conditionalFormatting sqref="A67:A72">
    <cfRule type="expression" dxfId="990" priority="10">
      <formula>kvartal &lt; 4</formula>
    </cfRule>
  </conditionalFormatting>
  <conditionalFormatting sqref="A78:A83">
    <cfRule type="expression" dxfId="989" priority="9">
      <formula>kvartal &lt; 4</formula>
    </cfRule>
  </conditionalFormatting>
  <conditionalFormatting sqref="A88:A93">
    <cfRule type="expression" dxfId="988" priority="6">
      <formula>kvartal &lt; 4</formula>
    </cfRule>
  </conditionalFormatting>
  <conditionalFormatting sqref="A99:A104">
    <cfRule type="expression" dxfId="987" priority="5">
      <formula>kvartal &lt; 4</formula>
    </cfRule>
  </conditionalFormatting>
  <conditionalFormatting sqref="A113">
    <cfRule type="expression" dxfId="986" priority="4">
      <formula>kvartal &lt; 4</formula>
    </cfRule>
  </conditionalFormatting>
  <conditionalFormatting sqref="A121">
    <cfRule type="expression" dxfId="985" priority="3">
      <formula>kvartal &lt; 4</formula>
    </cfRule>
  </conditionalFormatting>
  <conditionalFormatting sqref="A26">
    <cfRule type="expression" dxfId="984" priority="2">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103</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c r="C45" s="309"/>
      <c r="D45" s="403"/>
      <c r="E45" s="11"/>
      <c r="F45" s="144"/>
      <c r="G45" s="33"/>
      <c r="H45" s="158"/>
      <c r="I45" s="158"/>
      <c r="J45" s="37"/>
      <c r="K45" s="37"/>
      <c r="L45" s="158"/>
      <c r="M45" s="158"/>
      <c r="N45" s="147"/>
    </row>
    <row r="46" spans="1:14" s="3" customFormat="1" ht="15.75" x14ac:dyDescent="0.2">
      <c r="A46" s="38" t="s">
        <v>312</v>
      </c>
      <c r="B46" s="286"/>
      <c r="C46" s="287"/>
      <c r="D46" s="259"/>
      <c r="E46" s="27"/>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v>52817</v>
      </c>
      <c r="C64" s="347">
        <v>42087</v>
      </c>
      <c r="D64" s="344">
        <f t="shared" ref="D64:D109" si="0">IF(B64=0, "    ---- ", IF(ABS(ROUND(100/B64*C64-100,1))&lt;999,ROUND(100/B64*C64-100,1),IF(ROUND(100/B64*C64-100,1)&gt;999,999,-999)))</f>
        <v>-20.3</v>
      </c>
      <c r="E64" s="11">
        <f>IFERROR(100/'Skjema total MA'!C64*C64,0)</f>
        <v>0.78355990063784475</v>
      </c>
      <c r="F64" s="346">
        <v>130945</v>
      </c>
      <c r="G64" s="346">
        <v>176194</v>
      </c>
      <c r="H64" s="344">
        <f t="shared" ref="H64:H109" si="1">IF(F64=0, "    ---- ", IF(ABS(ROUND(100/F64*G64-100,1))&lt;999,ROUND(100/F64*G64-100,1),IF(ROUND(100/F64*G64-100,1)&gt;999,999,-999)))</f>
        <v>34.6</v>
      </c>
      <c r="I64" s="11">
        <f>IFERROR(100/'Skjema total MA'!F64*G64,0)</f>
        <v>1.357076192487809</v>
      </c>
      <c r="J64" s="307">
        <v>183762</v>
      </c>
      <c r="K64" s="314">
        <v>218281</v>
      </c>
      <c r="L64" s="404">
        <f t="shared" ref="L64:L109" si="2">IF(J64=0, "    ---- ", IF(ABS(ROUND(100/J64*K64-100,1))&lt;999,ROUND(100/J64*K64-100,1),IF(ROUND(100/J64*K64-100,1)&gt;999,999,-999)))</f>
        <v>18.8</v>
      </c>
      <c r="M64" s="11">
        <f>IFERROR(100/'Skjema total MA'!I64*K64,0)</f>
        <v>1.1892435620995645</v>
      </c>
    </row>
    <row r="65" spans="1:14" x14ac:dyDescent="0.2">
      <c r="A65" s="395" t="s">
        <v>9</v>
      </c>
      <c r="B65" s="44">
        <v>52817</v>
      </c>
      <c r="C65" s="144">
        <v>42087</v>
      </c>
      <c r="D65" s="165">
        <f t="shared" si="0"/>
        <v>-20.3</v>
      </c>
      <c r="E65" s="27">
        <f>IFERROR(100/'Skjema total MA'!C65*C65,0)</f>
        <v>0.82013051863328068</v>
      </c>
      <c r="F65" s="234"/>
      <c r="G65" s="144"/>
      <c r="H65" s="165"/>
      <c r="I65" s="27"/>
      <c r="J65" s="290">
        <v>52817</v>
      </c>
      <c r="K65" s="44">
        <v>42087</v>
      </c>
      <c r="L65" s="259">
        <f t="shared" si="2"/>
        <v>-20.3</v>
      </c>
      <c r="M65" s="27">
        <f>IFERROR(100/'Skjema total MA'!I65*K65,0)</f>
        <v>0.82013051863328068</v>
      </c>
    </row>
    <row r="66" spans="1:14" x14ac:dyDescent="0.2">
      <c r="A66" s="21" t="s">
        <v>10</v>
      </c>
      <c r="B66" s="292"/>
      <c r="C66" s="293"/>
      <c r="D66" s="165"/>
      <c r="E66" s="27"/>
      <c r="F66" s="292">
        <v>130945</v>
      </c>
      <c r="G66" s="293">
        <v>176194</v>
      </c>
      <c r="H66" s="165">
        <f t="shared" si="1"/>
        <v>34.6</v>
      </c>
      <c r="I66" s="27">
        <f>IFERROR(100/'Skjema total MA'!F66*G66,0)</f>
        <v>1.3707212039731951</v>
      </c>
      <c r="J66" s="290">
        <v>130945</v>
      </c>
      <c r="K66" s="44">
        <v>176194</v>
      </c>
      <c r="L66" s="259">
        <f t="shared" si="2"/>
        <v>34.6</v>
      </c>
      <c r="M66" s="27">
        <f>IFERROR(100/'Skjema total MA'!I66*K66,0)</f>
        <v>1.3583076694045768</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v>52817</v>
      </c>
      <c r="C75" s="234">
        <v>42087</v>
      </c>
      <c r="D75" s="165">
        <f t="shared" si="0"/>
        <v>-20.3</v>
      </c>
      <c r="E75" s="27">
        <f>IFERROR(100/'Skjema total MA'!C75*C75,0)</f>
        <v>0.82454554604704355</v>
      </c>
      <c r="F75" s="234">
        <v>130945</v>
      </c>
      <c r="G75" s="144">
        <v>176194</v>
      </c>
      <c r="H75" s="165">
        <f t="shared" si="1"/>
        <v>34.6</v>
      </c>
      <c r="I75" s="27">
        <f>IFERROR(100/'Skjema total MA'!F75*G75,0)</f>
        <v>1.3716167170693856</v>
      </c>
      <c r="J75" s="290">
        <v>183762</v>
      </c>
      <c r="K75" s="44">
        <v>218281</v>
      </c>
      <c r="L75" s="259">
        <f t="shared" si="2"/>
        <v>18.8</v>
      </c>
      <c r="M75" s="27">
        <f>IFERROR(100/'Skjema total MA'!I75*K75,0)</f>
        <v>1.2160512831057972</v>
      </c>
    </row>
    <row r="76" spans="1:14" x14ac:dyDescent="0.2">
      <c r="A76" s="21" t="s">
        <v>9</v>
      </c>
      <c r="B76" s="234">
        <v>52817</v>
      </c>
      <c r="C76" s="144">
        <v>42087</v>
      </c>
      <c r="D76" s="165">
        <f t="shared" si="0"/>
        <v>-20.3</v>
      </c>
      <c r="E76" s="27">
        <f>IFERROR(100/'Skjema total MA'!C76*C76,0)</f>
        <v>0.84359375210593068</v>
      </c>
      <c r="F76" s="234"/>
      <c r="G76" s="144"/>
      <c r="H76" s="165"/>
      <c r="I76" s="27"/>
      <c r="J76" s="290">
        <v>52817</v>
      </c>
      <c r="K76" s="44">
        <v>42087</v>
      </c>
      <c r="L76" s="259">
        <f t="shared" si="2"/>
        <v>-20.3</v>
      </c>
      <c r="M76" s="27">
        <f>IFERROR(100/'Skjema total MA'!I76*K76,0)</f>
        <v>0.84359375210593068</v>
      </c>
    </row>
    <row r="77" spans="1:14" x14ac:dyDescent="0.2">
      <c r="A77" s="21" t="s">
        <v>10</v>
      </c>
      <c r="B77" s="292"/>
      <c r="C77" s="293"/>
      <c r="D77" s="165"/>
      <c r="E77" s="27"/>
      <c r="F77" s="292">
        <v>130945</v>
      </c>
      <c r="G77" s="293">
        <v>176194</v>
      </c>
      <c r="H77" s="165">
        <f t="shared" si="1"/>
        <v>34.6</v>
      </c>
      <c r="I77" s="27">
        <f>IFERROR(100/'Skjema total MA'!F77*G77,0)</f>
        <v>1.3716167170693856</v>
      </c>
      <c r="J77" s="290">
        <v>130945</v>
      </c>
      <c r="K77" s="44">
        <v>176194</v>
      </c>
      <c r="L77" s="259">
        <f t="shared" si="2"/>
        <v>34.6</v>
      </c>
      <c r="M77" s="27">
        <f>IFERROR(100/'Skjema total MA'!I77*K77,0)</f>
        <v>1.3594198216979523</v>
      </c>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v>1444299</v>
      </c>
      <c r="C85" s="347">
        <v>1534741</v>
      </c>
      <c r="D85" s="170">
        <f t="shared" si="0"/>
        <v>6.3</v>
      </c>
      <c r="E85" s="11">
        <f>IFERROR(100/'Skjema total MA'!C85*C85,0)</f>
        <v>0.41056694732970789</v>
      </c>
      <c r="F85" s="346">
        <v>1361843</v>
      </c>
      <c r="G85" s="346">
        <v>2183015</v>
      </c>
      <c r="H85" s="170">
        <f t="shared" si="1"/>
        <v>60.3</v>
      </c>
      <c r="I85" s="11">
        <f>IFERROR(100/'Skjema total MA'!F85*G85,0)</f>
        <v>1.0976189207475935</v>
      </c>
      <c r="J85" s="307">
        <v>2806142</v>
      </c>
      <c r="K85" s="236">
        <v>3717756</v>
      </c>
      <c r="L85" s="404">
        <f t="shared" si="2"/>
        <v>32.5</v>
      </c>
      <c r="M85" s="11">
        <f>IFERROR(100/'Skjema total MA'!I85*K85,0)</f>
        <v>0.64916677646046117</v>
      </c>
    </row>
    <row r="86" spans="1:13" x14ac:dyDescent="0.2">
      <c r="A86" s="21" t="s">
        <v>9</v>
      </c>
      <c r="B86" s="234">
        <v>1444299</v>
      </c>
      <c r="C86" s="144">
        <v>1534741</v>
      </c>
      <c r="D86" s="165">
        <f t="shared" si="0"/>
        <v>6.3</v>
      </c>
      <c r="E86" s="27">
        <f>IFERROR(100/'Skjema total MA'!C86*C86,0)</f>
        <v>0.41360052061156594</v>
      </c>
      <c r="F86" s="234"/>
      <c r="G86" s="144"/>
      <c r="H86" s="165"/>
      <c r="I86" s="27"/>
      <c r="J86" s="290">
        <v>1444299</v>
      </c>
      <c r="K86" s="44">
        <v>1534741</v>
      </c>
      <c r="L86" s="259">
        <f t="shared" si="2"/>
        <v>6.3</v>
      </c>
      <c r="M86" s="27">
        <f>IFERROR(100/'Skjema total MA'!I86*K86,0)</f>
        <v>0.41360052061156594</v>
      </c>
    </row>
    <row r="87" spans="1:13" x14ac:dyDescent="0.2">
      <c r="A87" s="21" t="s">
        <v>10</v>
      </c>
      <c r="B87" s="234"/>
      <c r="C87" s="144"/>
      <c r="D87" s="165"/>
      <c r="E87" s="27"/>
      <c r="F87" s="234">
        <v>1361843</v>
      </c>
      <c r="G87" s="144">
        <v>2183015</v>
      </c>
      <c r="H87" s="165">
        <f t="shared" si="1"/>
        <v>60.3</v>
      </c>
      <c r="I87" s="27">
        <f>IFERROR(100/'Skjema total MA'!F87*G87,0)</f>
        <v>1.0996059667921763</v>
      </c>
      <c r="J87" s="290">
        <v>1361843</v>
      </c>
      <c r="K87" s="44">
        <v>2183015</v>
      </c>
      <c r="L87" s="259">
        <f t="shared" si="2"/>
        <v>60.3</v>
      </c>
      <c r="M87" s="27">
        <f>IFERROR(100/'Skjema total MA'!I87*K87,0)</f>
        <v>1.0859359788196212</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v>1444299</v>
      </c>
      <c r="C96" s="234">
        <v>1534741</v>
      </c>
      <c r="D96" s="165">
        <f t="shared" si="0"/>
        <v>6.3</v>
      </c>
      <c r="E96" s="27">
        <f>IFERROR(100/'Skjema total MA'!C96*C96,0)</f>
        <v>0.41630415647218827</v>
      </c>
      <c r="F96" s="292">
        <v>1361843</v>
      </c>
      <c r="G96" s="292">
        <v>2183015</v>
      </c>
      <c r="H96" s="165">
        <f t="shared" si="1"/>
        <v>60.3</v>
      </c>
      <c r="I96" s="27">
        <f>IFERROR(100/'Skjema total MA'!F96*G96,0)</f>
        <v>1.1025649284233054</v>
      </c>
      <c r="J96" s="290">
        <v>2806142</v>
      </c>
      <c r="K96" s="44">
        <v>3717756</v>
      </c>
      <c r="L96" s="259">
        <f t="shared" si="2"/>
        <v>32.5</v>
      </c>
      <c r="M96" s="27">
        <f>IFERROR(100/'Skjema total MA'!I96*K96,0)</f>
        <v>0.6560906230100334</v>
      </c>
    </row>
    <row r="97" spans="1:13" x14ac:dyDescent="0.2">
      <c r="A97" s="21" t="s">
        <v>9</v>
      </c>
      <c r="B97" s="292">
        <v>1444299</v>
      </c>
      <c r="C97" s="293">
        <v>1534741</v>
      </c>
      <c r="D97" s="165">
        <f t="shared" si="0"/>
        <v>6.3</v>
      </c>
      <c r="E97" s="27">
        <f>IFERROR(100/'Skjema total MA'!C97*C97,0)</f>
        <v>0.41914550169514747</v>
      </c>
      <c r="F97" s="234"/>
      <c r="G97" s="144"/>
      <c r="H97" s="165"/>
      <c r="I97" s="27"/>
      <c r="J97" s="290">
        <v>1444299</v>
      </c>
      <c r="K97" s="44">
        <v>1534741</v>
      </c>
      <c r="L97" s="259">
        <f t="shared" si="2"/>
        <v>6.3</v>
      </c>
      <c r="M97" s="27">
        <f>IFERROR(100/'Skjema total MA'!I97*K97,0)</f>
        <v>0.41914550169514747</v>
      </c>
    </row>
    <row r="98" spans="1:13" x14ac:dyDescent="0.2">
      <c r="A98" s="21" t="s">
        <v>10</v>
      </c>
      <c r="B98" s="292"/>
      <c r="C98" s="293"/>
      <c r="D98" s="165"/>
      <c r="E98" s="27"/>
      <c r="F98" s="234">
        <v>1361843</v>
      </c>
      <c r="G98" s="234">
        <v>2183015</v>
      </c>
      <c r="H98" s="165">
        <f t="shared" si="1"/>
        <v>60.3</v>
      </c>
      <c r="I98" s="27">
        <f>IFERROR(100/'Skjema total MA'!F98*G98,0)</f>
        <v>1.1025649284233054</v>
      </c>
      <c r="J98" s="290">
        <v>1361843</v>
      </c>
      <c r="K98" s="44">
        <v>2183015</v>
      </c>
      <c r="L98" s="259">
        <f t="shared" si="2"/>
        <v>60.3</v>
      </c>
      <c r="M98" s="27">
        <f>IFERROR(100/'Skjema total MA'!I98*K98,0)</f>
        <v>1.0888217312790158</v>
      </c>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v>540647</v>
      </c>
      <c r="C106" s="234">
        <v>859691</v>
      </c>
      <c r="D106" s="165">
        <f t="shared" si="0"/>
        <v>59</v>
      </c>
      <c r="E106" s="27">
        <f>IFERROR(100/'Skjema total MA'!C106*C106,0)</f>
        <v>0.29377945176734072</v>
      </c>
      <c r="F106" s="234"/>
      <c r="G106" s="234"/>
      <c r="H106" s="165"/>
      <c r="I106" s="27"/>
      <c r="J106" s="290">
        <v>540647</v>
      </c>
      <c r="K106" s="44">
        <v>859691</v>
      </c>
      <c r="L106" s="259">
        <f t="shared" si="2"/>
        <v>59</v>
      </c>
      <c r="M106" s="27">
        <f>IFERROR(100/'Skjema total MA'!I106*K106,0)</f>
        <v>0.28738351170224485</v>
      </c>
    </row>
    <row r="107" spans="1:13" ht="15.75" x14ac:dyDescent="0.2">
      <c r="A107" s="21" t="s">
        <v>320</v>
      </c>
      <c r="B107" s="234"/>
      <c r="C107" s="234"/>
      <c r="D107" s="165"/>
      <c r="E107" s="27"/>
      <c r="F107" s="234">
        <v>350994</v>
      </c>
      <c r="G107" s="234">
        <v>828368</v>
      </c>
      <c r="H107" s="165">
        <f t="shared" si="1"/>
        <v>136</v>
      </c>
      <c r="I107" s="27">
        <f>IFERROR(100/'Skjema total MA'!F107*G107,0)</f>
        <v>1.3094691399465417</v>
      </c>
      <c r="J107" s="290">
        <v>350994</v>
      </c>
      <c r="K107" s="44">
        <v>828368</v>
      </c>
      <c r="L107" s="259">
        <f t="shared" si="2"/>
        <v>136</v>
      </c>
      <c r="M107" s="27">
        <f>IFERROR(100/'Skjema total MA'!I107*K107,0)</f>
        <v>1.2938377031114106</v>
      </c>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v>1845</v>
      </c>
      <c r="C109" s="158">
        <v>641</v>
      </c>
      <c r="D109" s="170">
        <f t="shared" si="0"/>
        <v>-65.3</v>
      </c>
      <c r="E109" s="11">
        <f>IFERROR(100/'Skjema total MA'!C109*C109,0)</f>
        <v>0.18410003263623995</v>
      </c>
      <c r="F109" s="306">
        <v>63477</v>
      </c>
      <c r="G109" s="158">
        <v>351001</v>
      </c>
      <c r="H109" s="170">
        <f t="shared" si="1"/>
        <v>453</v>
      </c>
      <c r="I109" s="11">
        <f>IFERROR(100/'Skjema total MA'!F109*G109,0)</f>
        <v>5.4244817525948985</v>
      </c>
      <c r="J109" s="307">
        <v>65322</v>
      </c>
      <c r="K109" s="236">
        <v>351642</v>
      </c>
      <c r="L109" s="404">
        <f t="shared" si="2"/>
        <v>438.3</v>
      </c>
      <c r="M109" s="11">
        <f>IFERROR(100/'Skjema total MA'!I109*K109,0)</f>
        <v>5.1569008425823428</v>
      </c>
    </row>
    <row r="110" spans="1:13" x14ac:dyDescent="0.2">
      <c r="A110" s="21" t="s">
        <v>9</v>
      </c>
      <c r="B110" s="234">
        <v>1845</v>
      </c>
      <c r="C110" s="144">
        <v>641</v>
      </c>
      <c r="D110" s="165">
        <f t="shared" ref="D110:D118" si="3">IF(B110=0, "    ---- ", IF(ABS(ROUND(100/B110*C110-100,1))&lt;999,ROUND(100/B110*C110-100,1),IF(ROUND(100/B110*C110-100,1)&gt;999,999,-999)))</f>
        <v>-65.3</v>
      </c>
      <c r="E110" s="27">
        <f>IFERROR(100/'Skjema total MA'!C110*C110,0)</f>
        <v>0.19665218780440569</v>
      </c>
      <c r="F110" s="234"/>
      <c r="G110" s="144"/>
      <c r="H110" s="165"/>
      <c r="I110" s="27"/>
      <c r="J110" s="290">
        <v>1845</v>
      </c>
      <c r="K110" s="44">
        <v>641</v>
      </c>
      <c r="L110" s="259">
        <f t="shared" ref="L110:L123" si="4">IF(J110=0, "    ---- ", IF(ABS(ROUND(100/J110*K110-100,1))&lt;999,ROUND(100/J110*K110-100,1),IF(ROUND(100/J110*K110-100,1)&gt;999,999,-999)))</f>
        <v>-65.3</v>
      </c>
      <c r="M110" s="27">
        <f>IFERROR(100/'Skjema total MA'!I110*K110,0)</f>
        <v>0.19665218780440569</v>
      </c>
    </row>
    <row r="111" spans="1:13" x14ac:dyDescent="0.2">
      <c r="A111" s="21" t="s">
        <v>10</v>
      </c>
      <c r="B111" s="234"/>
      <c r="C111" s="144"/>
      <c r="D111" s="165"/>
      <c r="E111" s="27"/>
      <c r="F111" s="234">
        <v>63477</v>
      </c>
      <c r="G111" s="144">
        <v>351001</v>
      </c>
      <c r="H111" s="165">
        <f t="shared" ref="H111:H123" si="5">IF(F111=0, "    ---- ", IF(ABS(ROUND(100/F111*G111-100,1))&lt;999,ROUND(100/F111*G111-100,1),IF(ROUND(100/F111*G111-100,1)&gt;999,999,-999)))</f>
        <v>453</v>
      </c>
      <c r="I111" s="27">
        <f>IFERROR(100/'Skjema total MA'!F111*G111,0)</f>
        <v>5.4244817525948985</v>
      </c>
      <c r="J111" s="290">
        <v>63477</v>
      </c>
      <c r="K111" s="44">
        <v>351001</v>
      </c>
      <c r="L111" s="259">
        <f t="shared" si="4"/>
        <v>453</v>
      </c>
      <c r="M111" s="27">
        <f>IFERROR(100/'Skjema total MA'!I111*K111,0)</f>
        <v>5.4223622817801065</v>
      </c>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v>24641</v>
      </c>
      <c r="G115" s="234">
        <v>271731</v>
      </c>
      <c r="H115" s="165">
        <f t="shared" si="5"/>
        <v>999</v>
      </c>
      <c r="I115" s="27">
        <f>IFERROR(100/'Skjema total MA'!F115*G115,0)</f>
        <v>24.589694135585589</v>
      </c>
      <c r="J115" s="290">
        <v>24641</v>
      </c>
      <c r="K115" s="44">
        <v>271731</v>
      </c>
      <c r="L115" s="259">
        <f t="shared" si="4"/>
        <v>999</v>
      </c>
      <c r="M115" s="27">
        <f>IFERROR(100/'Skjema total MA'!I115*K115,0)</f>
        <v>24.589694135585589</v>
      </c>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2665</v>
      </c>
      <c r="C117" s="158">
        <v>12774</v>
      </c>
      <c r="D117" s="170">
        <f t="shared" si="3"/>
        <v>379.3</v>
      </c>
      <c r="E117" s="11">
        <f>IFERROR(100/'Skjema total MA'!C117*C117,0)</f>
        <v>4.3543702775192372</v>
      </c>
      <c r="F117" s="306">
        <v>31195</v>
      </c>
      <c r="G117" s="158">
        <v>86580</v>
      </c>
      <c r="H117" s="170">
        <f t="shared" si="5"/>
        <v>177.5</v>
      </c>
      <c r="I117" s="11">
        <f>IFERROR(100/'Skjema total MA'!F117*G117,0)</f>
        <v>1.3429454919261268</v>
      </c>
      <c r="J117" s="307">
        <v>33860</v>
      </c>
      <c r="K117" s="236">
        <v>99354</v>
      </c>
      <c r="L117" s="404">
        <f t="shared" si="4"/>
        <v>193.4</v>
      </c>
      <c r="M117" s="11">
        <f>IFERROR(100/'Skjema total MA'!I117*K117,0)</f>
        <v>1.4740111749316915</v>
      </c>
    </row>
    <row r="118" spans="1:14" x14ac:dyDescent="0.2">
      <c r="A118" s="21" t="s">
        <v>9</v>
      </c>
      <c r="B118" s="234">
        <v>2665</v>
      </c>
      <c r="C118" s="144">
        <v>12774</v>
      </c>
      <c r="D118" s="165">
        <f t="shared" si="3"/>
        <v>379.3</v>
      </c>
      <c r="E118" s="27">
        <f>IFERROR(100/'Skjema total MA'!C118*C118,0)</f>
        <v>4.9450605149130729</v>
      </c>
      <c r="F118" s="234"/>
      <c r="G118" s="144"/>
      <c r="H118" s="165"/>
      <c r="I118" s="27"/>
      <c r="J118" s="290">
        <v>2665</v>
      </c>
      <c r="K118" s="44">
        <v>12774</v>
      </c>
      <c r="L118" s="259">
        <f t="shared" si="4"/>
        <v>379.3</v>
      </c>
      <c r="M118" s="27">
        <f>IFERROR(100/'Skjema total MA'!I118*K118,0)</f>
        <v>4.9450605149130729</v>
      </c>
    </row>
    <row r="119" spans="1:14" x14ac:dyDescent="0.2">
      <c r="A119" s="21" t="s">
        <v>10</v>
      </c>
      <c r="B119" s="234"/>
      <c r="C119" s="144"/>
      <c r="D119" s="165"/>
      <c r="E119" s="27"/>
      <c r="F119" s="234">
        <v>31195</v>
      </c>
      <c r="G119" s="144">
        <v>86580</v>
      </c>
      <c r="H119" s="165">
        <f t="shared" si="5"/>
        <v>177.5</v>
      </c>
      <c r="I119" s="27">
        <f>IFERROR(100/'Skjema total MA'!F119*G119,0)</f>
        <v>1.3429454919261268</v>
      </c>
      <c r="J119" s="290">
        <v>31195</v>
      </c>
      <c r="K119" s="44">
        <v>86580</v>
      </c>
      <c r="L119" s="259">
        <f t="shared" si="4"/>
        <v>177.5</v>
      </c>
      <c r="M119" s="27">
        <f>IFERROR(100/'Skjema total MA'!I119*K119,0)</f>
        <v>1.3393282871137762</v>
      </c>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v>5501</v>
      </c>
      <c r="G123" s="234">
        <v>5203</v>
      </c>
      <c r="H123" s="165">
        <f t="shared" si="5"/>
        <v>-5.4</v>
      </c>
      <c r="I123" s="27">
        <f>IFERROR(100/'Skjema total MA'!F123*G123,0)</f>
        <v>0.55222572702527306</v>
      </c>
      <c r="J123" s="290">
        <v>5501</v>
      </c>
      <c r="K123" s="44">
        <v>5203</v>
      </c>
      <c r="L123" s="259">
        <f t="shared" si="4"/>
        <v>-5.4</v>
      </c>
      <c r="M123" s="27">
        <f>IFERROR(100/'Skjema total MA'!I123*K123,0)</f>
        <v>0.55043744175267184</v>
      </c>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983" priority="132">
      <formula>kvartal &lt; 4</formula>
    </cfRule>
  </conditionalFormatting>
  <conditionalFormatting sqref="B29">
    <cfRule type="expression" dxfId="982" priority="130">
      <formula>kvartal &lt; 4</formula>
    </cfRule>
  </conditionalFormatting>
  <conditionalFormatting sqref="B30">
    <cfRule type="expression" dxfId="981" priority="129">
      <formula>kvartal &lt; 4</formula>
    </cfRule>
  </conditionalFormatting>
  <conditionalFormatting sqref="B31">
    <cfRule type="expression" dxfId="980" priority="128">
      <formula>kvartal &lt; 4</formula>
    </cfRule>
  </conditionalFormatting>
  <conditionalFormatting sqref="C29">
    <cfRule type="expression" dxfId="979" priority="127">
      <formula>kvartal &lt; 4</formula>
    </cfRule>
  </conditionalFormatting>
  <conditionalFormatting sqref="C30">
    <cfRule type="expression" dxfId="978" priority="126">
      <formula>kvartal &lt; 4</formula>
    </cfRule>
  </conditionalFormatting>
  <conditionalFormatting sqref="C31">
    <cfRule type="expression" dxfId="977" priority="125">
      <formula>kvartal &lt; 4</formula>
    </cfRule>
  </conditionalFormatting>
  <conditionalFormatting sqref="B23:C25">
    <cfRule type="expression" dxfId="976" priority="124">
      <formula>kvartal &lt; 4</formula>
    </cfRule>
  </conditionalFormatting>
  <conditionalFormatting sqref="F23:G25">
    <cfRule type="expression" dxfId="975" priority="120">
      <formula>kvartal &lt; 4</formula>
    </cfRule>
  </conditionalFormatting>
  <conditionalFormatting sqref="F29">
    <cfRule type="expression" dxfId="974" priority="113">
      <formula>kvartal &lt; 4</formula>
    </cfRule>
  </conditionalFormatting>
  <conditionalFormatting sqref="F30">
    <cfRule type="expression" dxfId="973" priority="112">
      <formula>kvartal &lt; 4</formula>
    </cfRule>
  </conditionalFormatting>
  <conditionalFormatting sqref="F31">
    <cfRule type="expression" dxfId="972" priority="111">
      <formula>kvartal &lt; 4</formula>
    </cfRule>
  </conditionalFormatting>
  <conditionalFormatting sqref="G29">
    <cfRule type="expression" dxfId="971" priority="110">
      <formula>kvartal &lt; 4</formula>
    </cfRule>
  </conditionalFormatting>
  <conditionalFormatting sqref="G30">
    <cfRule type="expression" dxfId="970" priority="109">
      <formula>kvartal &lt; 4</formula>
    </cfRule>
  </conditionalFormatting>
  <conditionalFormatting sqref="G31">
    <cfRule type="expression" dxfId="969" priority="108">
      <formula>kvartal &lt; 4</formula>
    </cfRule>
  </conditionalFormatting>
  <conditionalFormatting sqref="B26">
    <cfRule type="expression" dxfId="968" priority="107">
      <formula>kvartal &lt; 4</formula>
    </cfRule>
  </conditionalFormatting>
  <conditionalFormatting sqref="C26">
    <cfRule type="expression" dxfId="967" priority="106">
      <formula>kvartal &lt; 4</formula>
    </cfRule>
  </conditionalFormatting>
  <conditionalFormatting sqref="F26">
    <cfRule type="expression" dxfId="966" priority="105">
      <formula>kvartal &lt; 4</formula>
    </cfRule>
  </conditionalFormatting>
  <conditionalFormatting sqref="G26">
    <cfRule type="expression" dxfId="965" priority="104">
      <formula>kvartal &lt; 4</formula>
    </cfRule>
  </conditionalFormatting>
  <conditionalFormatting sqref="J23:K26">
    <cfRule type="expression" dxfId="964" priority="103">
      <formula>kvartal &lt; 4</formula>
    </cfRule>
  </conditionalFormatting>
  <conditionalFormatting sqref="J29:K31">
    <cfRule type="expression" dxfId="963" priority="101">
      <formula>kvartal &lt; 4</formula>
    </cfRule>
  </conditionalFormatting>
  <conditionalFormatting sqref="B67">
    <cfRule type="expression" dxfId="962" priority="100">
      <formula>kvartal &lt; 4</formula>
    </cfRule>
  </conditionalFormatting>
  <conditionalFormatting sqref="C67">
    <cfRule type="expression" dxfId="961" priority="99">
      <formula>kvartal &lt; 4</formula>
    </cfRule>
  </conditionalFormatting>
  <conditionalFormatting sqref="B70">
    <cfRule type="expression" dxfId="960" priority="98">
      <formula>kvartal &lt; 4</formula>
    </cfRule>
  </conditionalFormatting>
  <conditionalFormatting sqref="C70">
    <cfRule type="expression" dxfId="959" priority="97">
      <formula>kvartal &lt; 4</formula>
    </cfRule>
  </conditionalFormatting>
  <conditionalFormatting sqref="B78">
    <cfRule type="expression" dxfId="958" priority="96">
      <formula>kvartal &lt; 4</formula>
    </cfRule>
  </conditionalFormatting>
  <conditionalFormatting sqref="C78">
    <cfRule type="expression" dxfId="957" priority="95">
      <formula>kvartal &lt; 4</formula>
    </cfRule>
  </conditionalFormatting>
  <conditionalFormatting sqref="B81">
    <cfRule type="expression" dxfId="956" priority="94">
      <formula>kvartal &lt; 4</formula>
    </cfRule>
  </conditionalFormatting>
  <conditionalFormatting sqref="C81">
    <cfRule type="expression" dxfId="955" priority="93">
      <formula>kvartal &lt; 4</formula>
    </cfRule>
  </conditionalFormatting>
  <conditionalFormatting sqref="B88">
    <cfRule type="expression" dxfId="954" priority="84">
      <formula>kvartal &lt; 4</formula>
    </cfRule>
  </conditionalFormatting>
  <conditionalFormatting sqref="C88">
    <cfRule type="expression" dxfId="953" priority="83">
      <formula>kvartal &lt; 4</formula>
    </cfRule>
  </conditionalFormatting>
  <conditionalFormatting sqref="B91">
    <cfRule type="expression" dxfId="952" priority="82">
      <formula>kvartal &lt; 4</formula>
    </cfRule>
  </conditionalFormatting>
  <conditionalFormatting sqref="C91">
    <cfRule type="expression" dxfId="951" priority="81">
      <formula>kvartal &lt; 4</formula>
    </cfRule>
  </conditionalFormatting>
  <conditionalFormatting sqref="B99">
    <cfRule type="expression" dxfId="950" priority="80">
      <formula>kvartal &lt; 4</formula>
    </cfRule>
  </conditionalFormatting>
  <conditionalFormatting sqref="C99">
    <cfRule type="expression" dxfId="949" priority="79">
      <formula>kvartal &lt; 4</formula>
    </cfRule>
  </conditionalFormatting>
  <conditionalFormatting sqref="B102">
    <cfRule type="expression" dxfId="948" priority="78">
      <formula>kvartal &lt; 4</formula>
    </cfRule>
  </conditionalFormatting>
  <conditionalFormatting sqref="C102">
    <cfRule type="expression" dxfId="947" priority="77">
      <formula>kvartal &lt; 4</formula>
    </cfRule>
  </conditionalFormatting>
  <conditionalFormatting sqref="B113">
    <cfRule type="expression" dxfId="946" priority="76">
      <formula>kvartal &lt; 4</formula>
    </cfRule>
  </conditionalFormatting>
  <conditionalFormatting sqref="C113">
    <cfRule type="expression" dxfId="945" priority="75">
      <formula>kvartal &lt; 4</formula>
    </cfRule>
  </conditionalFormatting>
  <conditionalFormatting sqref="B121">
    <cfRule type="expression" dxfId="944" priority="74">
      <formula>kvartal &lt; 4</formula>
    </cfRule>
  </conditionalFormatting>
  <conditionalFormatting sqref="C121">
    <cfRule type="expression" dxfId="943" priority="73">
      <formula>kvartal &lt; 4</formula>
    </cfRule>
  </conditionalFormatting>
  <conditionalFormatting sqref="F68">
    <cfRule type="expression" dxfId="942" priority="72">
      <formula>kvartal &lt; 4</formula>
    </cfRule>
  </conditionalFormatting>
  <conditionalFormatting sqref="G68">
    <cfRule type="expression" dxfId="941" priority="71">
      <formula>kvartal &lt; 4</formula>
    </cfRule>
  </conditionalFormatting>
  <conditionalFormatting sqref="F69:G69">
    <cfRule type="expression" dxfId="940" priority="70">
      <formula>kvartal &lt; 4</formula>
    </cfRule>
  </conditionalFormatting>
  <conditionalFormatting sqref="F71:G72">
    <cfRule type="expression" dxfId="939" priority="69">
      <formula>kvartal &lt; 4</formula>
    </cfRule>
  </conditionalFormatting>
  <conditionalFormatting sqref="F79:G80">
    <cfRule type="expression" dxfId="938" priority="68">
      <formula>kvartal &lt; 4</formula>
    </cfRule>
  </conditionalFormatting>
  <conditionalFormatting sqref="F82:G83">
    <cfRule type="expression" dxfId="937" priority="67">
      <formula>kvartal &lt; 4</formula>
    </cfRule>
  </conditionalFormatting>
  <conditionalFormatting sqref="F89:G90">
    <cfRule type="expression" dxfId="936" priority="62">
      <formula>kvartal &lt; 4</formula>
    </cfRule>
  </conditionalFormatting>
  <conditionalFormatting sqref="F92:G93">
    <cfRule type="expression" dxfId="935" priority="61">
      <formula>kvartal &lt; 4</formula>
    </cfRule>
  </conditionalFormatting>
  <conditionalFormatting sqref="F100:G101">
    <cfRule type="expression" dxfId="934" priority="60">
      <formula>kvartal &lt; 4</formula>
    </cfRule>
  </conditionalFormatting>
  <conditionalFormatting sqref="F103:G104">
    <cfRule type="expression" dxfId="933" priority="59">
      <formula>kvartal &lt; 4</formula>
    </cfRule>
  </conditionalFormatting>
  <conditionalFormatting sqref="F113">
    <cfRule type="expression" dxfId="932" priority="58">
      <formula>kvartal &lt; 4</formula>
    </cfRule>
  </conditionalFormatting>
  <conditionalFormatting sqref="G113">
    <cfRule type="expression" dxfId="931" priority="57">
      <formula>kvartal &lt; 4</formula>
    </cfRule>
  </conditionalFormatting>
  <conditionalFormatting sqref="F121:G121">
    <cfRule type="expression" dxfId="930" priority="56">
      <formula>kvartal &lt; 4</formula>
    </cfRule>
  </conditionalFormatting>
  <conditionalFormatting sqref="F67:G67">
    <cfRule type="expression" dxfId="929" priority="55">
      <formula>kvartal &lt; 4</formula>
    </cfRule>
  </conditionalFormatting>
  <conditionalFormatting sqref="F70:G70">
    <cfRule type="expression" dxfId="928" priority="54">
      <formula>kvartal &lt; 4</formula>
    </cfRule>
  </conditionalFormatting>
  <conditionalFormatting sqref="F78:G78">
    <cfRule type="expression" dxfId="927" priority="53">
      <formula>kvartal &lt; 4</formula>
    </cfRule>
  </conditionalFormatting>
  <conditionalFormatting sqref="F81:G81">
    <cfRule type="expression" dxfId="926" priority="52">
      <formula>kvartal &lt; 4</formula>
    </cfRule>
  </conditionalFormatting>
  <conditionalFormatting sqref="F88:G88">
    <cfRule type="expression" dxfId="925" priority="46">
      <formula>kvartal &lt; 4</formula>
    </cfRule>
  </conditionalFormatting>
  <conditionalFormatting sqref="F91">
    <cfRule type="expression" dxfId="924" priority="45">
      <formula>kvartal &lt; 4</formula>
    </cfRule>
  </conditionalFormatting>
  <conditionalFormatting sqref="G91">
    <cfRule type="expression" dxfId="923" priority="44">
      <formula>kvartal &lt; 4</formula>
    </cfRule>
  </conditionalFormatting>
  <conditionalFormatting sqref="F99">
    <cfRule type="expression" dxfId="922" priority="43">
      <formula>kvartal &lt; 4</formula>
    </cfRule>
  </conditionalFormatting>
  <conditionalFormatting sqref="G99">
    <cfRule type="expression" dxfId="921" priority="42">
      <formula>kvartal &lt; 4</formula>
    </cfRule>
  </conditionalFormatting>
  <conditionalFormatting sqref="G102">
    <cfRule type="expression" dxfId="920" priority="41">
      <formula>kvartal &lt; 4</formula>
    </cfRule>
  </conditionalFormatting>
  <conditionalFormatting sqref="F102">
    <cfRule type="expression" dxfId="919" priority="40">
      <formula>kvartal &lt; 4</formula>
    </cfRule>
  </conditionalFormatting>
  <conditionalFormatting sqref="J67:K71">
    <cfRule type="expression" dxfId="918" priority="39">
      <formula>kvartal &lt; 4</formula>
    </cfRule>
  </conditionalFormatting>
  <conditionalFormatting sqref="J72:K72">
    <cfRule type="expression" dxfId="917" priority="38">
      <formula>kvartal &lt; 4</formula>
    </cfRule>
  </conditionalFormatting>
  <conditionalFormatting sqref="J78:K83">
    <cfRule type="expression" dxfId="916" priority="37">
      <formula>kvartal &lt; 4</formula>
    </cfRule>
  </conditionalFormatting>
  <conditionalFormatting sqref="J88:K93">
    <cfRule type="expression" dxfId="915" priority="34">
      <formula>kvartal &lt; 4</formula>
    </cfRule>
  </conditionalFormatting>
  <conditionalFormatting sqref="J99:K104">
    <cfRule type="expression" dxfId="914" priority="33">
      <formula>kvartal &lt; 4</formula>
    </cfRule>
  </conditionalFormatting>
  <conditionalFormatting sqref="J113:K113">
    <cfRule type="expression" dxfId="913" priority="32">
      <formula>kvartal &lt; 4</formula>
    </cfRule>
  </conditionalFormatting>
  <conditionalFormatting sqref="J121:K121">
    <cfRule type="expression" dxfId="912" priority="31">
      <formula>kvartal &lt; 4</formula>
    </cfRule>
  </conditionalFormatting>
  <conditionalFormatting sqref="A23:A25">
    <cfRule type="expression" dxfId="911" priority="15">
      <formula>kvartal &lt; 4</formula>
    </cfRule>
  </conditionalFormatting>
  <conditionalFormatting sqref="A29:A31">
    <cfRule type="expression" dxfId="910" priority="13">
      <formula>kvartal &lt; 4</formula>
    </cfRule>
  </conditionalFormatting>
  <conditionalFormatting sqref="A48:A50">
    <cfRule type="expression" dxfId="909" priority="12">
      <formula>kvartal &lt; 4</formula>
    </cfRule>
  </conditionalFormatting>
  <conditionalFormatting sqref="A67:A72">
    <cfRule type="expression" dxfId="908" priority="10">
      <formula>kvartal &lt; 4</formula>
    </cfRule>
  </conditionalFormatting>
  <conditionalFormatting sqref="A78:A83">
    <cfRule type="expression" dxfId="907" priority="9">
      <formula>kvartal &lt; 4</formula>
    </cfRule>
  </conditionalFormatting>
  <conditionalFormatting sqref="A88:A93">
    <cfRule type="expression" dxfId="906" priority="6">
      <formula>kvartal &lt; 4</formula>
    </cfRule>
  </conditionalFormatting>
  <conditionalFormatting sqref="A99:A104">
    <cfRule type="expression" dxfId="905" priority="5">
      <formula>kvartal &lt; 4</formula>
    </cfRule>
  </conditionalFormatting>
  <conditionalFormatting sqref="A113">
    <cfRule type="expression" dxfId="904" priority="4">
      <formula>kvartal &lt; 4</formula>
    </cfRule>
  </conditionalFormatting>
  <conditionalFormatting sqref="A121">
    <cfRule type="expression" dxfId="903" priority="3">
      <formula>kvartal &lt; 4</formula>
    </cfRule>
  </conditionalFormatting>
  <conditionalFormatting sqref="A26">
    <cfRule type="expression" dxfId="902" priority="2">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58"/>
  <sheetViews>
    <sheetView showGridLines="0" tabSelected="1" zoomScale="70" zoomScaleNormal="70" workbookViewId="0">
      <selection activeCell="A5" sqref="A5"/>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80" t="s">
        <v>35</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36</v>
      </c>
      <c r="B6" s="71"/>
      <c r="C6" s="70"/>
      <c r="D6" s="69"/>
      <c r="E6" s="69"/>
      <c r="F6" s="69"/>
      <c r="G6" s="69"/>
      <c r="H6" s="69"/>
      <c r="I6" s="69"/>
      <c r="J6" s="69"/>
      <c r="K6" s="69"/>
      <c r="L6" s="69"/>
      <c r="M6" s="69"/>
      <c r="N6" s="69"/>
    </row>
    <row r="7" spans="1:14" ht="20.100000000000001" customHeight="1" x14ac:dyDescent="0.35">
      <c r="A7" s="70"/>
      <c r="B7" s="70" t="s">
        <v>37</v>
      </c>
      <c r="C7" s="70" t="s">
        <v>38</v>
      </c>
      <c r="D7" s="69"/>
      <c r="E7" s="69"/>
      <c r="F7" s="69"/>
      <c r="G7" s="69"/>
      <c r="H7" s="69"/>
      <c r="I7" s="69"/>
      <c r="J7" s="69"/>
      <c r="K7" s="69"/>
      <c r="L7" s="69"/>
      <c r="M7" s="69"/>
      <c r="N7" s="69"/>
    </row>
    <row r="8" spans="1:14" ht="20.100000000000001" customHeight="1" x14ac:dyDescent="0.35">
      <c r="A8" s="70"/>
      <c r="B8" s="70" t="s">
        <v>39</v>
      </c>
      <c r="C8" s="70" t="s">
        <v>40</v>
      </c>
      <c r="D8" s="69"/>
      <c r="E8" s="69"/>
      <c r="F8" s="69"/>
      <c r="G8" s="69"/>
      <c r="H8" s="69"/>
      <c r="I8" s="69"/>
      <c r="J8" s="69"/>
      <c r="K8" s="69"/>
      <c r="L8" s="69"/>
      <c r="M8" s="69"/>
      <c r="N8" s="69"/>
    </row>
    <row r="9" spans="1:14" ht="20.100000000000001" customHeight="1" x14ac:dyDescent="0.35">
      <c r="A9" s="70"/>
      <c r="B9" s="70" t="s">
        <v>41</v>
      </c>
      <c r="C9" s="70" t="s">
        <v>44</v>
      </c>
      <c r="D9" s="69"/>
      <c r="E9" s="69"/>
      <c r="F9" s="69"/>
      <c r="G9" s="69"/>
      <c r="H9" s="69"/>
      <c r="I9" s="69"/>
      <c r="J9" s="69"/>
      <c r="K9" s="69"/>
      <c r="L9" s="69"/>
      <c r="M9" s="69"/>
      <c r="N9" s="69"/>
    </row>
    <row r="10" spans="1:14" ht="20.100000000000001" customHeight="1" x14ac:dyDescent="0.35">
      <c r="A10" s="70"/>
      <c r="B10" s="70" t="s">
        <v>42</v>
      </c>
      <c r="C10" s="70" t="s">
        <v>46</v>
      </c>
      <c r="D10" s="69"/>
      <c r="E10" s="69"/>
      <c r="F10" s="69"/>
      <c r="G10" s="69"/>
      <c r="H10" s="69"/>
      <c r="I10" s="69"/>
      <c r="J10" s="69"/>
      <c r="K10" s="69"/>
      <c r="L10" s="69"/>
      <c r="M10" s="69"/>
      <c r="N10" s="69"/>
    </row>
    <row r="11" spans="1:14" ht="20.100000000000001" customHeight="1" x14ac:dyDescent="0.35">
      <c r="A11" s="70"/>
      <c r="B11" s="70" t="s">
        <v>43</v>
      </c>
      <c r="C11" s="70" t="s">
        <v>47</v>
      </c>
      <c r="D11" s="69"/>
      <c r="E11" s="69"/>
      <c r="F11" s="69"/>
      <c r="G11" s="69"/>
      <c r="H11" s="69"/>
      <c r="I11" s="69"/>
      <c r="J11" s="69"/>
      <c r="K11" s="69"/>
      <c r="L11" s="69"/>
      <c r="M11" s="69"/>
      <c r="N11" s="69"/>
    </row>
    <row r="12" spans="1:14" ht="20.100000000000001" customHeight="1" x14ac:dyDescent="0.35">
      <c r="A12" s="70"/>
      <c r="B12" s="70" t="s">
        <v>45</v>
      </c>
      <c r="C12" s="70" t="s">
        <v>48</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9" t="s">
        <v>49</v>
      </c>
      <c r="B14" s="71"/>
      <c r="C14" s="70"/>
      <c r="D14" s="69"/>
      <c r="E14" s="69"/>
      <c r="F14" s="69"/>
      <c r="G14" s="69"/>
      <c r="H14" s="69"/>
      <c r="I14" s="69"/>
      <c r="J14" s="69"/>
      <c r="K14" s="69"/>
      <c r="L14" s="69"/>
      <c r="M14" s="69"/>
      <c r="N14" s="69"/>
    </row>
    <row r="15" spans="1:14" ht="20.100000000000001" customHeight="1" x14ac:dyDescent="0.35">
      <c r="A15" s="70"/>
      <c r="B15" s="70" t="s">
        <v>50</v>
      </c>
      <c r="C15" s="70"/>
      <c r="D15" s="69"/>
      <c r="E15" s="69"/>
      <c r="F15" s="69"/>
      <c r="G15" s="69"/>
      <c r="H15" s="69"/>
      <c r="I15" s="69"/>
      <c r="J15" s="69"/>
      <c r="K15" s="69"/>
      <c r="L15" s="69"/>
      <c r="M15" s="69"/>
      <c r="N15" s="69"/>
    </row>
    <row r="16" spans="1:14" ht="20.100000000000001" customHeight="1" x14ac:dyDescent="0.35">
      <c r="A16" s="70"/>
      <c r="B16" s="71" t="s">
        <v>51</v>
      </c>
      <c r="C16" s="70" t="s">
        <v>52</v>
      </c>
      <c r="D16" s="69"/>
      <c r="E16" s="69"/>
      <c r="F16" s="69"/>
      <c r="G16" s="69"/>
      <c r="H16" s="69"/>
      <c r="I16" s="69"/>
      <c r="J16" s="69"/>
      <c r="K16" s="69"/>
      <c r="L16" s="69"/>
      <c r="M16" s="69"/>
      <c r="N16" s="69"/>
    </row>
    <row r="17" spans="1:14" ht="20.100000000000001" customHeight="1" x14ac:dyDescent="0.35">
      <c r="A17" s="70"/>
      <c r="B17" s="71" t="s">
        <v>53</v>
      </c>
      <c r="C17" s="70" t="s">
        <v>54</v>
      </c>
      <c r="D17" s="69"/>
      <c r="E17" s="69"/>
      <c r="F17" s="69"/>
      <c r="G17" s="69"/>
      <c r="H17" s="69"/>
      <c r="I17" s="69"/>
      <c r="J17" s="69"/>
      <c r="K17" s="69"/>
      <c r="L17" s="69"/>
      <c r="M17" s="69"/>
      <c r="N17" s="69"/>
    </row>
    <row r="18" spans="1:14" ht="20.100000000000001" customHeight="1" x14ac:dyDescent="0.35">
      <c r="A18" s="70"/>
      <c r="B18" s="71" t="s">
        <v>387</v>
      </c>
      <c r="C18" s="70" t="s">
        <v>388</v>
      </c>
      <c r="D18" s="69"/>
      <c r="E18" s="69"/>
      <c r="F18" s="69"/>
      <c r="G18" s="69"/>
      <c r="H18" s="69"/>
      <c r="I18" s="69"/>
      <c r="J18" s="69"/>
      <c r="K18" s="69"/>
      <c r="L18" s="69"/>
      <c r="M18" s="69"/>
      <c r="N18" s="69"/>
    </row>
    <row r="19" spans="1:14" ht="20.100000000000001" customHeight="1" x14ac:dyDescent="0.35">
      <c r="A19" s="70"/>
      <c r="B19" s="70" t="s">
        <v>389</v>
      </c>
      <c r="C19" s="70" t="s">
        <v>292</v>
      </c>
      <c r="D19" s="69"/>
      <c r="E19" s="69"/>
      <c r="F19" s="69"/>
      <c r="G19" s="69"/>
      <c r="H19" s="69"/>
      <c r="I19" s="69"/>
      <c r="J19" s="69"/>
      <c r="K19" s="69"/>
      <c r="L19" s="69"/>
      <c r="M19" s="69"/>
      <c r="N19" s="69"/>
    </row>
    <row r="20" spans="1:14" s="342" customFormat="1" ht="20.100000000000001" customHeight="1" x14ac:dyDescent="0.35">
      <c r="A20" s="340"/>
      <c r="B20" s="340" t="s">
        <v>391</v>
      </c>
      <c r="C20" s="340" t="s">
        <v>390</v>
      </c>
      <c r="D20" s="341"/>
      <c r="E20" s="341"/>
      <c r="F20" s="341"/>
      <c r="G20" s="341"/>
      <c r="H20" s="341"/>
      <c r="I20" s="341"/>
      <c r="J20" s="341"/>
      <c r="K20" s="341"/>
      <c r="L20" s="341"/>
      <c r="M20" s="341"/>
      <c r="N20" s="341"/>
    </row>
    <row r="21" spans="1:14" ht="20.100000000000001" customHeight="1" x14ac:dyDescent="0.35">
      <c r="A21" s="70"/>
      <c r="B21" s="70"/>
      <c r="C21" s="70"/>
    </row>
    <row r="22" spans="1:14" ht="18.75" customHeight="1" x14ac:dyDescent="0.35">
      <c r="A22" s="70"/>
      <c r="B22" s="340" t="s">
        <v>276</v>
      </c>
      <c r="C22" s="340"/>
    </row>
    <row r="23" spans="1:14" ht="20.100000000000001" customHeight="1" x14ac:dyDescent="0.35">
      <c r="A23" s="70"/>
      <c r="B23" s="343" t="s">
        <v>277</v>
      </c>
      <c r="C23" s="340" t="s">
        <v>278</v>
      </c>
    </row>
    <row r="24" spans="1:14" ht="20.100000000000001" hidden="1" customHeight="1" x14ac:dyDescent="0.35">
      <c r="A24" s="70"/>
      <c r="B24" s="343" t="s">
        <v>279</v>
      </c>
      <c r="C24" s="340" t="s">
        <v>280</v>
      </c>
    </row>
    <row r="25" spans="1:14" ht="20.100000000000001" hidden="1" customHeight="1" x14ac:dyDescent="0.35">
      <c r="A25" s="70"/>
      <c r="B25" s="343" t="s">
        <v>281</v>
      </c>
      <c r="C25" s="340" t="s">
        <v>282</v>
      </c>
    </row>
    <row r="26" spans="1:14" ht="20.100000000000001" hidden="1" customHeight="1" x14ac:dyDescent="0.35">
      <c r="A26" s="70"/>
      <c r="B26" s="343" t="s">
        <v>283</v>
      </c>
      <c r="C26" s="340" t="s">
        <v>284</v>
      </c>
    </row>
    <row r="27" spans="1:14" ht="20.100000000000001" customHeight="1" x14ac:dyDescent="0.35">
      <c r="A27" s="70"/>
      <c r="B27" s="343" t="s">
        <v>190</v>
      </c>
      <c r="C27" s="340" t="s">
        <v>285</v>
      </c>
    </row>
    <row r="28" spans="1:14" ht="20.100000000000001" hidden="1" customHeight="1" x14ac:dyDescent="0.35">
      <c r="A28" s="70"/>
      <c r="B28" s="337" t="s">
        <v>286</v>
      </c>
      <c r="C28" s="278" t="s">
        <v>287</v>
      </c>
    </row>
    <row r="29" spans="1:14" ht="20.100000000000001" hidden="1" customHeight="1" x14ac:dyDescent="0.35">
      <c r="A29" s="70"/>
      <c r="B29" s="337" t="s">
        <v>288</v>
      </c>
      <c r="C29" s="278" t="s">
        <v>289</v>
      </c>
    </row>
    <row r="30" spans="1:14" ht="18.75" customHeight="1" x14ac:dyDescent="0.35">
      <c r="A30" s="70"/>
      <c r="B30" s="343" t="s">
        <v>290</v>
      </c>
      <c r="C30" s="340" t="s">
        <v>291</v>
      </c>
    </row>
    <row r="31" spans="1:14" ht="18.75" customHeight="1" x14ac:dyDescent="0.35">
      <c r="A31" s="70"/>
      <c r="B31" s="343"/>
      <c r="C31" s="340"/>
    </row>
    <row r="32" spans="1:14" ht="20.100000000000001" customHeight="1" x14ac:dyDescent="0.35">
      <c r="A32" s="70"/>
      <c r="B32" s="70"/>
      <c r="C32" s="70"/>
    </row>
    <row r="33" spans="1:14" x14ac:dyDescent="0.35">
      <c r="A33" s="71" t="s">
        <v>55</v>
      </c>
      <c r="B33" s="70"/>
      <c r="C33" s="70"/>
    </row>
    <row r="34" spans="1:14" ht="26.25" hidden="1" customHeight="1" x14ac:dyDescent="0.4">
      <c r="C34" s="72"/>
    </row>
    <row r="35" spans="1:14" ht="26.25" hidden="1" customHeight="1" x14ac:dyDescent="0.4">
      <c r="C35" s="72"/>
    </row>
    <row r="36" spans="1:14" ht="18.75" customHeight="1" x14ac:dyDescent="0.4">
      <c r="C36" s="338"/>
      <c r="D36" s="339"/>
    </row>
    <row r="37" spans="1:14" ht="26.25" x14ac:dyDescent="0.4">
      <c r="C37" s="72"/>
    </row>
    <row r="38" spans="1:14" ht="26.25" x14ac:dyDescent="0.4">
      <c r="C38" s="72"/>
    </row>
    <row r="39" spans="1:14" ht="26.25" x14ac:dyDescent="0.4">
      <c r="C39" s="338"/>
      <c r="D39" s="342"/>
      <c r="E39" s="342"/>
      <c r="F39" s="342"/>
      <c r="G39" s="342"/>
      <c r="H39" s="342"/>
      <c r="I39" s="342"/>
      <c r="J39" s="342"/>
      <c r="K39" s="342"/>
      <c r="L39" s="342"/>
      <c r="M39" s="342"/>
      <c r="N39" s="342"/>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hyperlink ref="A14" location="'Tabel 1.1'!A1" display="TABELLER"/>
    <hyperlink ref="B16" location="'Tabell 1.1'!A1" display="Tabell 1.1"/>
    <hyperlink ref="B17" location="'Tabell 1.2'!A1" display="Tabell 1.2"/>
    <hyperlink ref="A33" location="'Noter og kommentarer'!A1" display="NOTER OG KOMMENTARER"/>
    <hyperlink ref="B23" location="'Tabell 4'!A1" display="Tabell 4"/>
    <hyperlink ref="B27" location="'Tabell 6'!A1" display="Tabell 6"/>
    <hyperlink ref="B30" location="'Tabell 8'!A1" display="Tabell 8"/>
    <hyperlink ref="B24" location="'Tabell 5.1'!A1" display="Tabell 5.1"/>
    <hyperlink ref="B25" location="'Tabell 5.2'!A1" display="Tabell 5.2"/>
    <hyperlink ref="B26" location="'Tabell 5.3'!A1" display="Tabell 5.3"/>
    <hyperlink ref="B28" location="'Tabell 7a'!A1" display="Tabell 7a"/>
    <hyperlink ref="B29" location="'Tabell 7b'!A1" display="Tabell 7b"/>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151</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v>1086.6659999999999</v>
      </c>
      <c r="D7" s="344" t="str">
        <f>IF(B7=0, "    ---- ", IF(ABS(ROUND(100/B7*C7-100,1))&lt;999,ROUND(100/B7*C7-100,1),IF(ROUND(100/B7*C7-100,1)&gt;999,999,-999)))</f>
        <v xml:space="preserve">    ---- </v>
      </c>
      <c r="E7" s="11">
        <f>IFERROR(100/'Skjema total MA'!C7*C7,0)</f>
        <v>3.9907846981102238E-2</v>
      </c>
      <c r="F7" s="304"/>
      <c r="G7" s="305"/>
      <c r="H7" s="344"/>
      <c r="I7" s="159"/>
      <c r="J7" s="306"/>
      <c r="K7" s="307">
        <v>1086.6659999999999</v>
      </c>
      <c r="L7" s="403" t="str">
        <f>IF(J7=0, "    ---- ", IF(ABS(ROUND(100/J7*K7-100,1))&lt;999,ROUND(100/J7*K7-100,1),IF(ROUND(100/J7*K7-100,1)&gt;999,999,-999)))</f>
        <v xml:space="preserve">    ---- </v>
      </c>
      <c r="M7" s="11">
        <f>IFERROR(100/'Skjema total MA'!I7*K7,0)</f>
        <v>1.4957027907493656E-2</v>
      </c>
    </row>
    <row r="8" spans="1:14" ht="15.75" x14ac:dyDescent="0.2">
      <c r="A8" s="21" t="s">
        <v>29</v>
      </c>
      <c r="B8" s="286"/>
      <c r="C8" s="287">
        <v>996.13099999999997</v>
      </c>
      <c r="D8" s="165" t="str">
        <f t="shared" ref="D8:D9" si="0">IF(B8=0, "    ---- ", IF(ABS(ROUND(100/B8*C8-100,1))&lt;999,ROUND(100/B8*C8-100,1),IF(ROUND(100/B8*C8-100,1)&gt;999,999,-999)))</f>
        <v xml:space="preserve">    ---- </v>
      </c>
      <c r="E8" s="27">
        <f>IFERROR(100/'Skjema total MA'!C8*C8,0)</f>
        <v>6.6296550238037322E-2</v>
      </c>
      <c r="F8" s="423"/>
      <c r="G8" s="424"/>
      <c r="H8" s="170"/>
      <c r="I8" s="175"/>
      <c r="J8" s="234"/>
      <c r="K8" s="290">
        <v>996.13099999999997</v>
      </c>
      <c r="L8" s="165" t="str">
        <f t="shared" ref="L8:L9" si="1">IF(J8=0, "    ---- ", IF(ABS(ROUND(100/J8*K8-100,1))&lt;999,ROUND(100/J8*K8-100,1),IF(ROUND(100/J8*K8-100,1)&gt;999,999,-999)))</f>
        <v xml:space="preserve">    ---- </v>
      </c>
      <c r="M8" s="27">
        <f>IFERROR(100/'Skjema total MA'!I8*K8,0)</f>
        <v>6.6296550238037322E-2</v>
      </c>
    </row>
    <row r="9" spans="1:14" ht="15.75" x14ac:dyDescent="0.2">
      <c r="A9" s="21" t="s">
        <v>28</v>
      </c>
      <c r="B9" s="286"/>
      <c r="C9" s="287">
        <v>90.534999999999997</v>
      </c>
      <c r="D9" s="165" t="str">
        <f t="shared" si="0"/>
        <v xml:space="preserve">    ---- </v>
      </c>
      <c r="E9" s="27">
        <f>IFERROR(100/'Skjema total MA'!C9*C9,0)</f>
        <v>1.2505803612986586E-2</v>
      </c>
      <c r="F9" s="423"/>
      <c r="G9" s="424"/>
      <c r="H9" s="170"/>
      <c r="I9" s="175"/>
      <c r="J9" s="234"/>
      <c r="K9" s="290">
        <v>90.534999999999997</v>
      </c>
      <c r="L9" s="165" t="str">
        <f t="shared" si="1"/>
        <v xml:space="preserve">    ---- </v>
      </c>
      <c r="M9" s="27">
        <f>IFERROR(100/'Skjema total MA'!I9*K9,0)</f>
        <v>1.2505803612986586E-2</v>
      </c>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v>985.26300000000003</v>
      </c>
      <c r="D22" s="344" t="str">
        <f t="shared" ref="D22:D27" si="2">IF(B22=0, "    ---- ", IF(ABS(ROUND(100/B22*C22-100,1))&lt;999,ROUND(100/B22*C22-100,1),IF(ROUND(100/B22*C22-100,1)&gt;999,999,-999)))</f>
        <v xml:space="preserve">    ---- </v>
      </c>
      <c r="E22" s="11">
        <f>IFERROR(100/'Skjema total MA'!C22*C22,0)</f>
        <v>0.10274891578495553</v>
      </c>
      <c r="F22" s="316"/>
      <c r="G22" s="315"/>
      <c r="H22" s="344"/>
      <c r="I22" s="11"/>
      <c r="J22" s="314"/>
      <c r="K22" s="314">
        <v>985.26300000000003</v>
      </c>
      <c r="L22" s="403" t="str">
        <f t="shared" ref="L22:L27" si="3">IF(J22=0, "    ---- ", IF(ABS(ROUND(100/J22*K22-100,1))&lt;999,ROUND(100/J22*K22-100,1),IF(ROUND(100/J22*K22-100,1)&gt;999,999,-999)))</f>
        <v xml:space="preserve">    ---- </v>
      </c>
      <c r="M22" s="24">
        <f>IFERROR(100/'Skjema total MA'!I22*K22,0)</f>
        <v>8.5062669738648455E-2</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v>985.26300000000003</v>
      </c>
      <c r="D27" s="165" t="str">
        <f t="shared" si="2"/>
        <v xml:space="preserve">    ---- </v>
      </c>
      <c r="E27" s="27">
        <f>IFERROR(100/'Skjema total MA'!C27*C27,0)</f>
        <v>9.9615617822616548E-2</v>
      </c>
      <c r="F27" s="234"/>
      <c r="G27" s="290"/>
      <c r="H27" s="165"/>
      <c r="I27" s="27"/>
      <c r="J27" s="44"/>
      <c r="K27" s="44">
        <v>985.26300000000003</v>
      </c>
      <c r="L27" s="259" t="str">
        <f t="shared" si="3"/>
        <v xml:space="preserve">    ---- </v>
      </c>
      <c r="M27" s="23">
        <f>IFERROR(100/'Skjema total MA'!I27*K27,0)</f>
        <v>9.9615617822616548E-2</v>
      </c>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118032.765</v>
      </c>
      <c r="C45" s="309">
        <v>126752.204</v>
      </c>
      <c r="D45" s="403">
        <f t="shared" ref="D45:D46" si="4">IF(B45=0, "    ---- ", IF(ABS(ROUND(100/B45*C45-100,1))&lt;999,ROUND(100/B45*C45-100,1),IF(ROUND(100/B45*C45-100,1)&gt;999,999,-999)))</f>
        <v>7.4</v>
      </c>
      <c r="E45" s="11">
        <f>IFERROR(100/'Skjema total MA'!C45*C45,0)</f>
        <v>4.6226220105507876</v>
      </c>
      <c r="F45" s="144"/>
      <c r="G45" s="33"/>
      <c r="H45" s="158"/>
      <c r="I45" s="158"/>
      <c r="J45" s="37"/>
      <c r="K45" s="37"/>
      <c r="L45" s="158"/>
      <c r="M45" s="158"/>
      <c r="N45" s="147"/>
    </row>
    <row r="46" spans="1:14" s="3" customFormat="1" ht="15.75" x14ac:dyDescent="0.2">
      <c r="A46" s="38" t="s">
        <v>312</v>
      </c>
      <c r="B46" s="286">
        <v>118032.765</v>
      </c>
      <c r="C46" s="287">
        <v>126752.204</v>
      </c>
      <c r="D46" s="259">
        <f t="shared" si="4"/>
        <v>7.4</v>
      </c>
      <c r="E46" s="27">
        <f>IFERROR(100/'Skjema total MA'!C46*C46,0)</f>
        <v>8.708318150607715</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901" priority="132">
      <formula>kvartal &lt; 4</formula>
    </cfRule>
  </conditionalFormatting>
  <conditionalFormatting sqref="B29">
    <cfRule type="expression" dxfId="900" priority="130">
      <formula>kvartal &lt; 4</formula>
    </cfRule>
  </conditionalFormatting>
  <conditionalFormatting sqref="B30">
    <cfRule type="expression" dxfId="899" priority="129">
      <formula>kvartal &lt; 4</formula>
    </cfRule>
  </conditionalFormatting>
  <conditionalFormatting sqref="B31">
    <cfRule type="expression" dxfId="898" priority="128">
      <formula>kvartal &lt; 4</formula>
    </cfRule>
  </conditionalFormatting>
  <conditionalFormatting sqref="C29">
    <cfRule type="expression" dxfId="897" priority="127">
      <formula>kvartal &lt; 4</formula>
    </cfRule>
  </conditionalFormatting>
  <conditionalFormatting sqref="C30">
    <cfRule type="expression" dxfId="896" priority="126">
      <formula>kvartal &lt; 4</formula>
    </cfRule>
  </conditionalFormatting>
  <conditionalFormatting sqref="C31">
    <cfRule type="expression" dxfId="895" priority="125">
      <formula>kvartal &lt; 4</formula>
    </cfRule>
  </conditionalFormatting>
  <conditionalFormatting sqref="B23:C25">
    <cfRule type="expression" dxfId="894" priority="124">
      <formula>kvartal &lt; 4</formula>
    </cfRule>
  </conditionalFormatting>
  <conditionalFormatting sqref="F23:G25">
    <cfRule type="expression" dxfId="893" priority="120">
      <formula>kvartal &lt; 4</formula>
    </cfRule>
  </conditionalFormatting>
  <conditionalFormatting sqref="F29">
    <cfRule type="expression" dxfId="892" priority="113">
      <formula>kvartal &lt; 4</formula>
    </cfRule>
  </conditionalFormatting>
  <conditionalFormatting sqref="F30">
    <cfRule type="expression" dxfId="891" priority="112">
      <formula>kvartal &lt; 4</formula>
    </cfRule>
  </conditionalFormatting>
  <conditionalFormatting sqref="F31">
    <cfRule type="expression" dxfId="890" priority="111">
      <formula>kvartal &lt; 4</formula>
    </cfRule>
  </conditionalFormatting>
  <conditionalFormatting sqref="G29">
    <cfRule type="expression" dxfId="889" priority="110">
      <formula>kvartal &lt; 4</formula>
    </cfRule>
  </conditionalFormatting>
  <conditionalFormatting sqref="G30">
    <cfRule type="expression" dxfId="888" priority="109">
      <formula>kvartal &lt; 4</formula>
    </cfRule>
  </conditionalFormatting>
  <conditionalFormatting sqref="G31">
    <cfRule type="expression" dxfId="887" priority="108">
      <formula>kvartal &lt; 4</formula>
    </cfRule>
  </conditionalFormatting>
  <conditionalFormatting sqref="B26">
    <cfRule type="expression" dxfId="886" priority="107">
      <formula>kvartal &lt; 4</formula>
    </cfRule>
  </conditionalFormatting>
  <conditionalFormatting sqref="C26">
    <cfRule type="expression" dxfId="885" priority="106">
      <formula>kvartal &lt; 4</formula>
    </cfRule>
  </conditionalFormatting>
  <conditionalFormatting sqref="F26">
    <cfRule type="expression" dxfId="884" priority="105">
      <formula>kvartal &lt; 4</formula>
    </cfRule>
  </conditionalFormatting>
  <conditionalFormatting sqref="G26">
    <cfRule type="expression" dxfId="883" priority="104">
      <formula>kvartal &lt; 4</formula>
    </cfRule>
  </conditionalFormatting>
  <conditionalFormatting sqref="J23:K26">
    <cfRule type="expression" dxfId="882" priority="103">
      <formula>kvartal &lt; 4</formula>
    </cfRule>
  </conditionalFormatting>
  <conditionalFormatting sqref="J29:K31">
    <cfRule type="expression" dxfId="881" priority="101">
      <formula>kvartal &lt; 4</formula>
    </cfRule>
  </conditionalFormatting>
  <conditionalFormatting sqref="B67">
    <cfRule type="expression" dxfId="880" priority="100">
      <formula>kvartal &lt; 4</formula>
    </cfRule>
  </conditionalFormatting>
  <conditionalFormatting sqref="C67">
    <cfRule type="expression" dxfId="879" priority="99">
      <formula>kvartal &lt; 4</formula>
    </cfRule>
  </conditionalFormatting>
  <conditionalFormatting sqref="B70">
    <cfRule type="expression" dxfId="878" priority="98">
      <formula>kvartal &lt; 4</formula>
    </cfRule>
  </conditionalFormatting>
  <conditionalFormatting sqref="C70">
    <cfRule type="expression" dxfId="877" priority="97">
      <formula>kvartal &lt; 4</formula>
    </cfRule>
  </conditionalFormatting>
  <conditionalFormatting sqref="B78">
    <cfRule type="expression" dxfId="876" priority="96">
      <formula>kvartal &lt; 4</formula>
    </cfRule>
  </conditionalFormatting>
  <conditionalFormatting sqref="C78">
    <cfRule type="expression" dxfId="875" priority="95">
      <formula>kvartal &lt; 4</formula>
    </cfRule>
  </conditionalFormatting>
  <conditionalFormatting sqref="B81">
    <cfRule type="expression" dxfId="874" priority="94">
      <formula>kvartal &lt; 4</formula>
    </cfRule>
  </conditionalFormatting>
  <conditionalFormatting sqref="C81">
    <cfRule type="expression" dxfId="873" priority="93">
      <formula>kvartal &lt; 4</formula>
    </cfRule>
  </conditionalFormatting>
  <conditionalFormatting sqref="B88">
    <cfRule type="expression" dxfId="872" priority="84">
      <formula>kvartal &lt; 4</formula>
    </cfRule>
  </conditionalFormatting>
  <conditionalFormatting sqref="C88">
    <cfRule type="expression" dxfId="871" priority="83">
      <formula>kvartal &lt; 4</formula>
    </cfRule>
  </conditionalFormatting>
  <conditionalFormatting sqref="B91">
    <cfRule type="expression" dxfId="870" priority="82">
      <formula>kvartal &lt; 4</formula>
    </cfRule>
  </conditionalFormatting>
  <conditionalFormatting sqref="C91">
    <cfRule type="expression" dxfId="869" priority="81">
      <formula>kvartal &lt; 4</formula>
    </cfRule>
  </conditionalFormatting>
  <conditionalFormatting sqref="B99">
    <cfRule type="expression" dxfId="868" priority="80">
      <formula>kvartal &lt; 4</formula>
    </cfRule>
  </conditionalFormatting>
  <conditionalFormatting sqref="C99">
    <cfRule type="expression" dxfId="867" priority="79">
      <formula>kvartal &lt; 4</formula>
    </cfRule>
  </conditionalFormatting>
  <conditionalFormatting sqref="B102">
    <cfRule type="expression" dxfId="866" priority="78">
      <formula>kvartal &lt; 4</formula>
    </cfRule>
  </conditionalFormatting>
  <conditionalFormatting sqref="C102">
    <cfRule type="expression" dxfId="865" priority="77">
      <formula>kvartal &lt; 4</formula>
    </cfRule>
  </conditionalFormatting>
  <conditionalFormatting sqref="B113">
    <cfRule type="expression" dxfId="864" priority="76">
      <formula>kvartal &lt; 4</formula>
    </cfRule>
  </conditionalFormatting>
  <conditionalFormatting sqref="C113">
    <cfRule type="expression" dxfId="863" priority="75">
      <formula>kvartal &lt; 4</formula>
    </cfRule>
  </conditionalFormatting>
  <conditionalFormatting sqref="B121">
    <cfRule type="expression" dxfId="862" priority="74">
      <formula>kvartal &lt; 4</formula>
    </cfRule>
  </conditionalFormatting>
  <conditionalFormatting sqref="C121">
    <cfRule type="expression" dxfId="861" priority="73">
      <formula>kvartal &lt; 4</formula>
    </cfRule>
  </conditionalFormatting>
  <conditionalFormatting sqref="F68">
    <cfRule type="expression" dxfId="860" priority="72">
      <formula>kvartal &lt; 4</formula>
    </cfRule>
  </conditionalFormatting>
  <conditionalFormatting sqref="G68">
    <cfRule type="expression" dxfId="859" priority="71">
      <formula>kvartal &lt; 4</formula>
    </cfRule>
  </conditionalFormatting>
  <conditionalFormatting sqref="F69:G69">
    <cfRule type="expression" dxfId="858" priority="70">
      <formula>kvartal &lt; 4</formula>
    </cfRule>
  </conditionalFormatting>
  <conditionalFormatting sqref="F71:G72">
    <cfRule type="expression" dxfId="857" priority="69">
      <formula>kvartal &lt; 4</formula>
    </cfRule>
  </conditionalFormatting>
  <conditionalFormatting sqref="F79:G80">
    <cfRule type="expression" dxfId="856" priority="68">
      <formula>kvartal &lt; 4</formula>
    </cfRule>
  </conditionalFormatting>
  <conditionalFormatting sqref="F82:G83">
    <cfRule type="expression" dxfId="855" priority="67">
      <formula>kvartal &lt; 4</formula>
    </cfRule>
  </conditionalFormatting>
  <conditionalFormatting sqref="F89:G90">
    <cfRule type="expression" dxfId="854" priority="62">
      <formula>kvartal &lt; 4</formula>
    </cfRule>
  </conditionalFormatting>
  <conditionalFormatting sqref="F92:G93">
    <cfRule type="expression" dxfId="853" priority="61">
      <formula>kvartal &lt; 4</formula>
    </cfRule>
  </conditionalFormatting>
  <conditionalFormatting sqref="F100:G101">
    <cfRule type="expression" dxfId="852" priority="60">
      <formula>kvartal &lt; 4</formula>
    </cfRule>
  </conditionalFormatting>
  <conditionalFormatting sqref="F103:G104">
    <cfRule type="expression" dxfId="851" priority="59">
      <formula>kvartal &lt; 4</formula>
    </cfRule>
  </conditionalFormatting>
  <conditionalFormatting sqref="F113">
    <cfRule type="expression" dxfId="850" priority="58">
      <formula>kvartal &lt; 4</formula>
    </cfRule>
  </conditionalFormatting>
  <conditionalFormatting sqref="G113">
    <cfRule type="expression" dxfId="849" priority="57">
      <formula>kvartal &lt; 4</formula>
    </cfRule>
  </conditionalFormatting>
  <conditionalFormatting sqref="F121:G121">
    <cfRule type="expression" dxfId="848" priority="56">
      <formula>kvartal &lt; 4</formula>
    </cfRule>
  </conditionalFormatting>
  <conditionalFormatting sqref="F67:G67">
    <cfRule type="expression" dxfId="847" priority="55">
      <formula>kvartal &lt; 4</formula>
    </cfRule>
  </conditionalFormatting>
  <conditionalFormatting sqref="F70:G70">
    <cfRule type="expression" dxfId="846" priority="54">
      <formula>kvartal &lt; 4</formula>
    </cfRule>
  </conditionalFormatting>
  <conditionalFormatting sqref="F78:G78">
    <cfRule type="expression" dxfId="845" priority="53">
      <formula>kvartal &lt; 4</formula>
    </cfRule>
  </conditionalFormatting>
  <conditionalFormatting sqref="F81:G81">
    <cfRule type="expression" dxfId="844" priority="52">
      <formula>kvartal &lt; 4</formula>
    </cfRule>
  </conditionalFormatting>
  <conditionalFormatting sqref="F88:G88">
    <cfRule type="expression" dxfId="843" priority="46">
      <formula>kvartal &lt; 4</formula>
    </cfRule>
  </conditionalFormatting>
  <conditionalFormatting sqref="F91">
    <cfRule type="expression" dxfId="842" priority="45">
      <formula>kvartal &lt; 4</formula>
    </cfRule>
  </conditionalFormatting>
  <conditionalFormatting sqref="G91">
    <cfRule type="expression" dxfId="841" priority="44">
      <formula>kvartal &lt; 4</formula>
    </cfRule>
  </conditionalFormatting>
  <conditionalFormatting sqref="F99">
    <cfRule type="expression" dxfId="840" priority="43">
      <formula>kvartal &lt; 4</formula>
    </cfRule>
  </conditionalFormatting>
  <conditionalFormatting sqref="G99">
    <cfRule type="expression" dxfId="839" priority="42">
      <formula>kvartal &lt; 4</formula>
    </cfRule>
  </conditionalFormatting>
  <conditionalFormatting sqref="G102">
    <cfRule type="expression" dxfId="838" priority="41">
      <formula>kvartal &lt; 4</formula>
    </cfRule>
  </conditionalFormatting>
  <conditionalFormatting sqref="F102">
    <cfRule type="expression" dxfId="837" priority="40">
      <formula>kvartal &lt; 4</formula>
    </cfRule>
  </conditionalFormatting>
  <conditionalFormatting sqref="J67:K71">
    <cfRule type="expression" dxfId="836" priority="39">
      <formula>kvartal &lt; 4</formula>
    </cfRule>
  </conditionalFormatting>
  <conditionalFormatting sqref="J72:K72">
    <cfRule type="expression" dxfId="835" priority="38">
      <formula>kvartal &lt; 4</formula>
    </cfRule>
  </conditionalFormatting>
  <conditionalFormatting sqref="J78:K83">
    <cfRule type="expression" dxfId="834" priority="37">
      <formula>kvartal &lt; 4</formula>
    </cfRule>
  </conditionalFormatting>
  <conditionalFormatting sqref="J88:K93">
    <cfRule type="expression" dxfId="833" priority="34">
      <formula>kvartal &lt; 4</formula>
    </cfRule>
  </conditionalFormatting>
  <conditionalFormatting sqref="J99:K104">
    <cfRule type="expression" dxfId="832" priority="33">
      <formula>kvartal &lt; 4</formula>
    </cfRule>
  </conditionalFormatting>
  <conditionalFormatting sqref="J113:K113">
    <cfRule type="expression" dxfId="831" priority="32">
      <formula>kvartal &lt; 4</formula>
    </cfRule>
  </conditionalFormatting>
  <conditionalFormatting sqref="J121:K121">
    <cfRule type="expression" dxfId="830" priority="31">
      <formula>kvartal &lt; 4</formula>
    </cfRule>
  </conditionalFormatting>
  <conditionalFormatting sqref="A23:A25">
    <cfRule type="expression" dxfId="829" priority="15">
      <formula>kvartal &lt; 4</formula>
    </cfRule>
  </conditionalFormatting>
  <conditionalFormatting sqref="A29:A31">
    <cfRule type="expression" dxfId="828" priority="13">
      <formula>kvartal &lt; 4</formula>
    </cfRule>
  </conditionalFormatting>
  <conditionalFormatting sqref="A48:A50">
    <cfRule type="expression" dxfId="827" priority="12">
      <formula>kvartal &lt; 4</formula>
    </cfRule>
  </conditionalFormatting>
  <conditionalFormatting sqref="A67:A72">
    <cfRule type="expression" dxfId="826" priority="10">
      <formula>kvartal &lt; 4</formula>
    </cfRule>
  </conditionalFormatting>
  <conditionalFormatting sqref="A78:A83">
    <cfRule type="expression" dxfId="825" priority="9">
      <formula>kvartal &lt; 4</formula>
    </cfRule>
  </conditionalFormatting>
  <conditionalFormatting sqref="A88:A93">
    <cfRule type="expression" dxfId="824" priority="6">
      <formula>kvartal &lt; 4</formula>
    </cfRule>
  </conditionalFormatting>
  <conditionalFormatting sqref="A99:A104">
    <cfRule type="expression" dxfId="823" priority="5">
      <formula>kvartal &lt; 4</formula>
    </cfRule>
  </conditionalFormatting>
  <conditionalFormatting sqref="A113">
    <cfRule type="expression" dxfId="822" priority="4">
      <formula>kvartal &lt; 4</formula>
    </cfRule>
  </conditionalFormatting>
  <conditionalFormatting sqref="A121">
    <cfRule type="expression" dxfId="821" priority="3">
      <formula>kvartal &lt; 4</formula>
    </cfRule>
  </conditionalFormatting>
  <conditionalFormatting sqref="A26">
    <cfRule type="expression" dxfId="820" priority="2">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105</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17232</v>
      </c>
      <c r="C45" s="309">
        <v>24256</v>
      </c>
      <c r="D45" s="403">
        <f t="shared" ref="D45:D55" si="0">IF(B45=0, "    ---- ", IF(ABS(ROUND(100/B45*C45-100,1))&lt;999,ROUND(100/B45*C45-100,1),IF(ROUND(100/B45*C45-100,1)&gt;999,999,-999)))</f>
        <v>40.799999999999997</v>
      </c>
      <c r="E45" s="11">
        <f>IFERROR(100/'Skjema total MA'!C45*C45,0)</f>
        <v>0.88461041267511142</v>
      </c>
      <c r="F45" s="144"/>
      <c r="G45" s="33"/>
      <c r="H45" s="158"/>
      <c r="I45" s="158"/>
      <c r="J45" s="37"/>
      <c r="K45" s="37"/>
      <c r="L45" s="158"/>
      <c r="M45" s="158"/>
      <c r="N45" s="147"/>
    </row>
    <row r="46" spans="1:14" s="3" customFormat="1" ht="15.75" x14ac:dyDescent="0.2">
      <c r="A46" s="38" t="s">
        <v>312</v>
      </c>
      <c r="B46" s="286">
        <v>17232</v>
      </c>
      <c r="C46" s="287">
        <v>24256</v>
      </c>
      <c r="D46" s="259">
        <f t="shared" si="0"/>
        <v>40.799999999999997</v>
      </c>
      <c r="E46" s="27">
        <f>IFERROR(100/'Skjema total MA'!C46*C46,0)</f>
        <v>1.6664717329975638</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v>27596</v>
      </c>
      <c r="C54" s="309">
        <v>449</v>
      </c>
      <c r="D54" s="404">
        <f t="shared" si="0"/>
        <v>-98.4</v>
      </c>
      <c r="E54" s="11">
        <f>IFERROR(100/'Skjema total MA'!C54*C54,0)</f>
        <v>0.52019090287831937</v>
      </c>
      <c r="F54" s="144"/>
      <c r="G54" s="33"/>
      <c r="H54" s="144"/>
      <c r="I54" s="144"/>
      <c r="J54" s="33"/>
      <c r="K54" s="33"/>
      <c r="L54" s="158"/>
      <c r="M54" s="158"/>
      <c r="N54" s="147"/>
    </row>
    <row r="55" spans="1:14" s="3" customFormat="1" ht="15.75" x14ac:dyDescent="0.2">
      <c r="A55" s="38" t="s">
        <v>312</v>
      </c>
      <c r="B55" s="286">
        <v>27596</v>
      </c>
      <c r="C55" s="287">
        <v>449</v>
      </c>
      <c r="D55" s="259">
        <f t="shared" si="0"/>
        <v>-98.4</v>
      </c>
      <c r="E55" s="27">
        <f>IFERROR(100/'Skjema total MA'!C55*C55,0)</f>
        <v>0.52019090287831937</v>
      </c>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819" priority="132">
      <formula>kvartal &lt; 4</formula>
    </cfRule>
  </conditionalFormatting>
  <conditionalFormatting sqref="B29">
    <cfRule type="expression" dxfId="818" priority="130">
      <formula>kvartal &lt; 4</formula>
    </cfRule>
  </conditionalFormatting>
  <conditionalFormatting sqref="B30">
    <cfRule type="expression" dxfId="817" priority="129">
      <formula>kvartal &lt; 4</formula>
    </cfRule>
  </conditionalFormatting>
  <conditionalFormatting sqref="B31">
    <cfRule type="expression" dxfId="816" priority="128">
      <formula>kvartal &lt; 4</formula>
    </cfRule>
  </conditionalFormatting>
  <conditionalFormatting sqref="C29">
    <cfRule type="expression" dxfId="815" priority="127">
      <formula>kvartal &lt; 4</formula>
    </cfRule>
  </conditionalFormatting>
  <conditionalFormatting sqref="C30">
    <cfRule type="expression" dxfId="814" priority="126">
      <formula>kvartal &lt; 4</formula>
    </cfRule>
  </conditionalFormatting>
  <conditionalFormatting sqref="C31">
    <cfRule type="expression" dxfId="813" priority="125">
      <formula>kvartal &lt; 4</formula>
    </cfRule>
  </conditionalFormatting>
  <conditionalFormatting sqref="B23:C25">
    <cfRule type="expression" dxfId="812" priority="124">
      <formula>kvartal &lt; 4</formula>
    </cfRule>
  </conditionalFormatting>
  <conditionalFormatting sqref="F23:G25">
    <cfRule type="expression" dxfId="811" priority="120">
      <formula>kvartal &lt; 4</formula>
    </cfRule>
  </conditionalFormatting>
  <conditionalFormatting sqref="F29">
    <cfRule type="expression" dxfId="810" priority="113">
      <formula>kvartal &lt; 4</formula>
    </cfRule>
  </conditionalFormatting>
  <conditionalFormatting sqref="F30">
    <cfRule type="expression" dxfId="809" priority="112">
      <formula>kvartal &lt; 4</formula>
    </cfRule>
  </conditionalFormatting>
  <conditionalFormatting sqref="F31">
    <cfRule type="expression" dxfId="808" priority="111">
      <formula>kvartal &lt; 4</formula>
    </cfRule>
  </conditionalFormatting>
  <conditionalFormatting sqref="G29">
    <cfRule type="expression" dxfId="807" priority="110">
      <formula>kvartal &lt; 4</formula>
    </cfRule>
  </conditionalFormatting>
  <conditionalFormatting sqref="G30">
    <cfRule type="expression" dxfId="806" priority="109">
      <formula>kvartal &lt; 4</formula>
    </cfRule>
  </conditionalFormatting>
  <conditionalFormatting sqref="G31">
    <cfRule type="expression" dxfId="805" priority="108">
      <formula>kvartal &lt; 4</formula>
    </cfRule>
  </conditionalFormatting>
  <conditionalFormatting sqref="B26">
    <cfRule type="expression" dxfId="804" priority="107">
      <formula>kvartal &lt; 4</formula>
    </cfRule>
  </conditionalFormatting>
  <conditionalFormatting sqref="C26">
    <cfRule type="expression" dxfId="803" priority="106">
      <formula>kvartal &lt; 4</formula>
    </cfRule>
  </conditionalFormatting>
  <conditionalFormatting sqref="F26">
    <cfRule type="expression" dxfId="802" priority="105">
      <formula>kvartal &lt; 4</formula>
    </cfRule>
  </conditionalFormatting>
  <conditionalFormatting sqref="G26">
    <cfRule type="expression" dxfId="801" priority="104">
      <formula>kvartal &lt; 4</formula>
    </cfRule>
  </conditionalFormatting>
  <conditionalFormatting sqref="J23:K26">
    <cfRule type="expression" dxfId="800" priority="103">
      <formula>kvartal &lt; 4</formula>
    </cfRule>
  </conditionalFormatting>
  <conditionalFormatting sqref="J29:K31">
    <cfRule type="expression" dxfId="799" priority="101">
      <formula>kvartal &lt; 4</formula>
    </cfRule>
  </conditionalFormatting>
  <conditionalFormatting sqref="B67">
    <cfRule type="expression" dxfId="798" priority="100">
      <formula>kvartal &lt; 4</formula>
    </cfRule>
  </conditionalFormatting>
  <conditionalFormatting sqref="C67">
    <cfRule type="expression" dxfId="797" priority="99">
      <formula>kvartal &lt; 4</formula>
    </cfRule>
  </conditionalFormatting>
  <conditionalFormatting sqref="B70">
    <cfRule type="expression" dxfId="796" priority="98">
      <formula>kvartal &lt; 4</formula>
    </cfRule>
  </conditionalFormatting>
  <conditionalFormatting sqref="C70">
    <cfRule type="expression" dxfId="795" priority="97">
      <formula>kvartal &lt; 4</formula>
    </cfRule>
  </conditionalFormatting>
  <conditionalFormatting sqref="B78">
    <cfRule type="expression" dxfId="794" priority="96">
      <formula>kvartal &lt; 4</formula>
    </cfRule>
  </conditionalFormatting>
  <conditionalFormatting sqref="C78">
    <cfRule type="expression" dxfId="793" priority="95">
      <formula>kvartal &lt; 4</formula>
    </cfRule>
  </conditionalFormatting>
  <conditionalFormatting sqref="B81">
    <cfRule type="expression" dxfId="792" priority="94">
      <formula>kvartal &lt; 4</formula>
    </cfRule>
  </conditionalFormatting>
  <conditionalFormatting sqref="C81">
    <cfRule type="expression" dxfId="791" priority="93">
      <formula>kvartal &lt; 4</formula>
    </cfRule>
  </conditionalFormatting>
  <conditionalFormatting sqref="B88">
    <cfRule type="expression" dxfId="790" priority="84">
      <formula>kvartal &lt; 4</formula>
    </cfRule>
  </conditionalFormatting>
  <conditionalFormatting sqref="C88">
    <cfRule type="expression" dxfId="789" priority="83">
      <formula>kvartal &lt; 4</formula>
    </cfRule>
  </conditionalFormatting>
  <conditionalFormatting sqref="B91">
    <cfRule type="expression" dxfId="788" priority="82">
      <formula>kvartal &lt; 4</formula>
    </cfRule>
  </conditionalFormatting>
  <conditionalFormatting sqref="C91">
    <cfRule type="expression" dxfId="787" priority="81">
      <formula>kvartal &lt; 4</formula>
    </cfRule>
  </conditionalFormatting>
  <conditionalFormatting sqref="B99">
    <cfRule type="expression" dxfId="786" priority="80">
      <formula>kvartal &lt; 4</formula>
    </cfRule>
  </conditionalFormatting>
  <conditionalFormatting sqref="C99">
    <cfRule type="expression" dxfId="785" priority="79">
      <formula>kvartal &lt; 4</formula>
    </cfRule>
  </conditionalFormatting>
  <conditionalFormatting sqref="B102">
    <cfRule type="expression" dxfId="784" priority="78">
      <formula>kvartal &lt; 4</formula>
    </cfRule>
  </conditionalFormatting>
  <conditionalFormatting sqref="C102">
    <cfRule type="expression" dxfId="783" priority="77">
      <formula>kvartal &lt; 4</formula>
    </cfRule>
  </conditionalFormatting>
  <conditionalFormatting sqref="B113">
    <cfRule type="expression" dxfId="782" priority="76">
      <formula>kvartal &lt; 4</formula>
    </cfRule>
  </conditionalFormatting>
  <conditionalFormatting sqref="C113">
    <cfRule type="expression" dxfId="781" priority="75">
      <formula>kvartal &lt; 4</formula>
    </cfRule>
  </conditionalFormatting>
  <conditionalFormatting sqref="B121">
    <cfRule type="expression" dxfId="780" priority="74">
      <formula>kvartal &lt; 4</formula>
    </cfRule>
  </conditionalFormatting>
  <conditionalFormatting sqref="C121">
    <cfRule type="expression" dxfId="779" priority="73">
      <formula>kvartal &lt; 4</formula>
    </cfRule>
  </conditionalFormatting>
  <conditionalFormatting sqref="F68">
    <cfRule type="expression" dxfId="778" priority="72">
      <formula>kvartal &lt; 4</formula>
    </cfRule>
  </conditionalFormatting>
  <conditionalFormatting sqref="G68">
    <cfRule type="expression" dxfId="777" priority="71">
      <formula>kvartal &lt; 4</formula>
    </cfRule>
  </conditionalFormatting>
  <conditionalFormatting sqref="F69:G69">
    <cfRule type="expression" dxfId="776" priority="70">
      <formula>kvartal &lt; 4</formula>
    </cfRule>
  </conditionalFormatting>
  <conditionalFormatting sqref="F71:G72">
    <cfRule type="expression" dxfId="775" priority="69">
      <formula>kvartal &lt; 4</formula>
    </cfRule>
  </conditionalFormatting>
  <conditionalFormatting sqref="F79:G80">
    <cfRule type="expression" dxfId="774" priority="68">
      <formula>kvartal &lt; 4</formula>
    </cfRule>
  </conditionalFormatting>
  <conditionalFormatting sqref="F82:G83">
    <cfRule type="expression" dxfId="773" priority="67">
      <formula>kvartal &lt; 4</formula>
    </cfRule>
  </conditionalFormatting>
  <conditionalFormatting sqref="F89:G90">
    <cfRule type="expression" dxfId="772" priority="62">
      <formula>kvartal &lt; 4</formula>
    </cfRule>
  </conditionalFormatting>
  <conditionalFormatting sqref="F92:G93">
    <cfRule type="expression" dxfId="771" priority="61">
      <formula>kvartal &lt; 4</formula>
    </cfRule>
  </conditionalFormatting>
  <conditionalFormatting sqref="F100:G101">
    <cfRule type="expression" dxfId="770" priority="60">
      <formula>kvartal &lt; 4</formula>
    </cfRule>
  </conditionalFormatting>
  <conditionalFormatting sqref="F103:G104">
    <cfRule type="expression" dxfId="769" priority="59">
      <formula>kvartal &lt; 4</formula>
    </cfRule>
  </conditionalFormatting>
  <conditionalFormatting sqref="F113">
    <cfRule type="expression" dxfId="768" priority="58">
      <formula>kvartal &lt; 4</formula>
    </cfRule>
  </conditionalFormatting>
  <conditionalFormatting sqref="G113">
    <cfRule type="expression" dxfId="767" priority="57">
      <formula>kvartal &lt; 4</formula>
    </cfRule>
  </conditionalFormatting>
  <conditionalFormatting sqref="F121:G121">
    <cfRule type="expression" dxfId="766" priority="56">
      <formula>kvartal &lt; 4</formula>
    </cfRule>
  </conditionalFormatting>
  <conditionalFormatting sqref="F67:G67">
    <cfRule type="expression" dxfId="765" priority="55">
      <formula>kvartal &lt; 4</formula>
    </cfRule>
  </conditionalFormatting>
  <conditionalFormatting sqref="F70:G70">
    <cfRule type="expression" dxfId="764" priority="54">
      <formula>kvartal &lt; 4</formula>
    </cfRule>
  </conditionalFormatting>
  <conditionalFormatting sqref="F78:G78">
    <cfRule type="expression" dxfId="763" priority="53">
      <formula>kvartal &lt; 4</formula>
    </cfRule>
  </conditionalFormatting>
  <conditionalFormatting sqref="F81:G81">
    <cfRule type="expression" dxfId="762" priority="52">
      <formula>kvartal &lt; 4</formula>
    </cfRule>
  </conditionalFormatting>
  <conditionalFormatting sqref="F88:G88">
    <cfRule type="expression" dxfId="761" priority="46">
      <formula>kvartal &lt; 4</formula>
    </cfRule>
  </conditionalFormatting>
  <conditionalFormatting sqref="F91">
    <cfRule type="expression" dxfId="760" priority="45">
      <formula>kvartal &lt; 4</formula>
    </cfRule>
  </conditionalFormatting>
  <conditionalFormatting sqref="G91">
    <cfRule type="expression" dxfId="759" priority="44">
      <formula>kvartal &lt; 4</formula>
    </cfRule>
  </conditionalFormatting>
  <conditionalFormatting sqref="F99">
    <cfRule type="expression" dxfId="758" priority="43">
      <formula>kvartal &lt; 4</formula>
    </cfRule>
  </conditionalFormatting>
  <conditionalFormatting sqref="G99">
    <cfRule type="expression" dxfId="757" priority="42">
      <formula>kvartal &lt; 4</formula>
    </cfRule>
  </conditionalFormatting>
  <conditionalFormatting sqref="G102">
    <cfRule type="expression" dxfId="756" priority="41">
      <formula>kvartal &lt; 4</formula>
    </cfRule>
  </conditionalFormatting>
  <conditionalFormatting sqref="F102">
    <cfRule type="expression" dxfId="755" priority="40">
      <formula>kvartal &lt; 4</formula>
    </cfRule>
  </conditionalFormatting>
  <conditionalFormatting sqref="J67:K71">
    <cfRule type="expression" dxfId="754" priority="39">
      <formula>kvartal &lt; 4</formula>
    </cfRule>
  </conditionalFormatting>
  <conditionalFormatting sqref="J72:K72">
    <cfRule type="expression" dxfId="753" priority="38">
      <formula>kvartal &lt; 4</formula>
    </cfRule>
  </conditionalFormatting>
  <conditionalFormatting sqref="J78:K83">
    <cfRule type="expression" dxfId="752" priority="37">
      <formula>kvartal &lt; 4</formula>
    </cfRule>
  </conditionalFormatting>
  <conditionalFormatting sqref="J88:K93">
    <cfRule type="expression" dxfId="751" priority="34">
      <formula>kvartal &lt; 4</formula>
    </cfRule>
  </conditionalFormatting>
  <conditionalFormatting sqref="J99:K104">
    <cfRule type="expression" dxfId="750" priority="33">
      <formula>kvartal &lt; 4</formula>
    </cfRule>
  </conditionalFormatting>
  <conditionalFormatting sqref="J113:K113">
    <cfRule type="expression" dxfId="749" priority="32">
      <formula>kvartal &lt; 4</formula>
    </cfRule>
  </conditionalFormatting>
  <conditionalFormatting sqref="J121:K121">
    <cfRule type="expression" dxfId="748" priority="31">
      <formula>kvartal &lt; 4</formula>
    </cfRule>
  </conditionalFormatting>
  <conditionalFormatting sqref="A23:A25">
    <cfRule type="expression" dxfId="747" priority="15">
      <formula>kvartal &lt; 4</formula>
    </cfRule>
  </conditionalFormatting>
  <conditionalFormatting sqref="A29:A31">
    <cfRule type="expression" dxfId="746" priority="13">
      <formula>kvartal &lt; 4</formula>
    </cfRule>
  </conditionalFormatting>
  <conditionalFormatting sqref="A48:A50">
    <cfRule type="expression" dxfId="745" priority="12">
      <formula>kvartal &lt; 4</formula>
    </cfRule>
  </conditionalFormatting>
  <conditionalFormatting sqref="A67:A72">
    <cfRule type="expression" dxfId="744" priority="10">
      <formula>kvartal &lt; 4</formula>
    </cfRule>
  </conditionalFormatting>
  <conditionalFormatting sqref="A78:A83">
    <cfRule type="expression" dxfId="743" priority="9">
      <formula>kvartal &lt; 4</formula>
    </cfRule>
  </conditionalFormatting>
  <conditionalFormatting sqref="A88:A93">
    <cfRule type="expression" dxfId="742" priority="6">
      <formula>kvartal &lt; 4</formula>
    </cfRule>
  </conditionalFormatting>
  <conditionalFormatting sqref="A99:A104">
    <cfRule type="expression" dxfId="741" priority="5">
      <formula>kvartal &lt; 4</formula>
    </cfRule>
  </conditionalFormatting>
  <conditionalFormatting sqref="A113">
    <cfRule type="expression" dxfId="740" priority="4">
      <formula>kvartal &lt; 4</formula>
    </cfRule>
  </conditionalFormatting>
  <conditionalFormatting sqref="A121">
    <cfRule type="expression" dxfId="739" priority="3">
      <formula>kvartal &lt; 4</formula>
    </cfRule>
  </conditionalFormatting>
  <conditionalFormatting sqref="A26">
    <cfRule type="expression" dxfId="738" priority="2">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146</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1481</v>
      </c>
      <c r="C45" s="309">
        <v>2011</v>
      </c>
      <c r="D45" s="403">
        <f t="shared" ref="D45:D55" si="0">IF(B45=0, "    ---- ", IF(ABS(ROUND(100/B45*C45-100,1))&lt;999,ROUND(100/B45*C45-100,1),IF(ROUND(100/B45*C45-100,1)&gt;999,999,-999)))</f>
        <v>35.799999999999997</v>
      </c>
      <c r="E45" s="11">
        <f>IFERROR(100/'Skjema total MA'!C45*C45,0)</f>
        <v>7.33406802395139E-2</v>
      </c>
      <c r="F45" s="144"/>
      <c r="G45" s="33"/>
      <c r="H45" s="158"/>
      <c r="I45" s="158"/>
      <c r="J45" s="37"/>
      <c r="K45" s="37"/>
      <c r="L45" s="158"/>
      <c r="M45" s="158"/>
      <c r="N45" s="147"/>
    </row>
    <row r="46" spans="1:14" s="3" customFormat="1" ht="15.75" x14ac:dyDescent="0.2">
      <c r="A46" s="38" t="s">
        <v>312</v>
      </c>
      <c r="B46" s="286">
        <v>1481</v>
      </c>
      <c r="C46" s="287">
        <v>2011</v>
      </c>
      <c r="D46" s="259">
        <f t="shared" si="0"/>
        <v>35.799999999999997</v>
      </c>
      <c r="E46" s="27">
        <f>IFERROR(100/'Skjema total MA'!C46*C46,0)</f>
        <v>0.13816270840444017</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v>2</v>
      </c>
      <c r="C51" s="309">
        <v>0.5</v>
      </c>
      <c r="D51" s="404">
        <f t="shared" si="0"/>
        <v>-75</v>
      </c>
      <c r="E51" s="11">
        <f>IFERROR(100/'Skjema total MA'!C51*C51,0)</f>
        <v>3.5294233163007835E-4</v>
      </c>
      <c r="F51" s="144"/>
      <c r="G51" s="33"/>
      <c r="H51" s="144"/>
      <c r="I51" s="144"/>
      <c r="J51" s="33"/>
      <c r="K51" s="33"/>
      <c r="L51" s="158"/>
      <c r="M51" s="158"/>
      <c r="N51" s="147"/>
    </row>
    <row r="52" spans="1:14" s="3" customFormat="1" ht="15.75" x14ac:dyDescent="0.2">
      <c r="A52" s="38" t="s">
        <v>312</v>
      </c>
      <c r="B52" s="286">
        <v>2</v>
      </c>
      <c r="C52" s="287">
        <v>0.5</v>
      </c>
      <c r="D52" s="259">
        <f t="shared" si="0"/>
        <v>-75</v>
      </c>
      <c r="E52" s="27">
        <f>IFERROR(100/'Skjema total MA'!C52*C52,0)</f>
        <v>5.9299809435318397E-4</v>
      </c>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v>10</v>
      </c>
      <c r="C54" s="309">
        <v>0.9</v>
      </c>
      <c r="D54" s="404">
        <f t="shared" si="0"/>
        <v>-91</v>
      </c>
      <c r="E54" s="11">
        <f>IFERROR(100/'Skjema total MA'!C54*C54,0)</f>
        <v>1.0426989144554288E-3</v>
      </c>
      <c r="F54" s="144"/>
      <c r="G54" s="33"/>
      <c r="H54" s="144"/>
      <c r="I54" s="144"/>
      <c r="J54" s="33"/>
      <c r="K54" s="33"/>
      <c r="L54" s="158"/>
      <c r="M54" s="158"/>
      <c r="N54" s="147"/>
    </row>
    <row r="55" spans="1:14" s="3" customFormat="1" ht="15.75" x14ac:dyDescent="0.2">
      <c r="A55" s="38" t="s">
        <v>312</v>
      </c>
      <c r="B55" s="286">
        <v>10</v>
      </c>
      <c r="C55" s="287">
        <v>0.9</v>
      </c>
      <c r="D55" s="259">
        <f t="shared" si="0"/>
        <v>-91</v>
      </c>
      <c r="E55" s="27">
        <f>IFERROR(100/'Skjema total MA'!C55*C55,0)</f>
        <v>1.0426989144554288E-3</v>
      </c>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737" priority="132">
      <formula>kvartal &lt; 4</formula>
    </cfRule>
  </conditionalFormatting>
  <conditionalFormatting sqref="B29">
    <cfRule type="expression" dxfId="736" priority="130">
      <formula>kvartal &lt; 4</formula>
    </cfRule>
  </conditionalFormatting>
  <conditionalFormatting sqref="B30">
    <cfRule type="expression" dxfId="735" priority="129">
      <formula>kvartal &lt; 4</formula>
    </cfRule>
  </conditionalFormatting>
  <conditionalFormatting sqref="B31">
    <cfRule type="expression" dxfId="734" priority="128">
      <formula>kvartal &lt; 4</formula>
    </cfRule>
  </conditionalFormatting>
  <conditionalFormatting sqref="C29">
    <cfRule type="expression" dxfId="733" priority="127">
      <formula>kvartal &lt; 4</formula>
    </cfRule>
  </conditionalFormatting>
  <conditionalFormatting sqref="C30">
    <cfRule type="expression" dxfId="732" priority="126">
      <formula>kvartal &lt; 4</formula>
    </cfRule>
  </conditionalFormatting>
  <conditionalFormatting sqref="C31">
    <cfRule type="expression" dxfId="731" priority="125">
      <formula>kvartal &lt; 4</formula>
    </cfRule>
  </conditionalFormatting>
  <conditionalFormatting sqref="B23:C25">
    <cfRule type="expression" dxfId="730" priority="124">
      <formula>kvartal &lt; 4</formula>
    </cfRule>
  </conditionalFormatting>
  <conditionalFormatting sqref="F23:G25">
    <cfRule type="expression" dxfId="729" priority="120">
      <formula>kvartal &lt; 4</formula>
    </cfRule>
  </conditionalFormatting>
  <conditionalFormatting sqref="F29">
    <cfRule type="expression" dxfId="728" priority="113">
      <formula>kvartal &lt; 4</formula>
    </cfRule>
  </conditionalFormatting>
  <conditionalFormatting sqref="F30">
    <cfRule type="expression" dxfId="727" priority="112">
      <formula>kvartal &lt; 4</formula>
    </cfRule>
  </conditionalFormatting>
  <conditionalFormatting sqref="F31">
    <cfRule type="expression" dxfId="726" priority="111">
      <formula>kvartal &lt; 4</formula>
    </cfRule>
  </conditionalFormatting>
  <conditionalFormatting sqref="G29">
    <cfRule type="expression" dxfId="725" priority="110">
      <formula>kvartal &lt; 4</formula>
    </cfRule>
  </conditionalFormatting>
  <conditionalFormatting sqref="G30">
    <cfRule type="expression" dxfId="724" priority="109">
      <formula>kvartal &lt; 4</formula>
    </cfRule>
  </conditionalFormatting>
  <conditionalFormatting sqref="G31">
    <cfRule type="expression" dxfId="723" priority="108">
      <formula>kvartal &lt; 4</formula>
    </cfRule>
  </conditionalFormatting>
  <conditionalFormatting sqref="B26">
    <cfRule type="expression" dxfId="722" priority="107">
      <formula>kvartal &lt; 4</formula>
    </cfRule>
  </conditionalFormatting>
  <conditionalFormatting sqref="C26">
    <cfRule type="expression" dxfId="721" priority="106">
      <formula>kvartal &lt; 4</formula>
    </cfRule>
  </conditionalFormatting>
  <conditionalFormatting sqref="F26">
    <cfRule type="expression" dxfId="720" priority="105">
      <formula>kvartal &lt; 4</formula>
    </cfRule>
  </conditionalFormatting>
  <conditionalFormatting sqref="G26">
    <cfRule type="expression" dxfId="719" priority="104">
      <formula>kvartal &lt; 4</formula>
    </cfRule>
  </conditionalFormatting>
  <conditionalFormatting sqref="J23:K26">
    <cfRule type="expression" dxfId="718" priority="103">
      <formula>kvartal &lt; 4</formula>
    </cfRule>
  </conditionalFormatting>
  <conditionalFormatting sqref="J29:K31">
    <cfRule type="expression" dxfId="717" priority="101">
      <formula>kvartal &lt; 4</formula>
    </cfRule>
  </conditionalFormatting>
  <conditionalFormatting sqref="B67">
    <cfRule type="expression" dxfId="716" priority="100">
      <formula>kvartal &lt; 4</formula>
    </cfRule>
  </conditionalFormatting>
  <conditionalFormatting sqref="C67">
    <cfRule type="expression" dxfId="715" priority="99">
      <formula>kvartal &lt; 4</formula>
    </cfRule>
  </conditionalFormatting>
  <conditionalFormatting sqref="B70">
    <cfRule type="expression" dxfId="714" priority="98">
      <formula>kvartal &lt; 4</formula>
    </cfRule>
  </conditionalFormatting>
  <conditionalFormatting sqref="C70">
    <cfRule type="expression" dxfId="713" priority="97">
      <formula>kvartal &lt; 4</formula>
    </cfRule>
  </conditionalFormatting>
  <conditionalFormatting sqref="B78">
    <cfRule type="expression" dxfId="712" priority="96">
      <formula>kvartal &lt; 4</formula>
    </cfRule>
  </conditionalFormatting>
  <conditionalFormatting sqref="C78">
    <cfRule type="expression" dxfId="711" priority="95">
      <formula>kvartal &lt; 4</formula>
    </cfRule>
  </conditionalFormatting>
  <conditionalFormatting sqref="B81">
    <cfRule type="expression" dxfId="710" priority="94">
      <formula>kvartal &lt; 4</formula>
    </cfRule>
  </conditionalFormatting>
  <conditionalFormatting sqref="C81">
    <cfRule type="expression" dxfId="709" priority="93">
      <formula>kvartal &lt; 4</formula>
    </cfRule>
  </conditionalFormatting>
  <conditionalFormatting sqref="B88">
    <cfRule type="expression" dxfId="708" priority="84">
      <formula>kvartal &lt; 4</formula>
    </cfRule>
  </conditionalFormatting>
  <conditionalFormatting sqref="C88">
    <cfRule type="expression" dxfId="707" priority="83">
      <formula>kvartal &lt; 4</formula>
    </cfRule>
  </conditionalFormatting>
  <conditionalFormatting sqref="B91">
    <cfRule type="expression" dxfId="706" priority="82">
      <formula>kvartal &lt; 4</formula>
    </cfRule>
  </conditionalFormatting>
  <conditionalFormatting sqref="C91">
    <cfRule type="expression" dxfId="705" priority="81">
      <formula>kvartal &lt; 4</formula>
    </cfRule>
  </conditionalFormatting>
  <conditionalFormatting sqref="B99">
    <cfRule type="expression" dxfId="704" priority="80">
      <formula>kvartal &lt; 4</formula>
    </cfRule>
  </conditionalFormatting>
  <conditionalFormatting sqref="C99">
    <cfRule type="expression" dxfId="703" priority="79">
      <formula>kvartal &lt; 4</formula>
    </cfRule>
  </conditionalFormatting>
  <conditionalFormatting sqref="B102">
    <cfRule type="expression" dxfId="702" priority="78">
      <formula>kvartal &lt; 4</formula>
    </cfRule>
  </conditionalFormatting>
  <conditionalFormatting sqref="C102">
    <cfRule type="expression" dxfId="701" priority="77">
      <formula>kvartal &lt; 4</formula>
    </cfRule>
  </conditionalFormatting>
  <conditionalFormatting sqref="B113">
    <cfRule type="expression" dxfId="700" priority="76">
      <formula>kvartal &lt; 4</formula>
    </cfRule>
  </conditionalFormatting>
  <conditionalFormatting sqref="C113">
    <cfRule type="expression" dxfId="699" priority="75">
      <formula>kvartal &lt; 4</formula>
    </cfRule>
  </conditionalFormatting>
  <conditionalFormatting sqref="B121">
    <cfRule type="expression" dxfId="698" priority="74">
      <formula>kvartal &lt; 4</formula>
    </cfRule>
  </conditionalFormatting>
  <conditionalFormatting sqref="C121">
    <cfRule type="expression" dxfId="697" priority="73">
      <formula>kvartal &lt; 4</formula>
    </cfRule>
  </conditionalFormatting>
  <conditionalFormatting sqref="F68">
    <cfRule type="expression" dxfId="696" priority="72">
      <formula>kvartal &lt; 4</formula>
    </cfRule>
  </conditionalFormatting>
  <conditionalFormatting sqref="G68">
    <cfRule type="expression" dxfId="695" priority="71">
      <formula>kvartal &lt; 4</formula>
    </cfRule>
  </conditionalFormatting>
  <conditionalFormatting sqref="F69:G69">
    <cfRule type="expression" dxfId="694" priority="70">
      <formula>kvartal &lt; 4</formula>
    </cfRule>
  </conditionalFormatting>
  <conditionalFormatting sqref="F71:G72">
    <cfRule type="expression" dxfId="693" priority="69">
      <formula>kvartal &lt; 4</formula>
    </cfRule>
  </conditionalFormatting>
  <conditionalFormatting sqref="F79:G80">
    <cfRule type="expression" dxfId="692" priority="68">
      <formula>kvartal &lt; 4</formula>
    </cfRule>
  </conditionalFormatting>
  <conditionalFormatting sqref="F82:G83">
    <cfRule type="expression" dxfId="691" priority="67">
      <formula>kvartal &lt; 4</formula>
    </cfRule>
  </conditionalFormatting>
  <conditionalFormatting sqref="F89:G90">
    <cfRule type="expression" dxfId="690" priority="62">
      <formula>kvartal &lt; 4</formula>
    </cfRule>
  </conditionalFormatting>
  <conditionalFormatting sqref="F92:G93">
    <cfRule type="expression" dxfId="689" priority="61">
      <formula>kvartal &lt; 4</formula>
    </cfRule>
  </conditionalFormatting>
  <conditionalFormatting sqref="F100:G101">
    <cfRule type="expression" dxfId="688" priority="60">
      <formula>kvartal &lt; 4</formula>
    </cfRule>
  </conditionalFormatting>
  <conditionalFormatting sqref="F103:G104">
    <cfRule type="expression" dxfId="687" priority="59">
      <formula>kvartal &lt; 4</formula>
    </cfRule>
  </conditionalFormatting>
  <conditionalFormatting sqref="F113">
    <cfRule type="expression" dxfId="686" priority="58">
      <formula>kvartal &lt; 4</formula>
    </cfRule>
  </conditionalFormatting>
  <conditionalFormatting sqref="G113">
    <cfRule type="expression" dxfId="685" priority="57">
      <formula>kvartal &lt; 4</formula>
    </cfRule>
  </conditionalFormatting>
  <conditionalFormatting sqref="F121:G121">
    <cfRule type="expression" dxfId="684" priority="56">
      <formula>kvartal &lt; 4</formula>
    </cfRule>
  </conditionalFormatting>
  <conditionalFormatting sqref="F67:G67">
    <cfRule type="expression" dxfId="683" priority="55">
      <formula>kvartal &lt; 4</formula>
    </cfRule>
  </conditionalFormatting>
  <conditionalFormatting sqref="F70:G70">
    <cfRule type="expression" dxfId="682" priority="54">
      <formula>kvartal &lt; 4</formula>
    </cfRule>
  </conditionalFormatting>
  <conditionalFormatting sqref="F78:G78">
    <cfRule type="expression" dxfId="681" priority="53">
      <formula>kvartal &lt; 4</formula>
    </cfRule>
  </conditionalFormatting>
  <conditionalFormatting sqref="F81:G81">
    <cfRule type="expression" dxfId="680" priority="52">
      <formula>kvartal &lt; 4</formula>
    </cfRule>
  </conditionalFormatting>
  <conditionalFormatting sqref="F88:G88">
    <cfRule type="expression" dxfId="679" priority="46">
      <formula>kvartal &lt; 4</formula>
    </cfRule>
  </conditionalFormatting>
  <conditionalFormatting sqref="F91">
    <cfRule type="expression" dxfId="678" priority="45">
      <formula>kvartal &lt; 4</formula>
    </cfRule>
  </conditionalFormatting>
  <conditionalFormatting sqref="G91">
    <cfRule type="expression" dxfId="677" priority="44">
      <formula>kvartal &lt; 4</formula>
    </cfRule>
  </conditionalFormatting>
  <conditionalFormatting sqref="F99">
    <cfRule type="expression" dxfId="676" priority="43">
      <formula>kvartal &lt; 4</formula>
    </cfRule>
  </conditionalFormatting>
  <conditionalFormatting sqref="G99">
    <cfRule type="expression" dxfId="675" priority="42">
      <formula>kvartal &lt; 4</formula>
    </cfRule>
  </conditionalFormatting>
  <conditionalFormatting sqref="G102">
    <cfRule type="expression" dxfId="674" priority="41">
      <formula>kvartal &lt; 4</formula>
    </cfRule>
  </conditionalFormatting>
  <conditionalFormatting sqref="F102">
    <cfRule type="expression" dxfId="673" priority="40">
      <formula>kvartal &lt; 4</formula>
    </cfRule>
  </conditionalFormatting>
  <conditionalFormatting sqref="J67:K71">
    <cfRule type="expression" dxfId="672" priority="39">
      <formula>kvartal &lt; 4</formula>
    </cfRule>
  </conditionalFormatting>
  <conditionalFormatting sqref="J72:K72">
    <cfRule type="expression" dxfId="671" priority="38">
      <formula>kvartal &lt; 4</formula>
    </cfRule>
  </conditionalFormatting>
  <conditionalFormatting sqref="J78:K83">
    <cfRule type="expression" dxfId="670" priority="37">
      <formula>kvartal &lt; 4</formula>
    </cfRule>
  </conditionalFormatting>
  <conditionalFormatting sqref="J88:K93">
    <cfRule type="expression" dxfId="669" priority="34">
      <formula>kvartal &lt; 4</formula>
    </cfRule>
  </conditionalFormatting>
  <conditionalFormatting sqref="J99:K104">
    <cfRule type="expression" dxfId="668" priority="33">
      <formula>kvartal &lt; 4</formula>
    </cfRule>
  </conditionalFormatting>
  <conditionalFormatting sqref="J113:K113">
    <cfRule type="expression" dxfId="667" priority="32">
      <formula>kvartal &lt; 4</formula>
    </cfRule>
  </conditionalFormatting>
  <conditionalFormatting sqref="J121:K121">
    <cfRule type="expression" dxfId="666" priority="31">
      <formula>kvartal &lt; 4</formula>
    </cfRule>
  </conditionalFormatting>
  <conditionalFormatting sqref="A23:A25">
    <cfRule type="expression" dxfId="665" priority="15">
      <formula>kvartal &lt; 4</formula>
    </cfRule>
  </conditionalFormatting>
  <conditionalFormatting sqref="A29:A31">
    <cfRule type="expression" dxfId="664" priority="13">
      <formula>kvartal &lt; 4</formula>
    </cfRule>
  </conditionalFormatting>
  <conditionalFormatting sqref="A48:A50">
    <cfRule type="expression" dxfId="663" priority="12">
      <formula>kvartal &lt; 4</formula>
    </cfRule>
  </conditionalFormatting>
  <conditionalFormatting sqref="A67:A72">
    <cfRule type="expression" dxfId="662" priority="10">
      <formula>kvartal &lt; 4</formula>
    </cfRule>
  </conditionalFormatting>
  <conditionalFormatting sqref="A78:A83">
    <cfRule type="expression" dxfId="661" priority="9">
      <formula>kvartal &lt; 4</formula>
    </cfRule>
  </conditionalFormatting>
  <conditionalFormatting sqref="A88:A93">
    <cfRule type="expression" dxfId="660" priority="6">
      <formula>kvartal &lt; 4</formula>
    </cfRule>
  </conditionalFormatting>
  <conditionalFormatting sqref="A99:A104">
    <cfRule type="expression" dxfId="659" priority="5">
      <formula>kvartal &lt; 4</formula>
    </cfRule>
  </conditionalFormatting>
  <conditionalFormatting sqref="A113">
    <cfRule type="expression" dxfId="658" priority="4">
      <formula>kvartal &lt; 4</formula>
    </cfRule>
  </conditionalFormatting>
  <conditionalFormatting sqref="A121">
    <cfRule type="expression" dxfId="657" priority="3">
      <formula>kvartal &lt; 4</formula>
    </cfRule>
  </conditionalFormatting>
  <conditionalFormatting sqref="A26">
    <cfRule type="expression" dxfId="656" priority="2">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73</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v>220527.626332841</v>
      </c>
      <c r="C7" s="305">
        <v>221963.25345590201</v>
      </c>
      <c r="D7" s="344">
        <f>IF(B7=0, "    ---- ", IF(ABS(ROUND(100/B7*C7-100,1))&lt;999,ROUND(100/B7*C7-100,1),IF(ROUND(100/B7*C7-100,1)&gt;999,999,-999)))</f>
        <v>0.7</v>
      </c>
      <c r="E7" s="11">
        <f>IFERROR(100/'Skjema total MA'!C7*C7,0)</f>
        <v>8.1516082718569933</v>
      </c>
      <c r="F7" s="304">
        <v>2828153.0401599999</v>
      </c>
      <c r="G7" s="305">
        <v>2736633.2136400002</v>
      </c>
      <c r="H7" s="344">
        <f>IF(F7=0, "    ---- ", IF(ABS(ROUND(100/F7*G7-100,1))&lt;999,ROUND(100/F7*G7-100,1),IF(ROUND(100/F7*G7-100,1)&gt;999,999,-999)))</f>
        <v>-3.2</v>
      </c>
      <c r="I7" s="159">
        <f>IFERROR(100/'Skjema total MA'!F7*G7,0)</f>
        <v>60.247538786477882</v>
      </c>
      <c r="J7" s="306">
        <v>3048680.6664928407</v>
      </c>
      <c r="K7" s="307">
        <v>2958596.4670959022</v>
      </c>
      <c r="L7" s="403">
        <f>IF(J7=0, "    ---- ", IF(ABS(ROUND(100/J7*K7-100,1))&lt;999,ROUND(100/J7*K7-100,1),IF(ROUND(100/J7*K7-100,1)&gt;999,999,-999)))</f>
        <v>-3</v>
      </c>
      <c r="M7" s="11">
        <f>IFERROR(100/'Skjema total MA'!I7*K7,0)</f>
        <v>40.722549454354464</v>
      </c>
    </row>
    <row r="8" spans="1:14" ht="15.75" x14ac:dyDescent="0.2">
      <c r="A8" s="21" t="s">
        <v>29</v>
      </c>
      <c r="B8" s="286">
        <v>170857.13908434601</v>
      </c>
      <c r="C8" s="287">
        <v>178057.77214884301</v>
      </c>
      <c r="D8" s="165">
        <f t="shared" ref="D8:D12" si="0">IF(B8=0, "    ---- ", IF(ABS(ROUND(100/B8*C8-100,1))&lt;999,ROUND(100/B8*C8-100,1),IF(ROUND(100/B8*C8-100,1)&gt;999,999,-999)))</f>
        <v>4.2</v>
      </c>
      <c r="E8" s="27">
        <f>IFERROR(100/'Skjema total MA'!C8*C8,0)</f>
        <v>11.85046548750995</v>
      </c>
      <c r="F8" s="423"/>
      <c r="G8" s="424"/>
      <c r="H8" s="170"/>
      <c r="I8" s="175"/>
      <c r="J8" s="234">
        <v>170857.13908434601</v>
      </c>
      <c r="K8" s="290">
        <v>178057.77214884301</v>
      </c>
      <c r="L8" s="165">
        <f t="shared" ref="L8:L9" si="1">IF(J8=0, "    ---- ", IF(ABS(ROUND(100/J8*K8-100,1))&lt;999,ROUND(100/J8*K8-100,1),IF(ROUND(100/J8*K8-100,1)&gt;999,999,-999)))</f>
        <v>4.2</v>
      </c>
      <c r="M8" s="27">
        <f>IFERROR(100/'Skjema total MA'!I8*K8,0)</f>
        <v>11.85046548750995</v>
      </c>
    </row>
    <row r="9" spans="1:14" ht="15.75" x14ac:dyDescent="0.2">
      <c r="A9" s="21" t="s">
        <v>28</v>
      </c>
      <c r="B9" s="286">
        <v>43647.050668867298</v>
      </c>
      <c r="C9" s="287">
        <v>42565.325791350202</v>
      </c>
      <c r="D9" s="165">
        <f t="shared" si="0"/>
        <v>-2.5</v>
      </c>
      <c r="E9" s="27">
        <f>IFERROR(100/'Skjema total MA'!C9*C9,0)</f>
        <v>5.8796443924384878</v>
      </c>
      <c r="F9" s="423"/>
      <c r="G9" s="424"/>
      <c r="H9" s="170"/>
      <c r="I9" s="175"/>
      <c r="J9" s="234">
        <v>43647.050668867298</v>
      </c>
      <c r="K9" s="290">
        <v>42565.325791350202</v>
      </c>
      <c r="L9" s="165">
        <f t="shared" si="1"/>
        <v>-2.5</v>
      </c>
      <c r="M9" s="27">
        <f>IFERROR(100/'Skjema total MA'!I9*K9,0)</f>
        <v>5.8796443924384878</v>
      </c>
    </row>
    <row r="10" spans="1:14" ht="15.75" x14ac:dyDescent="0.2">
      <c r="A10" s="13" t="s">
        <v>26</v>
      </c>
      <c r="B10" s="308">
        <v>820375.15817343898</v>
      </c>
      <c r="C10" s="309">
        <v>779563.87004552805</v>
      </c>
      <c r="D10" s="170">
        <f t="shared" si="0"/>
        <v>-5</v>
      </c>
      <c r="E10" s="11">
        <f>IFERROR(100/'Skjema total MA'!C10*C10,0)</f>
        <v>3.388021030419837</v>
      </c>
      <c r="F10" s="308">
        <v>15920062.8003016</v>
      </c>
      <c r="G10" s="309">
        <v>20778083.057719901</v>
      </c>
      <c r="H10" s="170">
        <f t="shared" ref="H10:H12" si="2">IF(F10=0, "    ---- ", IF(ABS(ROUND(100/F10*G10-100,1))&lt;999,ROUND(100/F10*G10-100,1),IF(ROUND(100/F10*G10-100,1)&gt;999,999,-999)))</f>
        <v>30.5</v>
      </c>
      <c r="I10" s="159">
        <f>IFERROR(100/'Skjema total MA'!F10*G10,0)</f>
        <v>55.168556961674874</v>
      </c>
      <c r="J10" s="306">
        <v>16740437.958475038</v>
      </c>
      <c r="K10" s="307">
        <v>21557646.927765429</v>
      </c>
      <c r="L10" s="404">
        <f t="shared" ref="L10:L12" si="3">IF(J10=0, "    ---- ", IF(ABS(ROUND(100/J10*K10-100,1))&lt;999,ROUND(100/J10*K10-100,1),IF(ROUND(100/J10*K10-100,1)&gt;999,999,-999)))</f>
        <v>28.8</v>
      </c>
      <c r="M10" s="11">
        <f>IFERROR(100/'Skjema total MA'!I10*K10,0)</f>
        <v>35.53126894893461</v>
      </c>
    </row>
    <row r="11" spans="1:14" s="43" customFormat="1" ht="15.75" x14ac:dyDescent="0.2">
      <c r="A11" s="13" t="s">
        <v>25</v>
      </c>
      <c r="B11" s="308"/>
      <c r="C11" s="309"/>
      <c r="D11" s="170"/>
      <c r="E11" s="11"/>
      <c r="F11" s="308">
        <v>109033.16688</v>
      </c>
      <c r="G11" s="309">
        <v>65290.403810000003</v>
      </c>
      <c r="H11" s="170">
        <f t="shared" si="2"/>
        <v>-40.1</v>
      </c>
      <c r="I11" s="159">
        <f>IFERROR(100/'Skjema total MA'!F11*G11,0)</f>
        <v>40.568757547484758</v>
      </c>
      <c r="J11" s="306">
        <v>109033.16688</v>
      </c>
      <c r="K11" s="307">
        <v>65290.403810000003</v>
      </c>
      <c r="L11" s="404">
        <f t="shared" si="3"/>
        <v>-40.1</v>
      </c>
      <c r="M11" s="11">
        <f>IFERROR(100/'Skjema total MA'!I11*K11,0)</f>
        <v>37.945716256355496</v>
      </c>
      <c r="N11" s="142"/>
    </row>
    <row r="12" spans="1:14" s="43" customFormat="1" ht="15.75" x14ac:dyDescent="0.2">
      <c r="A12" s="41" t="s">
        <v>24</v>
      </c>
      <c r="B12" s="310">
        <v>79.740440000000007</v>
      </c>
      <c r="C12" s="311"/>
      <c r="D12" s="168">
        <f t="shared" si="0"/>
        <v>-100</v>
      </c>
      <c r="E12" s="36">
        <f>IFERROR(100/'Skjema total MA'!C12*C12,0)</f>
        <v>0</v>
      </c>
      <c r="F12" s="310">
        <v>24031.303260000001</v>
      </c>
      <c r="G12" s="311">
        <v>18847.464019999999</v>
      </c>
      <c r="H12" s="168">
        <f t="shared" si="2"/>
        <v>-21.6</v>
      </c>
      <c r="I12" s="168">
        <f>IFERROR(100/'Skjema total MA'!F12*G12,0)</f>
        <v>25.607469878559769</v>
      </c>
      <c r="J12" s="312">
        <v>24111.043700000002</v>
      </c>
      <c r="K12" s="313">
        <v>18847.464019999999</v>
      </c>
      <c r="L12" s="405">
        <f t="shared" si="3"/>
        <v>-21.8</v>
      </c>
      <c r="M12" s="36">
        <f>IFERROR(100/'Skjema total MA'!I12*K12,0)</f>
        <v>25.360758596555243</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v>69213.074710451707</v>
      </c>
      <c r="C22" s="315">
        <v>70308.110419601202</v>
      </c>
      <c r="D22" s="344">
        <f t="shared" ref="D22:D33" si="4">IF(B22=0, "    ---- ", IF(ABS(ROUND(100/B22*C22-100,1))&lt;999,ROUND(100/B22*C22-100,1),IF(ROUND(100/B22*C22-100,1)&gt;999,999,-999)))</f>
        <v>1.6</v>
      </c>
      <c r="E22" s="11">
        <f>IFERROR(100/'Skjema total MA'!C22*C22,0)</f>
        <v>7.332135801814295</v>
      </c>
      <c r="F22" s="316">
        <v>90291.274220000007</v>
      </c>
      <c r="G22" s="315">
        <v>76144.967350000006</v>
      </c>
      <c r="H22" s="344">
        <f t="shared" ref="H22:H33" si="5">IF(F22=0, "    ---- ", IF(ABS(ROUND(100/F22*G22-100,1))&lt;999,ROUND(100/F22*G22-100,1),IF(ROUND(100/F22*G22-100,1)&gt;999,999,-999)))</f>
        <v>-15.7</v>
      </c>
      <c r="I22" s="11">
        <f>IFERROR(100/'Skjema total MA'!F22*G22,0)</f>
        <v>38.191755860195663</v>
      </c>
      <c r="J22" s="314">
        <v>159504.34893045173</v>
      </c>
      <c r="K22" s="314">
        <v>146453.07776960119</v>
      </c>
      <c r="L22" s="403">
        <f t="shared" ref="L22:L33" si="6">IF(J22=0, "    ---- ", IF(ABS(ROUND(100/J22*K22-100,1))&lt;999,ROUND(100/J22*K22-100,1),IF(ROUND(100/J22*K22-100,1)&gt;999,999,-999)))</f>
        <v>-8.1999999999999993</v>
      </c>
      <c r="M22" s="24">
        <f>IFERROR(100/'Skjema total MA'!I22*K22,0)</f>
        <v>12.644024779702663</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v>70348.324607579096</v>
      </c>
      <c r="C27" s="290">
        <v>71512.303770810293</v>
      </c>
      <c r="D27" s="165">
        <f t="shared" si="4"/>
        <v>1.7</v>
      </c>
      <c r="E27" s="27">
        <f>IFERROR(100/'Skjema total MA'!C27*C27,0)</f>
        <v>7.2302951821472012</v>
      </c>
      <c r="F27" s="234"/>
      <c r="G27" s="290"/>
      <c r="H27" s="165"/>
      <c r="I27" s="27"/>
      <c r="J27" s="44">
        <v>70348.324607579096</v>
      </c>
      <c r="K27" s="44">
        <v>71512.303770810293</v>
      </c>
      <c r="L27" s="259">
        <f t="shared" si="6"/>
        <v>1.7</v>
      </c>
      <c r="M27" s="23">
        <f>IFERROR(100/'Skjema total MA'!I27*K27,0)</f>
        <v>7.2302951821472012</v>
      </c>
    </row>
    <row r="28" spans="1:14" s="3" customFormat="1" ht="15.75" x14ac:dyDescent="0.2">
      <c r="A28" s="13" t="s">
        <v>26</v>
      </c>
      <c r="B28" s="236">
        <v>4282880.0421406701</v>
      </c>
      <c r="C28" s="307">
        <v>4102222.71719978</v>
      </c>
      <c r="D28" s="170">
        <f t="shared" si="4"/>
        <v>-4.2</v>
      </c>
      <c r="E28" s="11">
        <f>IFERROR(100/'Skjema total MA'!C28*C28,0)</f>
        <v>8.0511938961261151</v>
      </c>
      <c r="F28" s="306">
        <v>3095924.75</v>
      </c>
      <c r="G28" s="307">
        <v>3414405.69</v>
      </c>
      <c r="H28" s="170">
        <f t="shared" si="5"/>
        <v>10.3</v>
      </c>
      <c r="I28" s="11">
        <f>IFERROR(100/'Skjema total MA'!F28*G28,0)</f>
        <v>17.388173314499351</v>
      </c>
      <c r="J28" s="236">
        <v>7378804.7921406701</v>
      </c>
      <c r="K28" s="236">
        <v>7516628.4071997795</v>
      </c>
      <c r="L28" s="404">
        <f t="shared" si="6"/>
        <v>1.9</v>
      </c>
      <c r="M28" s="24">
        <f>IFERROR(100/'Skjema total MA'!I28*K28,0)</f>
        <v>10.648577365733313</v>
      </c>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v>903.05705</v>
      </c>
      <c r="C32" s="307"/>
      <c r="D32" s="170">
        <f t="shared" si="4"/>
        <v>-100</v>
      </c>
      <c r="E32" s="11">
        <f>IFERROR(100/'Skjema total MA'!C32*C32,0)</f>
        <v>0</v>
      </c>
      <c r="F32" s="306">
        <v>600.26247000000001</v>
      </c>
      <c r="G32" s="307">
        <v>7769.0938100000003</v>
      </c>
      <c r="H32" s="170">
        <f t="shared" si="5"/>
        <v>999</v>
      </c>
      <c r="I32" s="11">
        <f>IFERROR(100/'Skjema total MA'!F32*G32,0)</f>
        <v>41.474413638120701</v>
      </c>
      <c r="J32" s="236">
        <v>1503.31952</v>
      </c>
      <c r="K32" s="236">
        <v>7769.0938100000003</v>
      </c>
      <c r="L32" s="404">
        <f t="shared" si="6"/>
        <v>416.8</v>
      </c>
      <c r="M32" s="24">
        <f>IFERROR(100/'Skjema total MA'!I32*K32,0)</f>
        <v>18.405258633837516</v>
      </c>
    </row>
    <row r="33" spans="1:14" ht="15.75" x14ac:dyDescent="0.2">
      <c r="A33" s="13" t="s">
        <v>24</v>
      </c>
      <c r="B33" s="236">
        <v>179.84097999999901</v>
      </c>
      <c r="C33" s="307"/>
      <c r="D33" s="170">
        <f t="shared" si="4"/>
        <v>-100</v>
      </c>
      <c r="E33" s="11">
        <f>IFERROR(100/'Skjema total MA'!C33*C33,0)</f>
        <v>0</v>
      </c>
      <c r="F33" s="306">
        <v>3566.4381100000001</v>
      </c>
      <c r="G33" s="307">
        <v>8700.1270600000007</v>
      </c>
      <c r="H33" s="170">
        <f t="shared" si="5"/>
        <v>143.9</v>
      </c>
      <c r="I33" s="11">
        <f>IFERROR(100/'Skjema total MA'!F33*G33,0)</f>
        <v>13.285343265548715</v>
      </c>
      <c r="J33" s="236">
        <v>3746.2790899999991</v>
      </c>
      <c r="K33" s="236">
        <v>8700.1270600000007</v>
      </c>
      <c r="L33" s="404">
        <f t="shared" si="6"/>
        <v>132.19999999999999</v>
      </c>
      <c r="M33" s="24">
        <f>IFERROR(100/'Skjema total MA'!I33*K33,0)</f>
        <v>25.355604463282919</v>
      </c>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c r="C45" s="309"/>
      <c r="D45" s="403"/>
      <c r="E45" s="11"/>
      <c r="F45" s="144"/>
      <c r="G45" s="33"/>
      <c r="H45" s="158"/>
      <c r="I45" s="158"/>
      <c r="J45" s="37"/>
      <c r="K45" s="37"/>
      <c r="L45" s="158"/>
      <c r="M45" s="158"/>
      <c r="N45" s="147"/>
    </row>
    <row r="46" spans="1:14" s="3" customFormat="1" ht="15.75" x14ac:dyDescent="0.2">
      <c r="A46" s="38" t="s">
        <v>312</v>
      </c>
      <c r="B46" s="286"/>
      <c r="C46" s="287"/>
      <c r="D46" s="259"/>
      <c r="E46" s="27"/>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v>1024607</v>
      </c>
      <c r="C64" s="347">
        <v>635597.28078999999</v>
      </c>
      <c r="D64" s="344">
        <f t="shared" ref="D64:D109" si="7">IF(B64=0, "    ---- ", IF(ABS(ROUND(100/B64*C64-100,1))&lt;999,ROUND(100/B64*C64-100,1),IF(ROUND(100/B64*C64-100,1)&gt;999,999,-999)))</f>
        <v>-38</v>
      </c>
      <c r="E64" s="11">
        <f>IFERROR(100/'Skjema total MA'!C64*C64,0)</f>
        <v>11.833310575272572</v>
      </c>
      <c r="F64" s="346">
        <v>1533102.3060000001</v>
      </c>
      <c r="G64" s="346">
        <v>1796116.8829999999</v>
      </c>
      <c r="H64" s="344">
        <f t="shared" ref="H64:H109" si="8">IF(F64=0, "    ---- ", IF(ABS(ROUND(100/F64*G64-100,1))&lt;999,ROUND(100/F64*G64-100,1),IF(ROUND(100/F64*G64-100,1)&gt;999,999,-999)))</f>
        <v>17.2</v>
      </c>
      <c r="I64" s="11">
        <f>IFERROR(100/'Skjema total MA'!F64*G64,0)</f>
        <v>13.833998097805324</v>
      </c>
      <c r="J64" s="307">
        <v>2557709.3059999999</v>
      </c>
      <c r="K64" s="314">
        <v>2431714.1637899997</v>
      </c>
      <c r="L64" s="404">
        <f t="shared" ref="L64:L109" si="9">IF(J64=0, "    ---- ", IF(ABS(ROUND(100/J64*K64-100,1))&lt;999,ROUND(100/J64*K64-100,1),IF(ROUND(100/J64*K64-100,1)&gt;999,999,-999)))</f>
        <v>-4.9000000000000004</v>
      </c>
      <c r="M64" s="11">
        <f>IFERROR(100/'Skjema total MA'!I64*K64,0)</f>
        <v>13.248521008029023</v>
      </c>
    </row>
    <row r="65" spans="1:14" x14ac:dyDescent="0.2">
      <c r="A65" s="395" t="s">
        <v>9</v>
      </c>
      <c r="B65" s="44">
        <v>1001946</v>
      </c>
      <c r="C65" s="144">
        <v>620846.28078999999</v>
      </c>
      <c r="D65" s="165">
        <f t="shared" si="7"/>
        <v>-38</v>
      </c>
      <c r="E65" s="27">
        <f>IFERROR(100/'Skjema total MA'!C65*C65,0)</f>
        <v>12.098153402614729</v>
      </c>
      <c r="F65" s="234"/>
      <c r="G65" s="144"/>
      <c r="H65" s="165"/>
      <c r="I65" s="27"/>
      <c r="J65" s="290">
        <v>1001946</v>
      </c>
      <c r="K65" s="44">
        <v>620846.28078999999</v>
      </c>
      <c r="L65" s="259">
        <f t="shared" si="9"/>
        <v>-38</v>
      </c>
      <c r="M65" s="27">
        <f>IFERROR(100/'Skjema total MA'!I65*K65,0)</f>
        <v>12.098153402614729</v>
      </c>
    </row>
    <row r="66" spans="1:14" x14ac:dyDescent="0.2">
      <c r="A66" s="21" t="s">
        <v>10</v>
      </c>
      <c r="B66" s="292">
        <v>22661</v>
      </c>
      <c r="C66" s="293">
        <v>14751</v>
      </c>
      <c r="D66" s="165">
        <f t="shared" si="7"/>
        <v>-34.9</v>
      </c>
      <c r="E66" s="27">
        <f>IFERROR(100/'Skjema total MA'!C66*C66,0)</f>
        <v>12.556892428093461</v>
      </c>
      <c r="F66" s="292">
        <v>1533102.3060000001</v>
      </c>
      <c r="G66" s="293">
        <v>1796116.8829999999</v>
      </c>
      <c r="H66" s="165">
        <f t="shared" si="8"/>
        <v>17.2</v>
      </c>
      <c r="I66" s="27">
        <f>IFERROR(100/'Skjema total MA'!F66*G66,0)</f>
        <v>13.973094976800244</v>
      </c>
      <c r="J66" s="290">
        <v>1555763.3060000001</v>
      </c>
      <c r="K66" s="44">
        <v>1810867.8829999999</v>
      </c>
      <c r="L66" s="259">
        <f t="shared" si="9"/>
        <v>16.399999999999999</v>
      </c>
      <c r="M66" s="27">
        <f>IFERROR(100/'Skjema total MA'!I66*K66,0)</f>
        <v>13.960269553772147</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v>127962.71921</v>
      </c>
      <c r="D74" s="165" t="str">
        <f t="shared" ref="D74" si="10">IF(B74=0, "    ---- ", IF(ABS(ROUND(100/B74*C74-100,1))&lt;999,ROUND(100/B74*C74-100,1),IF(ROUND(100/B74*C74-100,1)&gt;999,999,-999)))</f>
        <v xml:space="preserve">    ---- </v>
      </c>
      <c r="E74" s="27">
        <f>IFERROR(100/'Skjema total MA'!C75*C74,0)</f>
        <v>2.5069757926360623</v>
      </c>
      <c r="F74" s="234"/>
      <c r="G74" s="144"/>
      <c r="H74" s="165"/>
      <c r="I74" s="27"/>
      <c r="J74" s="290"/>
      <c r="K74" s="44">
        <v>127962.71921</v>
      </c>
      <c r="L74" s="259" t="str">
        <f t="shared" ref="L74" si="11">IF(J74=0, "    ---- ", IF(ABS(ROUND(100/J74*K74-100,1))&lt;999,ROUND(100/J74*K74-100,1),IF(ROUND(100/J74*K74-100,1)&gt;999,999,-999)))</f>
        <v xml:space="preserve">    ---- </v>
      </c>
      <c r="M74" s="27">
        <f>IFERROR(100/'Skjema total MA'!I75*K74,0)</f>
        <v>0.71288490012885841</v>
      </c>
      <c r="N74" s="147"/>
    </row>
    <row r="75" spans="1:14" ht="15.75" x14ac:dyDescent="0.2">
      <c r="A75" s="21" t="s">
        <v>318</v>
      </c>
      <c r="B75" s="234">
        <v>1013919.846</v>
      </c>
      <c r="C75" s="234">
        <v>625948.95079000003</v>
      </c>
      <c r="D75" s="165">
        <f t="shared" si="7"/>
        <v>-38.299999999999997</v>
      </c>
      <c r="E75" s="27">
        <f>IFERROR(100/'Skjema total MA'!C75*C75,0)</f>
        <v>12.263250396243841</v>
      </c>
      <c r="F75" s="234">
        <v>1531021.679</v>
      </c>
      <c r="G75" s="144">
        <v>1793897.622</v>
      </c>
      <c r="H75" s="165">
        <f t="shared" si="8"/>
        <v>17.2</v>
      </c>
      <c r="I75" s="27">
        <f>IFERROR(100/'Skjema total MA'!F75*G75,0)</f>
        <v>13.964947541041225</v>
      </c>
      <c r="J75" s="290">
        <v>2544941.5249999999</v>
      </c>
      <c r="K75" s="44">
        <v>2419846.5727900001</v>
      </c>
      <c r="L75" s="259">
        <f t="shared" si="9"/>
        <v>-4.9000000000000004</v>
      </c>
      <c r="M75" s="27">
        <f>IFERROR(100/'Skjema total MA'!I75*K75,0)</f>
        <v>13.481052083142579</v>
      </c>
    </row>
    <row r="76" spans="1:14" x14ac:dyDescent="0.2">
      <c r="A76" s="21" t="s">
        <v>9</v>
      </c>
      <c r="B76" s="234">
        <v>993339.91200000001</v>
      </c>
      <c r="C76" s="144">
        <v>613417.80379000003</v>
      </c>
      <c r="D76" s="165">
        <f t="shared" si="7"/>
        <v>-38.200000000000003</v>
      </c>
      <c r="E76" s="27">
        <f>IFERROR(100/'Skjema total MA'!C76*C76,0)</f>
        <v>12.295374503000588</v>
      </c>
      <c r="F76" s="234"/>
      <c r="G76" s="144"/>
      <c r="H76" s="165"/>
      <c r="I76" s="27"/>
      <c r="J76" s="290">
        <v>993339.91200000001</v>
      </c>
      <c r="K76" s="44">
        <v>613417.80379000003</v>
      </c>
      <c r="L76" s="259">
        <f t="shared" si="9"/>
        <v>-38.200000000000003</v>
      </c>
      <c r="M76" s="27">
        <f>IFERROR(100/'Skjema total MA'!I76*K76,0)</f>
        <v>12.295374503000588</v>
      </c>
    </row>
    <row r="77" spans="1:14" x14ac:dyDescent="0.2">
      <c r="A77" s="21" t="s">
        <v>10</v>
      </c>
      <c r="B77" s="292">
        <v>20579.934000000001</v>
      </c>
      <c r="C77" s="293">
        <v>12531.147000000001</v>
      </c>
      <c r="D77" s="165">
        <f t="shared" si="7"/>
        <v>-39.1</v>
      </c>
      <c r="E77" s="27">
        <f>IFERROR(100/'Skjema total MA'!C77*C77,0)</f>
        <v>10.872684320618417</v>
      </c>
      <c r="F77" s="292">
        <v>1531021.679</v>
      </c>
      <c r="G77" s="293">
        <v>1793897.622</v>
      </c>
      <c r="H77" s="165">
        <f t="shared" si="8"/>
        <v>17.2</v>
      </c>
      <c r="I77" s="27">
        <f>IFERROR(100/'Skjema total MA'!F77*G77,0)</f>
        <v>13.964947541041225</v>
      </c>
      <c r="J77" s="290">
        <v>1551601.6129999999</v>
      </c>
      <c r="K77" s="44">
        <v>1806428.7690000001</v>
      </c>
      <c r="L77" s="259">
        <f t="shared" si="9"/>
        <v>16.399999999999999</v>
      </c>
      <c r="M77" s="27">
        <f>IFERROR(100/'Skjema total MA'!I77*K77,0)</f>
        <v>13.937450055416368</v>
      </c>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v>10687.154</v>
      </c>
      <c r="C84" s="144">
        <v>9648.33</v>
      </c>
      <c r="D84" s="165">
        <f t="shared" si="7"/>
        <v>-9.6999999999999993</v>
      </c>
      <c r="E84" s="27">
        <f>IFERROR(100/'Skjema total MA'!C84*C84,0)</f>
        <v>6.6562587533742219</v>
      </c>
      <c r="F84" s="234">
        <v>2080.627</v>
      </c>
      <c r="G84" s="144">
        <v>2219.261</v>
      </c>
      <c r="H84" s="165">
        <f t="shared" si="8"/>
        <v>6.7</v>
      </c>
      <c r="I84" s="27">
        <f>IFERROR(100/'Skjema total MA'!F84*G84,0)</f>
        <v>26.444004671370891</v>
      </c>
      <c r="J84" s="290">
        <v>12767.781000000001</v>
      </c>
      <c r="K84" s="44">
        <v>11867.591</v>
      </c>
      <c r="L84" s="259">
        <f t="shared" si="9"/>
        <v>-7.1</v>
      </c>
      <c r="M84" s="27">
        <f>IFERROR(100/'Skjema total MA'!I84*K84,0)</f>
        <v>7.7392176434015356</v>
      </c>
    </row>
    <row r="85" spans="1:13" ht="15.75" x14ac:dyDescent="0.2">
      <c r="A85" s="13" t="s">
        <v>26</v>
      </c>
      <c r="B85" s="347">
        <v>42961509.82118576</v>
      </c>
      <c r="C85" s="347">
        <v>44444065.021754675</v>
      </c>
      <c r="D85" s="170">
        <f t="shared" si="7"/>
        <v>3.5</v>
      </c>
      <c r="E85" s="11">
        <f>IFERROR(100/'Skjema total MA'!C85*C85,0)</f>
        <v>11.889474577733223</v>
      </c>
      <c r="F85" s="346">
        <v>22990593.549698401</v>
      </c>
      <c r="G85" s="346">
        <v>28198131.252280101</v>
      </c>
      <c r="H85" s="170">
        <f t="shared" si="8"/>
        <v>22.7</v>
      </c>
      <c r="I85" s="11">
        <f>IFERROR(100/'Skjema total MA'!F85*G85,0)</f>
        <v>14.178007202069923</v>
      </c>
      <c r="J85" s="307">
        <v>65952103.370884165</v>
      </c>
      <c r="K85" s="236">
        <v>72642196.274034768</v>
      </c>
      <c r="L85" s="404">
        <f t="shared" si="9"/>
        <v>10.1</v>
      </c>
      <c r="M85" s="11">
        <f>IFERROR(100/'Skjema total MA'!I85*K85,0)</f>
        <v>12.684237585851054</v>
      </c>
    </row>
    <row r="86" spans="1:13" x14ac:dyDescent="0.2">
      <c r="A86" s="21" t="s">
        <v>9</v>
      </c>
      <c r="B86" s="234">
        <v>41832958.704135299</v>
      </c>
      <c r="C86" s="144">
        <v>43359888.438533798</v>
      </c>
      <c r="D86" s="165">
        <f t="shared" si="7"/>
        <v>3.7</v>
      </c>
      <c r="E86" s="27">
        <f>IFERROR(100/'Skjema total MA'!C86*C86,0)</f>
        <v>11.685145853168057</v>
      </c>
      <c r="F86" s="234"/>
      <c r="G86" s="144"/>
      <c r="H86" s="165"/>
      <c r="I86" s="27"/>
      <c r="J86" s="290">
        <v>41832958.704135299</v>
      </c>
      <c r="K86" s="44">
        <v>43359888.438533798</v>
      </c>
      <c r="L86" s="259">
        <f t="shared" si="9"/>
        <v>3.7</v>
      </c>
      <c r="M86" s="27">
        <f>IFERROR(100/'Skjema total MA'!I86*K86,0)</f>
        <v>11.685145853168057</v>
      </c>
    </row>
    <row r="87" spans="1:13" x14ac:dyDescent="0.2">
      <c r="A87" s="21" t="s">
        <v>10</v>
      </c>
      <c r="B87" s="234">
        <v>1128551.1170504601</v>
      </c>
      <c r="C87" s="144">
        <v>1084176.58322088</v>
      </c>
      <c r="D87" s="165">
        <f t="shared" si="7"/>
        <v>-3.9</v>
      </c>
      <c r="E87" s="27">
        <f>IFERROR(100/'Skjema total MA'!C87*C87,0)</f>
        <v>43.382690307302184</v>
      </c>
      <c r="F87" s="234">
        <v>22990593.549698401</v>
      </c>
      <c r="G87" s="144">
        <v>28198131.252280101</v>
      </c>
      <c r="H87" s="165">
        <f t="shared" si="8"/>
        <v>22.7</v>
      </c>
      <c r="I87" s="27">
        <f>IFERROR(100/'Skjema total MA'!F87*G87,0)</f>
        <v>14.203673990969435</v>
      </c>
      <c r="J87" s="290">
        <v>24119144.666748863</v>
      </c>
      <c r="K87" s="44">
        <v>29282307.835500982</v>
      </c>
      <c r="L87" s="259">
        <f t="shared" si="9"/>
        <v>21.4</v>
      </c>
      <c r="M87" s="27">
        <f>IFERROR(100/'Skjema total MA'!I87*K87,0)</f>
        <v>14.566419205292782</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v>1128.3910000000001</v>
      </c>
      <c r="D95" s="165" t="str">
        <f t="shared" ref="D95" si="12">IF(B95=0, "    ---- ", IF(ABS(ROUND(100/B95*C95-100,1))&lt;999,ROUND(100/B95*C95-100,1),IF(ROUND(100/B95*C95-100,1)&gt;999,999,-999)))</f>
        <v xml:space="preserve">    ---- </v>
      </c>
      <c r="E95" s="27">
        <f>IFERROR(100/'Skjema total MA'!C96*C95,0)</f>
        <v>3.0608022032760514E-4</v>
      </c>
      <c r="F95" s="234"/>
      <c r="G95" s="144"/>
      <c r="H95" s="165"/>
      <c r="I95" s="27"/>
      <c r="J95" s="290"/>
      <c r="K95" s="44">
        <v>1128.3910000000001</v>
      </c>
      <c r="L95" s="259" t="str">
        <f t="shared" ref="L95" si="13">IF(J95=0, "    ---- ", IF(ABS(ROUND(100/J95*K95-100,1))&lt;999,ROUND(100/J95*K95-100,1),IF(ROUND(100/J95*K95-100,1)&gt;999,999,-999)))</f>
        <v xml:space="preserve">    ---- </v>
      </c>
      <c r="M95" s="27">
        <f>IFERROR(100/'Skjema total MA'!I96*K95,0)</f>
        <v>1.9913269030805535E-4</v>
      </c>
    </row>
    <row r="96" spans="1:13" ht="15.75" x14ac:dyDescent="0.2">
      <c r="A96" s="21" t="s">
        <v>318</v>
      </c>
      <c r="B96" s="234">
        <v>42936376.809185758</v>
      </c>
      <c r="C96" s="234">
        <v>44419066.633754678</v>
      </c>
      <c r="D96" s="165">
        <f t="shared" si="7"/>
        <v>3.5</v>
      </c>
      <c r="E96" s="27">
        <f>IFERROR(100/'Skjema total MA'!C96*C96,0)</f>
        <v>12.04883564474212</v>
      </c>
      <c r="F96" s="292">
        <v>22976735.251698401</v>
      </c>
      <c r="G96" s="292">
        <v>28178991.197280101</v>
      </c>
      <c r="H96" s="165">
        <f t="shared" si="8"/>
        <v>22.6</v>
      </c>
      <c r="I96" s="27">
        <f>IFERROR(100/'Skjema total MA'!F96*G96,0)</f>
        <v>14.232228093929766</v>
      </c>
      <c r="J96" s="290">
        <v>65913112.060884163</v>
      </c>
      <c r="K96" s="44">
        <v>72598057.83103478</v>
      </c>
      <c r="L96" s="259">
        <f t="shared" si="9"/>
        <v>10.1</v>
      </c>
      <c r="M96" s="27">
        <f>IFERROR(100/'Skjema total MA'!I96*K96,0)</f>
        <v>12.811735087424253</v>
      </c>
    </row>
    <row r="97" spans="1:13" x14ac:dyDescent="0.2">
      <c r="A97" s="21" t="s">
        <v>9</v>
      </c>
      <c r="B97" s="292">
        <v>41807825.692135297</v>
      </c>
      <c r="C97" s="293">
        <v>43334890.050533801</v>
      </c>
      <c r="D97" s="165">
        <f t="shared" si="7"/>
        <v>3.7</v>
      </c>
      <c r="E97" s="27">
        <f>IFERROR(100/'Skjema total MA'!C97*C97,0)</f>
        <v>11.834976866542982</v>
      </c>
      <c r="F97" s="234"/>
      <c r="G97" s="144"/>
      <c r="H97" s="165"/>
      <c r="I97" s="27"/>
      <c r="J97" s="290">
        <v>41807825.692135297</v>
      </c>
      <c r="K97" s="44">
        <v>43334890.050533801</v>
      </c>
      <c r="L97" s="259">
        <f t="shared" si="9"/>
        <v>3.7</v>
      </c>
      <c r="M97" s="27">
        <f>IFERROR(100/'Skjema total MA'!I97*K97,0)</f>
        <v>11.834976866542982</v>
      </c>
    </row>
    <row r="98" spans="1:13" x14ac:dyDescent="0.2">
      <c r="A98" s="21" t="s">
        <v>10</v>
      </c>
      <c r="B98" s="292">
        <v>1128551.1170504601</v>
      </c>
      <c r="C98" s="293">
        <v>1084176.58322088</v>
      </c>
      <c r="D98" s="165">
        <f t="shared" si="7"/>
        <v>-3.9</v>
      </c>
      <c r="E98" s="27">
        <f>IFERROR(100/'Skjema total MA'!C98*C98,0)</f>
        <v>43.382690307302184</v>
      </c>
      <c r="F98" s="234">
        <v>22976735.251698401</v>
      </c>
      <c r="G98" s="234">
        <v>28178991.197280101</v>
      </c>
      <c r="H98" s="165">
        <f t="shared" si="8"/>
        <v>22.6</v>
      </c>
      <c r="I98" s="27">
        <f>IFERROR(100/'Skjema total MA'!F98*G98,0)</f>
        <v>14.232228093929766</v>
      </c>
      <c r="J98" s="290">
        <v>24105286.368748862</v>
      </c>
      <c r="K98" s="44">
        <v>29263167.780500982</v>
      </c>
      <c r="L98" s="259">
        <f t="shared" si="9"/>
        <v>21.4</v>
      </c>
      <c r="M98" s="27">
        <f>IFERROR(100/'Skjema total MA'!I98*K98,0)</f>
        <v>14.595581342992785</v>
      </c>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v>25133.011999999999</v>
      </c>
      <c r="C105" s="144">
        <v>24998.387999999999</v>
      </c>
      <c r="D105" s="165">
        <f t="shared" si="7"/>
        <v>-0.5</v>
      </c>
      <c r="E105" s="27">
        <f>IFERROR(100/'Skjema total MA'!C105*C105,0)</f>
        <v>0.50924025465867717</v>
      </c>
      <c r="F105" s="234">
        <v>13858.298000000001</v>
      </c>
      <c r="G105" s="144">
        <v>19140.055</v>
      </c>
      <c r="H105" s="165">
        <f t="shared" si="8"/>
        <v>38.1</v>
      </c>
      <c r="I105" s="27">
        <f>IFERROR(100/'Skjema total MA'!F105*G105,0)</f>
        <v>3.5924306205725043</v>
      </c>
      <c r="J105" s="290">
        <v>38991.31</v>
      </c>
      <c r="K105" s="44">
        <v>44138.442999999999</v>
      </c>
      <c r="L105" s="259">
        <f t="shared" si="9"/>
        <v>13.2</v>
      </c>
      <c r="M105" s="27">
        <f>IFERROR(100/'Skjema total MA'!I105*K105,0)</f>
        <v>0.81110810724031634</v>
      </c>
    </row>
    <row r="106" spans="1:13" ht="15.75" x14ac:dyDescent="0.2">
      <c r="A106" s="21" t="s">
        <v>328</v>
      </c>
      <c r="B106" s="234">
        <v>27316095.845076401</v>
      </c>
      <c r="C106" s="234">
        <v>32591520.490515299</v>
      </c>
      <c r="D106" s="165">
        <f t="shared" si="7"/>
        <v>19.3</v>
      </c>
      <c r="E106" s="27">
        <f>IFERROR(100/'Skjema total MA'!C106*C106,0)</f>
        <v>11.137395903839444</v>
      </c>
      <c r="F106" s="234"/>
      <c r="G106" s="234"/>
      <c r="H106" s="165"/>
      <c r="I106" s="27"/>
      <c r="J106" s="290">
        <v>27316095.845076401</v>
      </c>
      <c r="K106" s="44">
        <v>32591520.490515299</v>
      </c>
      <c r="L106" s="259">
        <f t="shared" si="9"/>
        <v>19.3</v>
      </c>
      <c r="M106" s="27">
        <f>IFERROR(100/'Skjema total MA'!I106*K106,0)</f>
        <v>10.894921094067469</v>
      </c>
    </row>
    <row r="107" spans="1:13" ht="15.75" x14ac:dyDescent="0.2">
      <c r="A107" s="21" t="s">
        <v>320</v>
      </c>
      <c r="B107" s="234">
        <v>364288.64500000002</v>
      </c>
      <c r="C107" s="234">
        <v>387000.54399999999</v>
      </c>
      <c r="D107" s="165">
        <f t="shared" si="7"/>
        <v>6.2</v>
      </c>
      <c r="E107" s="27">
        <f>IFERROR(100/'Skjema total MA'!C107*C107,0)</f>
        <v>50.636587764165341</v>
      </c>
      <c r="F107" s="234">
        <v>8182597.3718019398</v>
      </c>
      <c r="G107" s="234">
        <v>11249709.821288001</v>
      </c>
      <c r="H107" s="165">
        <f t="shared" si="8"/>
        <v>37.5</v>
      </c>
      <c r="I107" s="27">
        <f>IFERROR(100/'Skjema total MA'!F107*G107,0)</f>
        <v>17.783337652263441</v>
      </c>
      <c r="J107" s="290">
        <v>8546886.0168019403</v>
      </c>
      <c r="K107" s="44">
        <v>11636710.365288001</v>
      </c>
      <c r="L107" s="259">
        <f t="shared" si="9"/>
        <v>36.200000000000003</v>
      </c>
      <c r="M107" s="27">
        <f>IFERROR(100/'Skjema total MA'!I107*K107,0)</f>
        <v>18.175514518664372</v>
      </c>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v>3379.8389999999999</v>
      </c>
      <c r="C109" s="158"/>
      <c r="D109" s="170">
        <f t="shared" si="7"/>
        <v>-100</v>
      </c>
      <c r="E109" s="11">
        <f>IFERROR(100/'Skjema total MA'!C109*C109,0)</f>
        <v>0</v>
      </c>
      <c r="F109" s="306">
        <v>472083.67460000003</v>
      </c>
      <c r="G109" s="158">
        <v>617767.728</v>
      </c>
      <c r="H109" s="170">
        <f t="shared" si="8"/>
        <v>30.9</v>
      </c>
      <c r="I109" s="11">
        <f>IFERROR(100/'Skjema total MA'!F109*G109,0)</f>
        <v>9.5471801159484126</v>
      </c>
      <c r="J109" s="307">
        <v>475463.51360000001</v>
      </c>
      <c r="K109" s="236">
        <v>617767.728</v>
      </c>
      <c r="L109" s="404">
        <f t="shared" si="9"/>
        <v>29.9</v>
      </c>
      <c r="M109" s="11">
        <f>IFERROR(100/'Skjema total MA'!I109*K109,0)</f>
        <v>9.0596883109622279</v>
      </c>
    </row>
    <row r="110" spans="1:13" x14ac:dyDescent="0.2">
      <c r="A110" s="21" t="s">
        <v>9</v>
      </c>
      <c r="B110" s="234">
        <v>3379.8389999999999</v>
      </c>
      <c r="C110" s="144"/>
      <c r="D110" s="165">
        <f t="shared" ref="D110:D123" si="14">IF(B110=0, "    ---- ", IF(ABS(ROUND(100/B110*C110-100,1))&lt;999,ROUND(100/B110*C110-100,1),IF(ROUND(100/B110*C110-100,1)&gt;999,999,-999)))</f>
        <v>-100</v>
      </c>
      <c r="E110" s="27">
        <f>IFERROR(100/'Skjema total MA'!C110*C110,0)</f>
        <v>0</v>
      </c>
      <c r="F110" s="234"/>
      <c r="G110" s="144"/>
      <c r="H110" s="165"/>
      <c r="I110" s="27"/>
      <c r="J110" s="290">
        <v>3379.8389999999999</v>
      </c>
      <c r="K110" s="44"/>
      <c r="L110" s="259">
        <f t="shared" ref="L110:L123" si="15">IF(J110=0, "    ---- ", IF(ABS(ROUND(100/J110*K110-100,1))&lt;999,ROUND(100/J110*K110-100,1),IF(ROUND(100/J110*K110-100,1)&gt;999,999,-999)))</f>
        <v>-100</v>
      </c>
      <c r="M110" s="27">
        <f>IFERROR(100/'Skjema total MA'!I110*K110,0)</f>
        <v>0</v>
      </c>
    </row>
    <row r="111" spans="1:13" x14ac:dyDescent="0.2">
      <c r="A111" s="21" t="s">
        <v>10</v>
      </c>
      <c r="B111" s="234"/>
      <c r="C111" s="144"/>
      <c r="D111" s="165"/>
      <c r="E111" s="27"/>
      <c r="F111" s="234">
        <v>472083.67460000003</v>
      </c>
      <c r="G111" s="144">
        <v>617767.728</v>
      </c>
      <c r="H111" s="165">
        <f t="shared" ref="H111:H123" si="16">IF(F111=0, "    ---- ", IF(ABS(ROUND(100/F111*G111-100,1))&lt;999,ROUND(100/F111*G111-100,1),IF(ROUND(100/F111*G111-100,1)&gt;999,999,-999)))</f>
        <v>30.9</v>
      </c>
      <c r="I111" s="27">
        <f>IFERROR(100/'Skjema total MA'!F111*G111,0)</f>
        <v>9.5471801159484126</v>
      </c>
      <c r="J111" s="290">
        <v>472083.67460000003</v>
      </c>
      <c r="K111" s="44">
        <v>617767.728</v>
      </c>
      <c r="L111" s="259">
        <f t="shared" si="15"/>
        <v>30.9</v>
      </c>
      <c r="M111" s="27">
        <f>IFERROR(100/'Skjema total MA'!I111*K111,0)</f>
        <v>9.5434498112774389</v>
      </c>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v>438.46699999999998</v>
      </c>
      <c r="C114" s="234"/>
      <c r="D114" s="165">
        <f t="shared" si="14"/>
        <v>-100</v>
      </c>
      <c r="E114" s="27">
        <f>IFERROR(100/'Skjema total MA'!C114*C114,0)</f>
        <v>0</v>
      </c>
      <c r="F114" s="234"/>
      <c r="G114" s="234"/>
      <c r="H114" s="165"/>
      <c r="I114" s="27"/>
      <c r="J114" s="290">
        <v>438.46699999999998</v>
      </c>
      <c r="K114" s="44"/>
      <c r="L114" s="259">
        <f t="shared" si="15"/>
        <v>-100</v>
      </c>
      <c r="M114" s="27">
        <f>IFERROR(100/'Skjema total MA'!I114*K114,0)</f>
        <v>0</v>
      </c>
    </row>
    <row r="115" spans="1:14" ht="15.75" x14ac:dyDescent="0.2">
      <c r="A115" s="21" t="s">
        <v>322</v>
      </c>
      <c r="B115" s="234"/>
      <c r="C115" s="234"/>
      <c r="D115" s="165"/>
      <c r="E115" s="27"/>
      <c r="F115" s="234">
        <v>89424.589000000007</v>
      </c>
      <c r="G115" s="234">
        <v>162692.728</v>
      </c>
      <c r="H115" s="165">
        <f t="shared" si="16"/>
        <v>81.900000000000006</v>
      </c>
      <c r="I115" s="27">
        <f>IFERROR(100/'Skjema total MA'!F115*G115,0)</f>
        <v>14.72251756186825</v>
      </c>
      <c r="J115" s="290">
        <v>89424.589000000007</v>
      </c>
      <c r="K115" s="44">
        <v>162692.728</v>
      </c>
      <c r="L115" s="259">
        <f t="shared" si="15"/>
        <v>81.900000000000006</v>
      </c>
      <c r="M115" s="27">
        <f>IFERROR(100/'Skjema total MA'!I115*K115,0)</f>
        <v>14.72251756186825</v>
      </c>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127539.40818</v>
      </c>
      <c r="C117" s="158">
        <v>56828.131709999798</v>
      </c>
      <c r="D117" s="170">
        <f t="shared" si="14"/>
        <v>-55.4</v>
      </c>
      <c r="E117" s="11">
        <f>IFERROR(100/'Skjema total MA'!C117*C117,0)</f>
        <v>19.37143632730324</v>
      </c>
      <c r="F117" s="306">
        <v>952649.59900000005</v>
      </c>
      <c r="G117" s="158">
        <v>1537598.8160000001</v>
      </c>
      <c r="H117" s="170">
        <f t="shared" si="16"/>
        <v>61.4</v>
      </c>
      <c r="I117" s="11">
        <f>IFERROR(100/'Skjema total MA'!F117*G117,0)</f>
        <v>23.849750500556137</v>
      </c>
      <c r="J117" s="307">
        <v>1080189.00718</v>
      </c>
      <c r="K117" s="236">
        <v>1594426.94771</v>
      </c>
      <c r="L117" s="404">
        <f t="shared" si="15"/>
        <v>47.6</v>
      </c>
      <c r="M117" s="11">
        <f>IFERROR(100/'Skjema total MA'!I117*K117,0)</f>
        <v>23.654841662507476</v>
      </c>
    </row>
    <row r="118" spans="1:14" x14ac:dyDescent="0.2">
      <c r="A118" s="21" t="s">
        <v>9</v>
      </c>
      <c r="B118" s="234">
        <v>126911.80018000001</v>
      </c>
      <c r="C118" s="144">
        <v>56828.131709999798</v>
      </c>
      <c r="D118" s="165">
        <f t="shared" si="14"/>
        <v>-55.2</v>
      </c>
      <c r="E118" s="27">
        <f>IFERROR(100/'Skjema total MA'!C118*C118,0)</f>
        <v>21.99926023605758</v>
      </c>
      <c r="F118" s="234"/>
      <c r="G118" s="144"/>
      <c r="H118" s="165"/>
      <c r="I118" s="27"/>
      <c r="J118" s="290">
        <v>126911.80018000001</v>
      </c>
      <c r="K118" s="44">
        <v>56828.131709999798</v>
      </c>
      <c r="L118" s="259">
        <f t="shared" si="15"/>
        <v>-55.2</v>
      </c>
      <c r="M118" s="27">
        <f>IFERROR(100/'Skjema total MA'!I118*K118,0)</f>
        <v>21.99926023605758</v>
      </c>
    </row>
    <row r="119" spans="1:14" x14ac:dyDescent="0.2">
      <c r="A119" s="21" t="s">
        <v>10</v>
      </c>
      <c r="B119" s="234">
        <v>627.60799999999995</v>
      </c>
      <c r="C119" s="144"/>
      <c r="D119" s="165">
        <f t="shared" si="14"/>
        <v>-100</v>
      </c>
      <c r="E119" s="27">
        <f>IFERROR(100/'Skjema total MA'!C119*C119,0)</f>
        <v>0</v>
      </c>
      <c r="F119" s="234">
        <v>952649.59900000005</v>
      </c>
      <c r="G119" s="144">
        <v>1537598.8160000001</v>
      </c>
      <c r="H119" s="165">
        <f t="shared" si="16"/>
        <v>61.4</v>
      </c>
      <c r="I119" s="27">
        <f>IFERROR(100/'Skjema total MA'!F119*G119,0)</f>
        <v>23.849750500556137</v>
      </c>
      <c r="J119" s="290">
        <v>953277.20700000005</v>
      </c>
      <c r="K119" s="44">
        <v>1537598.8160000001</v>
      </c>
      <c r="L119" s="259">
        <f t="shared" si="15"/>
        <v>61.3</v>
      </c>
      <c r="M119" s="27">
        <f>IFERROR(100/'Skjema total MA'!I119*K119,0)</f>
        <v>23.785511532703286</v>
      </c>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v>3933.67</v>
      </c>
      <c r="C122" s="234"/>
      <c r="D122" s="165">
        <f t="shared" si="14"/>
        <v>-100</v>
      </c>
      <c r="E122" s="27">
        <f>IFERROR(100/'Skjema total MA'!C122*C122,0)</f>
        <v>0</v>
      </c>
      <c r="F122" s="234"/>
      <c r="G122" s="234"/>
      <c r="H122" s="165"/>
      <c r="I122" s="27"/>
      <c r="J122" s="290">
        <v>3933.67</v>
      </c>
      <c r="K122" s="44"/>
      <c r="L122" s="259">
        <f t="shared" si="15"/>
        <v>-100</v>
      </c>
      <c r="M122" s="27">
        <f>IFERROR(100/'Skjema total MA'!I122*K122,0)</f>
        <v>0</v>
      </c>
    </row>
    <row r="123" spans="1:14" ht="15.75" x14ac:dyDescent="0.2">
      <c r="A123" s="21" t="s">
        <v>320</v>
      </c>
      <c r="B123" s="234">
        <v>627.60799999999995</v>
      </c>
      <c r="C123" s="234"/>
      <c r="D123" s="165">
        <f t="shared" si="14"/>
        <v>-100</v>
      </c>
      <c r="E123" s="27">
        <f>IFERROR(100/'Skjema total MA'!C123*C123,0)</f>
        <v>0</v>
      </c>
      <c r="F123" s="234">
        <v>38146.695</v>
      </c>
      <c r="G123" s="234"/>
      <c r="H123" s="165">
        <f t="shared" si="16"/>
        <v>-100</v>
      </c>
      <c r="I123" s="27">
        <f>IFERROR(100/'Skjema total MA'!F123*G123,0)</f>
        <v>0</v>
      </c>
      <c r="J123" s="290">
        <v>38774.303</v>
      </c>
      <c r="K123" s="44"/>
      <c r="L123" s="259">
        <f t="shared" si="15"/>
        <v>-100</v>
      </c>
      <c r="M123" s="27">
        <f>IFERROR(100/'Skjema total MA'!I123*K123,0)</f>
        <v>0</v>
      </c>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655" priority="132">
      <formula>kvartal &lt; 4</formula>
    </cfRule>
  </conditionalFormatting>
  <conditionalFormatting sqref="B29">
    <cfRule type="expression" dxfId="654" priority="130">
      <formula>kvartal &lt; 4</formula>
    </cfRule>
  </conditionalFormatting>
  <conditionalFormatting sqref="B30">
    <cfRule type="expression" dxfId="653" priority="129">
      <formula>kvartal &lt; 4</formula>
    </cfRule>
  </conditionalFormatting>
  <conditionalFormatting sqref="B31">
    <cfRule type="expression" dxfId="652" priority="128">
      <formula>kvartal &lt; 4</formula>
    </cfRule>
  </conditionalFormatting>
  <conditionalFormatting sqref="C29">
    <cfRule type="expression" dxfId="651" priority="127">
      <formula>kvartal &lt; 4</formula>
    </cfRule>
  </conditionalFormatting>
  <conditionalFormatting sqref="C30">
    <cfRule type="expression" dxfId="650" priority="126">
      <formula>kvartal &lt; 4</formula>
    </cfRule>
  </conditionalFormatting>
  <conditionalFormatting sqref="C31">
    <cfRule type="expression" dxfId="649" priority="125">
      <formula>kvartal &lt; 4</formula>
    </cfRule>
  </conditionalFormatting>
  <conditionalFormatting sqref="B23:C25">
    <cfRule type="expression" dxfId="648" priority="124">
      <formula>kvartal &lt; 4</formula>
    </cfRule>
  </conditionalFormatting>
  <conditionalFormatting sqref="F23:G25">
    <cfRule type="expression" dxfId="647" priority="120">
      <formula>kvartal &lt; 4</formula>
    </cfRule>
  </conditionalFormatting>
  <conditionalFormatting sqref="F29">
    <cfRule type="expression" dxfId="646" priority="113">
      <formula>kvartal &lt; 4</formula>
    </cfRule>
  </conditionalFormatting>
  <conditionalFormatting sqref="F30">
    <cfRule type="expression" dxfId="645" priority="112">
      <formula>kvartal &lt; 4</formula>
    </cfRule>
  </conditionalFormatting>
  <conditionalFormatting sqref="F31">
    <cfRule type="expression" dxfId="644" priority="111">
      <formula>kvartal &lt; 4</formula>
    </cfRule>
  </conditionalFormatting>
  <conditionalFormatting sqref="G29">
    <cfRule type="expression" dxfId="643" priority="110">
      <formula>kvartal &lt; 4</formula>
    </cfRule>
  </conditionalFormatting>
  <conditionalFormatting sqref="G30">
    <cfRule type="expression" dxfId="642" priority="109">
      <formula>kvartal &lt; 4</formula>
    </cfRule>
  </conditionalFormatting>
  <conditionalFormatting sqref="G31">
    <cfRule type="expression" dxfId="641" priority="108">
      <formula>kvartal &lt; 4</formula>
    </cfRule>
  </conditionalFormatting>
  <conditionalFormatting sqref="B26">
    <cfRule type="expression" dxfId="640" priority="107">
      <formula>kvartal &lt; 4</formula>
    </cfRule>
  </conditionalFormatting>
  <conditionalFormatting sqref="C26">
    <cfRule type="expression" dxfId="639" priority="106">
      <formula>kvartal &lt; 4</formula>
    </cfRule>
  </conditionalFormatting>
  <conditionalFormatting sqref="F26">
    <cfRule type="expression" dxfId="638" priority="105">
      <formula>kvartal &lt; 4</formula>
    </cfRule>
  </conditionalFormatting>
  <conditionalFormatting sqref="G26">
    <cfRule type="expression" dxfId="637" priority="104">
      <formula>kvartal &lt; 4</formula>
    </cfRule>
  </conditionalFormatting>
  <conditionalFormatting sqref="J23:K26">
    <cfRule type="expression" dxfId="636" priority="103">
      <formula>kvartal &lt; 4</formula>
    </cfRule>
  </conditionalFormatting>
  <conditionalFormatting sqref="J29:K31">
    <cfRule type="expression" dxfId="635" priority="101">
      <formula>kvartal &lt; 4</formula>
    </cfRule>
  </conditionalFormatting>
  <conditionalFormatting sqref="B67">
    <cfRule type="expression" dxfId="634" priority="100">
      <formula>kvartal &lt; 4</formula>
    </cfRule>
  </conditionalFormatting>
  <conditionalFormatting sqref="C67">
    <cfRule type="expression" dxfId="633" priority="99">
      <formula>kvartal &lt; 4</formula>
    </cfRule>
  </conditionalFormatting>
  <conditionalFormatting sqref="B70">
    <cfRule type="expression" dxfId="632" priority="98">
      <formula>kvartal &lt; 4</formula>
    </cfRule>
  </conditionalFormatting>
  <conditionalFormatting sqref="C70">
    <cfRule type="expression" dxfId="631" priority="97">
      <formula>kvartal &lt; 4</formula>
    </cfRule>
  </conditionalFormatting>
  <conditionalFormatting sqref="B78">
    <cfRule type="expression" dxfId="630" priority="96">
      <formula>kvartal &lt; 4</formula>
    </cfRule>
  </conditionalFormatting>
  <conditionalFormatting sqref="C78">
    <cfRule type="expression" dxfId="629" priority="95">
      <formula>kvartal &lt; 4</formula>
    </cfRule>
  </conditionalFormatting>
  <conditionalFormatting sqref="B81">
    <cfRule type="expression" dxfId="628" priority="94">
      <formula>kvartal &lt; 4</formula>
    </cfRule>
  </conditionalFormatting>
  <conditionalFormatting sqref="C81">
    <cfRule type="expression" dxfId="627" priority="93">
      <formula>kvartal &lt; 4</formula>
    </cfRule>
  </conditionalFormatting>
  <conditionalFormatting sqref="B88">
    <cfRule type="expression" dxfId="626" priority="84">
      <formula>kvartal &lt; 4</formula>
    </cfRule>
  </conditionalFormatting>
  <conditionalFormatting sqref="C88">
    <cfRule type="expression" dxfId="625" priority="83">
      <formula>kvartal &lt; 4</formula>
    </cfRule>
  </conditionalFormatting>
  <conditionalFormatting sqref="B91">
    <cfRule type="expression" dxfId="624" priority="82">
      <formula>kvartal &lt; 4</formula>
    </cfRule>
  </conditionalFormatting>
  <conditionalFormatting sqref="C91">
    <cfRule type="expression" dxfId="623" priority="81">
      <formula>kvartal &lt; 4</formula>
    </cfRule>
  </conditionalFormatting>
  <conditionalFormatting sqref="B99">
    <cfRule type="expression" dxfId="622" priority="80">
      <formula>kvartal &lt; 4</formula>
    </cfRule>
  </conditionalFormatting>
  <conditionalFormatting sqref="C99">
    <cfRule type="expression" dxfId="621" priority="79">
      <formula>kvartal &lt; 4</formula>
    </cfRule>
  </conditionalFormatting>
  <conditionalFormatting sqref="B102">
    <cfRule type="expression" dxfId="620" priority="78">
      <formula>kvartal &lt; 4</formula>
    </cfRule>
  </conditionalFormatting>
  <conditionalFormatting sqref="C102">
    <cfRule type="expression" dxfId="619" priority="77">
      <formula>kvartal &lt; 4</formula>
    </cfRule>
  </conditionalFormatting>
  <conditionalFormatting sqref="B113">
    <cfRule type="expression" dxfId="618" priority="76">
      <formula>kvartal &lt; 4</formula>
    </cfRule>
  </conditionalFormatting>
  <conditionalFormatting sqref="C113">
    <cfRule type="expression" dxfId="617" priority="75">
      <formula>kvartal &lt; 4</formula>
    </cfRule>
  </conditionalFormatting>
  <conditionalFormatting sqref="B121">
    <cfRule type="expression" dxfId="616" priority="74">
      <formula>kvartal &lt; 4</formula>
    </cfRule>
  </conditionalFormatting>
  <conditionalFormatting sqref="C121">
    <cfRule type="expression" dxfId="615" priority="73">
      <formula>kvartal &lt; 4</formula>
    </cfRule>
  </conditionalFormatting>
  <conditionalFormatting sqref="F68">
    <cfRule type="expression" dxfId="614" priority="72">
      <formula>kvartal &lt; 4</formula>
    </cfRule>
  </conditionalFormatting>
  <conditionalFormatting sqref="G68">
    <cfRule type="expression" dxfId="613" priority="71">
      <formula>kvartal &lt; 4</formula>
    </cfRule>
  </conditionalFormatting>
  <conditionalFormatting sqref="F69:G69">
    <cfRule type="expression" dxfId="612" priority="70">
      <formula>kvartal &lt; 4</formula>
    </cfRule>
  </conditionalFormatting>
  <conditionalFormatting sqref="F71:G72">
    <cfRule type="expression" dxfId="611" priority="69">
      <formula>kvartal &lt; 4</formula>
    </cfRule>
  </conditionalFormatting>
  <conditionalFormatting sqref="F79:G80">
    <cfRule type="expression" dxfId="610" priority="68">
      <formula>kvartal &lt; 4</formula>
    </cfRule>
  </conditionalFormatting>
  <conditionalFormatting sqref="F82:G83">
    <cfRule type="expression" dxfId="609" priority="67">
      <formula>kvartal &lt; 4</formula>
    </cfRule>
  </conditionalFormatting>
  <conditionalFormatting sqref="F89:G90">
    <cfRule type="expression" dxfId="608" priority="62">
      <formula>kvartal &lt; 4</formula>
    </cfRule>
  </conditionalFormatting>
  <conditionalFormatting sqref="F92:G93">
    <cfRule type="expression" dxfId="607" priority="61">
      <formula>kvartal &lt; 4</formula>
    </cfRule>
  </conditionalFormatting>
  <conditionalFormatting sqref="F100:G101">
    <cfRule type="expression" dxfId="606" priority="60">
      <formula>kvartal &lt; 4</formula>
    </cfRule>
  </conditionalFormatting>
  <conditionalFormatting sqref="F103:G104">
    <cfRule type="expression" dxfId="605" priority="59">
      <formula>kvartal &lt; 4</formula>
    </cfRule>
  </conditionalFormatting>
  <conditionalFormatting sqref="F113">
    <cfRule type="expression" dxfId="604" priority="58">
      <formula>kvartal &lt; 4</formula>
    </cfRule>
  </conditionalFormatting>
  <conditionalFormatting sqref="G113">
    <cfRule type="expression" dxfId="603" priority="57">
      <formula>kvartal &lt; 4</formula>
    </cfRule>
  </conditionalFormatting>
  <conditionalFormatting sqref="F121:G121">
    <cfRule type="expression" dxfId="602" priority="56">
      <formula>kvartal &lt; 4</formula>
    </cfRule>
  </conditionalFormatting>
  <conditionalFormatting sqref="F67:G67">
    <cfRule type="expression" dxfId="601" priority="55">
      <formula>kvartal &lt; 4</formula>
    </cfRule>
  </conditionalFormatting>
  <conditionalFormatting sqref="F70:G70">
    <cfRule type="expression" dxfId="600" priority="54">
      <formula>kvartal &lt; 4</formula>
    </cfRule>
  </conditionalFormatting>
  <conditionalFormatting sqref="F78:G78">
    <cfRule type="expression" dxfId="599" priority="53">
      <formula>kvartal &lt; 4</formula>
    </cfRule>
  </conditionalFormatting>
  <conditionalFormatting sqref="F81:G81">
    <cfRule type="expression" dxfId="598" priority="52">
      <formula>kvartal &lt; 4</formula>
    </cfRule>
  </conditionalFormatting>
  <conditionalFormatting sqref="F88:G88">
    <cfRule type="expression" dxfId="597" priority="46">
      <formula>kvartal &lt; 4</formula>
    </cfRule>
  </conditionalFormatting>
  <conditionalFormatting sqref="F91">
    <cfRule type="expression" dxfId="596" priority="45">
      <formula>kvartal &lt; 4</formula>
    </cfRule>
  </conditionalFormatting>
  <conditionalFormatting sqref="G91">
    <cfRule type="expression" dxfId="595" priority="44">
      <formula>kvartal &lt; 4</formula>
    </cfRule>
  </conditionalFormatting>
  <conditionalFormatting sqref="F99">
    <cfRule type="expression" dxfId="594" priority="43">
      <formula>kvartal &lt; 4</formula>
    </cfRule>
  </conditionalFormatting>
  <conditionalFormatting sqref="G99">
    <cfRule type="expression" dxfId="593" priority="42">
      <formula>kvartal &lt; 4</formula>
    </cfRule>
  </conditionalFormatting>
  <conditionalFormatting sqref="G102">
    <cfRule type="expression" dxfId="592" priority="41">
      <formula>kvartal &lt; 4</formula>
    </cfRule>
  </conditionalFormatting>
  <conditionalFormatting sqref="F102">
    <cfRule type="expression" dxfId="591" priority="40">
      <formula>kvartal &lt; 4</formula>
    </cfRule>
  </conditionalFormatting>
  <conditionalFormatting sqref="J67:K71">
    <cfRule type="expression" dxfId="590" priority="39">
      <formula>kvartal &lt; 4</formula>
    </cfRule>
  </conditionalFormatting>
  <conditionalFormatting sqref="J72:K72">
    <cfRule type="expression" dxfId="589" priority="38">
      <formula>kvartal &lt; 4</formula>
    </cfRule>
  </conditionalFormatting>
  <conditionalFormatting sqref="J78:K83">
    <cfRule type="expression" dxfId="588" priority="37">
      <formula>kvartal &lt; 4</formula>
    </cfRule>
  </conditionalFormatting>
  <conditionalFormatting sqref="J88:K93">
    <cfRule type="expression" dxfId="587" priority="34">
      <formula>kvartal &lt; 4</formula>
    </cfRule>
  </conditionalFormatting>
  <conditionalFormatting sqref="J99:K104">
    <cfRule type="expression" dxfId="586" priority="33">
      <formula>kvartal &lt; 4</formula>
    </cfRule>
  </conditionalFormatting>
  <conditionalFormatting sqref="J113:K113">
    <cfRule type="expression" dxfId="585" priority="32">
      <formula>kvartal &lt; 4</formula>
    </cfRule>
  </conditionalFormatting>
  <conditionalFormatting sqref="J121:K121">
    <cfRule type="expression" dxfId="584" priority="31">
      <formula>kvartal &lt; 4</formula>
    </cfRule>
  </conditionalFormatting>
  <conditionalFormatting sqref="A23:A25">
    <cfRule type="expression" dxfId="583" priority="15">
      <formula>kvartal &lt; 4</formula>
    </cfRule>
  </conditionalFormatting>
  <conditionalFormatting sqref="A29:A31">
    <cfRule type="expression" dxfId="582" priority="13">
      <formula>kvartal &lt; 4</formula>
    </cfRule>
  </conditionalFormatting>
  <conditionalFormatting sqref="A48:A50">
    <cfRule type="expression" dxfId="581" priority="12">
      <formula>kvartal &lt; 4</formula>
    </cfRule>
  </conditionalFormatting>
  <conditionalFormatting sqref="A67:A72">
    <cfRule type="expression" dxfId="580" priority="10">
      <formula>kvartal &lt; 4</formula>
    </cfRule>
  </conditionalFormatting>
  <conditionalFormatting sqref="A78:A83">
    <cfRule type="expression" dxfId="579" priority="9">
      <formula>kvartal &lt; 4</formula>
    </cfRule>
  </conditionalFormatting>
  <conditionalFormatting sqref="A88:A93">
    <cfRule type="expression" dxfId="578" priority="6">
      <formula>kvartal &lt; 4</formula>
    </cfRule>
  </conditionalFormatting>
  <conditionalFormatting sqref="A99:A104">
    <cfRule type="expression" dxfId="577" priority="5">
      <formula>kvartal &lt; 4</formula>
    </cfRule>
  </conditionalFormatting>
  <conditionalFormatting sqref="A113">
    <cfRule type="expression" dxfId="576" priority="4">
      <formula>kvartal &lt; 4</formula>
    </cfRule>
  </conditionalFormatting>
  <conditionalFormatting sqref="A121">
    <cfRule type="expression" dxfId="575" priority="3">
      <formula>kvartal &lt; 4</formula>
    </cfRule>
  </conditionalFormatting>
  <conditionalFormatting sqref="A26">
    <cfRule type="expression" dxfId="574" priority="2">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108</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26</v>
      </c>
      <c r="C45" s="309">
        <v>16365</v>
      </c>
      <c r="D45" s="403">
        <f t="shared" ref="D45:D46" si="0">IF(B45=0, "    ---- ", IF(ABS(ROUND(100/B45*C45-100,1))&lt;999,ROUND(100/B45*C45-100,1),IF(ROUND(100/B45*C45-100,1)&gt;999,999,-999)))</f>
        <v>999</v>
      </c>
      <c r="E45" s="11">
        <f>IFERROR(100/'Skjema total MA'!C45*C45,0)</f>
        <v>0.59682756445531826</v>
      </c>
      <c r="F45" s="144"/>
      <c r="G45" s="33"/>
      <c r="H45" s="158"/>
      <c r="I45" s="158"/>
      <c r="J45" s="37"/>
      <c r="K45" s="37"/>
      <c r="L45" s="158"/>
      <c r="M45" s="158"/>
      <c r="N45" s="147"/>
    </row>
    <row r="46" spans="1:14" s="3" customFormat="1" ht="15.75" x14ac:dyDescent="0.2">
      <c r="A46" s="38" t="s">
        <v>312</v>
      </c>
      <c r="B46" s="286">
        <v>26</v>
      </c>
      <c r="C46" s="287">
        <v>16365</v>
      </c>
      <c r="D46" s="259">
        <f t="shared" si="0"/>
        <v>999</v>
      </c>
      <c r="E46" s="27">
        <f>IFERROR(100/'Skjema total MA'!C46*C46,0)</f>
        <v>1.1243325325900861</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v>1315411</v>
      </c>
      <c r="C132" s="307">
        <v>1508392</v>
      </c>
      <c r="D132" s="344">
        <f t="shared" ref="D132:D133" si="1">IF(B132=0, "    ---- ", IF(ABS(ROUND(100/B132*C132-100,1))&lt;999,ROUND(100/B132*C132-100,1),IF(ROUND(100/B132*C132-100,1)&gt;999,999,-999)))</f>
        <v>14.7</v>
      </c>
      <c r="E132" s="11">
        <f>IFERROR(100/'Skjema total MA'!C132*C132,0)</f>
        <v>9.1298361142407725</v>
      </c>
      <c r="F132" s="314"/>
      <c r="G132" s="315"/>
      <c r="H132" s="407"/>
      <c r="I132" s="24"/>
      <c r="J132" s="316">
        <v>1315411</v>
      </c>
      <c r="K132" s="316">
        <v>1508392</v>
      </c>
      <c r="L132" s="403">
        <f t="shared" ref="L132:L133" si="2">IF(J132=0, "    ---- ", IF(ABS(ROUND(100/J132*K132-100,1))&lt;999,ROUND(100/J132*K132-100,1),IF(ROUND(100/J132*K132-100,1)&gt;999,999,-999)))</f>
        <v>14.7</v>
      </c>
      <c r="M132" s="11">
        <f>IFERROR(100/'Skjema total MA'!I132*K132,0)</f>
        <v>9.1010283484653378</v>
      </c>
      <c r="N132" s="147"/>
    </row>
    <row r="133" spans="1:14" s="3" customFormat="1" ht="15.75" x14ac:dyDescent="0.2">
      <c r="A133" s="13" t="s">
        <v>324</v>
      </c>
      <c r="B133" s="236">
        <v>61571650</v>
      </c>
      <c r="C133" s="307">
        <v>66551653</v>
      </c>
      <c r="D133" s="170">
        <f t="shared" si="1"/>
        <v>8.1</v>
      </c>
      <c r="E133" s="11">
        <f>IFERROR(100/'Skjema total MA'!C133*C133,0)</f>
        <v>13.269777900394784</v>
      </c>
      <c r="F133" s="236"/>
      <c r="G133" s="307"/>
      <c r="H133" s="408"/>
      <c r="I133" s="24"/>
      <c r="J133" s="306">
        <v>61571650</v>
      </c>
      <c r="K133" s="306">
        <v>66551653</v>
      </c>
      <c r="L133" s="404">
        <f t="shared" si="2"/>
        <v>8.1</v>
      </c>
      <c r="M133" s="11">
        <f>IFERROR(100/'Skjema total MA'!I133*K133,0)</f>
        <v>13.209493317509375</v>
      </c>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573" priority="132">
      <formula>kvartal &lt; 4</formula>
    </cfRule>
  </conditionalFormatting>
  <conditionalFormatting sqref="B29">
    <cfRule type="expression" dxfId="572" priority="130">
      <formula>kvartal &lt; 4</formula>
    </cfRule>
  </conditionalFormatting>
  <conditionalFormatting sqref="B30">
    <cfRule type="expression" dxfId="571" priority="129">
      <formula>kvartal &lt; 4</formula>
    </cfRule>
  </conditionalFormatting>
  <conditionalFormatting sqref="B31">
    <cfRule type="expression" dxfId="570" priority="128">
      <formula>kvartal &lt; 4</formula>
    </cfRule>
  </conditionalFormatting>
  <conditionalFormatting sqref="C29">
    <cfRule type="expression" dxfId="569" priority="127">
      <formula>kvartal &lt; 4</formula>
    </cfRule>
  </conditionalFormatting>
  <conditionalFormatting sqref="C30">
    <cfRule type="expression" dxfId="568" priority="126">
      <formula>kvartal &lt; 4</formula>
    </cfRule>
  </conditionalFormatting>
  <conditionalFormatting sqref="C31">
    <cfRule type="expression" dxfId="567" priority="125">
      <formula>kvartal &lt; 4</formula>
    </cfRule>
  </conditionalFormatting>
  <conditionalFormatting sqref="B23:C25">
    <cfRule type="expression" dxfId="566" priority="124">
      <formula>kvartal &lt; 4</formula>
    </cfRule>
  </conditionalFormatting>
  <conditionalFormatting sqref="F23:G25">
    <cfRule type="expression" dxfId="565" priority="120">
      <formula>kvartal &lt; 4</formula>
    </cfRule>
  </conditionalFormatting>
  <conditionalFormatting sqref="F29">
    <cfRule type="expression" dxfId="564" priority="113">
      <formula>kvartal &lt; 4</formula>
    </cfRule>
  </conditionalFormatting>
  <conditionalFormatting sqref="F30">
    <cfRule type="expression" dxfId="563" priority="112">
      <formula>kvartal &lt; 4</formula>
    </cfRule>
  </conditionalFormatting>
  <conditionalFormatting sqref="F31">
    <cfRule type="expression" dxfId="562" priority="111">
      <formula>kvartal &lt; 4</formula>
    </cfRule>
  </conditionalFormatting>
  <conditionalFormatting sqref="G29">
    <cfRule type="expression" dxfId="561" priority="110">
      <formula>kvartal &lt; 4</formula>
    </cfRule>
  </conditionalFormatting>
  <conditionalFormatting sqref="G30">
    <cfRule type="expression" dxfId="560" priority="109">
      <formula>kvartal &lt; 4</formula>
    </cfRule>
  </conditionalFormatting>
  <conditionalFormatting sqref="G31">
    <cfRule type="expression" dxfId="559" priority="108">
      <formula>kvartal &lt; 4</formula>
    </cfRule>
  </conditionalFormatting>
  <conditionalFormatting sqref="B26">
    <cfRule type="expression" dxfId="558" priority="107">
      <formula>kvartal &lt; 4</formula>
    </cfRule>
  </conditionalFormatting>
  <conditionalFormatting sqref="C26">
    <cfRule type="expression" dxfId="557" priority="106">
      <formula>kvartal &lt; 4</formula>
    </cfRule>
  </conditionalFormatting>
  <conditionalFormatting sqref="F26">
    <cfRule type="expression" dxfId="556" priority="105">
      <formula>kvartal &lt; 4</formula>
    </cfRule>
  </conditionalFormatting>
  <conditionalFormatting sqref="G26">
    <cfRule type="expression" dxfId="555" priority="104">
      <formula>kvartal &lt; 4</formula>
    </cfRule>
  </conditionalFormatting>
  <conditionalFormatting sqref="J23:K26">
    <cfRule type="expression" dxfId="554" priority="103">
      <formula>kvartal &lt; 4</formula>
    </cfRule>
  </conditionalFormatting>
  <conditionalFormatting sqref="J29:K31">
    <cfRule type="expression" dxfId="553" priority="101">
      <formula>kvartal &lt; 4</formula>
    </cfRule>
  </conditionalFormatting>
  <conditionalFormatting sqref="B67">
    <cfRule type="expression" dxfId="552" priority="100">
      <formula>kvartal &lt; 4</formula>
    </cfRule>
  </conditionalFormatting>
  <conditionalFormatting sqref="C67">
    <cfRule type="expression" dxfId="551" priority="99">
      <formula>kvartal &lt; 4</formula>
    </cfRule>
  </conditionalFormatting>
  <conditionalFormatting sqref="B70">
    <cfRule type="expression" dxfId="550" priority="98">
      <formula>kvartal &lt; 4</formula>
    </cfRule>
  </conditionalFormatting>
  <conditionalFormatting sqref="C70">
    <cfRule type="expression" dxfId="549" priority="97">
      <formula>kvartal &lt; 4</formula>
    </cfRule>
  </conditionalFormatting>
  <conditionalFormatting sqref="B78">
    <cfRule type="expression" dxfId="548" priority="96">
      <formula>kvartal &lt; 4</formula>
    </cfRule>
  </conditionalFormatting>
  <conditionalFormatting sqref="C78">
    <cfRule type="expression" dxfId="547" priority="95">
      <formula>kvartal &lt; 4</formula>
    </cfRule>
  </conditionalFormatting>
  <conditionalFormatting sqref="B81">
    <cfRule type="expression" dxfId="546" priority="94">
      <formula>kvartal &lt; 4</formula>
    </cfRule>
  </conditionalFormatting>
  <conditionalFormatting sqref="C81">
    <cfRule type="expression" dxfId="545" priority="93">
      <formula>kvartal &lt; 4</formula>
    </cfRule>
  </conditionalFormatting>
  <conditionalFormatting sqref="B88">
    <cfRule type="expression" dxfId="544" priority="84">
      <formula>kvartal &lt; 4</formula>
    </cfRule>
  </conditionalFormatting>
  <conditionalFormatting sqref="C88">
    <cfRule type="expression" dxfId="543" priority="83">
      <formula>kvartal &lt; 4</formula>
    </cfRule>
  </conditionalFormatting>
  <conditionalFormatting sqref="B91">
    <cfRule type="expression" dxfId="542" priority="82">
      <formula>kvartal &lt; 4</formula>
    </cfRule>
  </conditionalFormatting>
  <conditionalFormatting sqref="C91">
    <cfRule type="expression" dxfId="541" priority="81">
      <formula>kvartal &lt; 4</formula>
    </cfRule>
  </conditionalFormatting>
  <conditionalFormatting sqref="B99">
    <cfRule type="expression" dxfId="540" priority="80">
      <formula>kvartal &lt; 4</formula>
    </cfRule>
  </conditionalFormatting>
  <conditionalFormatting sqref="C99">
    <cfRule type="expression" dxfId="539" priority="79">
      <formula>kvartal &lt; 4</formula>
    </cfRule>
  </conditionalFormatting>
  <conditionalFormatting sqref="B102">
    <cfRule type="expression" dxfId="538" priority="78">
      <formula>kvartal &lt; 4</formula>
    </cfRule>
  </conditionalFormatting>
  <conditionalFormatting sqref="C102">
    <cfRule type="expression" dxfId="537" priority="77">
      <formula>kvartal &lt; 4</formula>
    </cfRule>
  </conditionalFormatting>
  <conditionalFormatting sqref="B113">
    <cfRule type="expression" dxfId="536" priority="76">
      <formula>kvartal &lt; 4</formula>
    </cfRule>
  </conditionalFormatting>
  <conditionalFormatting sqref="C113">
    <cfRule type="expression" dxfId="535" priority="75">
      <formula>kvartal &lt; 4</formula>
    </cfRule>
  </conditionalFormatting>
  <conditionalFormatting sqref="B121">
    <cfRule type="expression" dxfId="534" priority="74">
      <formula>kvartal &lt; 4</formula>
    </cfRule>
  </conditionalFormatting>
  <conditionalFormatting sqref="C121">
    <cfRule type="expression" dxfId="533" priority="73">
      <formula>kvartal &lt; 4</formula>
    </cfRule>
  </conditionalFormatting>
  <conditionalFormatting sqref="F68">
    <cfRule type="expression" dxfId="532" priority="72">
      <formula>kvartal &lt; 4</formula>
    </cfRule>
  </conditionalFormatting>
  <conditionalFormatting sqref="G68">
    <cfRule type="expression" dxfId="531" priority="71">
      <formula>kvartal &lt; 4</formula>
    </cfRule>
  </conditionalFormatting>
  <conditionalFormatting sqref="F69:G69">
    <cfRule type="expression" dxfId="530" priority="70">
      <formula>kvartal &lt; 4</formula>
    </cfRule>
  </conditionalFormatting>
  <conditionalFormatting sqref="F71:G72">
    <cfRule type="expression" dxfId="529" priority="69">
      <formula>kvartal &lt; 4</formula>
    </cfRule>
  </conditionalFormatting>
  <conditionalFormatting sqref="F79:G80">
    <cfRule type="expression" dxfId="528" priority="68">
      <formula>kvartal &lt; 4</formula>
    </cfRule>
  </conditionalFormatting>
  <conditionalFormatting sqref="F82:G83">
    <cfRule type="expression" dxfId="527" priority="67">
      <formula>kvartal &lt; 4</formula>
    </cfRule>
  </conditionalFormatting>
  <conditionalFormatting sqref="F89:G90">
    <cfRule type="expression" dxfId="526" priority="62">
      <formula>kvartal &lt; 4</formula>
    </cfRule>
  </conditionalFormatting>
  <conditionalFormatting sqref="F92:G93">
    <cfRule type="expression" dxfId="525" priority="61">
      <formula>kvartal &lt; 4</formula>
    </cfRule>
  </conditionalFormatting>
  <conditionalFormatting sqref="F100:G101">
    <cfRule type="expression" dxfId="524" priority="60">
      <formula>kvartal &lt; 4</formula>
    </cfRule>
  </conditionalFormatting>
  <conditionalFormatting sqref="F103:G104">
    <cfRule type="expression" dxfId="523" priority="59">
      <formula>kvartal &lt; 4</formula>
    </cfRule>
  </conditionalFormatting>
  <conditionalFormatting sqref="F113">
    <cfRule type="expression" dxfId="522" priority="58">
      <formula>kvartal &lt; 4</formula>
    </cfRule>
  </conditionalFormatting>
  <conditionalFormatting sqref="G113">
    <cfRule type="expression" dxfId="521" priority="57">
      <formula>kvartal &lt; 4</formula>
    </cfRule>
  </conditionalFormatting>
  <conditionalFormatting sqref="F121:G121">
    <cfRule type="expression" dxfId="520" priority="56">
      <formula>kvartal &lt; 4</formula>
    </cfRule>
  </conditionalFormatting>
  <conditionalFormatting sqref="F67:G67">
    <cfRule type="expression" dxfId="519" priority="55">
      <formula>kvartal &lt; 4</formula>
    </cfRule>
  </conditionalFormatting>
  <conditionalFormatting sqref="F70:G70">
    <cfRule type="expression" dxfId="518" priority="54">
      <formula>kvartal &lt; 4</formula>
    </cfRule>
  </conditionalFormatting>
  <conditionalFormatting sqref="F78:G78">
    <cfRule type="expression" dxfId="517" priority="53">
      <formula>kvartal &lt; 4</formula>
    </cfRule>
  </conditionalFormatting>
  <conditionalFormatting sqref="F81:G81">
    <cfRule type="expression" dxfId="516" priority="52">
      <formula>kvartal &lt; 4</formula>
    </cfRule>
  </conditionalFormatting>
  <conditionalFormatting sqref="F88:G88">
    <cfRule type="expression" dxfId="515" priority="46">
      <formula>kvartal &lt; 4</formula>
    </cfRule>
  </conditionalFormatting>
  <conditionalFormatting sqref="F91">
    <cfRule type="expression" dxfId="514" priority="45">
      <formula>kvartal &lt; 4</formula>
    </cfRule>
  </conditionalFormatting>
  <conditionalFormatting sqref="G91">
    <cfRule type="expression" dxfId="513" priority="44">
      <formula>kvartal &lt; 4</formula>
    </cfRule>
  </conditionalFormatting>
  <conditionalFormatting sqref="F99">
    <cfRule type="expression" dxfId="512" priority="43">
      <formula>kvartal &lt; 4</formula>
    </cfRule>
  </conditionalFormatting>
  <conditionalFormatting sqref="G99">
    <cfRule type="expression" dxfId="511" priority="42">
      <formula>kvartal &lt; 4</formula>
    </cfRule>
  </conditionalFormatting>
  <conditionalFormatting sqref="G102">
    <cfRule type="expression" dxfId="510" priority="41">
      <formula>kvartal &lt; 4</formula>
    </cfRule>
  </conditionalFormatting>
  <conditionalFormatting sqref="F102">
    <cfRule type="expression" dxfId="509" priority="40">
      <formula>kvartal &lt; 4</formula>
    </cfRule>
  </conditionalFormatting>
  <conditionalFormatting sqref="J67:K71">
    <cfRule type="expression" dxfId="508" priority="39">
      <formula>kvartal &lt; 4</formula>
    </cfRule>
  </conditionalFormatting>
  <conditionalFormatting sqref="J72:K72">
    <cfRule type="expression" dxfId="507" priority="38">
      <formula>kvartal &lt; 4</formula>
    </cfRule>
  </conditionalFormatting>
  <conditionalFormatting sqref="J78:K83">
    <cfRule type="expression" dxfId="506" priority="37">
      <formula>kvartal &lt; 4</formula>
    </cfRule>
  </conditionalFormatting>
  <conditionalFormatting sqref="J88:K93">
    <cfRule type="expression" dxfId="505" priority="34">
      <formula>kvartal &lt; 4</formula>
    </cfRule>
  </conditionalFormatting>
  <conditionalFormatting sqref="J99:K104">
    <cfRule type="expression" dxfId="504" priority="33">
      <formula>kvartal &lt; 4</formula>
    </cfRule>
  </conditionalFormatting>
  <conditionalFormatting sqref="J113:K113">
    <cfRule type="expression" dxfId="503" priority="32">
      <formula>kvartal &lt; 4</formula>
    </cfRule>
  </conditionalFormatting>
  <conditionalFormatting sqref="J121:K121">
    <cfRule type="expression" dxfId="502" priority="31">
      <formula>kvartal &lt; 4</formula>
    </cfRule>
  </conditionalFormatting>
  <conditionalFormatting sqref="A23:A25">
    <cfRule type="expression" dxfId="501" priority="15">
      <formula>kvartal &lt; 4</formula>
    </cfRule>
  </conditionalFormatting>
  <conditionalFormatting sqref="A29:A31">
    <cfRule type="expression" dxfId="500" priority="13">
      <formula>kvartal &lt; 4</formula>
    </cfRule>
  </conditionalFormatting>
  <conditionalFormatting sqref="A48:A50">
    <cfRule type="expression" dxfId="499" priority="12">
      <formula>kvartal &lt; 4</formula>
    </cfRule>
  </conditionalFormatting>
  <conditionalFormatting sqref="A67:A72">
    <cfRule type="expression" dxfId="498" priority="10">
      <formula>kvartal &lt; 4</formula>
    </cfRule>
  </conditionalFormatting>
  <conditionalFormatting sqref="A78:A83">
    <cfRule type="expression" dxfId="497" priority="9">
      <formula>kvartal &lt; 4</formula>
    </cfRule>
  </conditionalFormatting>
  <conditionalFormatting sqref="A88:A93">
    <cfRule type="expression" dxfId="496" priority="6">
      <formula>kvartal &lt; 4</formula>
    </cfRule>
  </conditionalFormatting>
  <conditionalFormatting sqref="A99:A104">
    <cfRule type="expression" dxfId="495" priority="5">
      <formula>kvartal &lt; 4</formula>
    </cfRule>
  </conditionalFormatting>
  <conditionalFormatting sqref="A113">
    <cfRule type="expression" dxfId="494" priority="4">
      <formula>kvartal &lt; 4</formula>
    </cfRule>
  </conditionalFormatting>
  <conditionalFormatting sqref="A121">
    <cfRule type="expression" dxfId="493" priority="3">
      <formula>kvartal &lt; 4</formula>
    </cfRule>
  </conditionalFormatting>
  <conditionalFormatting sqref="A26">
    <cfRule type="expression" dxfId="492" priority="2">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79</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v>63487</v>
      </c>
      <c r="G7" s="305">
        <v>59116</v>
      </c>
      <c r="H7" s="344">
        <f>IF(F7=0, "    ---- ", IF(ABS(ROUND(100/F7*G7-100,1))&lt;999,ROUND(100/F7*G7-100,1),IF(ROUND(100/F7*G7-100,1)&gt;999,999,-999)))</f>
        <v>-6.9</v>
      </c>
      <c r="I7" s="159">
        <f>IFERROR(100/'Skjema total MA'!F7*G7,0)</f>
        <v>1.3014508064689259</v>
      </c>
      <c r="J7" s="306">
        <v>63487</v>
      </c>
      <c r="K7" s="307">
        <v>59116</v>
      </c>
      <c r="L7" s="403">
        <f>IF(J7=0, "    ---- ", IF(ABS(ROUND(100/J7*K7-100,1))&lt;999,ROUND(100/J7*K7-100,1),IF(ROUND(100/J7*K7-100,1)&gt;999,999,-999)))</f>
        <v>-6.9</v>
      </c>
      <c r="M7" s="11">
        <f>IFERROR(100/'Skjema total MA'!I7*K7,0)</f>
        <v>0.81368116954003811</v>
      </c>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v>545232</v>
      </c>
      <c r="G10" s="309">
        <v>730663</v>
      </c>
      <c r="H10" s="170">
        <f t="shared" ref="H10:H12" si="0">IF(F10=0, "    ---- ", IF(ABS(ROUND(100/F10*G10-100,1))&lt;999,ROUND(100/F10*G10-100,1),IF(ROUND(100/F10*G10-100,1)&gt;999,999,-999)))</f>
        <v>34</v>
      </c>
      <c r="I10" s="159">
        <f>IFERROR(100/'Skjema total MA'!F10*G10,0)</f>
        <v>1.9400068439090961</v>
      </c>
      <c r="J10" s="306">
        <v>545232</v>
      </c>
      <c r="K10" s="307">
        <v>730663</v>
      </c>
      <c r="L10" s="404">
        <f t="shared" ref="L10:L12" si="1">IF(J10=0, "    ---- ", IF(ABS(ROUND(100/J10*K10-100,1))&lt;999,ROUND(100/J10*K10-100,1),IF(ROUND(100/J10*K10-100,1)&gt;999,999,-999)))</f>
        <v>34</v>
      </c>
      <c r="M10" s="11">
        <f>IFERROR(100/'Skjema total MA'!I10*K10,0)</f>
        <v>1.204277240972814</v>
      </c>
    </row>
    <row r="11" spans="1:14" s="43" customFormat="1" ht="15.75" x14ac:dyDescent="0.2">
      <c r="A11" s="13" t="s">
        <v>25</v>
      </c>
      <c r="B11" s="308"/>
      <c r="C11" s="309"/>
      <c r="D11" s="170"/>
      <c r="E11" s="11"/>
      <c r="F11" s="308">
        <v>4204</v>
      </c>
      <c r="G11" s="309">
        <v>1675</v>
      </c>
      <c r="H11" s="170">
        <f t="shared" si="0"/>
        <v>-60.2</v>
      </c>
      <c r="I11" s="159">
        <f>IFERROR(100/'Skjema total MA'!F11*G11,0)</f>
        <v>1.0407757484512479</v>
      </c>
      <c r="J11" s="306">
        <v>4204</v>
      </c>
      <c r="K11" s="307">
        <v>1675</v>
      </c>
      <c r="L11" s="404">
        <f t="shared" si="1"/>
        <v>-60.2</v>
      </c>
      <c r="M11" s="11">
        <f>IFERROR(100/'Skjema total MA'!I11*K11,0)</f>
        <v>0.97348264094608994</v>
      </c>
      <c r="N11" s="142"/>
    </row>
    <row r="12" spans="1:14" s="43" customFormat="1" ht="15.75" x14ac:dyDescent="0.2">
      <c r="A12" s="41" t="s">
        <v>24</v>
      </c>
      <c r="B12" s="310"/>
      <c r="C12" s="311"/>
      <c r="D12" s="168"/>
      <c r="E12" s="36"/>
      <c r="F12" s="310">
        <v>719</v>
      </c>
      <c r="G12" s="311">
        <v>2400</v>
      </c>
      <c r="H12" s="168">
        <f t="shared" si="0"/>
        <v>233.8</v>
      </c>
      <c r="I12" s="168">
        <f>IFERROR(100/'Skjema total MA'!F12*G12,0)</f>
        <v>3.2608062094363106</v>
      </c>
      <c r="J12" s="312">
        <v>719</v>
      </c>
      <c r="K12" s="313">
        <v>2400</v>
      </c>
      <c r="L12" s="405">
        <f t="shared" si="1"/>
        <v>233.8</v>
      </c>
      <c r="M12" s="36">
        <f>IFERROR(100/'Skjema total MA'!I12*K12,0)</f>
        <v>3.2293904669161204</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v>825</v>
      </c>
      <c r="G22" s="315">
        <v>459</v>
      </c>
      <c r="H22" s="344">
        <f t="shared" ref="H22:H33" si="2">IF(F22=0, "    ---- ", IF(ABS(ROUND(100/F22*G22-100,1))&lt;999,ROUND(100/F22*G22-100,1),IF(ROUND(100/F22*G22-100,1)&gt;999,999,-999)))</f>
        <v>-44.4</v>
      </c>
      <c r="I22" s="11">
        <f>IFERROR(100/'Skjema total MA'!F22*G22,0)</f>
        <v>0.23021896981389678</v>
      </c>
      <c r="J22" s="314">
        <v>825</v>
      </c>
      <c r="K22" s="314">
        <v>459</v>
      </c>
      <c r="L22" s="403">
        <f t="shared" ref="L22:L33" si="3">IF(J22=0, "    ---- ", IF(ABS(ROUND(100/J22*K22-100,1))&lt;999,ROUND(100/J22*K22-100,1),IF(ROUND(100/J22*K22-100,1)&gt;999,999,-999)))</f>
        <v>-44.4</v>
      </c>
      <c r="M22" s="24">
        <f>IFERROR(100/'Skjema total MA'!I22*K22,0)</f>
        <v>3.9627759704809418E-2</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v>827947</v>
      </c>
      <c r="G28" s="307">
        <v>858066</v>
      </c>
      <c r="H28" s="170">
        <f t="shared" si="2"/>
        <v>3.6</v>
      </c>
      <c r="I28" s="11">
        <f>IFERROR(100/'Skjema total MA'!F28*G28,0)</f>
        <v>4.3697795979478933</v>
      </c>
      <c r="J28" s="236">
        <v>827947</v>
      </c>
      <c r="K28" s="236">
        <v>858066</v>
      </c>
      <c r="L28" s="404">
        <f t="shared" si="3"/>
        <v>3.6</v>
      </c>
      <c r="M28" s="24">
        <f>IFERROR(100/'Skjema total MA'!I28*K28,0)</f>
        <v>1.2155958351158211</v>
      </c>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v>3874</v>
      </c>
      <c r="G32" s="307">
        <v>5284</v>
      </c>
      <c r="H32" s="170">
        <f t="shared" si="2"/>
        <v>36.4</v>
      </c>
      <c r="I32" s="11">
        <f>IFERROR(100/'Skjema total MA'!F32*G32,0)</f>
        <v>28.208026189843341</v>
      </c>
      <c r="J32" s="236">
        <v>3874</v>
      </c>
      <c r="K32" s="236">
        <v>5284</v>
      </c>
      <c r="L32" s="404">
        <f t="shared" si="3"/>
        <v>36.4</v>
      </c>
      <c r="M32" s="24">
        <f>IFERROR(100/'Skjema total MA'!I32*K32,0)</f>
        <v>12.517983306626776</v>
      </c>
    </row>
    <row r="33" spans="1:14" ht="15.75" x14ac:dyDescent="0.2">
      <c r="A33" s="13" t="s">
        <v>24</v>
      </c>
      <c r="B33" s="236"/>
      <c r="C33" s="307"/>
      <c r="D33" s="170"/>
      <c r="E33" s="11"/>
      <c r="F33" s="306">
        <v>1964</v>
      </c>
      <c r="G33" s="307">
        <v>15932</v>
      </c>
      <c r="H33" s="170">
        <f t="shared" si="2"/>
        <v>711.2</v>
      </c>
      <c r="I33" s="11">
        <f>IFERROR(100/'Skjema total MA'!F33*G33,0)</f>
        <v>24.328620426690886</v>
      </c>
      <c r="J33" s="236">
        <v>1964</v>
      </c>
      <c r="K33" s="236">
        <v>15932</v>
      </c>
      <c r="L33" s="404">
        <f t="shared" si="3"/>
        <v>711.2</v>
      </c>
      <c r="M33" s="24">
        <f>IFERROR(100/'Skjema total MA'!I33*K33,0)</f>
        <v>46.432136855369492</v>
      </c>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c r="C45" s="309"/>
      <c r="D45" s="403"/>
      <c r="E45" s="11"/>
      <c r="F45" s="144"/>
      <c r="G45" s="33"/>
      <c r="H45" s="158"/>
      <c r="I45" s="158"/>
      <c r="J45" s="37"/>
      <c r="K45" s="37"/>
      <c r="L45" s="158"/>
      <c r="M45" s="158"/>
      <c r="N45" s="147"/>
    </row>
    <row r="46" spans="1:14" s="3" customFormat="1" ht="15.75" x14ac:dyDescent="0.2">
      <c r="A46" s="38" t="s">
        <v>312</v>
      </c>
      <c r="B46" s="286"/>
      <c r="C46" s="287"/>
      <c r="D46" s="259"/>
      <c r="E46" s="27"/>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v>44</v>
      </c>
      <c r="G64" s="346">
        <v>40</v>
      </c>
      <c r="H64" s="344">
        <f t="shared" ref="H64:H109" si="4">IF(F64=0, "    ---- ", IF(ABS(ROUND(100/F64*G64-100,1))&lt;999,ROUND(100/F64*G64-100,1),IF(ROUND(100/F64*G64-100,1)&gt;999,999,-999)))</f>
        <v>-9.1</v>
      </c>
      <c r="I64" s="11">
        <f>IFERROR(100/'Skjema total MA'!F64*G64,0)</f>
        <v>3.0808681169343084E-4</v>
      </c>
      <c r="J64" s="307">
        <v>44</v>
      </c>
      <c r="K64" s="314">
        <v>40</v>
      </c>
      <c r="L64" s="404">
        <f t="shared" ref="L64:L109" si="5">IF(J64=0, "    ---- ", IF(ABS(ROUND(100/J64*K64-100,1))&lt;999,ROUND(100/J64*K64-100,1),IF(ROUND(100/J64*K64-100,1)&gt;999,999,-999)))</f>
        <v>-9.1</v>
      </c>
      <c r="M64" s="11">
        <f>IFERROR(100/'Skjema total MA'!I64*K64,0)</f>
        <v>2.1792891953025038E-4</v>
      </c>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v>44</v>
      </c>
      <c r="G66" s="293">
        <v>40</v>
      </c>
      <c r="H66" s="165">
        <f t="shared" si="4"/>
        <v>-9.1</v>
      </c>
      <c r="I66" s="27">
        <f>IFERROR(100/'Skjema total MA'!F66*G66,0)</f>
        <v>3.1118453613021894E-4</v>
      </c>
      <c r="J66" s="290">
        <v>44</v>
      </c>
      <c r="K66" s="44">
        <v>40</v>
      </c>
      <c r="L66" s="259">
        <f t="shared" si="5"/>
        <v>-9.1</v>
      </c>
      <c r="M66" s="27">
        <f>IFERROR(100/'Skjema total MA'!I66*K66,0)</f>
        <v>3.0836638464523805E-4</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v>44</v>
      </c>
      <c r="G84" s="144">
        <v>40</v>
      </c>
      <c r="H84" s="165">
        <f t="shared" si="4"/>
        <v>-9.1</v>
      </c>
      <c r="I84" s="27">
        <f>IFERROR(100/'Skjema total MA'!F84*G84,0)</f>
        <v>0.476627213678263</v>
      </c>
      <c r="J84" s="290">
        <v>44</v>
      </c>
      <c r="K84" s="44">
        <v>40</v>
      </c>
      <c r="L84" s="259">
        <f t="shared" si="5"/>
        <v>-9.1</v>
      </c>
      <c r="M84" s="27">
        <f>IFERROR(100/'Skjema total MA'!I84*K84,0)</f>
        <v>2.6085218620700814E-2</v>
      </c>
    </row>
    <row r="85" spans="1:13" ht="15.75" x14ac:dyDescent="0.2">
      <c r="A85" s="13" t="s">
        <v>26</v>
      </c>
      <c r="B85" s="347"/>
      <c r="C85" s="347"/>
      <c r="D85" s="170"/>
      <c r="E85" s="11"/>
      <c r="F85" s="346">
        <v>197845</v>
      </c>
      <c r="G85" s="346">
        <v>314881</v>
      </c>
      <c r="H85" s="170">
        <f t="shared" si="4"/>
        <v>59.2</v>
      </c>
      <c r="I85" s="11">
        <f>IFERROR(100/'Skjema total MA'!F85*G85,0)</f>
        <v>0.15832201949318855</v>
      </c>
      <c r="J85" s="307">
        <v>197845</v>
      </c>
      <c r="K85" s="236">
        <v>314881</v>
      </c>
      <c r="L85" s="404">
        <f t="shared" si="5"/>
        <v>59.2</v>
      </c>
      <c r="M85" s="11">
        <f>IFERROR(100/'Skjema total MA'!I85*K85,0)</f>
        <v>5.498216766744414E-2</v>
      </c>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v>197845</v>
      </c>
      <c r="G87" s="144">
        <v>314881</v>
      </c>
      <c r="H87" s="165">
        <f t="shared" si="4"/>
        <v>59.2</v>
      </c>
      <c r="I87" s="27">
        <f>IFERROR(100/'Skjema total MA'!F87*G87,0)</f>
        <v>0.15860863366925432</v>
      </c>
      <c r="J87" s="290">
        <v>197845</v>
      </c>
      <c r="K87" s="44">
        <v>314881</v>
      </c>
      <c r="L87" s="259">
        <f t="shared" si="5"/>
        <v>59.2</v>
      </c>
      <c r="M87" s="27">
        <f>IFERROR(100/'Skjema total MA'!I87*K87,0)</f>
        <v>0.1566368563416656</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v>197845</v>
      </c>
      <c r="G105" s="144">
        <v>314881</v>
      </c>
      <c r="H105" s="165">
        <f t="shared" si="4"/>
        <v>59.2</v>
      </c>
      <c r="I105" s="27">
        <f>IFERROR(100/'Skjema total MA'!F105*G105,0)</f>
        <v>59.100569263593584</v>
      </c>
      <c r="J105" s="290">
        <v>197845</v>
      </c>
      <c r="K105" s="44">
        <v>314881</v>
      </c>
      <c r="L105" s="259">
        <f t="shared" si="5"/>
        <v>59.2</v>
      </c>
      <c r="M105" s="27">
        <f>IFERROR(100/'Skjema total MA'!I105*K105,0)</f>
        <v>5.7863964960417391</v>
      </c>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v>197845</v>
      </c>
      <c r="G107" s="234">
        <v>143779</v>
      </c>
      <c r="H107" s="165">
        <f t="shared" si="4"/>
        <v>-27.3</v>
      </c>
      <c r="I107" s="27">
        <f>IFERROR(100/'Skjema total MA'!F107*G107,0)</f>
        <v>0.22728324062780528</v>
      </c>
      <c r="J107" s="290">
        <v>197845</v>
      </c>
      <c r="K107" s="44">
        <v>143779</v>
      </c>
      <c r="L107" s="259">
        <f t="shared" si="5"/>
        <v>-27.3</v>
      </c>
      <c r="M107" s="27">
        <f>IFERROR(100/'Skjema total MA'!I107*K107,0)</f>
        <v>0.22457010786951631</v>
      </c>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v>43462</v>
      </c>
      <c r="G109" s="158">
        <v>54128</v>
      </c>
      <c r="H109" s="170">
        <f t="shared" si="4"/>
        <v>24.5</v>
      </c>
      <c r="I109" s="11">
        <f>IFERROR(100/'Skjema total MA'!F109*G109,0)</f>
        <v>0.83651142960976366</v>
      </c>
      <c r="J109" s="307">
        <v>43462</v>
      </c>
      <c r="K109" s="236">
        <v>54128</v>
      </c>
      <c r="L109" s="404">
        <f t="shared" si="5"/>
        <v>24.5</v>
      </c>
      <c r="M109" s="11">
        <f>IFERROR(100/'Skjema total MA'!I109*K109,0)</f>
        <v>0.79379803552276762</v>
      </c>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v>43462</v>
      </c>
      <c r="G111" s="144">
        <v>54128</v>
      </c>
      <c r="H111" s="165">
        <f t="shared" ref="H111:H119" si="6">IF(F111=0, "    ---- ", IF(ABS(ROUND(100/F111*G111-100,1))&lt;999,ROUND(100/F111*G111-100,1),IF(ROUND(100/F111*G111-100,1)&gt;999,999,-999)))</f>
        <v>24.5</v>
      </c>
      <c r="I111" s="27">
        <f>IFERROR(100/'Skjema total MA'!F111*G111,0)</f>
        <v>0.83651142960976366</v>
      </c>
      <c r="J111" s="290">
        <v>43462</v>
      </c>
      <c r="K111" s="44">
        <v>54128</v>
      </c>
      <c r="L111" s="259">
        <f t="shared" ref="L111:L119" si="7">IF(J111=0, "    ---- ", IF(ABS(ROUND(100/J111*K111-100,1))&lt;999,ROUND(100/J111*K111-100,1),IF(ROUND(100/J111*K111-100,1)&gt;999,999,-999)))</f>
        <v>24.5</v>
      </c>
      <c r="M111" s="27">
        <f>IFERROR(100/'Skjema total MA'!I111*K111,0)</f>
        <v>0.83618458519546557</v>
      </c>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v>43462</v>
      </c>
      <c r="G115" s="234">
        <v>54128</v>
      </c>
      <c r="H115" s="165">
        <f t="shared" si="6"/>
        <v>24.5</v>
      </c>
      <c r="I115" s="27">
        <f>IFERROR(100/'Skjema total MA'!F115*G115,0)</f>
        <v>4.8981933020927926</v>
      </c>
      <c r="J115" s="290">
        <v>43462</v>
      </c>
      <c r="K115" s="44">
        <v>54128</v>
      </c>
      <c r="L115" s="259">
        <f t="shared" si="7"/>
        <v>24.5</v>
      </c>
      <c r="M115" s="27">
        <f>IFERROR(100/'Skjema total MA'!I115*K115,0)</f>
        <v>4.8981933020927926</v>
      </c>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v>695</v>
      </c>
      <c r="G117" s="158">
        <v>741</v>
      </c>
      <c r="H117" s="170">
        <f t="shared" si="6"/>
        <v>6.6</v>
      </c>
      <c r="I117" s="11">
        <f>IFERROR(100/'Skjema total MA'!F117*G117,0)</f>
        <v>1.1493677633601986E-2</v>
      </c>
      <c r="J117" s="307">
        <v>695</v>
      </c>
      <c r="K117" s="236">
        <v>741</v>
      </c>
      <c r="L117" s="404">
        <f t="shared" si="7"/>
        <v>6.6</v>
      </c>
      <c r="M117" s="11">
        <f>IFERROR(100/'Skjema total MA'!I117*K117,0)</f>
        <v>1.0993440431430877E-2</v>
      </c>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v>695</v>
      </c>
      <c r="G119" s="144">
        <v>741</v>
      </c>
      <c r="H119" s="165">
        <f t="shared" si="6"/>
        <v>6.6</v>
      </c>
      <c r="I119" s="27">
        <f>IFERROR(100/'Skjema total MA'!F119*G119,0)</f>
        <v>1.1493677633601986E-2</v>
      </c>
      <c r="J119" s="290">
        <v>695</v>
      </c>
      <c r="K119" s="44">
        <v>741</v>
      </c>
      <c r="L119" s="259">
        <f t="shared" si="7"/>
        <v>6.6</v>
      </c>
      <c r="M119" s="27">
        <f>IFERROR(100/'Skjema total MA'!I119*K119,0)</f>
        <v>1.1462719574397182E-2</v>
      </c>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491" priority="132">
      <formula>kvartal &lt; 4</formula>
    </cfRule>
  </conditionalFormatting>
  <conditionalFormatting sqref="B29">
    <cfRule type="expression" dxfId="490" priority="130">
      <formula>kvartal &lt; 4</formula>
    </cfRule>
  </conditionalFormatting>
  <conditionalFormatting sqref="B30">
    <cfRule type="expression" dxfId="489" priority="129">
      <formula>kvartal &lt; 4</formula>
    </cfRule>
  </conditionalFormatting>
  <conditionalFormatting sqref="B31">
    <cfRule type="expression" dxfId="488" priority="128">
      <formula>kvartal &lt; 4</formula>
    </cfRule>
  </conditionalFormatting>
  <conditionalFormatting sqref="C29">
    <cfRule type="expression" dxfId="487" priority="127">
      <formula>kvartal &lt; 4</formula>
    </cfRule>
  </conditionalFormatting>
  <conditionalFormatting sqref="C30">
    <cfRule type="expression" dxfId="486" priority="126">
      <formula>kvartal &lt; 4</formula>
    </cfRule>
  </conditionalFormatting>
  <conditionalFormatting sqref="C31">
    <cfRule type="expression" dxfId="485" priority="125">
      <formula>kvartal &lt; 4</formula>
    </cfRule>
  </conditionalFormatting>
  <conditionalFormatting sqref="B23:C25">
    <cfRule type="expression" dxfId="484" priority="124">
      <formula>kvartal &lt; 4</formula>
    </cfRule>
  </conditionalFormatting>
  <conditionalFormatting sqref="F23:G25">
    <cfRule type="expression" dxfId="483" priority="120">
      <formula>kvartal &lt; 4</formula>
    </cfRule>
  </conditionalFormatting>
  <conditionalFormatting sqref="F29">
    <cfRule type="expression" dxfId="482" priority="113">
      <formula>kvartal &lt; 4</formula>
    </cfRule>
  </conditionalFormatting>
  <conditionalFormatting sqref="F30">
    <cfRule type="expression" dxfId="481" priority="112">
      <formula>kvartal &lt; 4</formula>
    </cfRule>
  </conditionalFormatting>
  <conditionalFormatting sqref="F31">
    <cfRule type="expression" dxfId="480" priority="111">
      <formula>kvartal &lt; 4</formula>
    </cfRule>
  </conditionalFormatting>
  <conditionalFormatting sqref="G29">
    <cfRule type="expression" dxfId="479" priority="110">
      <formula>kvartal &lt; 4</formula>
    </cfRule>
  </conditionalFormatting>
  <conditionalFormatting sqref="G30">
    <cfRule type="expression" dxfId="478" priority="109">
      <formula>kvartal &lt; 4</formula>
    </cfRule>
  </conditionalFormatting>
  <conditionalFormatting sqref="G31">
    <cfRule type="expression" dxfId="477" priority="108">
      <formula>kvartal &lt; 4</formula>
    </cfRule>
  </conditionalFormatting>
  <conditionalFormatting sqref="B26">
    <cfRule type="expression" dxfId="476" priority="107">
      <formula>kvartal &lt; 4</formula>
    </cfRule>
  </conditionalFormatting>
  <conditionalFormatting sqref="C26">
    <cfRule type="expression" dxfId="475" priority="106">
      <formula>kvartal &lt; 4</formula>
    </cfRule>
  </conditionalFormatting>
  <conditionalFormatting sqref="F26">
    <cfRule type="expression" dxfId="474" priority="105">
      <formula>kvartal &lt; 4</formula>
    </cfRule>
  </conditionalFormatting>
  <conditionalFormatting sqref="G26">
    <cfRule type="expression" dxfId="473" priority="104">
      <formula>kvartal &lt; 4</formula>
    </cfRule>
  </conditionalFormatting>
  <conditionalFormatting sqref="J23:K26">
    <cfRule type="expression" dxfId="472" priority="103">
      <formula>kvartal &lt; 4</formula>
    </cfRule>
  </conditionalFormatting>
  <conditionalFormatting sqref="J29:K31">
    <cfRule type="expression" dxfId="471" priority="101">
      <formula>kvartal &lt; 4</formula>
    </cfRule>
  </conditionalFormatting>
  <conditionalFormatting sqref="B67">
    <cfRule type="expression" dxfId="470" priority="100">
      <formula>kvartal &lt; 4</formula>
    </cfRule>
  </conditionalFormatting>
  <conditionalFormatting sqref="C67">
    <cfRule type="expression" dxfId="469" priority="99">
      <formula>kvartal &lt; 4</formula>
    </cfRule>
  </conditionalFormatting>
  <conditionalFormatting sqref="B70">
    <cfRule type="expression" dxfId="468" priority="98">
      <formula>kvartal &lt; 4</formula>
    </cfRule>
  </conditionalFormatting>
  <conditionalFormatting sqref="C70">
    <cfRule type="expression" dxfId="467" priority="97">
      <formula>kvartal &lt; 4</formula>
    </cfRule>
  </conditionalFormatting>
  <conditionalFormatting sqref="B78">
    <cfRule type="expression" dxfId="466" priority="96">
      <formula>kvartal &lt; 4</formula>
    </cfRule>
  </conditionalFormatting>
  <conditionalFormatting sqref="C78">
    <cfRule type="expression" dxfId="465" priority="95">
      <formula>kvartal &lt; 4</formula>
    </cfRule>
  </conditionalFormatting>
  <conditionalFormatting sqref="B81">
    <cfRule type="expression" dxfId="464" priority="94">
      <formula>kvartal &lt; 4</formula>
    </cfRule>
  </conditionalFormatting>
  <conditionalFormatting sqref="C81">
    <cfRule type="expression" dxfId="463" priority="93">
      <formula>kvartal &lt; 4</formula>
    </cfRule>
  </conditionalFormatting>
  <conditionalFormatting sqref="B88">
    <cfRule type="expression" dxfId="462" priority="84">
      <formula>kvartal &lt; 4</formula>
    </cfRule>
  </conditionalFormatting>
  <conditionalFormatting sqref="C88">
    <cfRule type="expression" dxfId="461" priority="83">
      <formula>kvartal &lt; 4</formula>
    </cfRule>
  </conditionalFormatting>
  <conditionalFormatting sqref="B91">
    <cfRule type="expression" dxfId="460" priority="82">
      <formula>kvartal &lt; 4</formula>
    </cfRule>
  </conditionalFormatting>
  <conditionalFormatting sqref="C91">
    <cfRule type="expression" dxfId="459" priority="81">
      <formula>kvartal &lt; 4</formula>
    </cfRule>
  </conditionalFormatting>
  <conditionalFormatting sqref="B99">
    <cfRule type="expression" dxfId="458" priority="80">
      <formula>kvartal &lt; 4</formula>
    </cfRule>
  </conditionalFormatting>
  <conditionalFormatting sqref="C99">
    <cfRule type="expression" dxfId="457" priority="79">
      <formula>kvartal &lt; 4</formula>
    </cfRule>
  </conditionalFormatting>
  <conditionalFormatting sqref="B102">
    <cfRule type="expression" dxfId="456" priority="78">
      <formula>kvartal &lt; 4</formula>
    </cfRule>
  </conditionalFormatting>
  <conditionalFormatting sqref="C102">
    <cfRule type="expression" dxfId="455" priority="77">
      <formula>kvartal &lt; 4</formula>
    </cfRule>
  </conditionalFormatting>
  <conditionalFormatting sqref="B113">
    <cfRule type="expression" dxfId="454" priority="76">
      <formula>kvartal &lt; 4</formula>
    </cfRule>
  </conditionalFormatting>
  <conditionalFormatting sqref="C113">
    <cfRule type="expression" dxfId="453" priority="75">
      <formula>kvartal &lt; 4</formula>
    </cfRule>
  </conditionalFormatting>
  <conditionalFormatting sqref="B121">
    <cfRule type="expression" dxfId="452" priority="74">
      <formula>kvartal &lt; 4</formula>
    </cfRule>
  </conditionalFormatting>
  <conditionalFormatting sqref="C121">
    <cfRule type="expression" dxfId="451" priority="73">
      <formula>kvartal &lt; 4</formula>
    </cfRule>
  </conditionalFormatting>
  <conditionalFormatting sqref="F68">
    <cfRule type="expression" dxfId="450" priority="72">
      <formula>kvartal &lt; 4</formula>
    </cfRule>
  </conditionalFormatting>
  <conditionalFormatting sqref="G68">
    <cfRule type="expression" dxfId="449" priority="71">
      <formula>kvartal &lt; 4</formula>
    </cfRule>
  </conditionalFormatting>
  <conditionalFormatting sqref="F69:G69">
    <cfRule type="expression" dxfId="448" priority="70">
      <formula>kvartal &lt; 4</formula>
    </cfRule>
  </conditionalFormatting>
  <conditionalFormatting sqref="F71:G72">
    <cfRule type="expression" dxfId="447" priority="69">
      <formula>kvartal &lt; 4</formula>
    </cfRule>
  </conditionalFormatting>
  <conditionalFormatting sqref="F79:G80">
    <cfRule type="expression" dxfId="446" priority="68">
      <formula>kvartal &lt; 4</formula>
    </cfRule>
  </conditionalFormatting>
  <conditionalFormatting sqref="F82:G83">
    <cfRule type="expression" dxfId="445" priority="67">
      <formula>kvartal &lt; 4</formula>
    </cfRule>
  </conditionalFormatting>
  <conditionalFormatting sqref="F89:G90">
    <cfRule type="expression" dxfId="444" priority="62">
      <formula>kvartal &lt; 4</formula>
    </cfRule>
  </conditionalFormatting>
  <conditionalFormatting sqref="F92:G93">
    <cfRule type="expression" dxfId="443" priority="61">
      <formula>kvartal &lt; 4</formula>
    </cfRule>
  </conditionalFormatting>
  <conditionalFormatting sqref="F100:G101">
    <cfRule type="expression" dxfId="442" priority="60">
      <formula>kvartal &lt; 4</formula>
    </cfRule>
  </conditionalFormatting>
  <conditionalFormatting sqref="F103:G104">
    <cfRule type="expression" dxfId="441" priority="59">
      <formula>kvartal &lt; 4</formula>
    </cfRule>
  </conditionalFormatting>
  <conditionalFormatting sqref="F113">
    <cfRule type="expression" dxfId="440" priority="58">
      <formula>kvartal &lt; 4</formula>
    </cfRule>
  </conditionalFormatting>
  <conditionalFormatting sqref="G113">
    <cfRule type="expression" dxfId="439" priority="57">
      <formula>kvartal &lt; 4</formula>
    </cfRule>
  </conditionalFormatting>
  <conditionalFormatting sqref="F121:G121">
    <cfRule type="expression" dxfId="438" priority="56">
      <formula>kvartal &lt; 4</formula>
    </cfRule>
  </conditionalFormatting>
  <conditionalFormatting sqref="F67:G67">
    <cfRule type="expression" dxfId="437" priority="55">
      <formula>kvartal &lt; 4</formula>
    </cfRule>
  </conditionalFormatting>
  <conditionalFormatting sqref="F70:G70">
    <cfRule type="expression" dxfId="436" priority="54">
      <formula>kvartal &lt; 4</formula>
    </cfRule>
  </conditionalFormatting>
  <conditionalFormatting sqref="F78:G78">
    <cfRule type="expression" dxfId="435" priority="53">
      <formula>kvartal &lt; 4</formula>
    </cfRule>
  </conditionalFormatting>
  <conditionalFormatting sqref="F81:G81">
    <cfRule type="expression" dxfId="434" priority="52">
      <formula>kvartal &lt; 4</formula>
    </cfRule>
  </conditionalFormatting>
  <conditionalFormatting sqref="F88:G88">
    <cfRule type="expression" dxfId="433" priority="46">
      <formula>kvartal &lt; 4</formula>
    </cfRule>
  </conditionalFormatting>
  <conditionalFormatting sqref="F91">
    <cfRule type="expression" dxfId="432" priority="45">
      <formula>kvartal &lt; 4</formula>
    </cfRule>
  </conditionalFormatting>
  <conditionalFormatting sqref="G91">
    <cfRule type="expression" dxfId="431" priority="44">
      <formula>kvartal &lt; 4</formula>
    </cfRule>
  </conditionalFormatting>
  <conditionalFormatting sqref="F99">
    <cfRule type="expression" dxfId="430" priority="43">
      <formula>kvartal &lt; 4</formula>
    </cfRule>
  </conditionalFormatting>
  <conditionalFormatting sqref="G99">
    <cfRule type="expression" dxfId="429" priority="42">
      <formula>kvartal &lt; 4</formula>
    </cfRule>
  </conditionalFormatting>
  <conditionalFormatting sqref="G102">
    <cfRule type="expression" dxfId="428" priority="41">
      <formula>kvartal &lt; 4</formula>
    </cfRule>
  </conditionalFormatting>
  <conditionalFormatting sqref="F102">
    <cfRule type="expression" dxfId="427" priority="40">
      <formula>kvartal &lt; 4</formula>
    </cfRule>
  </conditionalFormatting>
  <conditionalFormatting sqref="J67:K71">
    <cfRule type="expression" dxfId="426" priority="39">
      <formula>kvartal &lt; 4</formula>
    </cfRule>
  </conditionalFormatting>
  <conditionalFormatting sqref="J72:K72">
    <cfRule type="expression" dxfId="425" priority="38">
      <formula>kvartal &lt; 4</formula>
    </cfRule>
  </conditionalFormatting>
  <conditionalFormatting sqref="J78:K83">
    <cfRule type="expression" dxfId="424" priority="37">
      <formula>kvartal &lt; 4</formula>
    </cfRule>
  </conditionalFormatting>
  <conditionalFormatting sqref="J88:K93">
    <cfRule type="expression" dxfId="423" priority="34">
      <formula>kvartal &lt; 4</formula>
    </cfRule>
  </conditionalFormatting>
  <conditionalFormatting sqref="J99:K104">
    <cfRule type="expression" dxfId="422" priority="33">
      <formula>kvartal &lt; 4</formula>
    </cfRule>
  </conditionalFormatting>
  <conditionalFormatting sqref="J113:K113">
    <cfRule type="expression" dxfId="421" priority="32">
      <formula>kvartal &lt; 4</formula>
    </cfRule>
  </conditionalFormatting>
  <conditionalFormatting sqref="J121:K121">
    <cfRule type="expression" dxfId="420" priority="31">
      <formula>kvartal &lt; 4</formula>
    </cfRule>
  </conditionalFormatting>
  <conditionalFormatting sqref="A23:A25">
    <cfRule type="expression" dxfId="419" priority="15">
      <formula>kvartal &lt; 4</formula>
    </cfRule>
  </conditionalFormatting>
  <conditionalFormatting sqref="A29:A31">
    <cfRule type="expression" dxfId="418" priority="13">
      <formula>kvartal &lt; 4</formula>
    </cfRule>
  </conditionalFormatting>
  <conditionalFormatting sqref="A48:A50">
    <cfRule type="expression" dxfId="417" priority="12">
      <formula>kvartal &lt; 4</formula>
    </cfRule>
  </conditionalFormatting>
  <conditionalFormatting sqref="A67:A72">
    <cfRule type="expression" dxfId="416" priority="10">
      <formula>kvartal &lt; 4</formula>
    </cfRule>
  </conditionalFormatting>
  <conditionalFormatting sqref="A78:A83">
    <cfRule type="expression" dxfId="415" priority="9">
      <formula>kvartal &lt; 4</formula>
    </cfRule>
  </conditionalFormatting>
  <conditionalFormatting sqref="A88:A93">
    <cfRule type="expression" dxfId="414" priority="6">
      <formula>kvartal &lt; 4</formula>
    </cfRule>
  </conditionalFormatting>
  <conditionalFormatting sqref="A99:A104">
    <cfRule type="expression" dxfId="413" priority="5">
      <formula>kvartal &lt; 4</formula>
    </cfRule>
  </conditionalFormatting>
  <conditionalFormatting sqref="A113">
    <cfRule type="expression" dxfId="412" priority="4">
      <formula>kvartal &lt; 4</formula>
    </cfRule>
  </conditionalFormatting>
  <conditionalFormatting sqref="A121">
    <cfRule type="expression" dxfId="411" priority="3">
      <formula>kvartal &lt; 4</formula>
    </cfRule>
  </conditionalFormatting>
  <conditionalFormatting sqref="A26">
    <cfRule type="expression" dxfId="410"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147</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v>-0.69540974</v>
      </c>
      <c r="G22" s="315"/>
      <c r="H22" s="344">
        <f t="shared" ref="H22:H28" si="0">IF(F22=0, "    ---- ", IF(ABS(ROUND(100/F22*G22-100,1))&lt;999,ROUND(100/F22*G22-100,1),IF(ROUND(100/F22*G22-100,1)&gt;999,999,-999)))</f>
        <v>-100</v>
      </c>
      <c r="I22" s="11"/>
      <c r="J22" s="314">
        <v>-0.69540974</v>
      </c>
      <c r="K22" s="314"/>
      <c r="L22" s="403">
        <f t="shared" ref="L22:L28" si="1">IF(J22=0, "    ---- ", IF(ABS(ROUND(100/J22*K22-100,1))&lt;999,ROUND(100/J22*K22-100,1),IF(ROUND(100/J22*K22-100,1)&gt;999,999,-999)))</f>
        <v>-100</v>
      </c>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v>188876.91656000001</v>
      </c>
      <c r="G28" s="307"/>
      <c r="H28" s="170">
        <f t="shared" si="0"/>
        <v>-100</v>
      </c>
      <c r="I28" s="11"/>
      <c r="J28" s="236">
        <v>188876.91656000001</v>
      </c>
      <c r="K28" s="236"/>
      <c r="L28" s="404">
        <f t="shared" si="1"/>
        <v>-100</v>
      </c>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c r="C45" s="309"/>
      <c r="D45" s="403"/>
      <c r="E45" s="11"/>
      <c r="F45" s="144"/>
      <c r="G45" s="33"/>
      <c r="H45" s="158"/>
      <c r="I45" s="158"/>
      <c r="J45" s="37"/>
      <c r="K45" s="37"/>
      <c r="L45" s="158"/>
      <c r="M45" s="158"/>
      <c r="N45" s="147"/>
    </row>
    <row r="46" spans="1:14" s="3" customFormat="1" ht="15.75" x14ac:dyDescent="0.2">
      <c r="A46" s="38" t="s">
        <v>312</v>
      </c>
      <c r="B46" s="286"/>
      <c r="C46" s="287"/>
      <c r="D46" s="259"/>
      <c r="E46" s="27"/>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v>8612877.0735400002</v>
      </c>
      <c r="C85" s="347"/>
      <c r="D85" s="170">
        <f t="shared" ref="D85:D106" si="2">IF(B85=0, "    ---- ", IF(ABS(ROUND(100/B85*C85-100,1))&lt;999,ROUND(100/B85*C85-100,1),IF(ROUND(100/B85*C85-100,1)&gt;999,999,-999)))</f>
        <v>-100</v>
      </c>
      <c r="E85" s="11"/>
      <c r="F85" s="346">
        <v>326817.28668999998</v>
      </c>
      <c r="G85" s="346"/>
      <c r="H85" s="170">
        <f t="shared" ref="H85:H107" si="3">IF(F85=0, "    ---- ", IF(ABS(ROUND(100/F85*G85-100,1))&lt;999,ROUND(100/F85*G85-100,1),IF(ROUND(100/F85*G85-100,1)&gt;999,999,-999)))</f>
        <v>-100</v>
      </c>
      <c r="I85" s="11"/>
      <c r="J85" s="307">
        <v>8939694.3602300007</v>
      </c>
      <c r="K85" s="236"/>
      <c r="L85" s="404">
        <f t="shared" ref="L85:L107" si="4">IF(J85=0, "    ---- ", IF(ABS(ROUND(100/J85*K85-100,1))&lt;999,ROUND(100/J85*K85-100,1),IF(ROUND(100/J85*K85-100,1)&gt;999,999,-999)))</f>
        <v>-100</v>
      </c>
      <c r="M85" s="11"/>
    </row>
    <row r="86" spans="1:13" x14ac:dyDescent="0.2">
      <c r="A86" s="21" t="s">
        <v>9</v>
      </c>
      <c r="B86" s="234">
        <v>8612877.0735400002</v>
      </c>
      <c r="C86" s="144"/>
      <c r="D86" s="165">
        <f t="shared" si="2"/>
        <v>-100</v>
      </c>
      <c r="E86" s="27"/>
      <c r="F86" s="234"/>
      <c r="G86" s="144"/>
      <c r="H86" s="165" t="str">
        <f t="shared" si="3"/>
        <v xml:space="preserve">    ---- </v>
      </c>
      <c r="I86" s="27"/>
      <c r="J86" s="290">
        <v>8612877.0735400002</v>
      </c>
      <c r="K86" s="44"/>
      <c r="L86" s="259">
        <f t="shared" si="4"/>
        <v>-100</v>
      </c>
      <c r="M86" s="27"/>
    </row>
    <row r="87" spans="1:13" x14ac:dyDescent="0.2">
      <c r="A87" s="21" t="s">
        <v>10</v>
      </c>
      <c r="B87" s="234"/>
      <c r="C87" s="144"/>
      <c r="D87" s="165"/>
      <c r="E87" s="27"/>
      <c r="F87" s="234">
        <v>326817.28668999998</v>
      </c>
      <c r="G87" s="144"/>
      <c r="H87" s="165">
        <f t="shared" si="3"/>
        <v>-100</v>
      </c>
      <c r="I87" s="27"/>
      <c r="J87" s="290">
        <v>326817.28668999998</v>
      </c>
      <c r="K87" s="44"/>
      <c r="L87" s="259">
        <f t="shared" si="4"/>
        <v>-100</v>
      </c>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v>8612877.0735400002</v>
      </c>
      <c r="C96" s="234"/>
      <c r="D96" s="165">
        <f t="shared" si="2"/>
        <v>-100</v>
      </c>
      <c r="E96" s="27"/>
      <c r="F96" s="292">
        <v>326817.28668999998</v>
      </c>
      <c r="G96" s="292"/>
      <c r="H96" s="165">
        <f t="shared" si="3"/>
        <v>-100</v>
      </c>
      <c r="I96" s="27"/>
      <c r="J96" s="290">
        <v>8939694.3602300007</v>
      </c>
      <c r="K96" s="44"/>
      <c r="L96" s="259">
        <f t="shared" si="4"/>
        <v>-100</v>
      </c>
      <c r="M96" s="27"/>
    </row>
    <row r="97" spans="1:13" x14ac:dyDescent="0.2">
      <c r="A97" s="21" t="s">
        <v>9</v>
      </c>
      <c r="B97" s="292">
        <v>8612877.0735400002</v>
      </c>
      <c r="C97" s="293"/>
      <c r="D97" s="165">
        <f t="shared" si="2"/>
        <v>-100</v>
      </c>
      <c r="E97" s="27"/>
      <c r="F97" s="234"/>
      <c r="G97" s="144"/>
      <c r="H97" s="165"/>
      <c r="I97" s="27"/>
      <c r="J97" s="290">
        <v>8612877.0735400002</v>
      </c>
      <c r="K97" s="44"/>
      <c r="L97" s="259">
        <f t="shared" si="4"/>
        <v>-100</v>
      </c>
      <c r="M97" s="27"/>
    </row>
    <row r="98" spans="1:13" x14ac:dyDescent="0.2">
      <c r="A98" s="21" t="s">
        <v>10</v>
      </c>
      <c r="B98" s="292"/>
      <c r="C98" s="293"/>
      <c r="D98" s="165"/>
      <c r="E98" s="27"/>
      <c r="F98" s="234">
        <v>326817.28668999998</v>
      </c>
      <c r="G98" s="234"/>
      <c r="H98" s="165">
        <f t="shared" si="3"/>
        <v>-100</v>
      </c>
      <c r="I98" s="27"/>
      <c r="J98" s="290">
        <v>326817.28668999998</v>
      </c>
      <c r="K98" s="44"/>
      <c r="L98" s="259">
        <f t="shared" si="4"/>
        <v>-100</v>
      </c>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v>8612877.0735400002</v>
      </c>
      <c r="C106" s="234"/>
      <c r="D106" s="165">
        <f t="shared" si="2"/>
        <v>-100</v>
      </c>
      <c r="E106" s="27"/>
      <c r="F106" s="234"/>
      <c r="G106" s="234"/>
      <c r="H106" s="165"/>
      <c r="I106" s="27"/>
      <c r="J106" s="290">
        <v>8612877.0735400002</v>
      </c>
      <c r="K106" s="44"/>
      <c r="L106" s="259">
        <f t="shared" si="4"/>
        <v>-100</v>
      </c>
      <c r="M106" s="27"/>
    </row>
    <row r="107" spans="1:13" ht="15.75" x14ac:dyDescent="0.2">
      <c r="A107" s="21" t="s">
        <v>320</v>
      </c>
      <c r="B107" s="234"/>
      <c r="C107" s="234"/>
      <c r="D107" s="165"/>
      <c r="E107" s="27"/>
      <c r="F107" s="234">
        <v>326817.28668999998</v>
      </c>
      <c r="G107" s="234"/>
      <c r="H107" s="165">
        <f t="shared" si="3"/>
        <v>-100</v>
      </c>
      <c r="I107" s="27"/>
      <c r="J107" s="290">
        <v>326817.28668999998</v>
      </c>
      <c r="K107" s="44"/>
      <c r="L107" s="259">
        <f t="shared" si="4"/>
        <v>-100</v>
      </c>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6471.7848400000003</v>
      </c>
      <c r="C117" s="158"/>
      <c r="D117" s="170">
        <f t="shared" ref="D117:D122" si="5">IF(B117=0, "    ---- ", IF(ABS(ROUND(100/B117*C117-100,1))&lt;999,ROUND(100/B117*C117-100,1),IF(ROUND(100/B117*C117-100,1)&gt;999,999,-999)))</f>
        <v>-100</v>
      </c>
      <c r="E117" s="11"/>
      <c r="F117" s="306">
        <v>19388</v>
      </c>
      <c r="G117" s="158"/>
      <c r="H117" s="170">
        <f t="shared" ref="H117:H123" si="6">IF(F117=0, "    ---- ", IF(ABS(ROUND(100/F117*G117-100,1))&lt;999,ROUND(100/F117*G117-100,1),IF(ROUND(100/F117*G117-100,1)&gt;999,999,-999)))</f>
        <v>-100</v>
      </c>
      <c r="I117" s="11"/>
      <c r="J117" s="307">
        <v>25859.78484</v>
      </c>
      <c r="K117" s="236"/>
      <c r="L117" s="404">
        <f t="shared" ref="L117:L123" si="7">IF(J117=0, "    ---- ", IF(ABS(ROUND(100/J117*K117-100,1))&lt;999,ROUND(100/J117*K117-100,1),IF(ROUND(100/J117*K117-100,1)&gt;999,999,-999)))</f>
        <v>-100</v>
      </c>
      <c r="M117" s="11"/>
    </row>
    <row r="118" spans="1:14" x14ac:dyDescent="0.2">
      <c r="A118" s="21" t="s">
        <v>9</v>
      </c>
      <c r="B118" s="234">
        <v>6471.7848400000003</v>
      </c>
      <c r="C118" s="144"/>
      <c r="D118" s="165">
        <f t="shared" si="5"/>
        <v>-100</v>
      </c>
      <c r="E118" s="27"/>
      <c r="F118" s="234"/>
      <c r="G118" s="144"/>
      <c r="H118" s="165"/>
      <c r="I118" s="27"/>
      <c r="J118" s="290">
        <v>6471.7848400000003</v>
      </c>
      <c r="K118" s="44"/>
      <c r="L118" s="259">
        <f t="shared" si="7"/>
        <v>-100</v>
      </c>
      <c r="M118" s="27"/>
    </row>
    <row r="119" spans="1:14" x14ac:dyDescent="0.2">
      <c r="A119" s="21" t="s">
        <v>10</v>
      </c>
      <c r="B119" s="234"/>
      <c r="C119" s="144"/>
      <c r="D119" s="165"/>
      <c r="E119" s="27"/>
      <c r="F119" s="234">
        <v>19388</v>
      </c>
      <c r="G119" s="144"/>
      <c r="H119" s="165">
        <f t="shared" si="6"/>
        <v>-100</v>
      </c>
      <c r="I119" s="27"/>
      <c r="J119" s="290">
        <v>19388</v>
      </c>
      <c r="K119" s="44"/>
      <c r="L119" s="259">
        <f t="shared" si="7"/>
        <v>-100</v>
      </c>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v>6471.7848400000003</v>
      </c>
      <c r="C122" s="234"/>
      <c r="D122" s="165">
        <f t="shared" si="5"/>
        <v>-100</v>
      </c>
      <c r="E122" s="27"/>
      <c r="F122" s="234"/>
      <c r="G122" s="234"/>
      <c r="H122" s="165"/>
      <c r="I122" s="27"/>
      <c r="J122" s="290">
        <v>6471.7848400000003</v>
      </c>
      <c r="K122" s="44"/>
      <c r="L122" s="259">
        <f t="shared" si="7"/>
        <v>-100</v>
      </c>
      <c r="M122" s="27"/>
    </row>
    <row r="123" spans="1:14" ht="15.75" x14ac:dyDescent="0.2">
      <c r="A123" s="21" t="s">
        <v>320</v>
      </c>
      <c r="B123" s="234"/>
      <c r="C123" s="234"/>
      <c r="D123" s="165"/>
      <c r="E123" s="27"/>
      <c r="F123" s="234">
        <v>19388.474910000001</v>
      </c>
      <c r="G123" s="234"/>
      <c r="H123" s="165">
        <f t="shared" si="6"/>
        <v>-100</v>
      </c>
      <c r="I123" s="27"/>
      <c r="J123" s="290">
        <v>19388.474910000001</v>
      </c>
      <c r="K123" s="44"/>
      <c r="L123" s="259">
        <f t="shared" si="7"/>
        <v>-100</v>
      </c>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409" priority="132">
      <formula>kvartal &lt; 4</formula>
    </cfRule>
  </conditionalFormatting>
  <conditionalFormatting sqref="B29">
    <cfRule type="expression" dxfId="408" priority="130">
      <formula>kvartal &lt; 4</formula>
    </cfRule>
  </conditionalFormatting>
  <conditionalFormatting sqref="B30">
    <cfRule type="expression" dxfId="407" priority="129">
      <formula>kvartal &lt; 4</formula>
    </cfRule>
  </conditionalFormatting>
  <conditionalFormatting sqref="B31">
    <cfRule type="expression" dxfId="406" priority="128">
      <formula>kvartal &lt; 4</formula>
    </cfRule>
  </conditionalFormatting>
  <conditionalFormatting sqref="C29">
    <cfRule type="expression" dxfId="405" priority="127">
      <formula>kvartal &lt; 4</formula>
    </cfRule>
  </conditionalFormatting>
  <conditionalFormatting sqref="C30">
    <cfRule type="expression" dxfId="404" priority="126">
      <formula>kvartal &lt; 4</formula>
    </cfRule>
  </conditionalFormatting>
  <conditionalFormatting sqref="C31">
    <cfRule type="expression" dxfId="403" priority="125">
      <formula>kvartal &lt; 4</formula>
    </cfRule>
  </conditionalFormatting>
  <conditionalFormatting sqref="B23:C25">
    <cfRule type="expression" dxfId="402" priority="124">
      <formula>kvartal &lt; 4</formula>
    </cfRule>
  </conditionalFormatting>
  <conditionalFormatting sqref="F23:G25">
    <cfRule type="expression" dxfId="401" priority="120">
      <formula>kvartal &lt; 4</formula>
    </cfRule>
  </conditionalFormatting>
  <conditionalFormatting sqref="F29">
    <cfRule type="expression" dxfId="400" priority="113">
      <formula>kvartal &lt; 4</formula>
    </cfRule>
  </conditionalFormatting>
  <conditionalFormatting sqref="F30">
    <cfRule type="expression" dxfId="399" priority="112">
      <formula>kvartal &lt; 4</formula>
    </cfRule>
  </conditionalFormatting>
  <conditionalFormatting sqref="F31">
    <cfRule type="expression" dxfId="398" priority="111">
      <formula>kvartal &lt; 4</formula>
    </cfRule>
  </conditionalFormatting>
  <conditionalFormatting sqref="G29">
    <cfRule type="expression" dxfId="397" priority="110">
      <formula>kvartal &lt; 4</formula>
    </cfRule>
  </conditionalFormatting>
  <conditionalFormatting sqref="G30">
    <cfRule type="expression" dxfId="396" priority="109">
      <formula>kvartal &lt; 4</formula>
    </cfRule>
  </conditionalFormatting>
  <conditionalFormatting sqref="G31">
    <cfRule type="expression" dxfId="395" priority="108">
      <formula>kvartal &lt; 4</formula>
    </cfRule>
  </conditionalFormatting>
  <conditionalFormatting sqref="B26">
    <cfRule type="expression" dxfId="394" priority="107">
      <formula>kvartal &lt; 4</formula>
    </cfRule>
  </conditionalFormatting>
  <conditionalFormatting sqref="C26">
    <cfRule type="expression" dxfId="393" priority="106">
      <formula>kvartal &lt; 4</formula>
    </cfRule>
  </conditionalFormatting>
  <conditionalFormatting sqref="F26">
    <cfRule type="expression" dxfId="392" priority="105">
      <formula>kvartal &lt; 4</formula>
    </cfRule>
  </conditionalFormatting>
  <conditionalFormatting sqref="G26">
    <cfRule type="expression" dxfId="391" priority="104">
      <formula>kvartal &lt; 4</formula>
    </cfRule>
  </conditionalFormatting>
  <conditionalFormatting sqref="J23:K26">
    <cfRule type="expression" dxfId="390" priority="103">
      <formula>kvartal &lt; 4</formula>
    </cfRule>
  </conditionalFormatting>
  <conditionalFormatting sqref="J29:K31">
    <cfRule type="expression" dxfId="389" priority="101">
      <formula>kvartal &lt; 4</formula>
    </cfRule>
  </conditionalFormatting>
  <conditionalFormatting sqref="B67">
    <cfRule type="expression" dxfId="388" priority="100">
      <formula>kvartal &lt; 4</formula>
    </cfRule>
  </conditionalFormatting>
  <conditionalFormatting sqref="C67">
    <cfRule type="expression" dxfId="387" priority="99">
      <formula>kvartal &lt; 4</formula>
    </cfRule>
  </conditionalFormatting>
  <conditionalFormatting sqref="B70">
    <cfRule type="expression" dxfId="386" priority="98">
      <formula>kvartal &lt; 4</formula>
    </cfRule>
  </conditionalFormatting>
  <conditionalFormatting sqref="C70">
    <cfRule type="expression" dxfId="385" priority="97">
      <formula>kvartal &lt; 4</formula>
    </cfRule>
  </conditionalFormatting>
  <conditionalFormatting sqref="B78">
    <cfRule type="expression" dxfId="384" priority="96">
      <formula>kvartal &lt; 4</formula>
    </cfRule>
  </conditionalFormatting>
  <conditionalFormatting sqref="C78">
    <cfRule type="expression" dxfId="383" priority="95">
      <formula>kvartal &lt; 4</formula>
    </cfRule>
  </conditionalFormatting>
  <conditionalFormatting sqref="B81">
    <cfRule type="expression" dxfId="382" priority="94">
      <formula>kvartal &lt; 4</formula>
    </cfRule>
  </conditionalFormatting>
  <conditionalFormatting sqref="C81">
    <cfRule type="expression" dxfId="381" priority="93">
      <formula>kvartal &lt; 4</formula>
    </cfRule>
  </conditionalFormatting>
  <conditionalFormatting sqref="B88">
    <cfRule type="expression" dxfId="380" priority="84">
      <formula>kvartal &lt; 4</formula>
    </cfRule>
  </conditionalFormatting>
  <conditionalFormatting sqref="C88">
    <cfRule type="expression" dxfId="379" priority="83">
      <formula>kvartal &lt; 4</formula>
    </cfRule>
  </conditionalFormatting>
  <conditionalFormatting sqref="B91">
    <cfRule type="expression" dxfId="378" priority="82">
      <formula>kvartal &lt; 4</formula>
    </cfRule>
  </conditionalFormatting>
  <conditionalFormatting sqref="C91">
    <cfRule type="expression" dxfId="377" priority="81">
      <formula>kvartal &lt; 4</formula>
    </cfRule>
  </conditionalFormatting>
  <conditionalFormatting sqref="B99">
    <cfRule type="expression" dxfId="376" priority="80">
      <formula>kvartal &lt; 4</formula>
    </cfRule>
  </conditionalFormatting>
  <conditionalFormatting sqref="C99">
    <cfRule type="expression" dxfId="375" priority="79">
      <formula>kvartal &lt; 4</formula>
    </cfRule>
  </conditionalFormatting>
  <conditionalFormatting sqref="B102">
    <cfRule type="expression" dxfId="374" priority="78">
      <formula>kvartal &lt; 4</formula>
    </cfRule>
  </conditionalFormatting>
  <conditionalFormatting sqref="C102">
    <cfRule type="expression" dxfId="373" priority="77">
      <formula>kvartal &lt; 4</formula>
    </cfRule>
  </conditionalFormatting>
  <conditionalFormatting sqref="B113">
    <cfRule type="expression" dxfId="372" priority="76">
      <formula>kvartal &lt; 4</formula>
    </cfRule>
  </conditionalFormatting>
  <conditionalFormatting sqref="C113">
    <cfRule type="expression" dxfId="371" priority="75">
      <formula>kvartal &lt; 4</formula>
    </cfRule>
  </conditionalFormatting>
  <conditionalFormatting sqref="B121">
    <cfRule type="expression" dxfId="370" priority="74">
      <formula>kvartal &lt; 4</formula>
    </cfRule>
  </conditionalFormatting>
  <conditionalFormatting sqref="C121">
    <cfRule type="expression" dxfId="369" priority="73">
      <formula>kvartal &lt; 4</formula>
    </cfRule>
  </conditionalFormatting>
  <conditionalFormatting sqref="F68">
    <cfRule type="expression" dxfId="368" priority="72">
      <formula>kvartal &lt; 4</formula>
    </cfRule>
  </conditionalFormatting>
  <conditionalFormatting sqref="G68">
    <cfRule type="expression" dxfId="367" priority="71">
      <formula>kvartal &lt; 4</formula>
    </cfRule>
  </conditionalFormatting>
  <conditionalFormatting sqref="F69:G69">
    <cfRule type="expression" dxfId="366" priority="70">
      <formula>kvartal &lt; 4</formula>
    </cfRule>
  </conditionalFormatting>
  <conditionalFormatting sqref="F71:G72">
    <cfRule type="expression" dxfId="365" priority="69">
      <formula>kvartal &lt; 4</formula>
    </cfRule>
  </conditionalFormatting>
  <conditionalFormatting sqref="F79:G80">
    <cfRule type="expression" dxfId="364" priority="68">
      <formula>kvartal &lt; 4</formula>
    </cfRule>
  </conditionalFormatting>
  <conditionalFormatting sqref="F82:G83">
    <cfRule type="expression" dxfId="363" priority="67">
      <formula>kvartal &lt; 4</formula>
    </cfRule>
  </conditionalFormatting>
  <conditionalFormatting sqref="F89:G90">
    <cfRule type="expression" dxfId="362" priority="62">
      <formula>kvartal &lt; 4</formula>
    </cfRule>
  </conditionalFormatting>
  <conditionalFormatting sqref="F92:G93">
    <cfRule type="expression" dxfId="361" priority="61">
      <formula>kvartal &lt; 4</formula>
    </cfRule>
  </conditionalFormatting>
  <conditionalFormatting sqref="F100:G101">
    <cfRule type="expression" dxfId="360" priority="60">
      <formula>kvartal &lt; 4</formula>
    </cfRule>
  </conditionalFormatting>
  <conditionalFormatting sqref="F103:G104">
    <cfRule type="expression" dxfId="359" priority="59">
      <formula>kvartal &lt; 4</formula>
    </cfRule>
  </conditionalFormatting>
  <conditionalFormatting sqref="F113">
    <cfRule type="expression" dxfId="358" priority="58">
      <formula>kvartal &lt; 4</formula>
    </cfRule>
  </conditionalFormatting>
  <conditionalFormatting sqref="G113">
    <cfRule type="expression" dxfId="357" priority="57">
      <formula>kvartal &lt; 4</formula>
    </cfRule>
  </conditionalFormatting>
  <conditionalFormatting sqref="F121:G121">
    <cfRule type="expression" dxfId="356" priority="56">
      <formula>kvartal &lt; 4</formula>
    </cfRule>
  </conditionalFormatting>
  <conditionalFormatting sqref="F67:G67">
    <cfRule type="expression" dxfId="355" priority="55">
      <formula>kvartal &lt; 4</formula>
    </cfRule>
  </conditionalFormatting>
  <conditionalFormatting sqref="F70:G70">
    <cfRule type="expression" dxfId="354" priority="54">
      <formula>kvartal &lt; 4</formula>
    </cfRule>
  </conditionalFormatting>
  <conditionalFormatting sqref="F78:G78">
    <cfRule type="expression" dxfId="353" priority="53">
      <formula>kvartal &lt; 4</formula>
    </cfRule>
  </conditionalFormatting>
  <conditionalFormatting sqref="F81:G81">
    <cfRule type="expression" dxfId="352" priority="52">
      <formula>kvartal &lt; 4</formula>
    </cfRule>
  </conditionalFormatting>
  <conditionalFormatting sqref="F88:G88">
    <cfRule type="expression" dxfId="351" priority="46">
      <formula>kvartal &lt; 4</formula>
    </cfRule>
  </conditionalFormatting>
  <conditionalFormatting sqref="F91">
    <cfRule type="expression" dxfId="350" priority="45">
      <formula>kvartal &lt; 4</formula>
    </cfRule>
  </conditionalFormatting>
  <conditionalFormatting sqref="G91">
    <cfRule type="expression" dxfId="349" priority="44">
      <formula>kvartal &lt; 4</formula>
    </cfRule>
  </conditionalFormatting>
  <conditionalFormatting sqref="F99">
    <cfRule type="expression" dxfId="348" priority="43">
      <formula>kvartal &lt; 4</formula>
    </cfRule>
  </conditionalFormatting>
  <conditionalFormatting sqref="G99">
    <cfRule type="expression" dxfId="347" priority="42">
      <formula>kvartal &lt; 4</formula>
    </cfRule>
  </conditionalFormatting>
  <conditionalFormatting sqref="G102">
    <cfRule type="expression" dxfId="346" priority="41">
      <formula>kvartal &lt; 4</formula>
    </cfRule>
  </conditionalFormatting>
  <conditionalFormatting sqref="F102">
    <cfRule type="expression" dxfId="345" priority="40">
      <formula>kvartal &lt; 4</formula>
    </cfRule>
  </conditionalFormatting>
  <conditionalFormatting sqref="J67:K71">
    <cfRule type="expression" dxfId="344" priority="39">
      <formula>kvartal &lt; 4</formula>
    </cfRule>
  </conditionalFormatting>
  <conditionalFormatting sqref="J72:K72">
    <cfRule type="expression" dxfId="343" priority="38">
      <formula>kvartal &lt; 4</formula>
    </cfRule>
  </conditionalFormatting>
  <conditionalFormatting sqref="J78:K83">
    <cfRule type="expression" dxfId="342" priority="37">
      <formula>kvartal &lt; 4</formula>
    </cfRule>
  </conditionalFormatting>
  <conditionalFormatting sqref="J88:K93">
    <cfRule type="expression" dxfId="341" priority="34">
      <formula>kvartal &lt; 4</formula>
    </cfRule>
  </conditionalFormatting>
  <conditionalFormatting sqref="J99:K104">
    <cfRule type="expression" dxfId="340" priority="33">
      <formula>kvartal &lt; 4</formula>
    </cfRule>
  </conditionalFormatting>
  <conditionalFormatting sqref="J113:K113">
    <cfRule type="expression" dxfId="339" priority="32">
      <formula>kvartal &lt; 4</formula>
    </cfRule>
  </conditionalFormatting>
  <conditionalFormatting sqref="J121:K121">
    <cfRule type="expression" dxfId="338" priority="31">
      <formula>kvartal &lt; 4</formula>
    </cfRule>
  </conditionalFormatting>
  <conditionalFormatting sqref="A23:A25">
    <cfRule type="expression" dxfId="337" priority="15">
      <formula>kvartal &lt; 4</formula>
    </cfRule>
  </conditionalFormatting>
  <conditionalFormatting sqref="A29:A31">
    <cfRule type="expression" dxfId="336" priority="13">
      <formula>kvartal &lt; 4</formula>
    </cfRule>
  </conditionalFormatting>
  <conditionalFormatting sqref="A48:A50">
    <cfRule type="expression" dxfId="335" priority="12">
      <formula>kvartal &lt; 4</formula>
    </cfRule>
  </conditionalFormatting>
  <conditionalFormatting sqref="A67:A72">
    <cfRule type="expression" dxfId="334" priority="10">
      <formula>kvartal &lt; 4</formula>
    </cfRule>
  </conditionalFormatting>
  <conditionalFormatting sqref="A78:A83">
    <cfRule type="expression" dxfId="333" priority="9">
      <formula>kvartal &lt; 4</formula>
    </cfRule>
  </conditionalFormatting>
  <conditionalFormatting sqref="A88:A93">
    <cfRule type="expression" dxfId="332" priority="6">
      <formula>kvartal &lt; 4</formula>
    </cfRule>
  </conditionalFormatting>
  <conditionalFormatting sqref="A99:A104">
    <cfRule type="expression" dxfId="331" priority="5">
      <formula>kvartal &lt; 4</formula>
    </cfRule>
  </conditionalFormatting>
  <conditionalFormatting sqref="A113">
    <cfRule type="expression" dxfId="330" priority="4">
      <formula>kvartal &lt; 4</formula>
    </cfRule>
  </conditionalFormatting>
  <conditionalFormatting sqref="A121">
    <cfRule type="expression" dxfId="329" priority="3">
      <formula>kvartal &lt; 4</formula>
    </cfRule>
  </conditionalFormatting>
  <conditionalFormatting sqref="A26">
    <cfRule type="expression" dxfId="328"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149</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v>372442.24280000001</v>
      </c>
      <c r="C7" s="305">
        <v>391145.76286999998</v>
      </c>
      <c r="D7" s="344">
        <f>IF(B7=0, "    ---- ", IF(ABS(ROUND(100/B7*C7-100,1))&lt;999,ROUND(100/B7*C7-100,1),IF(ROUND(100/B7*C7-100,1)&gt;999,999,-999)))</f>
        <v>5</v>
      </c>
      <c r="E7" s="11">
        <f>IFERROR(100/'Skjema total MA'!C7*C7,0)</f>
        <v>14.364841866702797</v>
      </c>
      <c r="F7" s="304">
        <v>76819.623430000007</v>
      </c>
      <c r="G7" s="305">
        <v>127752.43618999999</v>
      </c>
      <c r="H7" s="344">
        <f>IF(F7=0, "    ---- ", IF(ABS(ROUND(100/F7*G7-100,1))&lt;999,ROUND(100/F7*G7-100,1),IF(ROUND(100/F7*G7-100,1)&gt;999,999,-999)))</f>
        <v>66.3</v>
      </c>
      <c r="I7" s="159">
        <f>IFERROR(100/'Skjema total MA'!F7*G7,0)</f>
        <v>2.8124959589255951</v>
      </c>
      <c r="J7" s="306">
        <v>449261.86623000004</v>
      </c>
      <c r="K7" s="307">
        <v>518898.19905999996</v>
      </c>
      <c r="L7" s="403">
        <f>IF(J7=0, "    ---- ", IF(ABS(ROUND(100/J7*K7-100,1))&lt;999,ROUND(100/J7*K7-100,1),IF(ROUND(100/J7*K7-100,1)&gt;999,999,-999)))</f>
        <v>15.5</v>
      </c>
      <c r="M7" s="11">
        <f>IFERROR(100/'Skjema total MA'!I7*K7,0)</f>
        <v>7.1421898214249993</v>
      </c>
    </row>
    <row r="8" spans="1:14" ht="15.75" x14ac:dyDescent="0.2">
      <c r="A8" s="21" t="s">
        <v>29</v>
      </c>
      <c r="B8" s="286">
        <v>325651</v>
      </c>
      <c r="C8" s="287">
        <v>345743</v>
      </c>
      <c r="D8" s="165">
        <f t="shared" ref="D8:D10" si="0">IF(B8=0, "    ---- ", IF(ABS(ROUND(100/B8*C8-100,1))&lt;999,ROUND(100/B8*C8-100,1),IF(ROUND(100/B8*C8-100,1)&gt;999,999,-999)))</f>
        <v>6.2</v>
      </c>
      <c r="E8" s="27">
        <f>IFERROR(100/'Skjema total MA'!C8*C8,0)</f>
        <v>23.010596165514116</v>
      </c>
      <c r="F8" s="423"/>
      <c r="G8" s="424"/>
      <c r="H8" s="170"/>
      <c r="I8" s="175"/>
      <c r="J8" s="234">
        <v>325651</v>
      </c>
      <c r="K8" s="290">
        <v>345743</v>
      </c>
      <c r="L8" s="165">
        <f t="shared" ref="L8:L9" si="1">IF(J8=0, "    ---- ", IF(ABS(ROUND(100/J8*K8-100,1))&lt;999,ROUND(100/J8*K8-100,1),IF(ROUND(100/J8*K8-100,1)&gt;999,999,-999)))</f>
        <v>6.2</v>
      </c>
      <c r="M8" s="27">
        <f>IFERROR(100/'Skjema total MA'!I8*K8,0)</f>
        <v>23.010596165514116</v>
      </c>
    </row>
    <row r="9" spans="1:14" ht="15.75" x14ac:dyDescent="0.2">
      <c r="A9" s="21" t="s">
        <v>28</v>
      </c>
      <c r="B9" s="286">
        <v>45137</v>
      </c>
      <c r="C9" s="287">
        <v>44363</v>
      </c>
      <c r="D9" s="165">
        <f t="shared" si="0"/>
        <v>-1.7</v>
      </c>
      <c r="E9" s="27">
        <f>IFERROR(100/'Skjema total MA'!C9*C9,0)</f>
        <v>6.1279611827793001</v>
      </c>
      <c r="F9" s="423"/>
      <c r="G9" s="424"/>
      <c r="H9" s="170"/>
      <c r="I9" s="175"/>
      <c r="J9" s="234">
        <v>45137</v>
      </c>
      <c r="K9" s="290">
        <v>44363</v>
      </c>
      <c r="L9" s="165">
        <f t="shared" si="1"/>
        <v>-1.7</v>
      </c>
      <c r="M9" s="27">
        <f>IFERROR(100/'Skjema total MA'!I9*K9,0)</f>
        <v>6.1279611827793001</v>
      </c>
    </row>
    <row r="10" spans="1:14" ht="15.75" x14ac:dyDescent="0.2">
      <c r="A10" s="13" t="s">
        <v>26</v>
      </c>
      <c r="B10" s="308">
        <v>950442.68417999998</v>
      </c>
      <c r="C10" s="309">
        <v>930639.25739000004</v>
      </c>
      <c r="D10" s="170">
        <f t="shared" si="0"/>
        <v>-2.1</v>
      </c>
      <c r="E10" s="11">
        <f>IFERROR(100/'Skjema total MA'!C10*C10,0)</f>
        <v>4.0446017278705808</v>
      </c>
      <c r="F10" s="308">
        <v>1626961.14488</v>
      </c>
      <c r="G10" s="309">
        <v>1952892.4646300001</v>
      </c>
      <c r="H10" s="170">
        <f t="shared" ref="H10:H12" si="2">IF(F10=0, "    ---- ", IF(ABS(ROUND(100/F10*G10-100,1))&lt;999,ROUND(100/F10*G10-100,1),IF(ROUND(100/F10*G10-100,1)&gt;999,999,-999)))</f>
        <v>20</v>
      </c>
      <c r="I10" s="159">
        <f>IFERROR(100/'Skjema total MA'!F10*G10,0)</f>
        <v>5.1851876265812047</v>
      </c>
      <c r="J10" s="306">
        <v>2577403.8290599999</v>
      </c>
      <c r="K10" s="307">
        <v>2883531.7220200002</v>
      </c>
      <c r="L10" s="404">
        <f t="shared" ref="L10:L12" si="3">IF(J10=0, "    ---- ", IF(ABS(ROUND(100/J10*K10-100,1))&lt;999,ROUND(100/J10*K10-100,1),IF(ROUND(100/J10*K10-100,1)&gt;999,999,-999)))</f>
        <v>11.9</v>
      </c>
      <c r="M10" s="11">
        <f>IFERROR(100/'Skjema total MA'!I10*K10,0)</f>
        <v>4.752631002872505</v>
      </c>
    </row>
    <row r="11" spans="1:14" s="43" customFormat="1" ht="15.75" x14ac:dyDescent="0.2">
      <c r="A11" s="13" t="s">
        <v>25</v>
      </c>
      <c r="B11" s="308"/>
      <c r="C11" s="309"/>
      <c r="D11" s="170"/>
      <c r="E11" s="11"/>
      <c r="F11" s="308">
        <v>10047.13644</v>
      </c>
      <c r="G11" s="309">
        <v>6754.9041800000005</v>
      </c>
      <c r="H11" s="170">
        <f t="shared" si="2"/>
        <v>-32.799999999999997</v>
      </c>
      <c r="I11" s="159">
        <f>IFERROR(100/'Skjema total MA'!F11*G11,0)</f>
        <v>4.197218181287143</v>
      </c>
      <c r="J11" s="306">
        <v>10047.13644</v>
      </c>
      <c r="K11" s="307">
        <v>6754.9041800000005</v>
      </c>
      <c r="L11" s="404">
        <f t="shared" si="3"/>
        <v>-32.799999999999997</v>
      </c>
      <c r="M11" s="11">
        <f>IFERROR(100/'Skjema total MA'!I11*K11,0)</f>
        <v>3.9258399764084668</v>
      </c>
      <c r="N11" s="142"/>
    </row>
    <row r="12" spans="1:14" s="43" customFormat="1" ht="15.75" x14ac:dyDescent="0.2">
      <c r="A12" s="41" t="s">
        <v>24</v>
      </c>
      <c r="B12" s="310"/>
      <c r="C12" s="311"/>
      <c r="D12" s="168"/>
      <c r="E12" s="36"/>
      <c r="F12" s="310">
        <v>1513.2310399999999</v>
      </c>
      <c r="G12" s="311">
        <v>3286.1419900000001</v>
      </c>
      <c r="H12" s="168">
        <f t="shared" si="2"/>
        <v>117.2</v>
      </c>
      <c r="I12" s="168">
        <f>IFERROR(100/'Skjema total MA'!F12*G12,0)</f>
        <v>4.4647800858672477</v>
      </c>
      <c r="J12" s="312">
        <v>1513.2310399999999</v>
      </c>
      <c r="K12" s="313">
        <v>3286.1419900000001</v>
      </c>
      <c r="L12" s="405">
        <f t="shared" si="3"/>
        <v>117.2</v>
      </c>
      <c r="M12" s="36">
        <f>IFERROR(100/'Skjema total MA'!I12*K12,0)</f>
        <v>4.421764839766154</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v>216566.62027000001</v>
      </c>
      <c r="C22" s="315">
        <v>246656.84856000001</v>
      </c>
      <c r="D22" s="344">
        <f t="shared" ref="D22:D33" si="4">IF(B22=0, "    ---- ", IF(ABS(ROUND(100/B22*C22-100,1))&lt;999,ROUND(100/B22*C22-100,1),IF(ROUND(100/B22*C22-100,1)&gt;999,999,-999)))</f>
        <v>13.9</v>
      </c>
      <c r="E22" s="11">
        <f>IFERROR(100/'Skjema total MA'!C22*C22,0)</f>
        <v>25.722800674006805</v>
      </c>
      <c r="F22" s="316">
        <v>11788.92275</v>
      </c>
      <c r="G22" s="315">
        <v>20101.676149999999</v>
      </c>
      <c r="H22" s="344">
        <f t="shared" ref="H22:H33" si="5">IF(F22=0, "    ---- ", IF(ABS(ROUND(100/F22*G22-100,1))&lt;999,ROUND(100/F22*G22-100,1),IF(ROUND(100/F22*G22-100,1)&gt;999,999,-999)))</f>
        <v>70.5</v>
      </c>
      <c r="I22" s="11">
        <f>IFERROR(100/'Skjema total MA'!F22*G22,0)</f>
        <v>10.082324999532851</v>
      </c>
      <c r="J22" s="314">
        <v>228355.54302000001</v>
      </c>
      <c r="K22" s="314">
        <v>266758.52471000003</v>
      </c>
      <c r="L22" s="403">
        <f t="shared" ref="L22:L33" si="6">IF(J22=0, "    ---- ", IF(ABS(ROUND(100/J22*K22-100,1))&lt;999,ROUND(100/J22*K22-100,1),IF(ROUND(100/J22*K22-100,1)&gt;999,999,-999)))</f>
        <v>16.8</v>
      </c>
      <c r="M22" s="24">
        <f>IFERROR(100/'Skjema total MA'!I22*K22,0)</f>
        <v>23.030594153414697</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v>213800</v>
      </c>
      <c r="C27" s="290">
        <v>243320</v>
      </c>
      <c r="D27" s="165">
        <f t="shared" si="4"/>
        <v>13.8</v>
      </c>
      <c r="E27" s="27">
        <f>IFERROR(100/'Skjema total MA'!C27*C27,0)</f>
        <v>24.601017320856521</v>
      </c>
      <c r="F27" s="234"/>
      <c r="G27" s="290"/>
      <c r="H27" s="165"/>
      <c r="I27" s="27"/>
      <c r="J27" s="44">
        <v>213800</v>
      </c>
      <c r="K27" s="44">
        <v>243320</v>
      </c>
      <c r="L27" s="259">
        <f t="shared" si="6"/>
        <v>13.8</v>
      </c>
      <c r="M27" s="23">
        <f>IFERROR(100/'Skjema total MA'!I27*K27,0)</f>
        <v>24.601017320856521</v>
      </c>
    </row>
    <row r="28" spans="1:14" s="3" customFormat="1" ht="15.75" x14ac:dyDescent="0.2">
      <c r="A28" s="13" t="s">
        <v>26</v>
      </c>
      <c r="B28" s="236">
        <v>4862309.1922399998</v>
      </c>
      <c r="C28" s="307">
        <v>4974216.7379200002</v>
      </c>
      <c r="D28" s="170">
        <f t="shared" si="4"/>
        <v>2.2999999999999998</v>
      </c>
      <c r="E28" s="11">
        <f>IFERROR(100/'Skjema total MA'!C28*C28,0)</f>
        <v>9.762605835718082</v>
      </c>
      <c r="F28" s="306">
        <v>1869968.05849</v>
      </c>
      <c r="G28" s="307">
        <v>1998161.21854</v>
      </c>
      <c r="H28" s="170">
        <f t="shared" si="5"/>
        <v>6.9</v>
      </c>
      <c r="I28" s="11">
        <f>IFERROR(100/'Skjema total MA'!F28*G28,0)</f>
        <v>10.175818790380687</v>
      </c>
      <c r="J28" s="236">
        <v>6732277.2507299995</v>
      </c>
      <c r="K28" s="236">
        <v>6972377.95646</v>
      </c>
      <c r="L28" s="404">
        <f t="shared" si="6"/>
        <v>3.6</v>
      </c>
      <c r="M28" s="24">
        <f>IFERROR(100/'Skjema total MA'!I28*K28,0)</f>
        <v>9.8775544127446331</v>
      </c>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v>4620.7482300000001</v>
      </c>
      <c r="C32" s="307"/>
      <c r="D32" s="170">
        <f t="shared" si="4"/>
        <v>-100</v>
      </c>
      <c r="E32" s="11">
        <f>IFERROR(100/'Skjema total MA'!C32*C32,0)</f>
        <v>0</v>
      </c>
      <c r="F32" s="306">
        <v>5049.6368899999998</v>
      </c>
      <c r="G32" s="307">
        <v>4319.3763300000001</v>
      </c>
      <c r="H32" s="170">
        <f t="shared" si="5"/>
        <v>-14.5</v>
      </c>
      <c r="I32" s="11">
        <f>IFERROR(100/'Skjema total MA'!F32*G32,0)</f>
        <v>23.058493686682329</v>
      </c>
      <c r="J32" s="236">
        <v>9670.385119999999</v>
      </c>
      <c r="K32" s="236">
        <v>4319.3763300000001</v>
      </c>
      <c r="L32" s="404">
        <f t="shared" si="6"/>
        <v>-55.3</v>
      </c>
      <c r="M32" s="24">
        <f>IFERROR(100/'Skjema total MA'!I32*K32,0)</f>
        <v>10.23275563852741</v>
      </c>
    </row>
    <row r="33" spans="1:14" ht="15.75" x14ac:dyDescent="0.2">
      <c r="A33" s="13" t="s">
        <v>24</v>
      </c>
      <c r="B33" s="236">
        <v>890.09646999999995</v>
      </c>
      <c r="C33" s="307">
        <v>266.93581</v>
      </c>
      <c r="D33" s="170">
        <f t="shared" si="4"/>
        <v>-70</v>
      </c>
      <c r="E33" s="11">
        <f>IFERROR(100/'Skjema total MA'!C33*C33,0)</f>
        <v>-0.85627117454536239</v>
      </c>
      <c r="F33" s="306">
        <v>1906.8378399999999</v>
      </c>
      <c r="G33" s="307">
        <v>2469.8940699999998</v>
      </c>
      <c r="H33" s="170">
        <f t="shared" si="5"/>
        <v>29.5</v>
      </c>
      <c r="I33" s="11">
        <f>IFERROR(100/'Skjema total MA'!F33*G33,0)</f>
        <v>3.7715990034625082</v>
      </c>
      <c r="J33" s="236">
        <v>2796.9343099999996</v>
      </c>
      <c r="K33" s="236">
        <v>2736.8298799999998</v>
      </c>
      <c r="L33" s="404">
        <f t="shared" si="6"/>
        <v>-2.1</v>
      </c>
      <c r="M33" s="24">
        <f>IFERROR(100/'Skjema total MA'!I33*K33,0)</f>
        <v>7.9762025821004556</v>
      </c>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413320.38151000004</v>
      </c>
      <c r="C45" s="309">
        <v>402036.60389999999</v>
      </c>
      <c r="D45" s="403">
        <f t="shared" ref="D45:D55" si="7">IF(B45=0, "    ---- ", IF(ABS(ROUND(100/B45*C45-100,1))&lt;999,ROUND(100/B45*C45-100,1),IF(ROUND(100/B45*C45-100,1)&gt;999,999,-999)))</f>
        <v>-2.7</v>
      </c>
      <c r="E45" s="11">
        <f>IFERROR(100/'Skjema total MA'!C45*C45,0)</f>
        <v>14.66217703192939</v>
      </c>
      <c r="F45" s="144"/>
      <c r="G45" s="33"/>
      <c r="H45" s="158"/>
      <c r="I45" s="158"/>
      <c r="J45" s="37"/>
      <c r="K45" s="37"/>
      <c r="L45" s="158"/>
      <c r="M45" s="158"/>
      <c r="N45" s="147"/>
    </row>
    <row r="46" spans="1:14" s="3" customFormat="1" ht="15.75" x14ac:dyDescent="0.2">
      <c r="A46" s="38" t="s">
        <v>312</v>
      </c>
      <c r="B46" s="286">
        <v>77085.780190000005</v>
      </c>
      <c r="C46" s="287">
        <v>72613.216</v>
      </c>
      <c r="D46" s="259">
        <f t="shared" si="7"/>
        <v>-5.8</v>
      </c>
      <c r="E46" s="27">
        <f>IFERROR(100/'Skjema total MA'!C46*C46,0)</f>
        <v>4.9887809987651064</v>
      </c>
      <c r="F46" s="144"/>
      <c r="G46" s="33"/>
      <c r="H46" s="144"/>
      <c r="I46" s="144"/>
      <c r="J46" s="33"/>
      <c r="K46" s="33"/>
      <c r="L46" s="158"/>
      <c r="M46" s="158"/>
      <c r="N46" s="147"/>
    </row>
    <row r="47" spans="1:14" s="3" customFormat="1" ht="15.75" x14ac:dyDescent="0.2">
      <c r="A47" s="38" t="s">
        <v>313</v>
      </c>
      <c r="B47" s="44">
        <v>336234.60132000002</v>
      </c>
      <c r="C47" s="290">
        <v>329423.38789999997</v>
      </c>
      <c r="D47" s="259">
        <f>IF(B47=0, "    ---- ", IF(ABS(ROUND(100/B47*C47-100,1))&lt;999,ROUND(100/B47*C47-100,1),IF(ROUND(100/B47*C47-100,1)&gt;999,999,-999)))</f>
        <v>-2</v>
      </c>
      <c r="E47" s="27">
        <f>IFERROR(100/'Skjema total MA'!C47*C47,0)</f>
        <v>25.606812141053499</v>
      </c>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v>5095</v>
      </c>
      <c r="C51" s="309"/>
      <c r="D51" s="404">
        <f t="shared" si="7"/>
        <v>-100</v>
      </c>
      <c r="E51" s="11">
        <f>IFERROR(100/'Skjema total MA'!C51*C51,0)</f>
        <v>0</v>
      </c>
      <c r="F51" s="144"/>
      <c r="G51" s="33"/>
      <c r="H51" s="144"/>
      <c r="I51" s="144"/>
      <c r="J51" s="33"/>
      <c r="K51" s="33"/>
      <c r="L51" s="158"/>
      <c r="M51" s="158"/>
      <c r="N51" s="147"/>
    </row>
    <row r="52" spans="1:14" s="3" customFormat="1" ht="15.75" x14ac:dyDescent="0.2">
      <c r="A52" s="38" t="s">
        <v>312</v>
      </c>
      <c r="B52" s="286">
        <v>1390</v>
      </c>
      <c r="C52" s="287"/>
      <c r="D52" s="259">
        <f t="shared" si="7"/>
        <v>-100</v>
      </c>
      <c r="E52" s="27">
        <f>IFERROR(100/'Skjema total MA'!C52*C52,0)</f>
        <v>0</v>
      </c>
      <c r="F52" s="144"/>
      <c r="G52" s="33"/>
      <c r="H52" s="144"/>
      <c r="I52" s="144"/>
      <c r="J52" s="33"/>
      <c r="K52" s="33"/>
      <c r="L52" s="158"/>
      <c r="M52" s="158"/>
      <c r="N52" s="147"/>
    </row>
    <row r="53" spans="1:14" s="3" customFormat="1" ht="15.75" x14ac:dyDescent="0.2">
      <c r="A53" s="38" t="s">
        <v>313</v>
      </c>
      <c r="B53" s="286">
        <v>3705</v>
      </c>
      <c r="C53" s="287"/>
      <c r="D53" s="259">
        <f t="shared" si="7"/>
        <v>-100</v>
      </c>
      <c r="E53" s="27">
        <f>IFERROR(100/'Skjema total MA'!C53*C53,0)</f>
        <v>0</v>
      </c>
      <c r="F53" s="144"/>
      <c r="G53" s="33"/>
      <c r="H53" s="144"/>
      <c r="I53" s="144"/>
      <c r="J53" s="33"/>
      <c r="K53" s="33"/>
      <c r="L53" s="158"/>
      <c r="M53" s="158"/>
      <c r="N53" s="147"/>
    </row>
    <row r="54" spans="1:14" s="3" customFormat="1" ht="15.75" x14ac:dyDescent="0.2">
      <c r="A54" s="39" t="s">
        <v>315</v>
      </c>
      <c r="B54" s="308">
        <v>1867</v>
      </c>
      <c r="C54" s="309"/>
      <c r="D54" s="404">
        <f t="shared" si="7"/>
        <v>-100</v>
      </c>
      <c r="E54" s="11">
        <f>IFERROR(100/'Skjema total MA'!C54*C54,0)</f>
        <v>0</v>
      </c>
      <c r="F54" s="144"/>
      <c r="G54" s="33"/>
      <c r="H54" s="144"/>
      <c r="I54" s="144"/>
      <c r="J54" s="33"/>
      <c r="K54" s="33"/>
      <c r="L54" s="158"/>
      <c r="M54" s="158"/>
      <c r="N54" s="147"/>
    </row>
    <row r="55" spans="1:14" s="3" customFormat="1" ht="15.75" x14ac:dyDescent="0.2">
      <c r="A55" s="38" t="s">
        <v>312</v>
      </c>
      <c r="B55" s="286">
        <v>1867</v>
      </c>
      <c r="C55" s="287"/>
      <c r="D55" s="259">
        <f t="shared" si="7"/>
        <v>-100</v>
      </c>
      <c r="E55" s="27">
        <f>IFERROR(100/'Skjema total MA'!C55*C55,0)</f>
        <v>0</v>
      </c>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v>345268.93091</v>
      </c>
      <c r="C64" s="347">
        <v>377095.79469000001</v>
      </c>
      <c r="D64" s="344">
        <f t="shared" ref="D64:D109" si="8">IF(B64=0, "    ---- ", IF(ABS(ROUND(100/B64*C64-100,1))&lt;999,ROUND(100/B64*C64-100,1),IF(ROUND(100/B64*C64-100,1)&gt;999,999,-999)))</f>
        <v>9.1999999999999993</v>
      </c>
      <c r="E64" s="11">
        <f>IFERROR(100/'Skjema total MA'!C64*C64,0)</f>
        <v>7.0206273532978241</v>
      </c>
      <c r="F64" s="346">
        <v>927548.5432999999</v>
      </c>
      <c r="G64" s="346">
        <v>1265793.2559999998</v>
      </c>
      <c r="H64" s="344">
        <f t="shared" ref="H64:H109" si="9">IF(F64=0, "    ---- ", IF(ABS(ROUND(100/F64*G64-100,1))&lt;999,ROUND(100/F64*G64-100,1),IF(ROUND(100/F64*G64-100,1)&gt;999,999,-999)))</f>
        <v>36.5</v>
      </c>
      <c r="I64" s="11">
        <f>IFERROR(100/'Skjema total MA'!F64*G64,0)</f>
        <v>9.7493552126021665</v>
      </c>
      <c r="J64" s="307">
        <v>1272817.4742099999</v>
      </c>
      <c r="K64" s="314">
        <v>1642889.0506899999</v>
      </c>
      <c r="L64" s="404">
        <f t="shared" ref="L64:L109" si="10">IF(J64=0, "    ---- ", IF(ABS(ROUND(100/J64*K64-100,1))&lt;999,ROUND(100/J64*K64-100,1),IF(ROUND(100/J64*K64-100,1)&gt;999,999,-999)))</f>
        <v>29.1</v>
      </c>
      <c r="M64" s="11">
        <f>IFERROR(100/'Skjema total MA'!I64*K64,0)</f>
        <v>8.9508258931237599</v>
      </c>
    </row>
    <row r="65" spans="1:14" x14ac:dyDescent="0.2">
      <c r="A65" s="395" t="s">
        <v>9</v>
      </c>
      <c r="B65" s="44">
        <v>225027.67981</v>
      </c>
      <c r="C65" s="144">
        <v>257228.25090000001</v>
      </c>
      <c r="D65" s="165">
        <f t="shared" si="8"/>
        <v>14.3</v>
      </c>
      <c r="E65" s="27">
        <f>IFERROR(100/'Skjema total MA'!C65*C65,0)</f>
        <v>5.0124917152030006</v>
      </c>
      <c r="F65" s="234"/>
      <c r="G65" s="144"/>
      <c r="H65" s="165"/>
      <c r="I65" s="27"/>
      <c r="J65" s="290">
        <v>225027.67981</v>
      </c>
      <c r="K65" s="44">
        <v>257228.25090000001</v>
      </c>
      <c r="L65" s="259">
        <f t="shared" si="10"/>
        <v>14.3</v>
      </c>
      <c r="M65" s="27">
        <f>IFERROR(100/'Skjema total MA'!I65*K65,0)</f>
        <v>5.0124917152030006</v>
      </c>
    </row>
    <row r="66" spans="1:14" x14ac:dyDescent="0.2">
      <c r="A66" s="21" t="s">
        <v>10</v>
      </c>
      <c r="B66" s="292">
        <v>29835.670699999999</v>
      </c>
      <c r="C66" s="293">
        <v>29755.332549999999</v>
      </c>
      <c r="D66" s="165">
        <f t="shared" si="8"/>
        <v>-0.3</v>
      </c>
      <c r="E66" s="27">
        <f>IFERROR(100/'Skjema total MA'!C66*C66,0)</f>
        <v>25.329435969934096</v>
      </c>
      <c r="F66" s="292">
        <v>864621.82129999995</v>
      </c>
      <c r="G66" s="293">
        <v>1185044.1468199999</v>
      </c>
      <c r="H66" s="165">
        <f t="shared" si="9"/>
        <v>37.1</v>
      </c>
      <c r="I66" s="27">
        <f>IFERROR(100/'Skjema total MA'!F66*G66,0)</f>
        <v>9.2191853280503189</v>
      </c>
      <c r="J66" s="290">
        <v>894457.49199999997</v>
      </c>
      <c r="K66" s="44">
        <v>1214799.4793699998</v>
      </c>
      <c r="L66" s="259">
        <f t="shared" si="10"/>
        <v>35.799999999999997</v>
      </c>
      <c r="M66" s="27">
        <f>IFERROR(100/'Skjema total MA'!I66*K66,0)</f>
        <v>9.3650830880561067</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v>90405.580400000006</v>
      </c>
      <c r="C73" s="144">
        <v>90112.211240000004</v>
      </c>
      <c r="D73" s="165">
        <f t="shared" si="8"/>
        <v>-0.3</v>
      </c>
      <c r="E73" s="27">
        <f>IFERROR(100/'Skjema total MA'!C73*C73,0)</f>
        <v>73.839793820348831</v>
      </c>
      <c r="F73" s="234">
        <v>62926.722000000002</v>
      </c>
      <c r="G73" s="144">
        <v>80749.109179999999</v>
      </c>
      <c r="H73" s="165">
        <f t="shared" si="9"/>
        <v>28.3</v>
      </c>
      <c r="I73" s="27">
        <f>IFERROR(100/'Skjema total MA'!F73*G73,0)</f>
        <v>62.477850829471578</v>
      </c>
      <c r="J73" s="290">
        <v>153332.30240000002</v>
      </c>
      <c r="K73" s="44">
        <v>170861.32042</v>
      </c>
      <c r="L73" s="259">
        <f t="shared" si="10"/>
        <v>11.4</v>
      </c>
      <c r="M73" s="27">
        <f>IFERROR(100/'Skjema total MA'!I73*K73,0)</f>
        <v>67.995888654117323</v>
      </c>
      <c r="N73" s="147"/>
    </row>
    <row r="74" spans="1:14" s="3" customFormat="1" x14ac:dyDescent="0.2">
      <c r="A74" s="21" t="s">
        <v>399</v>
      </c>
      <c r="B74" s="234"/>
      <c r="C74" s="144">
        <v>71409.29135</v>
      </c>
      <c r="D74" s="165" t="str">
        <f t="shared" ref="D74" si="11">IF(B74=0, "    ---- ", IF(ABS(ROUND(100/B74*C74-100,1))&lt;999,ROUND(100/B74*C74-100,1),IF(ROUND(100/B74*C74-100,1)&gt;999,999,-999)))</f>
        <v xml:space="preserve">    ---- </v>
      </c>
      <c r="E74" s="27">
        <f>IFERROR(100/'Skjema total MA'!C75*C74,0)</f>
        <v>1.3990118832185277</v>
      </c>
      <c r="F74" s="234"/>
      <c r="G74" s="144"/>
      <c r="H74" s="165"/>
      <c r="I74" s="27"/>
      <c r="J74" s="290"/>
      <c r="K74" s="44">
        <v>71409.29135</v>
      </c>
      <c r="L74" s="259" t="str">
        <f t="shared" ref="L74" si="12">IF(J74=0, "    ---- ", IF(ABS(ROUND(100/J74*K74-100,1))&lt;999,ROUND(100/J74*K74-100,1),IF(ROUND(100/J74*K74-100,1)&gt;999,999,-999)))</f>
        <v xml:space="preserve">    ---- </v>
      </c>
      <c r="M74" s="27">
        <f>IFERROR(100/'Skjema total MA'!I75*K74,0)</f>
        <v>0.39782372433626012</v>
      </c>
      <c r="N74" s="147"/>
    </row>
    <row r="75" spans="1:14" ht="15.75" x14ac:dyDescent="0.2">
      <c r="A75" s="21" t="s">
        <v>318</v>
      </c>
      <c r="B75" s="234">
        <v>254863.35050999999</v>
      </c>
      <c r="C75" s="234">
        <v>286983.58345000003</v>
      </c>
      <c r="D75" s="165">
        <f t="shared" si="8"/>
        <v>12.6</v>
      </c>
      <c r="E75" s="27">
        <f>IFERROR(100/'Skjema total MA'!C75*C75,0)</f>
        <v>5.6224258208548381</v>
      </c>
      <c r="F75" s="234">
        <v>859240.32724999997</v>
      </c>
      <c r="G75" s="144">
        <v>1178911.1048099999</v>
      </c>
      <c r="H75" s="165">
        <f t="shared" si="9"/>
        <v>37.200000000000003</v>
      </c>
      <c r="I75" s="27">
        <f>IFERROR(100/'Skjema total MA'!F75*G75,0)</f>
        <v>9.1774644953638287</v>
      </c>
      <c r="J75" s="290">
        <v>1114103.6777599999</v>
      </c>
      <c r="K75" s="44">
        <v>1465894.68826</v>
      </c>
      <c r="L75" s="259">
        <f t="shared" si="10"/>
        <v>31.6</v>
      </c>
      <c r="M75" s="27">
        <f>IFERROR(100/'Skjema total MA'!I75*K75,0)</f>
        <v>8.1665519058303087</v>
      </c>
    </row>
    <row r="76" spans="1:14" x14ac:dyDescent="0.2">
      <c r="A76" s="21" t="s">
        <v>9</v>
      </c>
      <c r="B76" s="234">
        <v>225027.67981</v>
      </c>
      <c r="C76" s="144">
        <v>257228.25090000001</v>
      </c>
      <c r="D76" s="165">
        <f t="shared" si="8"/>
        <v>14.3</v>
      </c>
      <c r="E76" s="27">
        <f>IFERROR(100/'Skjema total MA'!C76*C76,0)</f>
        <v>5.1558948208324837</v>
      </c>
      <c r="F76" s="234"/>
      <c r="G76" s="144"/>
      <c r="H76" s="165"/>
      <c r="I76" s="27"/>
      <c r="J76" s="290">
        <v>225027.67981</v>
      </c>
      <c r="K76" s="44">
        <v>257228.25090000001</v>
      </c>
      <c r="L76" s="259">
        <f t="shared" si="10"/>
        <v>14.3</v>
      </c>
      <c r="M76" s="27">
        <f>IFERROR(100/'Skjema total MA'!I76*K76,0)</f>
        <v>5.1558948208324837</v>
      </c>
    </row>
    <row r="77" spans="1:14" x14ac:dyDescent="0.2">
      <c r="A77" s="21" t="s">
        <v>10</v>
      </c>
      <c r="B77" s="292">
        <v>29835.670699999999</v>
      </c>
      <c r="C77" s="293">
        <v>29755.332549999999</v>
      </c>
      <c r="D77" s="165">
        <f t="shared" si="8"/>
        <v>-0.3</v>
      </c>
      <c r="E77" s="27">
        <f>IFERROR(100/'Skjema total MA'!C77*C77,0)</f>
        <v>25.817296506949585</v>
      </c>
      <c r="F77" s="292">
        <v>859240.32724999997</v>
      </c>
      <c r="G77" s="293">
        <v>1178911.1048099999</v>
      </c>
      <c r="H77" s="165">
        <f t="shared" si="9"/>
        <v>37.200000000000003</v>
      </c>
      <c r="I77" s="27">
        <f>IFERROR(100/'Skjema total MA'!F77*G77,0)</f>
        <v>9.1774644953638287</v>
      </c>
      <c r="J77" s="290">
        <v>889075.99794999999</v>
      </c>
      <c r="K77" s="44">
        <v>1208666.4373599999</v>
      </c>
      <c r="L77" s="259">
        <f t="shared" si="10"/>
        <v>35.9</v>
      </c>
      <c r="M77" s="27">
        <f>IFERROR(100/'Skjema total MA'!I77*K77,0)</f>
        <v>9.3254316989694903</v>
      </c>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v>5381.4940500000002</v>
      </c>
      <c r="G84" s="144">
        <v>6133.0420100000001</v>
      </c>
      <c r="H84" s="165">
        <f t="shared" si="9"/>
        <v>14</v>
      </c>
      <c r="I84" s="27">
        <f>IFERROR(100/'Skjema total MA'!F84*G84,0)</f>
        <v>73.079368114950839</v>
      </c>
      <c r="J84" s="290">
        <v>5381.4940500000002</v>
      </c>
      <c r="K84" s="44">
        <v>6133.0420100000001</v>
      </c>
      <c r="L84" s="259">
        <f t="shared" si="10"/>
        <v>14</v>
      </c>
      <c r="M84" s="27">
        <f>IFERROR(100/'Skjema total MA'!I84*K84,0)</f>
        <v>3.999543541019809</v>
      </c>
    </row>
    <row r="85" spans="1:13" ht="15.75" x14ac:dyDescent="0.2">
      <c r="A85" s="13" t="s">
        <v>26</v>
      </c>
      <c r="B85" s="347">
        <v>11026841.511329999</v>
      </c>
      <c r="C85" s="347">
        <v>11346845.965299999</v>
      </c>
      <c r="D85" s="170">
        <f t="shared" si="8"/>
        <v>2.9</v>
      </c>
      <c r="E85" s="11">
        <f>IFERROR(100/'Skjema total MA'!C85*C85,0)</f>
        <v>3.0354567381686119</v>
      </c>
      <c r="F85" s="346">
        <v>13431955.05137</v>
      </c>
      <c r="G85" s="346">
        <v>17851513.436900001</v>
      </c>
      <c r="H85" s="170">
        <f t="shared" si="9"/>
        <v>32.9</v>
      </c>
      <c r="I85" s="11">
        <f>IFERROR(100/'Skjema total MA'!F85*G85,0)</f>
        <v>8.9757326048246782</v>
      </c>
      <c r="J85" s="307">
        <v>24458796.5627</v>
      </c>
      <c r="K85" s="236">
        <v>29198359.402199998</v>
      </c>
      <c r="L85" s="404">
        <f t="shared" si="10"/>
        <v>19.399999999999999</v>
      </c>
      <c r="M85" s="11">
        <f>IFERROR(100/'Skjema total MA'!I85*K85,0)</f>
        <v>5.0983993707656365</v>
      </c>
    </row>
    <row r="86" spans="1:13" x14ac:dyDescent="0.2">
      <c r="A86" s="21" t="s">
        <v>9</v>
      </c>
      <c r="B86" s="234">
        <v>10187380</v>
      </c>
      <c r="C86" s="144">
        <v>10066383.386609999</v>
      </c>
      <c r="D86" s="165">
        <f t="shared" si="8"/>
        <v>-1.2</v>
      </c>
      <c r="E86" s="27">
        <f>IFERROR(100/'Skjema total MA'!C86*C86,0)</f>
        <v>2.7128104412259226</v>
      </c>
      <c r="F86" s="234"/>
      <c r="G86" s="144"/>
      <c r="H86" s="165"/>
      <c r="I86" s="27"/>
      <c r="J86" s="290">
        <v>10187380</v>
      </c>
      <c r="K86" s="44">
        <v>10066383.386609999</v>
      </c>
      <c r="L86" s="259">
        <f t="shared" si="10"/>
        <v>-1.2</v>
      </c>
      <c r="M86" s="27">
        <f>IFERROR(100/'Skjema total MA'!I86*K86,0)</f>
        <v>2.7128104412259226</v>
      </c>
    </row>
    <row r="87" spans="1:13" x14ac:dyDescent="0.2">
      <c r="A87" s="21" t="s">
        <v>10</v>
      </c>
      <c r="B87" s="234">
        <v>789081.51133000001</v>
      </c>
      <c r="C87" s="144">
        <v>1077214.3108399999</v>
      </c>
      <c r="D87" s="165">
        <f t="shared" si="8"/>
        <v>36.5</v>
      </c>
      <c r="E87" s="27">
        <f>IFERROR(100/'Skjema total MA'!C87*C87,0)</f>
        <v>43.104099060074269</v>
      </c>
      <c r="F87" s="234">
        <v>13368873.64707</v>
      </c>
      <c r="G87" s="144">
        <v>17641359.916310001</v>
      </c>
      <c r="H87" s="165">
        <f t="shared" si="9"/>
        <v>32</v>
      </c>
      <c r="I87" s="27">
        <f>IFERROR(100/'Skjema total MA'!F87*G87,0)</f>
        <v>8.8861252104556332</v>
      </c>
      <c r="J87" s="290">
        <v>14157955.158399999</v>
      </c>
      <c r="K87" s="44">
        <v>18718574.227150001</v>
      </c>
      <c r="L87" s="259">
        <f t="shared" si="10"/>
        <v>32.200000000000003</v>
      </c>
      <c r="M87" s="27">
        <f>IFERROR(100/'Skjema total MA'!I87*K87,0)</f>
        <v>9.3115133086432618</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v>50380</v>
      </c>
      <c r="C94" s="144">
        <v>203248.26785</v>
      </c>
      <c r="D94" s="165">
        <f t="shared" si="8"/>
        <v>303.39999999999998</v>
      </c>
      <c r="E94" s="27">
        <f>IFERROR(100/'Skjema total MA'!C94*C94,0)</f>
        <v>83.768974030347195</v>
      </c>
      <c r="F94" s="234">
        <v>63081.404300000002</v>
      </c>
      <c r="G94" s="144">
        <v>210153.52059</v>
      </c>
      <c r="H94" s="165">
        <f t="shared" si="9"/>
        <v>233.1</v>
      </c>
      <c r="I94" s="27">
        <f>IFERROR(100/'Skjema total MA'!F94*G94,0)</f>
        <v>58.473715687043708</v>
      </c>
      <c r="J94" s="290">
        <v>113461.40429999999</v>
      </c>
      <c r="K94" s="44">
        <v>413401.78844000003</v>
      </c>
      <c r="L94" s="259">
        <f t="shared" si="10"/>
        <v>264.39999999999998</v>
      </c>
      <c r="M94" s="27">
        <f>IFERROR(100/'Skjema total MA'!I94*K94,0)</f>
        <v>68.668222777185505</v>
      </c>
    </row>
    <row r="95" spans="1:13" x14ac:dyDescent="0.2">
      <c r="A95" s="21" t="s">
        <v>397</v>
      </c>
      <c r="B95" s="234"/>
      <c r="C95" s="144">
        <v>750420.61404000001</v>
      </c>
      <c r="D95" s="165" t="str">
        <f t="shared" ref="D95" si="13">IF(B95=0, "    ---- ", IF(ABS(ROUND(100/B95*C95-100,1))&lt;999,ROUND(100/B95*C95-100,1),IF(ROUND(100/B95*C95-100,1)&gt;999,999,-999)))</f>
        <v xml:space="preserve">    ---- </v>
      </c>
      <c r="E95" s="27">
        <f>IFERROR(100/'Skjema total MA'!C96*C95,0)</f>
        <v>0.20355435915718925</v>
      </c>
      <c r="F95" s="234"/>
      <c r="G95" s="144"/>
      <c r="H95" s="165"/>
      <c r="I95" s="27"/>
      <c r="J95" s="290"/>
      <c r="K95" s="44">
        <v>750420.61404000001</v>
      </c>
      <c r="L95" s="259" t="str">
        <f t="shared" ref="L95" si="14">IF(J95=0, "    ---- ", IF(ABS(ROUND(100/J95*K95-100,1))&lt;999,ROUND(100/J95*K95-100,1),IF(ROUND(100/J95*K95-100,1)&gt;999,999,-999)))</f>
        <v xml:space="preserve">    ---- </v>
      </c>
      <c r="M95" s="27">
        <f>IFERROR(100/'Skjema total MA'!I96*K95,0)</f>
        <v>0.13243040376643206</v>
      </c>
    </row>
    <row r="96" spans="1:13" ht="15.75" x14ac:dyDescent="0.2">
      <c r="A96" s="21" t="s">
        <v>318</v>
      </c>
      <c r="B96" s="234">
        <v>10976461.511329999</v>
      </c>
      <c r="C96" s="234">
        <v>11143597.697449999</v>
      </c>
      <c r="D96" s="165">
        <f t="shared" si="8"/>
        <v>1.5</v>
      </c>
      <c r="E96" s="27">
        <f>IFERROR(100/'Skjema total MA'!C96*C96,0)</f>
        <v>3.0227419737286887</v>
      </c>
      <c r="F96" s="292">
        <v>13318320.948720001</v>
      </c>
      <c r="G96" s="292">
        <v>17588619.533020001</v>
      </c>
      <c r="H96" s="165">
        <f t="shared" si="9"/>
        <v>32.1</v>
      </c>
      <c r="I96" s="27">
        <f>IFERROR(100/'Skjema total MA'!F96*G96,0)</f>
        <v>8.8833998101199256</v>
      </c>
      <c r="J96" s="290">
        <v>24294782.460050002</v>
      </c>
      <c r="K96" s="44">
        <v>28732217.230470002</v>
      </c>
      <c r="L96" s="259">
        <f t="shared" si="10"/>
        <v>18.3</v>
      </c>
      <c r="M96" s="27">
        <f>IFERROR(100/'Skjema total MA'!I96*K96,0)</f>
        <v>5.0705151987378079</v>
      </c>
    </row>
    <row r="97" spans="1:13" x14ac:dyDescent="0.2">
      <c r="A97" s="21" t="s">
        <v>9</v>
      </c>
      <c r="B97" s="292">
        <v>10187380</v>
      </c>
      <c r="C97" s="293">
        <v>10066383.386609999</v>
      </c>
      <c r="D97" s="165">
        <f t="shared" si="8"/>
        <v>-1.2</v>
      </c>
      <c r="E97" s="27">
        <f>IFERROR(100/'Skjema total MA'!C97*C97,0)</f>
        <v>2.749180034179282</v>
      </c>
      <c r="F97" s="234"/>
      <c r="G97" s="144"/>
      <c r="H97" s="165"/>
      <c r="I97" s="27"/>
      <c r="J97" s="290">
        <v>10187380</v>
      </c>
      <c r="K97" s="44">
        <v>10066383.386609999</v>
      </c>
      <c r="L97" s="259">
        <f t="shared" si="10"/>
        <v>-1.2</v>
      </c>
      <c r="M97" s="27">
        <f>IFERROR(100/'Skjema total MA'!I97*K97,0)</f>
        <v>2.749180034179282</v>
      </c>
    </row>
    <row r="98" spans="1:13" x14ac:dyDescent="0.2">
      <c r="A98" s="21" t="s">
        <v>10</v>
      </c>
      <c r="B98" s="292">
        <v>789081.51133000001</v>
      </c>
      <c r="C98" s="293">
        <v>1077214.3108399999</v>
      </c>
      <c r="D98" s="165">
        <f t="shared" si="8"/>
        <v>36.5</v>
      </c>
      <c r="E98" s="27">
        <f>IFERROR(100/'Skjema total MA'!C98*C98,0)</f>
        <v>43.104099060074269</v>
      </c>
      <c r="F98" s="234">
        <v>13318320.948720001</v>
      </c>
      <c r="G98" s="234">
        <v>17588619.533020001</v>
      </c>
      <c r="H98" s="165">
        <f t="shared" si="9"/>
        <v>32.1</v>
      </c>
      <c r="I98" s="27">
        <f>IFERROR(100/'Skjema total MA'!F98*G98,0)</f>
        <v>8.8833998101199256</v>
      </c>
      <c r="J98" s="290">
        <v>14107402.46005</v>
      </c>
      <c r="K98" s="44">
        <v>18665833.84386</v>
      </c>
      <c r="L98" s="259">
        <f t="shared" si="10"/>
        <v>32.299999999999997</v>
      </c>
      <c r="M98" s="27">
        <f>IFERROR(100/'Skjema total MA'!I98*K98,0)</f>
        <v>9.3099523006658647</v>
      </c>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v>50552.698349999999</v>
      </c>
      <c r="G105" s="144">
        <v>52740.383289999998</v>
      </c>
      <c r="H105" s="165">
        <f t="shared" si="9"/>
        <v>4.3</v>
      </c>
      <c r="I105" s="27">
        <f>IFERROR(100/'Skjema total MA'!F105*G105,0)</f>
        <v>9.8989353934315467</v>
      </c>
      <c r="J105" s="290">
        <v>50552.698349999999</v>
      </c>
      <c r="K105" s="44">
        <v>52740.383289999998</v>
      </c>
      <c r="L105" s="259">
        <f t="shared" si="10"/>
        <v>4.3</v>
      </c>
      <c r="M105" s="27">
        <f>IFERROR(100/'Skjema total MA'!I105*K105,0)</f>
        <v>0.9691812750504295</v>
      </c>
    </row>
    <row r="106" spans="1:13" ht="15.75" x14ac:dyDescent="0.2">
      <c r="A106" s="21" t="s">
        <v>328</v>
      </c>
      <c r="B106" s="234">
        <v>5206730.7872799998</v>
      </c>
      <c r="C106" s="234">
        <v>6866384.3662799997</v>
      </c>
      <c r="D106" s="165">
        <f t="shared" si="8"/>
        <v>31.9</v>
      </c>
      <c r="E106" s="27">
        <f>IFERROR(100/'Skjema total MA'!C106*C106,0)</f>
        <v>2.3464275358815869</v>
      </c>
      <c r="F106" s="234"/>
      <c r="G106" s="234"/>
      <c r="H106" s="165"/>
      <c r="I106" s="27"/>
      <c r="J106" s="290">
        <v>5206730.7872799998</v>
      </c>
      <c r="K106" s="44">
        <v>6866384.3662799997</v>
      </c>
      <c r="L106" s="259">
        <f t="shared" si="10"/>
        <v>31.9</v>
      </c>
      <c r="M106" s="27">
        <f>IFERROR(100/'Skjema total MA'!I106*K106,0)</f>
        <v>2.2953429219090804</v>
      </c>
    </row>
    <row r="107" spans="1:13" ht="15.75" x14ac:dyDescent="0.2">
      <c r="A107" s="21" t="s">
        <v>320</v>
      </c>
      <c r="B107" s="234">
        <v>261174.94648000001</v>
      </c>
      <c r="C107" s="234">
        <v>281094.03798000002</v>
      </c>
      <c r="D107" s="165">
        <f t="shared" si="8"/>
        <v>7.6</v>
      </c>
      <c r="E107" s="27">
        <f>IFERROR(100/'Skjema total MA'!C107*C107,0)</f>
        <v>36.77938738028724</v>
      </c>
      <c r="F107" s="234">
        <v>4195228.5492000002</v>
      </c>
      <c r="G107" s="234">
        <v>5558001.8070999999</v>
      </c>
      <c r="H107" s="165">
        <f t="shared" si="9"/>
        <v>32.5</v>
      </c>
      <c r="I107" s="27">
        <f>IFERROR(100/'Skjema total MA'!F107*G107,0)</f>
        <v>8.7859886501706494</v>
      </c>
      <c r="J107" s="290">
        <v>4456403.4956800006</v>
      </c>
      <c r="K107" s="44">
        <v>5839095.8450799994</v>
      </c>
      <c r="L107" s="259">
        <f t="shared" si="10"/>
        <v>31</v>
      </c>
      <c r="M107" s="27">
        <f>IFERROR(100/'Skjema total MA'!I107*K107,0)</f>
        <v>9.1201523434580842</v>
      </c>
    </row>
    <row r="108" spans="1:13" ht="15.75" x14ac:dyDescent="0.2">
      <c r="A108" s="21" t="s">
        <v>321</v>
      </c>
      <c r="B108" s="234"/>
      <c r="C108" s="234">
        <v>6080.3970099999997</v>
      </c>
      <c r="D108" s="165" t="str">
        <f t="shared" si="8"/>
        <v xml:space="preserve">    ---- </v>
      </c>
      <c r="E108" s="27">
        <f>IFERROR(100/'Skjema total MA'!C108*C108,0)</f>
        <v>99.999999999999986</v>
      </c>
      <c r="F108" s="234"/>
      <c r="G108" s="234"/>
      <c r="H108" s="165"/>
      <c r="I108" s="27"/>
      <c r="J108" s="290"/>
      <c r="K108" s="44">
        <v>6080.3970099999997</v>
      </c>
      <c r="L108" s="259" t="str">
        <f t="shared" si="10"/>
        <v xml:space="preserve">    ---- </v>
      </c>
      <c r="M108" s="27">
        <f>IFERROR(100/'Skjema total MA'!I108*K108,0)</f>
        <v>99.999999999999986</v>
      </c>
    </row>
    <row r="109" spans="1:13" ht="15.75" x14ac:dyDescent="0.2">
      <c r="A109" s="13" t="s">
        <v>25</v>
      </c>
      <c r="B109" s="306">
        <v>75041.879539999994</v>
      </c>
      <c r="C109" s="158">
        <v>36299.959049999998</v>
      </c>
      <c r="D109" s="170">
        <f t="shared" si="8"/>
        <v>-51.6</v>
      </c>
      <c r="E109" s="11">
        <f>IFERROR(100/'Skjema total MA'!C109*C109,0)</f>
        <v>10.425621912323203</v>
      </c>
      <c r="F109" s="306">
        <v>781914.56029000005</v>
      </c>
      <c r="G109" s="158">
        <v>843825.26705000002</v>
      </c>
      <c r="H109" s="170">
        <f t="shared" si="9"/>
        <v>7.9</v>
      </c>
      <c r="I109" s="11">
        <f>IFERROR(100/'Skjema total MA'!F109*G109,0)</f>
        <v>13.040745648847844</v>
      </c>
      <c r="J109" s="307">
        <v>856956.43983000005</v>
      </c>
      <c r="K109" s="236">
        <v>880125.22609999997</v>
      </c>
      <c r="L109" s="404">
        <f t="shared" si="10"/>
        <v>2.7</v>
      </c>
      <c r="M109" s="11">
        <f>IFERROR(100/'Skjema total MA'!I109*K109,0)</f>
        <v>12.907213927952476</v>
      </c>
    </row>
    <row r="110" spans="1:13" x14ac:dyDescent="0.2">
      <c r="A110" s="21" t="s">
        <v>9</v>
      </c>
      <c r="B110" s="234">
        <v>72369</v>
      </c>
      <c r="C110" s="144">
        <v>14379.33072</v>
      </c>
      <c r="D110" s="165">
        <f t="shared" ref="D110:D123" si="15">IF(B110=0, "    ---- ", IF(ABS(ROUND(100/B110*C110-100,1))&lt;999,ROUND(100/B110*C110-100,1),IF(ROUND(100/B110*C110-100,1)&gt;999,999,-999)))</f>
        <v>-80.099999999999994</v>
      </c>
      <c r="E110" s="27">
        <f>IFERROR(100/'Skjema total MA'!C110*C110,0)</f>
        <v>4.4114303358051483</v>
      </c>
      <c r="F110" s="234"/>
      <c r="G110" s="144"/>
      <c r="H110" s="165"/>
      <c r="I110" s="27"/>
      <c r="J110" s="290">
        <v>72369</v>
      </c>
      <c r="K110" s="44">
        <v>14379.33072</v>
      </c>
      <c r="L110" s="259">
        <f t="shared" ref="L110:L123" si="16">IF(J110=0, "    ---- ", IF(ABS(ROUND(100/J110*K110-100,1))&lt;999,ROUND(100/J110*K110-100,1),IF(ROUND(100/J110*K110-100,1)&gt;999,999,-999)))</f>
        <v>-80.099999999999994</v>
      </c>
      <c r="M110" s="27">
        <f>IFERROR(100/'Skjema total MA'!I110*K110,0)</f>
        <v>4.4114303358051483</v>
      </c>
    </row>
    <row r="111" spans="1:13" x14ac:dyDescent="0.2">
      <c r="A111" s="21" t="s">
        <v>10</v>
      </c>
      <c r="B111" s="234">
        <v>2672.8795399999999</v>
      </c>
      <c r="C111" s="144">
        <v>2225.788</v>
      </c>
      <c r="D111" s="165">
        <f t="shared" si="15"/>
        <v>-16.7</v>
      </c>
      <c r="E111" s="27">
        <f>IFERROR(100/'Skjema total MA'!C111*C111,0)</f>
        <v>88.002454498081235</v>
      </c>
      <c r="F111" s="234">
        <v>781914.56029000005</v>
      </c>
      <c r="G111" s="144">
        <v>843825.26705000002</v>
      </c>
      <c r="H111" s="165">
        <f t="shared" ref="H111:H123" si="17">IF(F111=0, "    ---- ", IF(ABS(ROUND(100/F111*G111-100,1))&lt;999,ROUND(100/F111*G111-100,1),IF(ROUND(100/F111*G111-100,1)&gt;999,999,-999)))</f>
        <v>7.9</v>
      </c>
      <c r="I111" s="27">
        <f>IFERROR(100/'Skjema total MA'!F111*G111,0)</f>
        <v>13.040745648847844</v>
      </c>
      <c r="J111" s="290">
        <v>784587.43983000005</v>
      </c>
      <c r="K111" s="44">
        <v>846051.05504999997</v>
      </c>
      <c r="L111" s="259">
        <f t="shared" si="16"/>
        <v>7.8</v>
      </c>
      <c r="M111" s="27">
        <f>IFERROR(100/'Skjema total MA'!I111*K111,0)</f>
        <v>13.070034926861702</v>
      </c>
    </row>
    <row r="112" spans="1:13" x14ac:dyDescent="0.2">
      <c r="A112" s="21" t="s">
        <v>30</v>
      </c>
      <c r="B112" s="234"/>
      <c r="C112" s="144">
        <v>19694.840329999999</v>
      </c>
      <c r="D112" s="165" t="str">
        <f t="shared" si="15"/>
        <v xml:space="preserve">    ---- </v>
      </c>
      <c r="E112" s="27">
        <f>IFERROR(100/'Skjema total MA'!C112*C112,0)</f>
        <v>100</v>
      </c>
      <c r="F112" s="234"/>
      <c r="G112" s="144"/>
      <c r="H112" s="165"/>
      <c r="I112" s="27"/>
      <c r="J112" s="290"/>
      <c r="K112" s="44">
        <v>19694.840329999999</v>
      </c>
      <c r="L112" s="259" t="str">
        <f t="shared" si="16"/>
        <v xml:space="preserve">    ---- </v>
      </c>
      <c r="M112" s="27">
        <f>IFERROR(100/'Skjema total MA'!I112*K112,0)</f>
        <v>100</v>
      </c>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v>32382.707729999998</v>
      </c>
      <c r="C114" s="234">
        <v>11038.75044</v>
      </c>
      <c r="D114" s="165">
        <f t="shared" si="15"/>
        <v>-65.900000000000006</v>
      </c>
      <c r="E114" s="27">
        <f>IFERROR(100/'Skjema total MA'!C114*C114,0)</f>
        <v>35.954716818358833</v>
      </c>
      <c r="F114" s="234"/>
      <c r="G114" s="234"/>
      <c r="H114" s="165"/>
      <c r="I114" s="27"/>
      <c r="J114" s="290">
        <v>32382.707729999998</v>
      </c>
      <c r="K114" s="44">
        <v>11038.75044</v>
      </c>
      <c r="L114" s="259">
        <f t="shared" si="16"/>
        <v>-65.900000000000006</v>
      </c>
      <c r="M114" s="27">
        <f>IFERROR(100/'Skjema total MA'!I114*K114,0)</f>
        <v>25.755577995226837</v>
      </c>
    </row>
    <row r="115" spans="1:14" ht="15.75" x14ac:dyDescent="0.2">
      <c r="A115" s="21" t="s">
        <v>322</v>
      </c>
      <c r="B115" s="234">
        <v>13.897</v>
      </c>
      <c r="C115" s="234"/>
      <c r="D115" s="165">
        <f t="shared" si="15"/>
        <v>-100</v>
      </c>
      <c r="E115" s="27">
        <f>IFERROR(100/'Skjema total MA'!C115*C115,0)</f>
        <v>0</v>
      </c>
      <c r="F115" s="234">
        <v>68002.985499999995</v>
      </c>
      <c r="G115" s="234">
        <v>85580.759349999993</v>
      </c>
      <c r="H115" s="165">
        <f t="shared" si="17"/>
        <v>25.8</v>
      </c>
      <c r="I115" s="27">
        <f>IFERROR(100/'Skjema total MA'!F115*G115,0)</f>
        <v>7.7444409960867775</v>
      </c>
      <c r="J115" s="290">
        <v>68016.882499999992</v>
      </c>
      <c r="K115" s="44">
        <v>85580.759349999993</v>
      </c>
      <c r="L115" s="259">
        <f t="shared" si="16"/>
        <v>25.8</v>
      </c>
      <c r="M115" s="27">
        <f>IFERROR(100/'Skjema total MA'!I115*K115,0)</f>
        <v>7.7444409960867775</v>
      </c>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14572</v>
      </c>
      <c r="C117" s="158">
        <v>34308.940759999998</v>
      </c>
      <c r="D117" s="170">
        <f t="shared" si="15"/>
        <v>135.4</v>
      </c>
      <c r="E117" s="11">
        <f>IFERROR(100/'Skjema total MA'!C117*C117,0)</f>
        <v>11.695148888250531</v>
      </c>
      <c r="F117" s="306">
        <v>139243.05802999999</v>
      </c>
      <c r="G117" s="158">
        <v>435849.93689999997</v>
      </c>
      <c r="H117" s="170">
        <f t="shared" si="17"/>
        <v>213</v>
      </c>
      <c r="I117" s="11">
        <f>IFERROR(100/'Skjema total MA'!F117*G117,0)</f>
        <v>6.7604840369154742</v>
      </c>
      <c r="J117" s="307">
        <v>153815.05802999999</v>
      </c>
      <c r="K117" s="236">
        <v>470158.87766</v>
      </c>
      <c r="L117" s="404">
        <f t="shared" si="16"/>
        <v>205.7</v>
      </c>
      <c r="M117" s="11">
        <f>IFERROR(100/'Skjema total MA'!I117*K117,0)</f>
        <v>6.9752545409765281</v>
      </c>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v>14572</v>
      </c>
      <c r="C119" s="144">
        <v>16678.735519999998</v>
      </c>
      <c r="D119" s="165">
        <f t="shared" si="15"/>
        <v>14.5</v>
      </c>
      <c r="E119" s="27">
        <f>IFERROR(100/'Skjema total MA'!C119*C119,0)</f>
        <v>95.789491462772503</v>
      </c>
      <c r="F119" s="234">
        <v>139243.05802999999</v>
      </c>
      <c r="G119" s="144">
        <v>435849.93689999997</v>
      </c>
      <c r="H119" s="165">
        <f t="shared" si="17"/>
        <v>213</v>
      </c>
      <c r="I119" s="27">
        <f>IFERROR(100/'Skjema total MA'!F119*G119,0)</f>
        <v>6.7604840369154742</v>
      </c>
      <c r="J119" s="290">
        <v>153815.05802999999</v>
      </c>
      <c r="K119" s="44">
        <v>452528.67241999996</v>
      </c>
      <c r="L119" s="259">
        <f t="shared" si="16"/>
        <v>194.2</v>
      </c>
      <c r="M119" s="27">
        <f>IFERROR(100/'Skjema total MA'!I119*K119,0)</f>
        <v>7.0002824174422456</v>
      </c>
    </row>
    <row r="120" spans="1:14" x14ac:dyDescent="0.2">
      <c r="A120" s="21" t="s">
        <v>30</v>
      </c>
      <c r="B120" s="234"/>
      <c r="C120" s="144">
        <v>17630.205239999999</v>
      </c>
      <c r="D120" s="165" t="str">
        <f t="shared" si="15"/>
        <v xml:space="preserve">    ---- </v>
      </c>
      <c r="E120" s="27">
        <f>IFERROR(100/'Skjema total MA'!C120*C120,0)</f>
        <v>100</v>
      </c>
      <c r="F120" s="234"/>
      <c r="G120" s="144"/>
      <c r="H120" s="165"/>
      <c r="I120" s="27"/>
      <c r="J120" s="290"/>
      <c r="K120" s="44">
        <v>17630.205239999999</v>
      </c>
      <c r="L120" s="259" t="str">
        <f t="shared" si="16"/>
        <v xml:space="preserve">    ---- </v>
      </c>
      <c r="M120" s="27">
        <f>IFERROR(100/'Skjema total MA'!I120*K120,0)</f>
        <v>100</v>
      </c>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v>998.69550000000004</v>
      </c>
      <c r="C123" s="234">
        <v>3059.5249800000001</v>
      </c>
      <c r="D123" s="165">
        <f t="shared" si="15"/>
        <v>206.4</v>
      </c>
      <c r="E123" s="27">
        <f>IFERROR(100/'Skjema total MA'!C123*C123,0)</f>
        <v>99.951192723411339</v>
      </c>
      <c r="F123" s="234">
        <v>36830.452499999999</v>
      </c>
      <c r="G123" s="234">
        <v>106672.88615000001</v>
      </c>
      <c r="H123" s="165">
        <f t="shared" si="17"/>
        <v>189.6</v>
      </c>
      <c r="I123" s="27">
        <f>IFERROR(100/'Skjema total MA'!F123*G123,0)</f>
        <v>11.321835884694972</v>
      </c>
      <c r="J123" s="290">
        <v>37829.148000000001</v>
      </c>
      <c r="K123" s="44">
        <v>109732.41113000001</v>
      </c>
      <c r="L123" s="259">
        <f t="shared" si="16"/>
        <v>190.1</v>
      </c>
      <c r="M123" s="27">
        <f>IFERROR(100/'Skjema total MA'!I123*K123,0)</f>
        <v>11.608846369354145</v>
      </c>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327" priority="132">
      <formula>kvartal &lt; 4</formula>
    </cfRule>
  </conditionalFormatting>
  <conditionalFormatting sqref="B29">
    <cfRule type="expression" dxfId="326" priority="130">
      <formula>kvartal &lt; 4</formula>
    </cfRule>
  </conditionalFormatting>
  <conditionalFormatting sqref="B30">
    <cfRule type="expression" dxfId="325" priority="129">
      <formula>kvartal &lt; 4</formula>
    </cfRule>
  </conditionalFormatting>
  <conditionalFormatting sqref="B31">
    <cfRule type="expression" dxfId="324" priority="128">
      <formula>kvartal &lt; 4</formula>
    </cfRule>
  </conditionalFormatting>
  <conditionalFormatting sqref="C29">
    <cfRule type="expression" dxfId="323" priority="127">
      <formula>kvartal &lt; 4</formula>
    </cfRule>
  </conditionalFormatting>
  <conditionalFormatting sqref="C30">
    <cfRule type="expression" dxfId="322" priority="126">
      <formula>kvartal &lt; 4</formula>
    </cfRule>
  </conditionalFormatting>
  <conditionalFormatting sqref="C31">
    <cfRule type="expression" dxfId="321" priority="125">
      <formula>kvartal &lt; 4</formula>
    </cfRule>
  </conditionalFormatting>
  <conditionalFormatting sqref="B23:C25">
    <cfRule type="expression" dxfId="320" priority="124">
      <formula>kvartal &lt; 4</formula>
    </cfRule>
  </conditionalFormatting>
  <conditionalFormatting sqref="F23:G25">
    <cfRule type="expression" dxfId="319" priority="120">
      <formula>kvartal &lt; 4</formula>
    </cfRule>
  </conditionalFormatting>
  <conditionalFormatting sqref="F29">
    <cfRule type="expression" dxfId="318" priority="113">
      <formula>kvartal &lt; 4</formula>
    </cfRule>
  </conditionalFormatting>
  <conditionalFormatting sqref="F30">
    <cfRule type="expression" dxfId="317" priority="112">
      <formula>kvartal &lt; 4</formula>
    </cfRule>
  </conditionalFormatting>
  <conditionalFormatting sqref="F31">
    <cfRule type="expression" dxfId="316" priority="111">
      <formula>kvartal &lt; 4</formula>
    </cfRule>
  </conditionalFormatting>
  <conditionalFormatting sqref="G29">
    <cfRule type="expression" dxfId="315" priority="110">
      <formula>kvartal &lt; 4</formula>
    </cfRule>
  </conditionalFormatting>
  <conditionalFormatting sqref="G30">
    <cfRule type="expression" dxfId="314" priority="109">
      <formula>kvartal &lt; 4</formula>
    </cfRule>
  </conditionalFormatting>
  <conditionalFormatting sqref="G31">
    <cfRule type="expression" dxfId="313" priority="108">
      <formula>kvartal &lt; 4</formula>
    </cfRule>
  </conditionalFormatting>
  <conditionalFormatting sqref="B26">
    <cfRule type="expression" dxfId="312" priority="107">
      <formula>kvartal &lt; 4</formula>
    </cfRule>
  </conditionalFormatting>
  <conditionalFormatting sqref="C26">
    <cfRule type="expression" dxfId="311" priority="106">
      <formula>kvartal &lt; 4</formula>
    </cfRule>
  </conditionalFormatting>
  <conditionalFormatting sqref="F26">
    <cfRule type="expression" dxfId="310" priority="105">
      <formula>kvartal &lt; 4</formula>
    </cfRule>
  </conditionalFormatting>
  <conditionalFormatting sqref="G26">
    <cfRule type="expression" dxfId="309" priority="104">
      <formula>kvartal &lt; 4</formula>
    </cfRule>
  </conditionalFormatting>
  <conditionalFormatting sqref="J23:K26">
    <cfRule type="expression" dxfId="308" priority="103">
      <formula>kvartal &lt; 4</formula>
    </cfRule>
  </conditionalFormatting>
  <conditionalFormatting sqref="J29:K31">
    <cfRule type="expression" dxfId="307" priority="101">
      <formula>kvartal &lt; 4</formula>
    </cfRule>
  </conditionalFormatting>
  <conditionalFormatting sqref="B67">
    <cfRule type="expression" dxfId="306" priority="100">
      <formula>kvartal &lt; 4</formula>
    </cfRule>
  </conditionalFormatting>
  <conditionalFormatting sqref="C67">
    <cfRule type="expression" dxfId="305" priority="99">
      <formula>kvartal &lt; 4</formula>
    </cfRule>
  </conditionalFormatting>
  <conditionalFormatting sqref="B70">
    <cfRule type="expression" dxfId="304" priority="98">
      <formula>kvartal &lt; 4</formula>
    </cfRule>
  </conditionalFormatting>
  <conditionalFormatting sqref="C70">
    <cfRule type="expression" dxfId="303" priority="97">
      <formula>kvartal &lt; 4</formula>
    </cfRule>
  </conditionalFormatting>
  <conditionalFormatting sqref="B78">
    <cfRule type="expression" dxfId="302" priority="96">
      <formula>kvartal &lt; 4</formula>
    </cfRule>
  </conditionalFormatting>
  <conditionalFormatting sqref="C78">
    <cfRule type="expression" dxfId="301" priority="95">
      <formula>kvartal &lt; 4</formula>
    </cfRule>
  </conditionalFormatting>
  <conditionalFormatting sqref="B81">
    <cfRule type="expression" dxfId="300" priority="94">
      <formula>kvartal &lt; 4</formula>
    </cfRule>
  </conditionalFormatting>
  <conditionalFormatting sqref="C81">
    <cfRule type="expression" dxfId="299" priority="93">
      <formula>kvartal &lt; 4</formula>
    </cfRule>
  </conditionalFormatting>
  <conditionalFormatting sqref="B88">
    <cfRule type="expression" dxfId="298" priority="84">
      <formula>kvartal &lt; 4</formula>
    </cfRule>
  </conditionalFormatting>
  <conditionalFormatting sqref="C88">
    <cfRule type="expression" dxfId="297" priority="83">
      <formula>kvartal &lt; 4</formula>
    </cfRule>
  </conditionalFormatting>
  <conditionalFormatting sqref="B91">
    <cfRule type="expression" dxfId="296" priority="82">
      <formula>kvartal &lt; 4</formula>
    </cfRule>
  </conditionalFormatting>
  <conditionalFormatting sqref="C91">
    <cfRule type="expression" dxfId="295" priority="81">
      <formula>kvartal &lt; 4</formula>
    </cfRule>
  </conditionalFormatting>
  <conditionalFormatting sqref="B99">
    <cfRule type="expression" dxfId="294" priority="80">
      <formula>kvartal &lt; 4</formula>
    </cfRule>
  </conditionalFormatting>
  <conditionalFormatting sqref="C99">
    <cfRule type="expression" dxfId="293" priority="79">
      <formula>kvartal &lt; 4</formula>
    </cfRule>
  </conditionalFormatting>
  <conditionalFormatting sqref="B102">
    <cfRule type="expression" dxfId="292" priority="78">
      <formula>kvartal &lt; 4</formula>
    </cfRule>
  </conditionalFormatting>
  <conditionalFormatting sqref="C102">
    <cfRule type="expression" dxfId="291" priority="77">
      <formula>kvartal &lt; 4</formula>
    </cfRule>
  </conditionalFormatting>
  <conditionalFormatting sqref="B113">
    <cfRule type="expression" dxfId="290" priority="76">
      <formula>kvartal &lt; 4</formula>
    </cfRule>
  </conditionalFormatting>
  <conditionalFormatting sqref="C113">
    <cfRule type="expression" dxfId="289" priority="75">
      <formula>kvartal &lt; 4</formula>
    </cfRule>
  </conditionalFormatting>
  <conditionalFormatting sqref="B121">
    <cfRule type="expression" dxfId="288" priority="74">
      <formula>kvartal &lt; 4</formula>
    </cfRule>
  </conditionalFormatting>
  <conditionalFormatting sqref="C121">
    <cfRule type="expression" dxfId="287" priority="73">
      <formula>kvartal &lt; 4</formula>
    </cfRule>
  </conditionalFormatting>
  <conditionalFormatting sqref="F68">
    <cfRule type="expression" dxfId="286" priority="72">
      <formula>kvartal &lt; 4</formula>
    </cfRule>
  </conditionalFormatting>
  <conditionalFormatting sqref="G68">
    <cfRule type="expression" dxfId="285" priority="71">
      <formula>kvartal &lt; 4</formula>
    </cfRule>
  </conditionalFormatting>
  <conditionalFormatting sqref="F69:G69">
    <cfRule type="expression" dxfId="284" priority="70">
      <formula>kvartal &lt; 4</formula>
    </cfRule>
  </conditionalFormatting>
  <conditionalFormatting sqref="F71:G72">
    <cfRule type="expression" dxfId="283" priority="69">
      <formula>kvartal &lt; 4</formula>
    </cfRule>
  </conditionalFormatting>
  <conditionalFormatting sqref="F79:G80">
    <cfRule type="expression" dxfId="282" priority="68">
      <formula>kvartal &lt; 4</formula>
    </cfRule>
  </conditionalFormatting>
  <conditionalFormatting sqref="F82:G83">
    <cfRule type="expression" dxfId="281" priority="67">
      <formula>kvartal &lt; 4</formula>
    </cfRule>
  </conditionalFormatting>
  <conditionalFormatting sqref="F89:G90">
    <cfRule type="expression" dxfId="280" priority="62">
      <formula>kvartal &lt; 4</formula>
    </cfRule>
  </conditionalFormatting>
  <conditionalFormatting sqref="F92:G93">
    <cfRule type="expression" dxfId="279" priority="61">
      <formula>kvartal &lt; 4</formula>
    </cfRule>
  </conditionalFormatting>
  <conditionalFormatting sqref="F100:G101">
    <cfRule type="expression" dxfId="278" priority="60">
      <formula>kvartal &lt; 4</formula>
    </cfRule>
  </conditionalFormatting>
  <conditionalFormatting sqref="F103:G104">
    <cfRule type="expression" dxfId="277" priority="59">
      <formula>kvartal &lt; 4</formula>
    </cfRule>
  </conditionalFormatting>
  <conditionalFormatting sqref="F113">
    <cfRule type="expression" dxfId="276" priority="58">
      <formula>kvartal &lt; 4</formula>
    </cfRule>
  </conditionalFormatting>
  <conditionalFormatting sqref="G113">
    <cfRule type="expression" dxfId="275" priority="57">
      <formula>kvartal &lt; 4</formula>
    </cfRule>
  </conditionalFormatting>
  <conditionalFormatting sqref="F121:G121">
    <cfRule type="expression" dxfId="274" priority="56">
      <formula>kvartal &lt; 4</formula>
    </cfRule>
  </conditionalFormatting>
  <conditionalFormatting sqref="F67:G67">
    <cfRule type="expression" dxfId="273" priority="55">
      <formula>kvartal &lt; 4</formula>
    </cfRule>
  </conditionalFormatting>
  <conditionalFormatting sqref="F70:G70">
    <cfRule type="expression" dxfId="272" priority="54">
      <formula>kvartal &lt; 4</formula>
    </cfRule>
  </conditionalFormatting>
  <conditionalFormatting sqref="F78:G78">
    <cfRule type="expression" dxfId="271" priority="53">
      <formula>kvartal &lt; 4</formula>
    </cfRule>
  </conditionalFormatting>
  <conditionalFormatting sqref="F81:G81">
    <cfRule type="expression" dxfId="270" priority="52">
      <formula>kvartal &lt; 4</formula>
    </cfRule>
  </conditionalFormatting>
  <conditionalFormatting sqref="F88:G88">
    <cfRule type="expression" dxfId="269" priority="46">
      <formula>kvartal &lt; 4</formula>
    </cfRule>
  </conditionalFormatting>
  <conditionalFormatting sqref="F91">
    <cfRule type="expression" dxfId="268" priority="45">
      <formula>kvartal &lt; 4</formula>
    </cfRule>
  </conditionalFormatting>
  <conditionalFormatting sqref="G91">
    <cfRule type="expression" dxfId="267" priority="44">
      <formula>kvartal &lt; 4</formula>
    </cfRule>
  </conditionalFormatting>
  <conditionalFormatting sqref="F99">
    <cfRule type="expression" dxfId="266" priority="43">
      <formula>kvartal &lt; 4</formula>
    </cfRule>
  </conditionalFormatting>
  <conditionalFormatting sqref="G99">
    <cfRule type="expression" dxfId="265" priority="42">
      <formula>kvartal &lt; 4</formula>
    </cfRule>
  </conditionalFormatting>
  <conditionalFormatting sqref="G102">
    <cfRule type="expression" dxfId="264" priority="41">
      <formula>kvartal &lt; 4</formula>
    </cfRule>
  </conditionalFormatting>
  <conditionalFormatting sqref="F102">
    <cfRule type="expression" dxfId="263" priority="40">
      <formula>kvartal &lt; 4</formula>
    </cfRule>
  </conditionalFormatting>
  <conditionalFormatting sqref="J67:K71">
    <cfRule type="expression" dxfId="262" priority="39">
      <formula>kvartal &lt; 4</formula>
    </cfRule>
  </conditionalFormatting>
  <conditionalFormatting sqref="J72:K72">
    <cfRule type="expression" dxfId="261" priority="38">
      <formula>kvartal &lt; 4</formula>
    </cfRule>
  </conditionalFormatting>
  <conditionalFormatting sqref="J78:K83">
    <cfRule type="expression" dxfId="260" priority="37">
      <formula>kvartal &lt; 4</formula>
    </cfRule>
  </conditionalFormatting>
  <conditionalFormatting sqref="J88:K93">
    <cfRule type="expression" dxfId="259" priority="34">
      <formula>kvartal &lt; 4</formula>
    </cfRule>
  </conditionalFormatting>
  <conditionalFormatting sqref="J99:K104">
    <cfRule type="expression" dxfId="258" priority="33">
      <formula>kvartal &lt; 4</formula>
    </cfRule>
  </conditionalFormatting>
  <conditionalFormatting sqref="J113:K113">
    <cfRule type="expression" dxfId="257" priority="32">
      <formula>kvartal &lt; 4</formula>
    </cfRule>
  </conditionalFormatting>
  <conditionalFormatting sqref="J121:K121">
    <cfRule type="expression" dxfId="256" priority="31">
      <formula>kvartal &lt; 4</formula>
    </cfRule>
  </conditionalFormatting>
  <conditionalFormatting sqref="A23:A25">
    <cfRule type="expression" dxfId="255" priority="15">
      <formula>kvartal &lt; 4</formula>
    </cfRule>
  </conditionalFormatting>
  <conditionalFormatting sqref="A29:A31">
    <cfRule type="expression" dxfId="254" priority="13">
      <formula>kvartal &lt; 4</formula>
    </cfRule>
  </conditionalFormatting>
  <conditionalFormatting sqref="A48:A50">
    <cfRule type="expression" dxfId="253" priority="12">
      <formula>kvartal &lt; 4</formula>
    </cfRule>
  </conditionalFormatting>
  <conditionalFormatting sqref="A67:A72">
    <cfRule type="expression" dxfId="252" priority="10">
      <formula>kvartal &lt; 4</formula>
    </cfRule>
  </conditionalFormatting>
  <conditionalFormatting sqref="A78:A83">
    <cfRule type="expression" dxfId="251" priority="9">
      <formula>kvartal &lt; 4</formula>
    </cfRule>
  </conditionalFormatting>
  <conditionalFormatting sqref="A88:A93">
    <cfRule type="expression" dxfId="250" priority="6">
      <formula>kvartal &lt; 4</formula>
    </cfRule>
  </conditionalFormatting>
  <conditionalFormatting sqref="A99:A104">
    <cfRule type="expression" dxfId="249" priority="5">
      <formula>kvartal &lt; 4</formula>
    </cfRule>
  </conditionalFormatting>
  <conditionalFormatting sqref="A113">
    <cfRule type="expression" dxfId="248" priority="4">
      <formula>kvartal &lt; 4</formula>
    </cfRule>
  </conditionalFormatting>
  <conditionalFormatting sqref="A121">
    <cfRule type="expression" dxfId="247" priority="3">
      <formula>kvartal &lt; 4</formula>
    </cfRule>
  </conditionalFormatting>
  <conditionalFormatting sqref="A26">
    <cfRule type="expression" dxfId="246" priority="2">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1.28515625" style="148" bestFit="1" customWidth="1"/>
    <col min="3" max="3" width="11" style="148" customWidth="1"/>
    <col min="4" max="5" width="8.7109375" style="148" customWidth="1"/>
    <col min="6" max="7" width="10.85546875" style="148" customWidth="1"/>
    <col min="8" max="9" width="8.7109375" style="148" customWidth="1"/>
    <col min="10" max="11" width="11.28515625" style="148" bestFit="1" customWidth="1"/>
    <col min="12" max="13" width="8.7109375" style="148" customWidth="1"/>
    <col min="14" max="14" width="11.42578125" style="148"/>
    <col min="15" max="16384" width="11.42578125" style="1"/>
  </cols>
  <sheetData>
    <row r="1" spans="1:14" x14ac:dyDescent="0.2">
      <c r="A1" s="171" t="s">
        <v>152</v>
      </c>
      <c r="B1" s="434"/>
      <c r="C1" s="250" t="s">
        <v>150</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v>341433.00599999999</v>
      </c>
      <c r="C7" s="305">
        <v>344131.87199999997</v>
      </c>
      <c r="D7" s="344">
        <f>IF(B7=0, "    ---- ", IF(ABS(ROUND(100/B7*C7-100,1))&lt;999,ROUND(100/B7*C7-100,1),IF(ROUND(100/B7*C7-100,1)&gt;999,999,-999)))</f>
        <v>0.8</v>
      </c>
      <c r="E7" s="11">
        <f>IFERROR(100/'Skjema total MA'!C7*C7,0)</f>
        <v>12.638255074784949</v>
      </c>
      <c r="F7" s="304">
        <v>968567.69200000004</v>
      </c>
      <c r="G7" s="305">
        <v>900010.77099999995</v>
      </c>
      <c r="H7" s="344">
        <f>IF(F7=0, "    ---- ", IF(ABS(ROUND(100/F7*G7-100,1))&lt;999,ROUND(100/F7*G7-100,1),IF(ROUND(100/F7*G7-100,1)&gt;999,999,-999)))</f>
        <v>-7.1</v>
      </c>
      <c r="I7" s="159">
        <f>IFERROR(100/'Skjema total MA'!F7*G7,0)</f>
        <v>19.813920829363788</v>
      </c>
      <c r="J7" s="306">
        <v>1310000.6980000001</v>
      </c>
      <c r="K7" s="307">
        <v>1244142.6429999999</v>
      </c>
      <c r="L7" s="403">
        <f>IF(J7=0, "    ---- ", IF(ABS(ROUND(100/J7*K7-100,1))&lt;999,ROUND(100/J7*K7-100,1),IF(ROUND(100/J7*K7-100,1)&gt;999,999,-999)))</f>
        <v>-5</v>
      </c>
      <c r="M7" s="11">
        <f>IFERROR(100/'Skjema total MA'!I7*K7,0)</f>
        <v>17.124559185852799</v>
      </c>
    </row>
    <row r="8" spans="1:14" ht="15.75" x14ac:dyDescent="0.2">
      <c r="A8" s="21" t="s">
        <v>29</v>
      </c>
      <c r="B8" s="286">
        <v>120909</v>
      </c>
      <c r="C8" s="287">
        <v>129031.757</v>
      </c>
      <c r="D8" s="165">
        <f t="shared" ref="D8:D10" si="0">IF(B8=0, "    ---- ", IF(ABS(ROUND(100/B8*C8-100,1))&lt;999,ROUND(100/B8*C8-100,1),IF(ROUND(100/B8*C8-100,1)&gt;999,999,-999)))</f>
        <v>6.7</v>
      </c>
      <c r="E8" s="27">
        <f>IFERROR(100/'Skjema total MA'!C8*C8,0)</f>
        <v>8.5875857294399278</v>
      </c>
      <c r="F8" s="423"/>
      <c r="G8" s="424"/>
      <c r="H8" s="170"/>
      <c r="I8" s="175"/>
      <c r="J8" s="234">
        <f>B8</f>
        <v>120909</v>
      </c>
      <c r="K8" s="290">
        <f>C8</f>
        <v>129031.757</v>
      </c>
      <c r="L8" s="165">
        <f t="shared" ref="L8:L9" si="1">IF(J8=0, "    ---- ", IF(ABS(ROUND(100/J8*K8-100,1))&lt;999,ROUND(100/J8*K8-100,1),IF(ROUND(100/J8*K8-100,1)&gt;999,999,-999)))</f>
        <v>6.7</v>
      </c>
      <c r="M8" s="27">
        <f>IFERROR(100/'Skjema total MA'!I8*K8,0)</f>
        <v>8.5875857294399278</v>
      </c>
    </row>
    <row r="9" spans="1:14" ht="15.75" x14ac:dyDescent="0.2">
      <c r="A9" s="21" t="s">
        <v>28</v>
      </c>
      <c r="B9" s="286">
        <v>39412</v>
      </c>
      <c r="C9" s="287">
        <v>37007.317000000003</v>
      </c>
      <c r="D9" s="165">
        <f t="shared" si="0"/>
        <v>-6.1</v>
      </c>
      <c r="E9" s="27">
        <f>IFERROR(100/'Skjema total MA'!C9*C9,0)</f>
        <v>5.1119041105157121</v>
      </c>
      <c r="F9" s="423"/>
      <c r="G9" s="424"/>
      <c r="H9" s="170"/>
      <c r="I9" s="175"/>
      <c r="J9" s="234">
        <f>B9</f>
        <v>39412</v>
      </c>
      <c r="K9" s="290">
        <f>C9</f>
        <v>37007.317000000003</v>
      </c>
      <c r="L9" s="165">
        <f t="shared" si="1"/>
        <v>-6.1</v>
      </c>
      <c r="M9" s="27">
        <f>IFERROR(100/'Skjema total MA'!I9*K9,0)</f>
        <v>5.1119041105157121</v>
      </c>
    </row>
    <row r="10" spans="1:14" ht="15.75" x14ac:dyDescent="0.2">
      <c r="A10" s="13" t="s">
        <v>26</v>
      </c>
      <c r="B10" s="308">
        <v>4039563.3640000001</v>
      </c>
      <c r="C10" s="309">
        <v>4090756.0920000002</v>
      </c>
      <c r="D10" s="170">
        <f t="shared" si="0"/>
        <v>1.3</v>
      </c>
      <c r="E10" s="11">
        <f>IFERROR(100/'Skjema total MA'!C10*C10,0)</f>
        <v>17.778617253265779</v>
      </c>
      <c r="F10" s="308">
        <v>4366641.7850000001</v>
      </c>
      <c r="G10" s="309">
        <v>5811564.5640000002</v>
      </c>
      <c r="H10" s="170">
        <f t="shared" ref="H10:H12" si="2">IF(F10=0, "    ---- ", IF(ABS(ROUND(100/F10*G10-100,1))&lt;999,ROUND(100/F10*G10-100,1),IF(ROUND(100/F10*G10-100,1)&gt;999,999,-999)))</f>
        <v>33.1</v>
      </c>
      <c r="I10" s="159">
        <f>IFERROR(100/'Skjema total MA'!F10*G10,0)</f>
        <v>15.430472089019949</v>
      </c>
      <c r="J10" s="306">
        <v>8406205.1490000002</v>
      </c>
      <c r="K10" s="307">
        <v>9902320.6559999995</v>
      </c>
      <c r="L10" s="404">
        <f t="shared" ref="L10:L12" si="3">IF(J10=0, "    ---- ", IF(ABS(ROUND(100/J10*K10-100,1))&lt;999,ROUND(100/J10*K10-100,1),IF(ROUND(100/J10*K10-100,1)&gt;999,999,-999)))</f>
        <v>17.8</v>
      </c>
      <c r="M10" s="11">
        <f>IFERROR(100/'Skjema total MA'!I10*K10,0)</f>
        <v>16.320984364660294</v>
      </c>
    </row>
    <row r="11" spans="1:14" s="43" customFormat="1" ht="15.75" x14ac:dyDescent="0.2">
      <c r="A11" s="13" t="s">
        <v>25</v>
      </c>
      <c r="B11" s="308"/>
      <c r="C11" s="309"/>
      <c r="D11" s="170"/>
      <c r="E11" s="11"/>
      <c r="F11" s="308">
        <v>428.94499999999999</v>
      </c>
      <c r="G11" s="309">
        <v>2796.28</v>
      </c>
      <c r="H11" s="170">
        <f t="shared" si="2"/>
        <v>551.9</v>
      </c>
      <c r="I11" s="159">
        <f>IFERROR(100/'Skjema total MA'!F11*G11,0)</f>
        <v>1.7374927820174662</v>
      </c>
      <c r="J11" s="306">
        <v>428.94499999999999</v>
      </c>
      <c r="K11" s="307">
        <v>2796.28</v>
      </c>
      <c r="L11" s="404">
        <f t="shared" si="3"/>
        <v>551.9</v>
      </c>
      <c r="M11" s="11">
        <f>IFERROR(100/'Skjema total MA'!I11*K11,0)</f>
        <v>1.6251522622237209</v>
      </c>
      <c r="N11" s="142"/>
    </row>
    <row r="12" spans="1:14" s="43" customFormat="1" ht="15.75" x14ac:dyDescent="0.2">
      <c r="A12" s="41" t="s">
        <v>24</v>
      </c>
      <c r="B12" s="310"/>
      <c r="C12" s="311"/>
      <c r="D12" s="168"/>
      <c r="E12" s="36"/>
      <c r="F12" s="310">
        <v>15608.132</v>
      </c>
      <c r="G12" s="311">
        <v>22590.572</v>
      </c>
      <c r="H12" s="168">
        <f t="shared" si="2"/>
        <v>44.7</v>
      </c>
      <c r="I12" s="168">
        <f>IFERROR(100/'Skjema total MA'!F12*G12,0)</f>
        <v>30.693115605132522</v>
      </c>
      <c r="J12" s="312">
        <v>15608.132</v>
      </c>
      <c r="K12" s="313">
        <v>22590.572</v>
      </c>
      <c r="L12" s="405">
        <f t="shared" si="3"/>
        <v>44.7</v>
      </c>
      <c r="M12" s="36">
        <f>IFERROR(100/'Skjema total MA'!I12*K12,0)</f>
        <v>30.397407441242599</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v>7501.4809999999998</v>
      </c>
      <c r="C22" s="315">
        <v>5877.9229999999998</v>
      </c>
      <c r="D22" s="344">
        <f t="shared" ref="D22:D35" si="4">IF(B22=0, "    ---- ", IF(ABS(ROUND(100/B22*C22-100,1))&lt;999,ROUND(100/B22*C22-100,1),IF(ROUND(100/B22*C22-100,1)&gt;999,999,-999)))</f>
        <v>-21.6</v>
      </c>
      <c r="E22" s="11">
        <f>IFERROR(100/'Skjema total MA'!C22*C22,0)</f>
        <v>0.61298375694352991</v>
      </c>
      <c r="F22" s="316">
        <v>25666.264999999999</v>
      </c>
      <c r="G22" s="315">
        <v>7378.9629999999997</v>
      </c>
      <c r="H22" s="344">
        <f t="shared" ref="H22:H33" si="5">IF(F22=0, "    ---- ", IF(ABS(ROUND(100/F22*G22-100,1))&lt;999,ROUND(100/F22*G22-100,1),IF(ROUND(100/F22*G22-100,1)&gt;999,999,-999)))</f>
        <v>-71.3</v>
      </c>
      <c r="I22" s="11">
        <f>IFERROR(100/'Skjema total MA'!F22*G22,0)</f>
        <v>3.7010397824724643</v>
      </c>
      <c r="J22" s="314">
        <v>33167.745999999999</v>
      </c>
      <c r="K22" s="314">
        <v>13256.885999999999</v>
      </c>
      <c r="L22" s="403">
        <f t="shared" ref="L22:L33" si="6">IF(J22=0, "    ---- ", IF(ABS(ROUND(100/J22*K22-100,1))&lt;999,ROUND(100/J22*K22-100,1),IF(ROUND(100/J22*K22-100,1)&gt;999,999,-999)))</f>
        <v>-60</v>
      </c>
      <c r="M22" s="24">
        <f>IFERROR(100/'Skjema total MA'!I22*K22,0)</f>
        <v>1.1445330998737517</v>
      </c>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v>102118</v>
      </c>
      <c r="C27" s="290">
        <v>106407.423</v>
      </c>
      <c r="D27" s="165">
        <f t="shared" si="4"/>
        <v>4.2</v>
      </c>
      <c r="E27" s="27">
        <f>IFERROR(100/'Skjema total MA'!C27*C27,0)</f>
        <v>10.758387540237985</v>
      </c>
      <c r="F27" s="234"/>
      <c r="G27" s="290"/>
      <c r="H27" s="165"/>
      <c r="I27" s="27"/>
      <c r="J27" s="234">
        <f>B27</f>
        <v>102118</v>
      </c>
      <c r="K27" s="290">
        <f>C27</f>
        <v>106407.423</v>
      </c>
      <c r="L27" s="259">
        <f t="shared" si="6"/>
        <v>4.2</v>
      </c>
      <c r="M27" s="23">
        <f>IFERROR(100/'Skjema total MA'!I27*K27,0)</f>
        <v>10.758387540237985</v>
      </c>
    </row>
    <row r="28" spans="1:14" s="3" customFormat="1" ht="15.75" x14ac:dyDescent="0.2">
      <c r="A28" s="13" t="s">
        <v>26</v>
      </c>
      <c r="B28" s="236">
        <v>11967873.384</v>
      </c>
      <c r="C28" s="307">
        <v>11602897.105</v>
      </c>
      <c r="D28" s="170">
        <f t="shared" si="4"/>
        <v>-3</v>
      </c>
      <c r="E28" s="11">
        <f>IFERROR(100/'Skjema total MA'!C28*C28,0)</f>
        <v>22.772331194373304</v>
      </c>
      <c r="F28" s="306">
        <v>3428296.0959999999</v>
      </c>
      <c r="G28" s="307">
        <v>3685909.298</v>
      </c>
      <c r="H28" s="170">
        <f t="shared" si="5"/>
        <v>7.5</v>
      </c>
      <c r="I28" s="11">
        <f>IFERROR(100/'Skjema total MA'!F28*G28,0)</f>
        <v>18.770830274462387</v>
      </c>
      <c r="J28" s="236">
        <v>15396169.48</v>
      </c>
      <c r="K28" s="236">
        <v>15288806.403000001</v>
      </c>
      <c r="L28" s="404">
        <f t="shared" si="6"/>
        <v>-0.7</v>
      </c>
      <c r="M28" s="24">
        <f>IFERROR(100/'Skjema total MA'!I28*K28,0)</f>
        <v>21.659184010762459</v>
      </c>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v>3396.3510000000001</v>
      </c>
      <c r="C32" s="307">
        <v>4560.0150000000003</v>
      </c>
      <c r="D32" s="170">
        <f t="shared" si="4"/>
        <v>34.299999999999997</v>
      </c>
      <c r="E32" s="11">
        <f>IFERROR(100/'Skjema total MA'!C32*C32,0)</f>
        <v>19.421662280125467</v>
      </c>
      <c r="F32" s="306">
        <v>10265.127</v>
      </c>
      <c r="G32" s="307">
        <v>6251.0060000000003</v>
      </c>
      <c r="H32" s="170">
        <f t="shared" si="5"/>
        <v>-39.1</v>
      </c>
      <c r="I32" s="11">
        <f>IFERROR(100/'Skjema total MA'!F32*G32,0)</f>
        <v>33.370276487673706</v>
      </c>
      <c r="J32" s="236">
        <v>13661.478000000001</v>
      </c>
      <c r="K32" s="236">
        <v>10811.021000000001</v>
      </c>
      <c r="L32" s="404">
        <f t="shared" si="6"/>
        <v>-20.9</v>
      </c>
      <c r="M32" s="24">
        <f>IFERROR(100/'Skjema total MA'!I32*K32,0)</f>
        <v>25.611691976834127</v>
      </c>
    </row>
    <row r="33" spans="1:14" ht="15.75" x14ac:dyDescent="0.2">
      <c r="A33" s="13" t="s">
        <v>24</v>
      </c>
      <c r="B33" s="236">
        <v>1795.55</v>
      </c>
      <c r="C33" s="307">
        <v>2769.85</v>
      </c>
      <c r="D33" s="170">
        <f t="shared" si="4"/>
        <v>54.3</v>
      </c>
      <c r="E33" s="11">
        <f>IFERROR(100/'Skjema total MA'!C33*C33,0)</f>
        <v>-8.8850675854036663</v>
      </c>
      <c r="F33" s="306">
        <v>4609.6490000000003</v>
      </c>
      <c r="G33" s="307">
        <v>8931.8680000000004</v>
      </c>
      <c r="H33" s="170">
        <f t="shared" si="5"/>
        <v>93.8</v>
      </c>
      <c r="I33" s="11">
        <f>IFERROR(100/'Skjema total MA'!F33*G33,0)</f>
        <v>13.639218319941417</v>
      </c>
      <c r="J33" s="236">
        <v>6405.1990000000005</v>
      </c>
      <c r="K33" s="236">
        <v>11701.718000000001</v>
      </c>
      <c r="L33" s="404">
        <f t="shared" si="6"/>
        <v>82.7</v>
      </c>
      <c r="M33" s="24">
        <f>IFERROR(100/'Skjema total MA'!I33*K33,0)</f>
        <v>34.103425283639254</v>
      </c>
    </row>
    <row r="34" spans="1:14" ht="15.75" x14ac:dyDescent="0.2">
      <c r="A34" s="12" t="s">
        <v>308</v>
      </c>
      <c r="B34" s="236">
        <v>82.652000000000001</v>
      </c>
      <c r="C34" s="307">
        <v>32.338000000000001</v>
      </c>
      <c r="D34" s="170">
        <f t="shared" si="4"/>
        <v>-60.9</v>
      </c>
      <c r="E34" s="11">
        <f>100/'Skjema total MA'!C34*C34</f>
        <v>1.3865057294440171</v>
      </c>
      <c r="F34" s="425"/>
      <c r="G34" s="426"/>
      <c r="H34" s="170"/>
      <c r="I34" s="410">
        <f>IFERROR(100/'Skjema total MA'!F34*G34,0)</f>
        <v>0</v>
      </c>
      <c r="J34" s="236">
        <v>82.652000000000001</v>
      </c>
      <c r="K34" s="236">
        <v>32.338000000000001</v>
      </c>
      <c r="L34" s="404"/>
      <c r="M34" s="24">
        <f>IFERROR(100/'Skjema total MA'!I34*K34,0)</f>
        <v>1.3865057294440171</v>
      </c>
    </row>
    <row r="35" spans="1:14" ht="15.75" x14ac:dyDescent="0.2">
      <c r="A35" s="12" t="s">
        <v>309</v>
      </c>
      <c r="B35" s="236">
        <v>495472.85600000003</v>
      </c>
      <c r="C35" s="307">
        <v>490174.47100000002</v>
      </c>
      <c r="D35" s="170">
        <f t="shared" si="4"/>
        <v>-1.1000000000000001</v>
      </c>
      <c r="E35" s="11">
        <f>100/'Skjema total MA'!C35*C35</f>
        <v>12.058541696497295</v>
      </c>
      <c r="F35" s="425"/>
      <c r="G35" s="427"/>
      <c r="H35" s="170"/>
      <c r="I35" s="410">
        <f>IFERROR(100/'Skjema total MA'!F35*G35,0)</f>
        <v>0</v>
      </c>
      <c r="J35" s="236">
        <v>495472.85600000003</v>
      </c>
      <c r="K35" s="236">
        <v>490174.47100000002</v>
      </c>
      <c r="L35" s="404"/>
      <c r="M35" s="24">
        <f>IFERROR(100/'Skjema total MA'!I35*K35,0)</f>
        <v>12.058541696497295</v>
      </c>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491642.09499999997</v>
      </c>
      <c r="C45" s="309">
        <v>478030.76</v>
      </c>
      <c r="D45" s="403">
        <f t="shared" ref="D45:D55" si="7">IF(B45=0, "    ---- ", IF(ABS(ROUND(100/B45*C45-100,1))&lt;999,ROUND(100/B45*C45-100,1),IF(ROUND(100/B45*C45-100,1)&gt;999,999,-999)))</f>
        <v>-2.8</v>
      </c>
      <c r="E45" s="11">
        <f>IFERROR(100/'Skjema total MA'!C45*C45,0)</f>
        <v>17.433665397221191</v>
      </c>
      <c r="F45" s="144"/>
      <c r="G45" s="33"/>
      <c r="H45" s="158"/>
      <c r="I45" s="158"/>
      <c r="J45" s="37"/>
      <c r="K45" s="37"/>
      <c r="L45" s="158"/>
      <c r="M45" s="158"/>
      <c r="N45" s="147"/>
    </row>
    <row r="46" spans="1:14" s="3" customFormat="1" ht="15.75" x14ac:dyDescent="0.2">
      <c r="A46" s="38" t="s">
        <v>312</v>
      </c>
      <c r="B46" s="286">
        <v>242984.984</v>
      </c>
      <c r="C46" s="287">
        <v>211590.495</v>
      </c>
      <c r="D46" s="259">
        <f t="shared" si="7"/>
        <v>-12.9</v>
      </c>
      <c r="E46" s="27">
        <f>IFERROR(100/'Skjema total MA'!C46*C46,0)</f>
        <v>14.53700440668133</v>
      </c>
      <c r="F46" s="144"/>
      <c r="G46" s="33"/>
      <c r="H46" s="144"/>
      <c r="I46" s="144"/>
      <c r="J46" s="33"/>
      <c r="K46" s="33"/>
      <c r="L46" s="158"/>
      <c r="M46" s="158"/>
      <c r="N46" s="147"/>
    </row>
    <row r="47" spans="1:14" s="3" customFormat="1" ht="15.75" x14ac:dyDescent="0.2">
      <c r="A47" s="38" t="s">
        <v>313</v>
      </c>
      <c r="B47" s="44">
        <v>248657.111</v>
      </c>
      <c r="C47" s="290">
        <v>266440.26500000001</v>
      </c>
      <c r="D47" s="259">
        <f>IF(B47=0, "    ---- ", IF(ABS(ROUND(100/B47*C47-100,1))&lt;999,ROUND(100/B47*C47-100,1),IF(ROUND(100/B47*C47-100,1)&gt;999,999,-999)))</f>
        <v>7.2</v>
      </c>
      <c r="E47" s="27">
        <f>IFERROR(100/'Skjema total MA'!C47*C47,0)</f>
        <v>20.710994007318664</v>
      </c>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v>27950.678</v>
      </c>
      <c r="C51" s="309">
        <v>6421.1890000000003</v>
      </c>
      <c r="D51" s="404">
        <f t="shared" si="7"/>
        <v>-77</v>
      </c>
      <c r="E51" s="11">
        <f>IFERROR(100/'Skjema total MA'!C51*C51,0)</f>
        <v>4.5326188349948229</v>
      </c>
      <c r="F51" s="144"/>
      <c r="G51" s="33"/>
      <c r="H51" s="144"/>
      <c r="I51" s="144"/>
      <c r="J51" s="33"/>
      <c r="K51" s="33"/>
      <c r="L51" s="158"/>
      <c r="M51" s="158"/>
      <c r="N51" s="147"/>
    </row>
    <row r="52" spans="1:14" s="3" customFormat="1" ht="15.75" x14ac:dyDescent="0.2">
      <c r="A52" s="38" t="s">
        <v>312</v>
      </c>
      <c r="B52" s="286">
        <v>3896.6869999999999</v>
      </c>
      <c r="C52" s="287">
        <v>6421.1890000000003</v>
      </c>
      <c r="D52" s="259">
        <f t="shared" si="7"/>
        <v>64.8</v>
      </c>
      <c r="E52" s="27">
        <f>IFERROR(100/'Skjema total MA'!C52*C52,0)</f>
        <v>7.6155056809632544</v>
      </c>
      <c r="F52" s="144"/>
      <c r="G52" s="33"/>
      <c r="H52" s="144"/>
      <c r="I52" s="144"/>
      <c r="J52" s="33"/>
      <c r="K52" s="33"/>
      <c r="L52" s="158"/>
      <c r="M52" s="158"/>
      <c r="N52" s="147"/>
    </row>
    <row r="53" spans="1:14" s="3" customFormat="1" ht="15.75" x14ac:dyDescent="0.2">
      <c r="A53" s="38" t="s">
        <v>313</v>
      </c>
      <c r="B53" s="286">
        <v>24053.991000000002</v>
      </c>
      <c r="C53" s="287"/>
      <c r="D53" s="259">
        <f t="shared" si="7"/>
        <v>-100</v>
      </c>
      <c r="E53" s="27">
        <f>IFERROR(100/'Skjema total MA'!C53*C53,0)</f>
        <v>0</v>
      </c>
      <c r="F53" s="144"/>
      <c r="G53" s="33"/>
      <c r="H53" s="144"/>
      <c r="I53" s="144"/>
      <c r="J53" s="33"/>
      <c r="K53" s="33"/>
      <c r="L53" s="158"/>
      <c r="M53" s="158"/>
      <c r="N53" s="147"/>
    </row>
    <row r="54" spans="1:14" s="3" customFormat="1" ht="15.75" x14ac:dyDescent="0.2">
      <c r="A54" s="39" t="s">
        <v>315</v>
      </c>
      <c r="B54" s="308">
        <v>1978.086</v>
      </c>
      <c r="C54" s="309">
        <v>25.61</v>
      </c>
      <c r="D54" s="404">
        <f t="shared" si="7"/>
        <v>-98.7</v>
      </c>
      <c r="E54" s="11">
        <f>IFERROR(100/'Skjema total MA'!C54*C54,0)</f>
        <v>2.9670576888003921E-2</v>
      </c>
      <c r="F54" s="144"/>
      <c r="G54" s="33"/>
      <c r="H54" s="144"/>
      <c r="I54" s="144"/>
      <c r="J54" s="33"/>
      <c r="K54" s="33"/>
      <c r="L54" s="158"/>
      <c r="M54" s="158"/>
      <c r="N54" s="147"/>
    </row>
    <row r="55" spans="1:14" s="3" customFormat="1" ht="15.75" x14ac:dyDescent="0.2">
      <c r="A55" s="38" t="s">
        <v>312</v>
      </c>
      <c r="B55" s="286">
        <v>1978.086</v>
      </c>
      <c r="C55" s="287">
        <v>25.61</v>
      </c>
      <c r="D55" s="259">
        <f t="shared" si="7"/>
        <v>-98.7</v>
      </c>
      <c r="E55" s="27">
        <f>IFERROR(100/'Skjema total MA'!C55*C55,0)</f>
        <v>2.9670576888003921E-2</v>
      </c>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v>3406678.986</v>
      </c>
      <c r="C64" s="347">
        <v>2213370.8319999999</v>
      </c>
      <c r="D64" s="344">
        <f t="shared" ref="D64:D109" si="8">IF(B64=0, "    ---- ", IF(ABS(ROUND(100/B64*C64-100,1))&lt;999,ROUND(100/B64*C64-100,1),IF(ROUND(100/B64*C64-100,1)&gt;999,999,-999)))</f>
        <v>-35</v>
      </c>
      <c r="E64" s="11">
        <f>IFERROR(100/'Skjema total MA'!C64*C64,0)</f>
        <v>41.207703784936534</v>
      </c>
      <c r="F64" s="346">
        <v>3904652.0170000005</v>
      </c>
      <c r="G64" s="346">
        <v>4147127.5660000001</v>
      </c>
      <c r="H64" s="344">
        <f t="shared" ref="H64:H109" si="9">IF(F64=0, "    ---- ", IF(ABS(ROUND(100/F64*G64-100,1))&lt;999,ROUND(100/F64*G64-100,1),IF(ROUND(100/F64*G64-100,1)&gt;999,999,-999)))</f>
        <v>6.2</v>
      </c>
      <c r="I64" s="11">
        <f>IFERROR(100/'Skjema total MA'!F64*G64,0)</f>
        <v>31.941882737371959</v>
      </c>
      <c r="J64" s="307">
        <v>7311331.0030000005</v>
      </c>
      <c r="K64" s="314">
        <v>6360498.398</v>
      </c>
      <c r="L64" s="404">
        <f t="shared" ref="L64:L109" si="10">IF(J64=0, "    ---- ", IF(ABS(ROUND(100/J64*K64-100,1))&lt;999,ROUND(100/J64*K64-100,1),IF(ROUND(100/J64*K64-100,1)&gt;999,999,-999)))</f>
        <v>-13</v>
      </c>
      <c r="M64" s="11">
        <f>IFERROR(100/'Skjema total MA'!I64*K64,0)</f>
        <v>34.653413588750709</v>
      </c>
    </row>
    <row r="65" spans="1:14" x14ac:dyDescent="0.2">
      <c r="A65" s="395" t="s">
        <v>9</v>
      </c>
      <c r="B65" s="44">
        <v>3388532.048</v>
      </c>
      <c r="C65" s="144">
        <v>2181445.58</v>
      </c>
      <c r="D65" s="165">
        <f t="shared" si="8"/>
        <v>-35.6</v>
      </c>
      <c r="E65" s="27">
        <f>IFERROR(100/'Skjema total MA'!C65*C65,0)</f>
        <v>42.508852968747547</v>
      </c>
      <c r="F65" s="234"/>
      <c r="G65" s="144"/>
      <c r="H65" s="165"/>
      <c r="I65" s="27"/>
      <c r="J65" s="290">
        <v>3388532.048</v>
      </c>
      <c r="K65" s="44">
        <v>2181445.58</v>
      </c>
      <c r="L65" s="259">
        <f t="shared" si="10"/>
        <v>-35.6</v>
      </c>
      <c r="M65" s="27">
        <f>IFERROR(100/'Skjema total MA'!I65*K65,0)</f>
        <v>42.508852968747547</v>
      </c>
    </row>
    <row r="66" spans="1:14" x14ac:dyDescent="0.2">
      <c r="A66" s="21" t="s">
        <v>10</v>
      </c>
      <c r="B66" s="292"/>
      <c r="C66" s="293"/>
      <c r="D66" s="165"/>
      <c r="E66" s="27"/>
      <c r="F66" s="292">
        <v>3885684.1690000002</v>
      </c>
      <c r="G66" s="293">
        <v>4098632.298</v>
      </c>
      <c r="H66" s="165">
        <f t="shared" si="9"/>
        <v>5.5</v>
      </c>
      <c r="I66" s="27">
        <f>IFERROR(100/'Skjema total MA'!F66*G66,0)</f>
        <v>31.885774760536584</v>
      </c>
      <c r="J66" s="290">
        <v>3885684.1690000002</v>
      </c>
      <c r="K66" s="44">
        <v>4098632.298</v>
      </c>
      <c r="L66" s="259">
        <f t="shared" si="10"/>
        <v>5.5</v>
      </c>
      <c r="M66" s="27">
        <f>IFERROR(100/'Skjema total MA'!I66*K66,0)</f>
        <v>31.597010593111598</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v>18146.937999999998</v>
      </c>
      <c r="C73" s="144">
        <v>31925.252</v>
      </c>
      <c r="D73" s="165">
        <f t="shared" si="8"/>
        <v>75.900000000000006</v>
      </c>
      <c r="E73" s="27">
        <f>IFERROR(100/'Skjema total MA'!C73*C73,0)</f>
        <v>26.160206179651162</v>
      </c>
      <c r="F73" s="234">
        <v>18967.848000000002</v>
      </c>
      <c r="G73" s="144">
        <v>48495.267999999996</v>
      </c>
      <c r="H73" s="165">
        <f t="shared" si="9"/>
        <v>155.69999999999999</v>
      </c>
      <c r="I73" s="27">
        <f>IFERROR(100/'Skjema total MA'!F73*G73,0)</f>
        <v>37.522149170528422</v>
      </c>
      <c r="J73" s="290">
        <v>37114.786</v>
      </c>
      <c r="K73" s="44">
        <v>80420.51999999999</v>
      </c>
      <c r="L73" s="259">
        <f t="shared" si="10"/>
        <v>116.7</v>
      </c>
      <c r="M73" s="27">
        <f>IFERROR(100/'Skjema total MA'!I73*K73,0)</f>
        <v>32.004111345882663</v>
      </c>
      <c r="N73" s="147"/>
    </row>
    <row r="74" spans="1:14" s="3" customFormat="1" x14ac:dyDescent="0.2">
      <c r="A74" s="21" t="s">
        <v>399</v>
      </c>
      <c r="B74" s="234"/>
      <c r="C74" s="144">
        <v>523429.59100000001</v>
      </c>
      <c r="D74" s="165" t="str">
        <f t="shared" ref="D74" si="11">IF(B74=0, "    ---- ", IF(ABS(ROUND(100/B74*C74-100,1))&lt;999,ROUND(100/B74*C74-100,1),IF(ROUND(100/B74*C74-100,1)&gt;999,999,-999)))</f>
        <v xml:space="preserve">    ---- </v>
      </c>
      <c r="E74" s="27">
        <f>IFERROR(100/'Skjema total MA'!C75*C74,0)</f>
        <v>10.254747022317478</v>
      </c>
      <c r="F74" s="234"/>
      <c r="G74" s="144"/>
      <c r="H74" s="165"/>
      <c r="I74" s="27"/>
      <c r="J74" s="290"/>
      <c r="K74" s="44">
        <v>523429.59100000001</v>
      </c>
      <c r="L74" s="259" t="str">
        <f t="shared" ref="L74" si="12">IF(J74=0, "    ---- ", IF(ABS(ROUND(100/J74*K74-100,1))&lt;999,ROUND(100/J74*K74-100,1),IF(ROUND(100/J74*K74-100,1)&gt;999,999,-999)))</f>
        <v xml:space="preserve">    ---- </v>
      </c>
      <c r="M74" s="27">
        <f>IFERROR(100/'Skjema total MA'!I75*K74,0)</f>
        <v>2.9160450325547922</v>
      </c>
      <c r="N74" s="147"/>
    </row>
    <row r="75" spans="1:14" ht="15.75" x14ac:dyDescent="0.2">
      <c r="A75" s="21" t="s">
        <v>318</v>
      </c>
      <c r="B75" s="234">
        <v>3189129.31</v>
      </c>
      <c r="C75" s="234">
        <v>2066645.4939999999</v>
      </c>
      <c r="D75" s="165">
        <f t="shared" si="8"/>
        <v>-35.200000000000003</v>
      </c>
      <c r="E75" s="27">
        <f>IFERROR(100/'Skjema total MA'!C75*C75,0)</f>
        <v>40.488591188155297</v>
      </c>
      <c r="F75" s="234">
        <v>3885684.1690000002</v>
      </c>
      <c r="G75" s="144">
        <v>4098632.298</v>
      </c>
      <c r="H75" s="165">
        <f t="shared" si="9"/>
        <v>5.5</v>
      </c>
      <c r="I75" s="27">
        <f>IFERROR(100/'Skjema total MA'!F75*G75,0)</f>
        <v>31.906606224146742</v>
      </c>
      <c r="J75" s="290">
        <v>7074813.4790000003</v>
      </c>
      <c r="K75" s="44">
        <v>6165277.7919999994</v>
      </c>
      <c r="L75" s="259">
        <f t="shared" si="10"/>
        <v>-12.9</v>
      </c>
      <c r="M75" s="27">
        <f>IFERROR(100/'Skjema total MA'!I75*K75,0)</f>
        <v>34.346983794582556</v>
      </c>
    </row>
    <row r="76" spans="1:14" x14ac:dyDescent="0.2">
      <c r="A76" s="21" t="s">
        <v>9</v>
      </c>
      <c r="B76" s="234">
        <v>3189129.31</v>
      </c>
      <c r="C76" s="144">
        <v>2066645.4939999999</v>
      </c>
      <c r="D76" s="165">
        <f t="shared" si="8"/>
        <v>-35.200000000000003</v>
      </c>
      <c r="E76" s="27">
        <f>IFERROR(100/'Skjema total MA'!C76*C76,0)</f>
        <v>41.423936763282597</v>
      </c>
      <c r="F76" s="234"/>
      <c r="G76" s="144"/>
      <c r="H76" s="165"/>
      <c r="I76" s="27"/>
      <c r="J76" s="290">
        <v>3189129.31</v>
      </c>
      <c r="K76" s="44">
        <v>2066645.4939999999</v>
      </c>
      <c r="L76" s="259">
        <f t="shared" si="10"/>
        <v>-35.200000000000003</v>
      </c>
      <c r="M76" s="27">
        <f>IFERROR(100/'Skjema total MA'!I76*K76,0)</f>
        <v>41.423936763282597</v>
      </c>
    </row>
    <row r="77" spans="1:14" x14ac:dyDescent="0.2">
      <c r="A77" s="21" t="s">
        <v>10</v>
      </c>
      <c r="B77" s="292"/>
      <c r="C77" s="293"/>
      <c r="D77" s="165"/>
      <c r="E77" s="27"/>
      <c r="F77" s="292">
        <v>3885684.1690000002</v>
      </c>
      <c r="G77" s="293">
        <v>4098632.298</v>
      </c>
      <c r="H77" s="165">
        <f t="shared" si="9"/>
        <v>5.5</v>
      </c>
      <c r="I77" s="27">
        <f>IFERROR(100/'Skjema total MA'!F77*G77,0)</f>
        <v>31.906606224146742</v>
      </c>
      <c r="J77" s="290">
        <v>3885684.1690000002</v>
      </c>
      <c r="K77" s="44">
        <v>4098632.298</v>
      </c>
      <c r="L77" s="259">
        <f t="shared" si="10"/>
        <v>5.5</v>
      </c>
      <c r="M77" s="27">
        <f>IFERROR(100/'Skjema total MA'!I77*K77,0)</f>
        <v>31.622881526911407</v>
      </c>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v>199402.73800000001</v>
      </c>
      <c r="C84" s="144">
        <v>114800.086</v>
      </c>
      <c r="D84" s="165">
        <f t="shared" si="8"/>
        <v>-42.4</v>
      </c>
      <c r="E84" s="27">
        <f>IFERROR(100/'Skjema total MA'!C84*C84,0)</f>
        <v>79.199102572736777</v>
      </c>
      <c r="F84" s="234"/>
      <c r="G84" s="144"/>
      <c r="H84" s="165"/>
      <c r="I84" s="27"/>
      <c r="J84" s="290">
        <v>199402.73800000001</v>
      </c>
      <c r="K84" s="44">
        <v>114800.086</v>
      </c>
      <c r="L84" s="259">
        <f t="shared" si="10"/>
        <v>-42.4</v>
      </c>
      <c r="M84" s="27">
        <f>IFERROR(100/'Skjema total MA'!I84*K84,0)</f>
        <v>74.864633524631373</v>
      </c>
    </row>
    <row r="85" spans="1:13" ht="15.75" x14ac:dyDescent="0.2">
      <c r="A85" s="13" t="s">
        <v>26</v>
      </c>
      <c r="B85" s="347">
        <v>154756981.00300002</v>
      </c>
      <c r="C85" s="347">
        <v>157022750.36099997</v>
      </c>
      <c r="D85" s="170">
        <f t="shared" si="8"/>
        <v>1.5</v>
      </c>
      <c r="E85" s="11">
        <f>IFERROR(100/'Skjema total MA'!C85*C85,0)</f>
        <v>42.006013572994107</v>
      </c>
      <c r="F85" s="346">
        <v>50231591.722000003</v>
      </c>
      <c r="G85" s="346">
        <v>61763965.375</v>
      </c>
      <c r="H85" s="170">
        <f t="shared" si="9"/>
        <v>23</v>
      </c>
      <c r="I85" s="11">
        <f>IFERROR(100/'Skjema total MA'!F85*G85,0)</f>
        <v>31.054892896292163</v>
      </c>
      <c r="J85" s="307">
        <v>204988572.72500002</v>
      </c>
      <c r="K85" s="236">
        <v>218786715.73599997</v>
      </c>
      <c r="L85" s="404">
        <f t="shared" si="10"/>
        <v>6.7</v>
      </c>
      <c r="M85" s="11">
        <f>IFERROR(100/'Skjema total MA'!I85*K85,0)</f>
        <v>38.202901693040197</v>
      </c>
    </row>
    <row r="86" spans="1:13" x14ac:dyDescent="0.2">
      <c r="A86" s="21" t="s">
        <v>9</v>
      </c>
      <c r="B86" s="234">
        <v>154663430.73969001</v>
      </c>
      <c r="C86" s="144">
        <v>156928925.52379999</v>
      </c>
      <c r="D86" s="165">
        <f t="shared" si="8"/>
        <v>1.5</v>
      </c>
      <c r="E86" s="27">
        <f>IFERROR(100/'Skjema total MA'!C86*C86,0)</f>
        <v>42.291100124162533</v>
      </c>
      <c r="F86" s="234"/>
      <c r="G86" s="144"/>
      <c r="H86" s="165"/>
      <c r="I86" s="27"/>
      <c r="J86" s="290">
        <v>154663430.73969001</v>
      </c>
      <c r="K86" s="44">
        <v>156928925.52379999</v>
      </c>
      <c r="L86" s="259">
        <f t="shared" si="10"/>
        <v>1.5</v>
      </c>
      <c r="M86" s="27">
        <f>IFERROR(100/'Skjema total MA'!I86*K86,0)</f>
        <v>42.291100124162533</v>
      </c>
    </row>
    <row r="87" spans="1:13" x14ac:dyDescent="0.2">
      <c r="A87" s="21" t="s">
        <v>10</v>
      </c>
      <c r="B87" s="234">
        <v>47796.199310000004</v>
      </c>
      <c r="C87" s="144">
        <v>54443.575199999999</v>
      </c>
      <c r="D87" s="165">
        <f t="shared" si="8"/>
        <v>13.9</v>
      </c>
      <c r="E87" s="27">
        <f>IFERROR(100/'Skjema total MA'!C87*C87,0)</f>
        <v>2.1785277404785308</v>
      </c>
      <c r="F87" s="234">
        <v>50231591.722000003</v>
      </c>
      <c r="G87" s="144">
        <v>61614720.629000001</v>
      </c>
      <c r="H87" s="165">
        <f t="shared" si="9"/>
        <v>22.7</v>
      </c>
      <c r="I87" s="27">
        <f>IFERROR(100/'Skjema total MA'!F87*G87,0)</f>
        <v>31.035936283480137</v>
      </c>
      <c r="J87" s="290">
        <v>50279387.92131</v>
      </c>
      <c r="K87" s="44">
        <v>61669164.2042</v>
      </c>
      <c r="L87" s="259">
        <f t="shared" si="10"/>
        <v>22.7</v>
      </c>
      <c r="M87" s="27">
        <f>IFERROR(100/'Skjema total MA'!I87*K87,0)</f>
        <v>30.6771892053311</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v>45754.063999999998</v>
      </c>
      <c r="C94" s="144">
        <v>39381.262000000002</v>
      </c>
      <c r="D94" s="165">
        <f t="shared" si="8"/>
        <v>-13.9</v>
      </c>
      <c r="E94" s="27">
        <f>IFERROR(100/'Skjema total MA'!C94*C94,0)</f>
        <v>16.231025969652805</v>
      </c>
      <c r="F94" s="234"/>
      <c r="G94" s="144">
        <v>149244.74600000001</v>
      </c>
      <c r="H94" s="165" t="str">
        <f t="shared" si="9"/>
        <v xml:space="preserve">    ---- </v>
      </c>
      <c r="I94" s="27">
        <f>IFERROR(100/'Skjema total MA'!F94*G94,0)</f>
        <v>41.526284312956292</v>
      </c>
      <c r="J94" s="290">
        <v>45754.063999999998</v>
      </c>
      <c r="K94" s="44">
        <v>188626.00800000003</v>
      </c>
      <c r="L94" s="259">
        <f t="shared" si="10"/>
        <v>312.3</v>
      </c>
      <c r="M94" s="27">
        <f>IFERROR(100/'Skjema total MA'!I94*K94,0)</f>
        <v>31.331777222814512</v>
      </c>
    </row>
    <row r="95" spans="1:13" x14ac:dyDescent="0.2">
      <c r="A95" s="21" t="s">
        <v>397</v>
      </c>
      <c r="B95" s="234"/>
      <c r="C95" s="144">
        <v>3594560.1889999998</v>
      </c>
      <c r="D95" s="165" t="str">
        <f t="shared" ref="D95" si="13">IF(B95=0, "    ---- ", IF(ABS(ROUND(100/B95*C95-100,1))&lt;999,ROUND(100/B95*C95-100,1),IF(ROUND(100/B95*C95-100,1)&gt;999,999,-999)))</f>
        <v xml:space="preserve">    ---- </v>
      </c>
      <c r="E95" s="27">
        <f>IFERROR(100/'Skjema total MA'!C96*C95,0)</f>
        <v>0.97503770823230407</v>
      </c>
      <c r="F95" s="234"/>
      <c r="G95" s="144"/>
      <c r="H95" s="165"/>
      <c r="I95" s="27"/>
      <c r="J95" s="290"/>
      <c r="K95" s="44">
        <v>3594560.1889999998</v>
      </c>
      <c r="L95" s="259" t="str">
        <f t="shared" ref="L95" si="14">IF(J95=0, "    ---- ", IF(ABS(ROUND(100/J95*K95-100,1))&lt;999,ROUND(100/J95*K95-100,1),IF(ROUND(100/J95*K95-100,1)&gt;999,999,-999)))</f>
        <v xml:space="preserve">    ---- </v>
      </c>
      <c r="M95" s="27">
        <f>IFERROR(100/'Skjema total MA'!I96*K95,0)</f>
        <v>0.63434965442812097</v>
      </c>
    </row>
    <row r="96" spans="1:13" ht="15.75" x14ac:dyDescent="0.2">
      <c r="A96" s="21" t="s">
        <v>318</v>
      </c>
      <c r="B96" s="234">
        <v>151129748.41800001</v>
      </c>
      <c r="C96" s="234">
        <v>153448328.92299998</v>
      </c>
      <c r="D96" s="165">
        <f t="shared" si="8"/>
        <v>1.5</v>
      </c>
      <c r="E96" s="27">
        <f>IFERROR(100/'Skjema total MA'!C96*C96,0)</f>
        <v>41.623425147537205</v>
      </c>
      <c r="F96" s="292">
        <v>50231591.722000003</v>
      </c>
      <c r="G96" s="292">
        <v>61614720.629000001</v>
      </c>
      <c r="H96" s="165">
        <f t="shared" si="9"/>
        <v>22.7</v>
      </c>
      <c r="I96" s="27">
        <f>IFERROR(100/'Skjema total MA'!F96*G96,0)</f>
        <v>31.119451785780374</v>
      </c>
      <c r="J96" s="290">
        <v>201361340.14000002</v>
      </c>
      <c r="K96" s="44">
        <v>215063049.55199999</v>
      </c>
      <c r="L96" s="259">
        <f t="shared" si="10"/>
        <v>6.8</v>
      </c>
      <c r="M96" s="27">
        <f>IFERROR(100/'Skjema total MA'!I96*K96,0)</f>
        <v>37.95323043443662</v>
      </c>
    </row>
    <row r="97" spans="1:13" x14ac:dyDescent="0.2">
      <c r="A97" s="21" t="s">
        <v>9</v>
      </c>
      <c r="B97" s="292">
        <v>151081952.21869001</v>
      </c>
      <c r="C97" s="293">
        <v>153393885.34779999</v>
      </c>
      <c r="D97" s="165">
        <f t="shared" si="8"/>
        <v>1.5</v>
      </c>
      <c r="E97" s="27">
        <f>IFERROR(100/'Skjema total MA'!C97*C97,0)</f>
        <v>41.892643143743179</v>
      </c>
      <c r="F97" s="234"/>
      <c r="G97" s="144"/>
      <c r="H97" s="165"/>
      <c r="I97" s="27"/>
      <c r="J97" s="290">
        <v>151081952.21869001</v>
      </c>
      <c r="K97" s="44">
        <v>153393885.34779999</v>
      </c>
      <c r="L97" s="259">
        <f t="shared" si="10"/>
        <v>1.5</v>
      </c>
      <c r="M97" s="27">
        <f>IFERROR(100/'Skjema total MA'!I97*K97,0)</f>
        <v>41.892643143743179</v>
      </c>
    </row>
    <row r="98" spans="1:13" x14ac:dyDescent="0.2">
      <c r="A98" s="21" t="s">
        <v>10</v>
      </c>
      <c r="B98" s="292">
        <v>47796.199310000004</v>
      </c>
      <c r="C98" s="293">
        <v>54443.575199999999</v>
      </c>
      <c r="D98" s="165">
        <f t="shared" si="8"/>
        <v>13.9</v>
      </c>
      <c r="E98" s="27">
        <f>IFERROR(100/'Skjema total MA'!C98*C98,0)</f>
        <v>2.1785277404785308</v>
      </c>
      <c r="F98" s="234">
        <v>50231591.722000003</v>
      </c>
      <c r="G98" s="234">
        <v>61614720.629000001</v>
      </c>
      <c r="H98" s="165">
        <f t="shared" si="9"/>
        <v>22.7</v>
      </c>
      <c r="I98" s="27">
        <f>IFERROR(100/'Skjema total MA'!F98*G98,0)</f>
        <v>31.119451785780374</v>
      </c>
      <c r="J98" s="290">
        <v>50279387.92131</v>
      </c>
      <c r="K98" s="44">
        <v>61669164.2042</v>
      </c>
      <c r="L98" s="259">
        <f t="shared" si="10"/>
        <v>22.7</v>
      </c>
      <c r="M98" s="27">
        <f>IFERROR(100/'Skjema total MA'!I98*K98,0)</f>
        <v>30.758710377778879</v>
      </c>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v>3581478.5210000002</v>
      </c>
      <c r="C105" s="144">
        <v>3535040.176</v>
      </c>
      <c r="D105" s="165">
        <f t="shared" si="8"/>
        <v>-1.3</v>
      </c>
      <c r="E105" s="27">
        <f>IFERROR(100/'Skjema total MA'!C105*C105,0)</f>
        <v>72.0120337141297</v>
      </c>
      <c r="F105" s="234"/>
      <c r="G105" s="144"/>
      <c r="H105" s="165"/>
      <c r="I105" s="27"/>
      <c r="J105" s="290">
        <v>3581478.5210000002</v>
      </c>
      <c r="K105" s="44">
        <v>3535040.176</v>
      </c>
      <c r="L105" s="259">
        <f t="shared" si="10"/>
        <v>-1.3</v>
      </c>
      <c r="M105" s="27">
        <f>IFERROR(100/'Skjema total MA'!I105*K105,0)</f>
        <v>64.961506371528216</v>
      </c>
    </row>
    <row r="106" spans="1:13" ht="15.75" x14ac:dyDescent="0.2">
      <c r="A106" s="21" t="s">
        <v>328</v>
      </c>
      <c r="B106" s="234">
        <v>108797213.82099999</v>
      </c>
      <c r="C106" s="234">
        <v>123299019.758</v>
      </c>
      <c r="D106" s="165">
        <f t="shared" si="8"/>
        <v>13.3</v>
      </c>
      <c r="E106" s="27">
        <f>IFERROR(100/'Skjema total MA'!C106*C106,0)</f>
        <v>42.134579084759231</v>
      </c>
      <c r="F106" s="234">
        <v>4922110.7939999998</v>
      </c>
      <c r="G106" s="234">
        <v>6087680.8080000002</v>
      </c>
      <c r="H106" s="165">
        <f t="shared" si="9"/>
        <v>23.7</v>
      </c>
      <c r="I106" s="27">
        <f>IFERROR(100/'Skjema total MA'!F106*G106,0)</f>
        <v>93.473471250903089</v>
      </c>
      <c r="J106" s="290">
        <v>113719324.61499999</v>
      </c>
      <c r="K106" s="44">
        <v>129386700.566</v>
      </c>
      <c r="L106" s="259">
        <f t="shared" si="10"/>
        <v>13.8</v>
      </c>
      <c r="M106" s="27">
        <f>IFERROR(100/'Skjema total MA'!I106*K106,0)</f>
        <v>43.252289923035029</v>
      </c>
    </row>
    <row r="107" spans="1:13" ht="15.75" x14ac:dyDescent="0.2">
      <c r="A107" s="21" t="s">
        <v>320</v>
      </c>
      <c r="B107" s="234"/>
      <c r="C107" s="234"/>
      <c r="D107" s="165"/>
      <c r="E107" s="27"/>
      <c r="F107" s="234">
        <v>14616839.267000001</v>
      </c>
      <c r="G107" s="234">
        <v>19098773.004999999</v>
      </c>
      <c r="H107" s="165">
        <f t="shared" si="9"/>
        <v>30.7</v>
      </c>
      <c r="I107" s="27">
        <f>IFERROR(100/'Skjema total MA'!F107*G107,0)</f>
        <v>30.190994655625971</v>
      </c>
      <c r="J107" s="290">
        <v>14616839.267000001</v>
      </c>
      <c r="K107" s="44">
        <v>19098773.004999999</v>
      </c>
      <c r="L107" s="259">
        <f t="shared" si="10"/>
        <v>30.7</v>
      </c>
      <c r="M107" s="27">
        <f>IFERROR(100/'Skjema total MA'!I107*K107,0)</f>
        <v>29.830597750076549</v>
      </c>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v>22790.098999999998</v>
      </c>
      <c r="C109" s="158">
        <v>11386.565000000001</v>
      </c>
      <c r="D109" s="170">
        <f t="shared" si="8"/>
        <v>-50</v>
      </c>
      <c r="E109" s="11">
        <f>IFERROR(100/'Skjema total MA'!C109*C109,0)</f>
        <v>3.2703073137514314</v>
      </c>
      <c r="F109" s="306">
        <v>153027.06899999999</v>
      </c>
      <c r="G109" s="158">
        <v>365281.33799999999</v>
      </c>
      <c r="H109" s="170">
        <f t="shared" si="9"/>
        <v>138.69999999999999</v>
      </c>
      <c r="I109" s="11">
        <f>IFERROR(100/'Skjema total MA'!F109*G109,0)</f>
        <v>5.6451746648711811</v>
      </c>
      <c r="J109" s="307">
        <v>175817.16799999998</v>
      </c>
      <c r="K109" s="236">
        <v>376667.90299999999</v>
      </c>
      <c r="L109" s="404">
        <f t="shared" si="10"/>
        <v>114.2</v>
      </c>
      <c r="M109" s="11">
        <f>IFERROR(100/'Skjema total MA'!I109*K109,0)</f>
        <v>5.5239107568334394</v>
      </c>
    </row>
    <row r="110" spans="1:13" x14ac:dyDescent="0.2">
      <c r="A110" s="21" t="s">
        <v>9</v>
      </c>
      <c r="B110" s="234">
        <v>22790.098999999998</v>
      </c>
      <c r="C110" s="144">
        <v>11386.565000000001</v>
      </c>
      <c r="D110" s="165">
        <f t="shared" ref="D110:D123" si="15">IF(B110=0, "    ---- ", IF(ABS(ROUND(100/B110*C110-100,1))&lt;999,ROUND(100/B110*C110-100,1),IF(ROUND(100/B110*C110-100,1)&gt;999,999,-999)))</f>
        <v>-50</v>
      </c>
      <c r="E110" s="27">
        <f>IFERROR(100/'Skjema total MA'!C110*C110,0)</f>
        <v>3.4932806845976176</v>
      </c>
      <c r="F110" s="234"/>
      <c r="G110" s="144"/>
      <c r="H110" s="165"/>
      <c r="I110" s="27"/>
      <c r="J110" s="290">
        <v>22790.098999999998</v>
      </c>
      <c r="K110" s="44">
        <v>11386.565000000001</v>
      </c>
      <c r="L110" s="259">
        <f t="shared" ref="L110:L123" si="16">IF(J110=0, "    ---- ", IF(ABS(ROUND(100/J110*K110-100,1))&lt;999,ROUND(100/J110*K110-100,1),IF(ROUND(100/J110*K110-100,1)&gt;999,999,-999)))</f>
        <v>-50</v>
      </c>
      <c r="M110" s="27">
        <f>IFERROR(100/'Skjema total MA'!I110*K110,0)</f>
        <v>3.4932806845976176</v>
      </c>
    </row>
    <row r="111" spans="1:13" x14ac:dyDescent="0.2">
      <c r="A111" s="21" t="s">
        <v>10</v>
      </c>
      <c r="B111" s="234"/>
      <c r="C111" s="144"/>
      <c r="D111" s="165"/>
      <c r="E111" s="27"/>
      <c r="F111" s="234">
        <v>153027.06899999999</v>
      </c>
      <c r="G111" s="144">
        <v>365281.33799999999</v>
      </c>
      <c r="H111" s="165">
        <f t="shared" ref="H111:H123" si="17">IF(F111=0, "    ---- ", IF(ABS(ROUND(100/F111*G111-100,1))&lt;999,ROUND(100/F111*G111-100,1),IF(ROUND(100/F111*G111-100,1)&gt;999,999,-999)))</f>
        <v>138.69999999999999</v>
      </c>
      <c r="I111" s="27">
        <f>IFERROR(100/'Skjema total MA'!F111*G111,0)</f>
        <v>5.6451746648711811</v>
      </c>
      <c r="J111" s="290">
        <v>153027.06899999999</v>
      </c>
      <c r="K111" s="44">
        <v>365281.33799999999</v>
      </c>
      <c r="L111" s="259">
        <f t="shared" si="16"/>
        <v>138.69999999999999</v>
      </c>
      <c r="M111" s="27">
        <f>IFERROR(100/'Skjema total MA'!I111*K111,0)</f>
        <v>5.6429689642176815</v>
      </c>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v>4061.7159999999999</v>
      </c>
      <c r="C114" s="234">
        <v>3858.91</v>
      </c>
      <c r="D114" s="165">
        <f t="shared" si="15"/>
        <v>-5</v>
      </c>
      <c r="E114" s="27">
        <f>IFERROR(100/'Skjema total MA'!C114*C114,0)</f>
        <v>12.568996557325294</v>
      </c>
      <c r="F114" s="234"/>
      <c r="G114" s="234"/>
      <c r="H114" s="165"/>
      <c r="I114" s="27"/>
      <c r="J114" s="290">
        <v>4061.7159999999999</v>
      </c>
      <c r="K114" s="44">
        <v>3858.91</v>
      </c>
      <c r="L114" s="259">
        <f t="shared" si="16"/>
        <v>-5</v>
      </c>
      <c r="M114" s="27">
        <f>IFERROR(100/'Skjema total MA'!I114*K114,0)</f>
        <v>9.0035967405710089</v>
      </c>
    </row>
    <row r="115" spans="1:14" ht="15.75" x14ac:dyDescent="0.2">
      <c r="A115" s="21" t="s">
        <v>322</v>
      </c>
      <c r="B115" s="234"/>
      <c r="C115" s="234"/>
      <c r="D115" s="165"/>
      <c r="E115" s="27"/>
      <c r="F115" s="234">
        <v>119852.542</v>
      </c>
      <c r="G115" s="234">
        <v>210998.99400000001</v>
      </c>
      <c r="H115" s="165">
        <f t="shared" si="17"/>
        <v>76</v>
      </c>
      <c r="I115" s="27">
        <f>IFERROR(100/'Skjema total MA'!F115*G115,0)</f>
        <v>19.09388595845251</v>
      </c>
      <c r="J115" s="290">
        <v>119852.542</v>
      </c>
      <c r="K115" s="44">
        <v>210998.99400000001</v>
      </c>
      <c r="L115" s="259">
        <f t="shared" si="16"/>
        <v>76</v>
      </c>
      <c r="M115" s="27">
        <f>IFERROR(100/'Skjema total MA'!I115*K115,0)</f>
        <v>19.09388595845251</v>
      </c>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149959.397</v>
      </c>
      <c r="C117" s="158">
        <v>126763.27899999999</v>
      </c>
      <c r="D117" s="170">
        <f t="shared" si="15"/>
        <v>-15.5</v>
      </c>
      <c r="E117" s="11">
        <f>IFERROR(100/'Skjema total MA'!C117*C117,0)</f>
        <v>43.210760478979061</v>
      </c>
      <c r="F117" s="306">
        <v>666925.21799999999</v>
      </c>
      <c r="G117" s="158">
        <v>2509838.0019999999</v>
      </c>
      <c r="H117" s="170">
        <f t="shared" si="17"/>
        <v>276.3</v>
      </c>
      <c r="I117" s="11">
        <f>IFERROR(100/'Skjema total MA'!F117*G117,0)</f>
        <v>38.930187459583934</v>
      </c>
      <c r="J117" s="307">
        <v>816884.61499999999</v>
      </c>
      <c r="K117" s="236">
        <v>2636601.281</v>
      </c>
      <c r="L117" s="404">
        <f t="shared" si="16"/>
        <v>222.8</v>
      </c>
      <c r="M117" s="11">
        <f>IFERROR(100/'Skjema total MA'!I117*K117,0)</f>
        <v>39.116490046029476</v>
      </c>
    </row>
    <row r="118" spans="1:14" x14ac:dyDescent="0.2">
      <c r="A118" s="21" t="s">
        <v>9</v>
      </c>
      <c r="B118" s="234">
        <v>149959.397</v>
      </c>
      <c r="C118" s="44">
        <v>126763.27899999999</v>
      </c>
      <c r="D118" s="165">
        <f t="shared" si="15"/>
        <v>-15.5</v>
      </c>
      <c r="E118" s="27">
        <f>IFERROR(100/'Skjema total MA'!C118*C118,0)</f>
        <v>49.072497708142279</v>
      </c>
      <c r="F118" s="234"/>
      <c r="G118" s="144"/>
      <c r="H118" s="165"/>
      <c r="I118" s="27"/>
      <c r="J118" s="290">
        <v>149959.397</v>
      </c>
      <c r="K118" s="44">
        <v>126763.27899999999</v>
      </c>
      <c r="L118" s="259">
        <f t="shared" si="16"/>
        <v>-15.5</v>
      </c>
      <c r="M118" s="393">
        <f>IFERROR(100/'Skjema total MA'!I118*K118,0)</f>
        <v>49.072497708142279</v>
      </c>
      <c r="N118" s="290"/>
    </row>
    <row r="119" spans="1:14" x14ac:dyDescent="0.2">
      <c r="A119" s="21" t="s">
        <v>10</v>
      </c>
      <c r="B119" s="234"/>
      <c r="C119" s="144"/>
      <c r="D119" s="165"/>
      <c r="E119" s="27"/>
      <c r="F119" s="234">
        <v>666925.21799999999</v>
      </c>
      <c r="G119" s="144">
        <v>2509838.0019999999</v>
      </c>
      <c r="H119" s="165">
        <f t="shared" si="17"/>
        <v>276.3</v>
      </c>
      <c r="I119" s="27">
        <f>IFERROR(100/'Skjema total MA'!F119*G119,0)</f>
        <v>38.930187459583934</v>
      </c>
      <c r="J119" s="290">
        <v>666925.21799999999</v>
      </c>
      <c r="K119" s="44">
        <v>2509838.0019999999</v>
      </c>
      <c r="L119" s="259">
        <f t="shared" si="16"/>
        <v>276.3</v>
      </c>
      <c r="M119" s="27">
        <f>IFERROR(100/'Skjema total MA'!I119*K119,0)</f>
        <v>38.825329546681935</v>
      </c>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v>14105.578</v>
      </c>
      <c r="C122" s="234">
        <v>3263.4479999999999</v>
      </c>
      <c r="D122" s="165">
        <f t="shared" si="15"/>
        <v>-76.900000000000006</v>
      </c>
      <c r="E122" s="27">
        <f>IFERROR(100/'Skjema total MA'!C122*C122,0)</f>
        <v>55.112330632642546</v>
      </c>
      <c r="F122" s="234">
        <v>21433.298999999999</v>
      </c>
      <c r="G122" s="234">
        <v>9802.9210000000003</v>
      </c>
      <c r="H122" s="165">
        <f t="shared" si="17"/>
        <v>-54.3</v>
      </c>
      <c r="I122" s="27">
        <f>IFERROR(100/'Skjema total MA'!F122*G122,0)</f>
        <v>100</v>
      </c>
      <c r="J122" s="290">
        <v>35538.877</v>
      </c>
      <c r="K122" s="44">
        <v>13066.369000000001</v>
      </c>
      <c r="L122" s="259">
        <f t="shared" si="16"/>
        <v>-63.2</v>
      </c>
      <c r="M122" s="27">
        <f>IFERROR(100/'Skjema total MA'!I122*K122,0)</f>
        <v>83.09630103440081</v>
      </c>
    </row>
    <row r="123" spans="1:14" ht="15.75" x14ac:dyDescent="0.2">
      <c r="A123" s="21" t="s">
        <v>320</v>
      </c>
      <c r="B123" s="234">
        <v>0.11700000000000001</v>
      </c>
      <c r="C123" s="234">
        <v>1.494</v>
      </c>
      <c r="D123" s="165">
        <f t="shared" si="15"/>
        <v>999</v>
      </c>
      <c r="E123" s="27">
        <f>IFERROR(100/'Skjema total MA'!C123*C123,0)</f>
        <v>4.8807276588660679E-2</v>
      </c>
      <c r="F123" s="234">
        <v>116559.923</v>
      </c>
      <c r="G123" s="234">
        <v>292166.35800000001</v>
      </c>
      <c r="H123" s="165">
        <f t="shared" si="17"/>
        <v>150.69999999999999</v>
      </c>
      <c r="I123" s="27">
        <f>IFERROR(100/'Skjema total MA'!F123*G123,0)</f>
        <v>31.009375256366752</v>
      </c>
      <c r="J123" s="290">
        <v>116560.04</v>
      </c>
      <c r="K123" s="44">
        <v>292167.85200000001</v>
      </c>
      <c r="L123" s="259">
        <f t="shared" si="16"/>
        <v>150.69999999999999</v>
      </c>
      <c r="M123" s="27">
        <f>IFERROR(100/'Skjema total MA'!I123*K123,0)</f>
        <v>30.909114937008123</v>
      </c>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v>136541.38500000001</v>
      </c>
      <c r="C132" s="307">
        <v>119591.099</v>
      </c>
      <c r="D132" s="344">
        <f t="shared" ref="D132:D135" si="18">IF(B132=0, "    ---- ", IF(ABS(ROUND(100/B132*C132-100,1))&lt;999,ROUND(100/B132*C132-100,1),IF(ROUND(100/B132*C132-100,1)&gt;999,999,-999)))</f>
        <v>-12.4</v>
      </c>
      <c r="E132" s="11">
        <f>IFERROR(100/'Skjema total MA'!C132*C132,0)</f>
        <v>0.72384839921714217</v>
      </c>
      <c r="F132" s="314"/>
      <c r="G132" s="315"/>
      <c r="H132" s="407"/>
      <c r="I132" s="24"/>
      <c r="J132" s="316">
        <v>136541.38500000001</v>
      </c>
      <c r="K132" s="316">
        <v>119591.099</v>
      </c>
      <c r="L132" s="403">
        <f t="shared" ref="L132:L135" si="19">IF(J132=0, "    ---- ", IF(ABS(ROUND(100/J132*K132-100,1))&lt;999,ROUND(100/J132*K132-100,1),IF(ROUND(100/J132*K132-100,1)&gt;999,999,-999)))</f>
        <v>-12.4</v>
      </c>
      <c r="M132" s="11">
        <f>IFERROR(100/'Skjema total MA'!I132*K132,0)</f>
        <v>0.72156440913444564</v>
      </c>
      <c r="N132" s="147"/>
    </row>
    <row r="133" spans="1:14" s="3" customFormat="1" ht="15.75" x14ac:dyDescent="0.2">
      <c r="A133" s="13" t="s">
        <v>324</v>
      </c>
      <c r="B133" s="236">
        <v>2706336.3629999999</v>
      </c>
      <c r="C133" s="307">
        <v>2745433.4849999999</v>
      </c>
      <c r="D133" s="170">
        <f t="shared" si="18"/>
        <v>1.4</v>
      </c>
      <c r="E133" s="11">
        <f>IFERROR(100/'Skjema total MA'!C133*C133,0)</f>
        <v>0.54741378980108624</v>
      </c>
      <c r="F133" s="236"/>
      <c r="G133" s="307"/>
      <c r="H133" s="408"/>
      <c r="I133" s="24"/>
      <c r="J133" s="306">
        <v>2706336.3629999999</v>
      </c>
      <c r="K133" s="306">
        <v>2745433.4849999999</v>
      </c>
      <c r="L133" s="404">
        <f t="shared" si="19"/>
        <v>1.4</v>
      </c>
      <c r="M133" s="11">
        <f>IFERROR(100/'Skjema total MA'!I133*K133,0)</f>
        <v>0.54492688970135683</v>
      </c>
      <c r="N133" s="147"/>
    </row>
    <row r="134" spans="1:14" s="3" customFormat="1" ht="15.75" x14ac:dyDescent="0.2">
      <c r="A134" s="13" t="s">
        <v>325</v>
      </c>
      <c r="B134" s="236">
        <v>102.541</v>
      </c>
      <c r="C134" s="307"/>
      <c r="D134" s="170">
        <f t="shared" si="18"/>
        <v>-100</v>
      </c>
      <c r="E134" s="11">
        <f>IFERROR(100/'Skjema total MA'!C134*C134,0)</f>
        <v>0</v>
      </c>
      <c r="F134" s="236"/>
      <c r="G134" s="307"/>
      <c r="H134" s="408"/>
      <c r="I134" s="24"/>
      <c r="J134" s="306">
        <v>102.541</v>
      </c>
      <c r="K134" s="306"/>
      <c r="L134" s="404">
        <f t="shared" si="19"/>
        <v>-100</v>
      </c>
      <c r="M134" s="11">
        <f>IFERROR(100/'Skjema total MA'!I134*K134,0)</f>
        <v>0</v>
      </c>
      <c r="N134" s="147"/>
    </row>
    <row r="135" spans="1:14" s="3" customFormat="1" ht="15.75" x14ac:dyDescent="0.2">
      <c r="A135" s="41" t="s">
        <v>326</v>
      </c>
      <c r="B135" s="281">
        <v>1800285.328</v>
      </c>
      <c r="C135" s="313">
        <v>143601.516</v>
      </c>
      <c r="D135" s="168">
        <f t="shared" si="18"/>
        <v>-92</v>
      </c>
      <c r="E135" s="9">
        <f>IFERROR(100/'Skjema total MA'!C135*C135,0)</f>
        <v>40.549564364194651</v>
      </c>
      <c r="F135" s="281"/>
      <c r="G135" s="313"/>
      <c r="H135" s="409"/>
      <c r="I135" s="36"/>
      <c r="J135" s="312">
        <v>1800285.328</v>
      </c>
      <c r="K135" s="312">
        <v>143601.516</v>
      </c>
      <c r="L135" s="405">
        <f t="shared" si="19"/>
        <v>-92</v>
      </c>
      <c r="M135" s="36">
        <f>IFERROR(100/'Skjema total MA'!I135*K135,0)</f>
        <v>40.549564364194651</v>
      </c>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245" priority="132">
      <formula>kvartal &lt; 4</formula>
    </cfRule>
  </conditionalFormatting>
  <conditionalFormatting sqref="B29">
    <cfRule type="expression" dxfId="244" priority="130">
      <formula>kvartal &lt; 4</formula>
    </cfRule>
  </conditionalFormatting>
  <conditionalFormatting sqref="B30">
    <cfRule type="expression" dxfId="243" priority="129">
      <formula>kvartal &lt; 4</formula>
    </cfRule>
  </conditionalFormatting>
  <conditionalFormatting sqref="B31">
    <cfRule type="expression" dxfId="242" priority="128">
      <formula>kvartal &lt; 4</formula>
    </cfRule>
  </conditionalFormatting>
  <conditionalFormatting sqref="C29">
    <cfRule type="expression" dxfId="241" priority="127">
      <formula>kvartal &lt; 4</formula>
    </cfRule>
  </conditionalFormatting>
  <conditionalFormatting sqref="C30">
    <cfRule type="expression" dxfId="240" priority="126">
      <formula>kvartal &lt; 4</formula>
    </cfRule>
  </conditionalFormatting>
  <conditionalFormatting sqref="C31">
    <cfRule type="expression" dxfId="239" priority="125">
      <formula>kvartal &lt; 4</formula>
    </cfRule>
  </conditionalFormatting>
  <conditionalFormatting sqref="B23:C25">
    <cfRule type="expression" dxfId="238" priority="124">
      <formula>kvartal &lt; 4</formula>
    </cfRule>
  </conditionalFormatting>
  <conditionalFormatting sqref="F23:G25">
    <cfRule type="expression" dxfId="237" priority="120">
      <formula>kvartal &lt; 4</formula>
    </cfRule>
  </conditionalFormatting>
  <conditionalFormatting sqref="F29">
    <cfRule type="expression" dxfId="236" priority="113">
      <formula>kvartal &lt; 4</formula>
    </cfRule>
  </conditionalFormatting>
  <conditionalFormatting sqref="F30">
    <cfRule type="expression" dxfId="235" priority="112">
      <formula>kvartal &lt; 4</formula>
    </cfRule>
  </conditionalFormatting>
  <conditionalFormatting sqref="F31">
    <cfRule type="expression" dxfId="234" priority="111">
      <formula>kvartal &lt; 4</formula>
    </cfRule>
  </conditionalFormatting>
  <conditionalFormatting sqref="G29">
    <cfRule type="expression" dxfId="233" priority="110">
      <formula>kvartal &lt; 4</formula>
    </cfRule>
  </conditionalFormatting>
  <conditionalFormatting sqref="G30">
    <cfRule type="expression" dxfId="232" priority="109">
      <formula>kvartal &lt; 4</formula>
    </cfRule>
  </conditionalFormatting>
  <conditionalFormatting sqref="G31">
    <cfRule type="expression" dxfId="231" priority="108">
      <formula>kvartal &lt; 4</formula>
    </cfRule>
  </conditionalFormatting>
  <conditionalFormatting sqref="B26">
    <cfRule type="expression" dxfId="230" priority="107">
      <formula>kvartal &lt; 4</formula>
    </cfRule>
  </conditionalFormatting>
  <conditionalFormatting sqref="C26">
    <cfRule type="expression" dxfId="229" priority="106">
      <formula>kvartal &lt; 4</formula>
    </cfRule>
  </conditionalFormatting>
  <conditionalFormatting sqref="F26">
    <cfRule type="expression" dxfId="228" priority="105">
      <formula>kvartal &lt; 4</formula>
    </cfRule>
  </conditionalFormatting>
  <conditionalFormatting sqref="G26">
    <cfRule type="expression" dxfId="227" priority="104">
      <formula>kvartal &lt; 4</formula>
    </cfRule>
  </conditionalFormatting>
  <conditionalFormatting sqref="J23:K26">
    <cfRule type="expression" dxfId="226" priority="103">
      <formula>kvartal &lt; 4</formula>
    </cfRule>
  </conditionalFormatting>
  <conditionalFormatting sqref="J29:K31">
    <cfRule type="expression" dxfId="225" priority="101">
      <formula>kvartal &lt; 4</formula>
    </cfRule>
  </conditionalFormatting>
  <conditionalFormatting sqref="B67">
    <cfRule type="expression" dxfId="224" priority="100">
      <formula>kvartal &lt; 4</formula>
    </cfRule>
  </conditionalFormatting>
  <conditionalFormatting sqref="C67">
    <cfRule type="expression" dxfId="223" priority="99">
      <formula>kvartal &lt; 4</formula>
    </cfRule>
  </conditionalFormatting>
  <conditionalFormatting sqref="B70">
    <cfRule type="expression" dxfId="222" priority="98">
      <formula>kvartal &lt; 4</formula>
    </cfRule>
  </conditionalFormatting>
  <conditionalFormatting sqref="C70">
    <cfRule type="expression" dxfId="221" priority="97">
      <formula>kvartal &lt; 4</formula>
    </cfRule>
  </conditionalFormatting>
  <conditionalFormatting sqref="B78">
    <cfRule type="expression" dxfId="220" priority="96">
      <formula>kvartal &lt; 4</formula>
    </cfRule>
  </conditionalFormatting>
  <conditionalFormatting sqref="C78">
    <cfRule type="expression" dxfId="219" priority="95">
      <formula>kvartal &lt; 4</formula>
    </cfRule>
  </conditionalFormatting>
  <conditionalFormatting sqref="B81">
    <cfRule type="expression" dxfId="218" priority="94">
      <formula>kvartal &lt; 4</formula>
    </cfRule>
  </conditionalFormatting>
  <conditionalFormatting sqref="C81">
    <cfRule type="expression" dxfId="217" priority="93">
      <formula>kvartal &lt; 4</formula>
    </cfRule>
  </conditionalFormatting>
  <conditionalFormatting sqref="B88">
    <cfRule type="expression" dxfId="216" priority="84">
      <formula>kvartal &lt; 4</formula>
    </cfRule>
  </conditionalFormatting>
  <conditionalFormatting sqref="C88">
    <cfRule type="expression" dxfId="215" priority="83">
      <formula>kvartal &lt; 4</formula>
    </cfRule>
  </conditionalFormatting>
  <conditionalFormatting sqref="B91">
    <cfRule type="expression" dxfId="214" priority="82">
      <formula>kvartal &lt; 4</formula>
    </cfRule>
  </conditionalFormatting>
  <conditionalFormatting sqref="C91">
    <cfRule type="expression" dxfId="213" priority="81">
      <formula>kvartal &lt; 4</formula>
    </cfRule>
  </conditionalFormatting>
  <conditionalFormatting sqref="B99">
    <cfRule type="expression" dxfId="212" priority="80">
      <formula>kvartal &lt; 4</formula>
    </cfRule>
  </conditionalFormatting>
  <conditionalFormatting sqref="C99">
    <cfRule type="expression" dxfId="211" priority="79">
      <formula>kvartal &lt; 4</formula>
    </cfRule>
  </conditionalFormatting>
  <conditionalFormatting sqref="B102">
    <cfRule type="expression" dxfId="210" priority="78">
      <formula>kvartal &lt; 4</formula>
    </cfRule>
  </conditionalFormatting>
  <conditionalFormatting sqref="C102">
    <cfRule type="expression" dxfId="209" priority="77">
      <formula>kvartal &lt; 4</formula>
    </cfRule>
  </conditionalFormatting>
  <conditionalFormatting sqref="B113">
    <cfRule type="expression" dxfId="208" priority="76">
      <formula>kvartal &lt; 4</formula>
    </cfRule>
  </conditionalFormatting>
  <conditionalFormatting sqref="C113">
    <cfRule type="expression" dxfId="207" priority="75">
      <formula>kvartal &lt; 4</formula>
    </cfRule>
  </conditionalFormatting>
  <conditionalFormatting sqref="B121">
    <cfRule type="expression" dxfId="206" priority="74">
      <formula>kvartal &lt; 4</formula>
    </cfRule>
  </conditionalFormatting>
  <conditionalFormatting sqref="C121">
    <cfRule type="expression" dxfId="205" priority="73">
      <formula>kvartal &lt; 4</formula>
    </cfRule>
  </conditionalFormatting>
  <conditionalFormatting sqref="F68">
    <cfRule type="expression" dxfId="204" priority="72">
      <formula>kvartal &lt; 4</formula>
    </cfRule>
  </conditionalFormatting>
  <conditionalFormatting sqref="G68">
    <cfRule type="expression" dxfId="203" priority="71">
      <formula>kvartal &lt; 4</formula>
    </cfRule>
  </conditionalFormatting>
  <conditionalFormatting sqref="F69:G69">
    <cfRule type="expression" dxfId="202" priority="70">
      <formula>kvartal &lt; 4</formula>
    </cfRule>
  </conditionalFormatting>
  <conditionalFormatting sqref="F71:G72">
    <cfRule type="expression" dxfId="201" priority="69">
      <formula>kvartal &lt; 4</formula>
    </cfRule>
  </conditionalFormatting>
  <conditionalFormatting sqref="F79:G80">
    <cfRule type="expression" dxfId="200" priority="68">
      <formula>kvartal &lt; 4</formula>
    </cfRule>
  </conditionalFormatting>
  <conditionalFormatting sqref="F82:G83">
    <cfRule type="expression" dxfId="199" priority="67">
      <formula>kvartal &lt; 4</formula>
    </cfRule>
  </conditionalFormatting>
  <conditionalFormatting sqref="F89:G90">
    <cfRule type="expression" dxfId="198" priority="62">
      <formula>kvartal &lt; 4</formula>
    </cfRule>
  </conditionalFormatting>
  <conditionalFormatting sqref="F92:G93">
    <cfRule type="expression" dxfId="197" priority="61">
      <formula>kvartal &lt; 4</formula>
    </cfRule>
  </conditionalFormatting>
  <conditionalFormatting sqref="F100:G101">
    <cfRule type="expression" dxfId="196" priority="60">
      <formula>kvartal &lt; 4</formula>
    </cfRule>
  </conditionalFormatting>
  <conditionalFormatting sqref="F103:G104">
    <cfRule type="expression" dxfId="195" priority="59">
      <formula>kvartal &lt; 4</formula>
    </cfRule>
  </conditionalFormatting>
  <conditionalFormatting sqref="F113">
    <cfRule type="expression" dxfId="194" priority="58">
      <formula>kvartal &lt; 4</formula>
    </cfRule>
  </conditionalFormatting>
  <conditionalFormatting sqref="G113">
    <cfRule type="expression" dxfId="193" priority="57">
      <formula>kvartal &lt; 4</formula>
    </cfRule>
  </conditionalFormatting>
  <conditionalFormatting sqref="F121:G121">
    <cfRule type="expression" dxfId="192" priority="56">
      <formula>kvartal &lt; 4</formula>
    </cfRule>
  </conditionalFormatting>
  <conditionalFormatting sqref="F67:G67">
    <cfRule type="expression" dxfId="191" priority="55">
      <formula>kvartal &lt; 4</formula>
    </cfRule>
  </conditionalFormatting>
  <conditionalFormatting sqref="F70:G70">
    <cfRule type="expression" dxfId="190" priority="54">
      <formula>kvartal &lt; 4</formula>
    </cfRule>
  </conditionalFormatting>
  <conditionalFormatting sqref="F78:G78">
    <cfRule type="expression" dxfId="189" priority="53">
      <formula>kvartal &lt; 4</formula>
    </cfRule>
  </conditionalFormatting>
  <conditionalFormatting sqref="F81:G81">
    <cfRule type="expression" dxfId="188" priority="52">
      <formula>kvartal &lt; 4</formula>
    </cfRule>
  </conditionalFormatting>
  <conditionalFormatting sqref="F88:G88">
    <cfRule type="expression" dxfId="187" priority="46">
      <formula>kvartal &lt; 4</formula>
    </cfRule>
  </conditionalFormatting>
  <conditionalFormatting sqref="F91">
    <cfRule type="expression" dxfId="186" priority="45">
      <formula>kvartal &lt; 4</formula>
    </cfRule>
  </conditionalFormatting>
  <conditionalFormatting sqref="G91">
    <cfRule type="expression" dxfId="185" priority="44">
      <formula>kvartal &lt; 4</formula>
    </cfRule>
  </conditionalFormatting>
  <conditionalFormatting sqref="F99">
    <cfRule type="expression" dxfId="184" priority="43">
      <formula>kvartal &lt; 4</formula>
    </cfRule>
  </conditionalFormatting>
  <conditionalFormatting sqref="G99">
    <cfRule type="expression" dxfId="183" priority="42">
      <formula>kvartal &lt; 4</formula>
    </cfRule>
  </conditionalFormatting>
  <conditionalFormatting sqref="G102">
    <cfRule type="expression" dxfId="182" priority="41">
      <formula>kvartal &lt; 4</formula>
    </cfRule>
  </conditionalFormatting>
  <conditionalFormatting sqref="F102">
    <cfRule type="expression" dxfId="181" priority="40">
      <formula>kvartal &lt; 4</formula>
    </cfRule>
  </conditionalFormatting>
  <conditionalFormatting sqref="J67:K71">
    <cfRule type="expression" dxfId="180" priority="39">
      <formula>kvartal &lt; 4</formula>
    </cfRule>
  </conditionalFormatting>
  <conditionalFormatting sqref="J72:K72">
    <cfRule type="expression" dxfId="179" priority="38">
      <formula>kvartal &lt; 4</formula>
    </cfRule>
  </conditionalFormatting>
  <conditionalFormatting sqref="J78:K83">
    <cfRule type="expression" dxfId="178" priority="37">
      <formula>kvartal &lt; 4</formula>
    </cfRule>
  </conditionalFormatting>
  <conditionalFormatting sqref="J88:K93">
    <cfRule type="expression" dxfId="177" priority="34">
      <formula>kvartal &lt; 4</formula>
    </cfRule>
  </conditionalFormatting>
  <conditionalFormatting sqref="J99:K104">
    <cfRule type="expression" dxfId="176" priority="33">
      <formula>kvartal &lt; 4</formula>
    </cfRule>
  </conditionalFormatting>
  <conditionalFormatting sqref="J113:K113">
    <cfRule type="expression" dxfId="175" priority="32">
      <formula>kvartal &lt; 4</formula>
    </cfRule>
  </conditionalFormatting>
  <conditionalFormatting sqref="J121:K121">
    <cfRule type="expression" dxfId="174" priority="31">
      <formula>kvartal &lt; 4</formula>
    </cfRule>
  </conditionalFormatting>
  <conditionalFormatting sqref="A23:A25">
    <cfRule type="expression" dxfId="173" priority="15">
      <formula>kvartal &lt; 4</formula>
    </cfRule>
  </conditionalFormatting>
  <conditionalFormatting sqref="A29:A31">
    <cfRule type="expression" dxfId="172" priority="13">
      <formula>kvartal &lt; 4</formula>
    </cfRule>
  </conditionalFormatting>
  <conditionalFormatting sqref="A48:A50">
    <cfRule type="expression" dxfId="171" priority="12">
      <formula>kvartal &lt; 4</formula>
    </cfRule>
  </conditionalFormatting>
  <conditionalFormatting sqref="A67:A72">
    <cfRule type="expression" dxfId="170" priority="10">
      <formula>kvartal &lt; 4</formula>
    </cfRule>
  </conditionalFormatting>
  <conditionalFormatting sqref="A78:A83">
    <cfRule type="expression" dxfId="169" priority="9">
      <formula>kvartal &lt; 4</formula>
    </cfRule>
  </conditionalFormatting>
  <conditionalFormatting sqref="A88:A93">
    <cfRule type="expression" dxfId="168" priority="6">
      <formula>kvartal &lt; 4</formula>
    </cfRule>
  </conditionalFormatting>
  <conditionalFormatting sqref="A99:A104">
    <cfRule type="expression" dxfId="167" priority="5">
      <formula>kvartal &lt; 4</formula>
    </cfRule>
  </conditionalFormatting>
  <conditionalFormatting sqref="A113">
    <cfRule type="expression" dxfId="166" priority="4">
      <formula>kvartal &lt; 4</formula>
    </cfRule>
  </conditionalFormatting>
  <conditionalFormatting sqref="A121">
    <cfRule type="expression" dxfId="165" priority="3">
      <formula>kvartal &lt; 4</formula>
    </cfRule>
  </conditionalFormatting>
  <conditionalFormatting sqref="A26">
    <cfRule type="expression" dxfId="164" priority="2">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148</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170"/>
      <c r="E36" s="24"/>
      <c r="F36" s="425"/>
      <c r="G36" s="426"/>
      <c r="H36" s="170"/>
      <c r="I36" s="410"/>
      <c r="J36" s="236"/>
      <c r="K36" s="236"/>
      <c r="L36" s="404"/>
      <c r="M36" s="24"/>
    </row>
    <row r="37" spans="1:14" ht="15.75" x14ac:dyDescent="0.2">
      <c r="A37" s="18" t="s">
        <v>311</v>
      </c>
      <c r="B37" s="281"/>
      <c r="C37" s="313"/>
      <c r="D37" s="168"/>
      <c r="E37" s="36"/>
      <c r="F37" s="428"/>
      <c r="G37" s="429"/>
      <c r="H37" s="168"/>
      <c r="I37" s="36"/>
      <c r="J37" s="236"/>
      <c r="K37" s="236"/>
      <c r="L37" s="405"/>
      <c r="M37" s="36"/>
    </row>
    <row r="38" spans="1:14" ht="15.75" x14ac:dyDescent="0.25">
      <c r="A38" s="47"/>
      <c r="B38" s="258"/>
      <c r="C38" s="258"/>
      <c r="D38" s="681"/>
      <c r="E38" s="681"/>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25828</v>
      </c>
      <c r="C45" s="309">
        <v>23751</v>
      </c>
      <c r="D45" s="403">
        <f t="shared" ref="D45:D46" si="0">IF(B45=0, "    ---- ", IF(ABS(ROUND(100/B45*C45-100,1))&lt;999,ROUND(100/B45*C45-100,1),IF(ROUND(100/B45*C45-100,1)&gt;999,999,-999)))</f>
        <v>-8</v>
      </c>
      <c r="E45" s="11">
        <f>IFERROR(100/'Skjema total MA'!C45*C45,0)</f>
        <v>0.86619318566319969</v>
      </c>
      <c r="F45" s="144"/>
      <c r="G45" s="33"/>
      <c r="H45" s="158"/>
      <c r="I45" s="158"/>
      <c r="J45" s="37"/>
      <c r="K45" s="37"/>
      <c r="L45" s="158"/>
      <c r="M45" s="158"/>
      <c r="N45" s="147"/>
    </row>
    <row r="46" spans="1:14" s="3" customFormat="1" ht="15.75" x14ac:dyDescent="0.2">
      <c r="A46" s="38" t="s">
        <v>312</v>
      </c>
      <c r="B46" s="286">
        <v>25828</v>
      </c>
      <c r="C46" s="287">
        <v>23751</v>
      </c>
      <c r="D46" s="259">
        <f t="shared" si="0"/>
        <v>-8</v>
      </c>
      <c r="E46" s="27">
        <f>IFERROR(100/'Skjema total MA'!C46*C46,0)</f>
        <v>1.6317764730551261</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63" priority="132">
      <formula>kvartal &lt; 4</formula>
    </cfRule>
  </conditionalFormatting>
  <conditionalFormatting sqref="B29">
    <cfRule type="expression" dxfId="162" priority="130">
      <formula>kvartal &lt; 4</formula>
    </cfRule>
  </conditionalFormatting>
  <conditionalFormatting sqref="B30">
    <cfRule type="expression" dxfId="161" priority="129">
      <formula>kvartal &lt; 4</formula>
    </cfRule>
  </conditionalFormatting>
  <conditionalFormatting sqref="B31">
    <cfRule type="expression" dxfId="160" priority="128">
      <formula>kvartal &lt; 4</formula>
    </cfRule>
  </conditionalFormatting>
  <conditionalFormatting sqref="C29">
    <cfRule type="expression" dxfId="159" priority="127">
      <formula>kvartal &lt; 4</formula>
    </cfRule>
  </conditionalFormatting>
  <conditionalFormatting sqref="C30">
    <cfRule type="expression" dxfId="158" priority="126">
      <formula>kvartal &lt; 4</formula>
    </cfRule>
  </conditionalFormatting>
  <conditionalFormatting sqref="C31">
    <cfRule type="expression" dxfId="157" priority="125">
      <formula>kvartal &lt; 4</formula>
    </cfRule>
  </conditionalFormatting>
  <conditionalFormatting sqref="B23:C25">
    <cfRule type="expression" dxfId="156" priority="124">
      <formula>kvartal &lt; 4</formula>
    </cfRule>
  </conditionalFormatting>
  <conditionalFormatting sqref="F23:G25">
    <cfRule type="expression" dxfId="155" priority="120">
      <formula>kvartal &lt; 4</formula>
    </cfRule>
  </conditionalFormatting>
  <conditionalFormatting sqref="F29">
    <cfRule type="expression" dxfId="154" priority="113">
      <formula>kvartal &lt; 4</formula>
    </cfRule>
  </conditionalFormatting>
  <conditionalFormatting sqref="F30">
    <cfRule type="expression" dxfId="153" priority="112">
      <formula>kvartal &lt; 4</formula>
    </cfRule>
  </conditionalFormatting>
  <conditionalFormatting sqref="F31">
    <cfRule type="expression" dxfId="152" priority="111">
      <formula>kvartal &lt; 4</formula>
    </cfRule>
  </conditionalFormatting>
  <conditionalFormatting sqref="G29">
    <cfRule type="expression" dxfId="151" priority="110">
      <formula>kvartal &lt; 4</formula>
    </cfRule>
  </conditionalFormatting>
  <conditionalFormatting sqref="G30">
    <cfRule type="expression" dxfId="150" priority="109">
      <formula>kvartal &lt; 4</formula>
    </cfRule>
  </conditionalFormatting>
  <conditionalFormatting sqref="G31">
    <cfRule type="expression" dxfId="149" priority="108">
      <formula>kvartal &lt; 4</formula>
    </cfRule>
  </conditionalFormatting>
  <conditionalFormatting sqref="B26">
    <cfRule type="expression" dxfId="148" priority="107">
      <formula>kvartal &lt; 4</formula>
    </cfRule>
  </conditionalFormatting>
  <conditionalFormatting sqref="C26">
    <cfRule type="expression" dxfId="147" priority="106">
      <formula>kvartal &lt; 4</formula>
    </cfRule>
  </conditionalFormatting>
  <conditionalFormatting sqref="F26">
    <cfRule type="expression" dxfId="146" priority="105">
      <formula>kvartal &lt; 4</formula>
    </cfRule>
  </conditionalFormatting>
  <conditionalFormatting sqref="G26">
    <cfRule type="expression" dxfId="145" priority="104">
      <formula>kvartal &lt; 4</formula>
    </cfRule>
  </conditionalFormatting>
  <conditionalFormatting sqref="J23:K26">
    <cfRule type="expression" dxfId="144" priority="103">
      <formula>kvartal &lt; 4</formula>
    </cfRule>
  </conditionalFormatting>
  <conditionalFormatting sqref="J29:K31">
    <cfRule type="expression" dxfId="143" priority="101">
      <formula>kvartal &lt; 4</formula>
    </cfRule>
  </conditionalFormatting>
  <conditionalFormatting sqref="B67">
    <cfRule type="expression" dxfId="142" priority="100">
      <formula>kvartal &lt; 4</formula>
    </cfRule>
  </conditionalFormatting>
  <conditionalFormatting sqref="C67">
    <cfRule type="expression" dxfId="141" priority="99">
      <formula>kvartal &lt; 4</formula>
    </cfRule>
  </conditionalFormatting>
  <conditionalFormatting sqref="B70">
    <cfRule type="expression" dxfId="140" priority="98">
      <formula>kvartal &lt; 4</formula>
    </cfRule>
  </conditionalFormatting>
  <conditionalFormatting sqref="C70">
    <cfRule type="expression" dxfId="139" priority="97">
      <formula>kvartal &lt; 4</formula>
    </cfRule>
  </conditionalFormatting>
  <conditionalFormatting sqref="B78">
    <cfRule type="expression" dxfId="138" priority="96">
      <formula>kvartal &lt; 4</formula>
    </cfRule>
  </conditionalFormatting>
  <conditionalFormatting sqref="C78">
    <cfRule type="expression" dxfId="137" priority="95">
      <formula>kvartal &lt; 4</formula>
    </cfRule>
  </conditionalFormatting>
  <conditionalFormatting sqref="B81">
    <cfRule type="expression" dxfId="136" priority="94">
      <formula>kvartal &lt; 4</formula>
    </cfRule>
  </conditionalFormatting>
  <conditionalFormatting sqref="C81">
    <cfRule type="expression" dxfId="135" priority="93">
      <formula>kvartal &lt; 4</formula>
    </cfRule>
  </conditionalFormatting>
  <conditionalFormatting sqref="B88">
    <cfRule type="expression" dxfId="134" priority="84">
      <formula>kvartal &lt; 4</formula>
    </cfRule>
  </conditionalFormatting>
  <conditionalFormatting sqref="C88">
    <cfRule type="expression" dxfId="133" priority="83">
      <formula>kvartal &lt; 4</formula>
    </cfRule>
  </conditionalFormatting>
  <conditionalFormatting sqref="B91">
    <cfRule type="expression" dxfId="132" priority="82">
      <formula>kvartal &lt; 4</formula>
    </cfRule>
  </conditionalFormatting>
  <conditionalFormatting sqref="C91">
    <cfRule type="expression" dxfId="131" priority="81">
      <formula>kvartal &lt; 4</formula>
    </cfRule>
  </conditionalFormatting>
  <conditionalFormatting sqref="B99">
    <cfRule type="expression" dxfId="130" priority="80">
      <formula>kvartal &lt; 4</formula>
    </cfRule>
  </conditionalFormatting>
  <conditionalFormatting sqref="C99">
    <cfRule type="expression" dxfId="129" priority="79">
      <formula>kvartal &lt; 4</formula>
    </cfRule>
  </conditionalFormatting>
  <conditionalFormatting sqref="B102">
    <cfRule type="expression" dxfId="128" priority="78">
      <formula>kvartal &lt; 4</formula>
    </cfRule>
  </conditionalFormatting>
  <conditionalFormatting sqref="C102">
    <cfRule type="expression" dxfId="127" priority="77">
      <formula>kvartal &lt; 4</formula>
    </cfRule>
  </conditionalFormatting>
  <conditionalFormatting sqref="B113">
    <cfRule type="expression" dxfId="126" priority="76">
      <formula>kvartal &lt; 4</formula>
    </cfRule>
  </conditionalFormatting>
  <conditionalFormatting sqref="C113">
    <cfRule type="expression" dxfId="125" priority="75">
      <formula>kvartal &lt; 4</formula>
    </cfRule>
  </conditionalFormatting>
  <conditionalFormatting sqref="B121">
    <cfRule type="expression" dxfId="124" priority="74">
      <formula>kvartal &lt; 4</formula>
    </cfRule>
  </conditionalFormatting>
  <conditionalFormatting sqref="C121">
    <cfRule type="expression" dxfId="123" priority="73">
      <formula>kvartal &lt; 4</formula>
    </cfRule>
  </conditionalFormatting>
  <conditionalFormatting sqref="F68">
    <cfRule type="expression" dxfId="122" priority="72">
      <formula>kvartal &lt; 4</formula>
    </cfRule>
  </conditionalFormatting>
  <conditionalFormatting sqref="G68">
    <cfRule type="expression" dxfId="121" priority="71">
      <formula>kvartal &lt; 4</formula>
    </cfRule>
  </conditionalFormatting>
  <conditionalFormatting sqref="F69:G69">
    <cfRule type="expression" dxfId="120" priority="70">
      <formula>kvartal &lt; 4</formula>
    </cfRule>
  </conditionalFormatting>
  <conditionalFormatting sqref="F71:G72">
    <cfRule type="expression" dxfId="119" priority="69">
      <formula>kvartal &lt; 4</formula>
    </cfRule>
  </conditionalFormatting>
  <conditionalFormatting sqref="F79:G80">
    <cfRule type="expression" dxfId="118" priority="68">
      <formula>kvartal &lt; 4</formula>
    </cfRule>
  </conditionalFormatting>
  <conditionalFormatting sqref="F82:G83">
    <cfRule type="expression" dxfId="117" priority="67">
      <formula>kvartal &lt; 4</formula>
    </cfRule>
  </conditionalFormatting>
  <conditionalFormatting sqref="F89:G90">
    <cfRule type="expression" dxfId="116" priority="62">
      <formula>kvartal &lt; 4</formula>
    </cfRule>
  </conditionalFormatting>
  <conditionalFormatting sqref="F92:G93">
    <cfRule type="expression" dxfId="115" priority="61">
      <formula>kvartal &lt; 4</formula>
    </cfRule>
  </conditionalFormatting>
  <conditionalFormatting sqref="F100:G101">
    <cfRule type="expression" dxfId="114" priority="60">
      <formula>kvartal &lt; 4</formula>
    </cfRule>
  </conditionalFormatting>
  <conditionalFormatting sqref="F103:G104">
    <cfRule type="expression" dxfId="113" priority="59">
      <formula>kvartal &lt; 4</formula>
    </cfRule>
  </conditionalFormatting>
  <conditionalFormatting sqref="F113">
    <cfRule type="expression" dxfId="112" priority="58">
      <formula>kvartal &lt; 4</formula>
    </cfRule>
  </conditionalFormatting>
  <conditionalFormatting sqref="G113">
    <cfRule type="expression" dxfId="111" priority="57">
      <formula>kvartal &lt; 4</formula>
    </cfRule>
  </conditionalFormatting>
  <conditionalFormatting sqref="F121:G121">
    <cfRule type="expression" dxfId="110" priority="56">
      <formula>kvartal &lt; 4</formula>
    </cfRule>
  </conditionalFormatting>
  <conditionalFormatting sqref="F67:G67">
    <cfRule type="expression" dxfId="109" priority="55">
      <formula>kvartal &lt; 4</formula>
    </cfRule>
  </conditionalFormatting>
  <conditionalFormatting sqref="F70:G70">
    <cfRule type="expression" dxfId="108" priority="54">
      <formula>kvartal &lt; 4</formula>
    </cfRule>
  </conditionalFormatting>
  <conditionalFormatting sqref="F78:G78">
    <cfRule type="expression" dxfId="107" priority="53">
      <formula>kvartal &lt; 4</formula>
    </cfRule>
  </conditionalFormatting>
  <conditionalFormatting sqref="F81:G81">
    <cfRule type="expression" dxfId="106" priority="52">
      <formula>kvartal &lt; 4</formula>
    </cfRule>
  </conditionalFormatting>
  <conditionalFormatting sqref="F88:G88">
    <cfRule type="expression" dxfId="105" priority="46">
      <formula>kvartal &lt; 4</formula>
    </cfRule>
  </conditionalFormatting>
  <conditionalFormatting sqref="F91">
    <cfRule type="expression" dxfId="104" priority="45">
      <formula>kvartal &lt; 4</formula>
    </cfRule>
  </conditionalFormatting>
  <conditionalFormatting sqref="G91">
    <cfRule type="expression" dxfId="103" priority="44">
      <formula>kvartal &lt; 4</formula>
    </cfRule>
  </conditionalFormatting>
  <conditionalFormatting sqref="F99">
    <cfRule type="expression" dxfId="102" priority="43">
      <formula>kvartal &lt; 4</formula>
    </cfRule>
  </conditionalFormatting>
  <conditionalFormatting sqref="G99">
    <cfRule type="expression" dxfId="101" priority="42">
      <formula>kvartal &lt; 4</formula>
    </cfRule>
  </conditionalFormatting>
  <conditionalFormatting sqref="G102">
    <cfRule type="expression" dxfId="100" priority="41">
      <formula>kvartal &lt; 4</formula>
    </cfRule>
  </conditionalFormatting>
  <conditionalFormatting sqref="F102">
    <cfRule type="expression" dxfId="99" priority="40">
      <formula>kvartal &lt; 4</formula>
    </cfRule>
  </conditionalFormatting>
  <conditionalFormatting sqref="J67:K71">
    <cfRule type="expression" dxfId="98" priority="39">
      <formula>kvartal &lt; 4</formula>
    </cfRule>
  </conditionalFormatting>
  <conditionalFormatting sqref="J72:K72">
    <cfRule type="expression" dxfId="97" priority="38">
      <formula>kvartal &lt; 4</formula>
    </cfRule>
  </conditionalFormatting>
  <conditionalFormatting sqref="J78:K83">
    <cfRule type="expression" dxfId="96" priority="37">
      <formula>kvartal &lt; 4</formula>
    </cfRule>
  </conditionalFormatting>
  <conditionalFormatting sqref="J88:K93">
    <cfRule type="expression" dxfId="95" priority="34">
      <formula>kvartal &lt; 4</formula>
    </cfRule>
  </conditionalFormatting>
  <conditionalFormatting sqref="J99:K104">
    <cfRule type="expression" dxfId="94" priority="33">
      <formula>kvartal &lt; 4</formula>
    </cfRule>
  </conditionalFormatting>
  <conditionalFormatting sqref="J113:K113">
    <cfRule type="expression" dxfId="93" priority="32">
      <formula>kvartal &lt; 4</formula>
    </cfRule>
  </conditionalFormatting>
  <conditionalFormatting sqref="J121:K121">
    <cfRule type="expression" dxfId="92" priority="31">
      <formula>kvartal &lt; 4</formula>
    </cfRule>
  </conditionalFormatting>
  <conditionalFormatting sqref="A23:A25">
    <cfRule type="expression" dxfId="91" priority="15">
      <formula>kvartal &lt; 4</formula>
    </cfRule>
  </conditionalFormatting>
  <conditionalFormatting sqref="A29:A31">
    <cfRule type="expression" dxfId="90" priority="13">
      <formula>kvartal &lt; 4</formula>
    </cfRule>
  </conditionalFormatting>
  <conditionalFormatting sqref="A48:A50">
    <cfRule type="expression" dxfId="89" priority="12">
      <formula>kvartal &lt; 4</formula>
    </cfRule>
  </conditionalFormatting>
  <conditionalFormatting sqref="A67:A72">
    <cfRule type="expression" dxfId="88" priority="10">
      <formula>kvartal &lt; 4</formula>
    </cfRule>
  </conditionalFormatting>
  <conditionalFormatting sqref="A78:A83">
    <cfRule type="expression" dxfId="87" priority="9">
      <formula>kvartal &lt; 4</formula>
    </cfRule>
  </conditionalFormatting>
  <conditionalFormatting sqref="A88:A93">
    <cfRule type="expression" dxfId="86" priority="6">
      <formula>kvartal &lt; 4</formula>
    </cfRule>
  </conditionalFormatting>
  <conditionalFormatting sqref="A99:A104">
    <cfRule type="expression" dxfId="85" priority="5">
      <formula>kvartal &lt; 4</formula>
    </cfRule>
  </conditionalFormatting>
  <conditionalFormatting sqref="A113">
    <cfRule type="expression" dxfId="84" priority="4">
      <formula>kvartal &lt; 4</formula>
    </cfRule>
  </conditionalFormatting>
  <conditionalFormatting sqref="A121">
    <cfRule type="expression" dxfId="83" priority="3">
      <formula>kvartal &lt; 4</formula>
    </cfRule>
  </conditionalFormatting>
  <conditionalFormatting sqref="A26">
    <cfRule type="expression" dxfId="82" priority="2">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180"/>
  <sheetViews>
    <sheetView showGridLines="0" showZeros="0" zoomScale="80" zoomScaleNormal="80" workbookViewId="0">
      <selection activeCell="A4" sqref="A4"/>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56</v>
      </c>
    </row>
    <row r="2" spans="1:15" x14ac:dyDescent="0.3">
      <c r="A2" s="75"/>
      <c r="B2" s="74"/>
      <c r="C2" s="74"/>
      <c r="D2" s="74"/>
      <c r="E2" s="74"/>
      <c r="F2" s="74"/>
      <c r="G2" s="74"/>
      <c r="H2" s="74"/>
      <c r="I2" s="74"/>
      <c r="J2" s="74"/>
      <c r="K2" s="74"/>
      <c r="O2" s="74"/>
    </row>
    <row r="3" spans="1:15" x14ac:dyDescent="0.3">
      <c r="A3" s="75" t="s">
        <v>36</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415</v>
      </c>
      <c r="B5" s="74"/>
      <c r="C5" s="74"/>
      <c r="D5" s="74"/>
      <c r="E5" s="74"/>
      <c r="F5" s="74"/>
      <c r="G5" s="74"/>
      <c r="H5" s="74"/>
      <c r="I5" s="79"/>
      <c r="J5" s="74"/>
      <c r="K5" s="74"/>
      <c r="O5" s="74"/>
    </row>
    <row r="6" spans="1:15" x14ac:dyDescent="0.3">
      <c r="A6" s="74"/>
      <c r="B6" s="74"/>
      <c r="C6" s="74"/>
      <c r="D6" s="74"/>
      <c r="E6" s="74"/>
      <c r="F6" s="74"/>
      <c r="G6" s="74"/>
      <c r="H6" s="74"/>
      <c r="I6" s="74"/>
      <c r="J6" s="74"/>
      <c r="K6" s="74"/>
      <c r="L6" s="75" t="s">
        <v>57</v>
      </c>
      <c r="M6" s="75"/>
      <c r="N6" s="75"/>
      <c r="O6" s="74"/>
    </row>
    <row r="7" spans="1:15" x14ac:dyDescent="0.3">
      <c r="A7" s="74"/>
      <c r="B7" s="74"/>
      <c r="C7" s="74"/>
      <c r="D7" s="74"/>
      <c r="E7" s="74"/>
      <c r="F7" s="74"/>
      <c r="G7" s="74"/>
      <c r="H7" s="74"/>
      <c r="I7" s="74"/>
      <c r="J7" s="74"/>
      <c r="K7" s="74"/>
      <c r="L7" s="75" t="s">
        <v>0</v>
      </c>
      <c r="M7" s="75"/>
      <c r="N7" s="75"/>
      <c r="O7" s="74"/>
    </row>
    <row r="8" spans="1:15" x14ac:dyDescent="0.3">
      <c r="A8" s="74"/>
      <c r="B8" s="74"/>
      <c r="C8" s="74"/>
      <c r="D8" s="74"/>
      <c r="E8" s="74"/>
      <c r="F8" s="74"/>
      <c r="G8" s="74"/>
      <c r="H8" s="74"/>
      <c r="I8" s="74"/>
      <c r="J8" s="74"/>
      <c r="K8" s="74"/>
      <c r="L8" s="75"/>
      <c r="M8" s="75">
        <v>2016</v>
      </c>
      <c r="N8" s="75">
        <v>2017</v>
      </c>
      <c r="O8" s="74"/>
    </row>
    <row r="9" spans="1:15" x14ac:dyDescent="0.3">
      <c r="A9" s="74"/>
      <c r="B9" s="74"/>
      <c r="C9" s="74"/>
      <c r="D9" s="74"/>
      <c r="E9" s="74"/>
      <c r="F9" s="74"/>
      <c r="G9" s="74"/>
      <c r="H9" s="74"/>
      <c r="I9" s="74"/>
      <c r="J9" s="74"/>
      <c r="K9" s="74"/>
      <c r="L9" s="74" t="s">
        <v>58</v>
      </c>
      <c r="M9" s="77">
        <f>'Tabel 1.1'!B9</f>
        <v>0</v>
      </c>
      <c r="N9" s="77">
        <f>'Tabel 1.1'!C9</f>
        <v>0</v>
      </c>
      <c r="O9" s="74"/>
    </row>
    <row r="10" spans="1:15" x14ac:dyDescent="0.3">
      <c r="A10" s="74"/>
      <c r="B10" s="74"/>
      <c r="C10" s="74"/>
      <c r="D10" s="74"/>
      <c r="E10" s="74"/>
      <c r="F10" s="74"/>
      <c r="G10" s="74"/>
      <c r="H10" s="74"/>
      <c r="I10" s="74"/>
      <c r="J10" s="74"/>
      <c r="K10" s="74"/>
      <c r="L10" s="74" t="s">
        <v>59</v>
      </c>
      <c r="M10" s="77">
        <f>'Tabel 1.1'!B10</f>
        <v>197548.72899999999</v>
      </c>
      <c r="N10" s="77">
        <f>'Tabel 1.1'!C10</f>
        <v>195763.908</v>
      </c>
      <c r="O10" s="74"/>
    </row>
    <row r="11" spans="1:15" x14ac:dyDescent="0.3">
      <c r="A11" s="74"/>
      <c r="B11" s="74"/>
      <c r="C11" s="74"/>
      <c r="D11" s="74"/>
      <c r="E11" s="74"/>
      <c r="F11" s="74"/>
      <c r="G11" s="74"/>
      <c r="H11" s="74"/>
      <c r="I11" s="74"/>
      <c r="J11" s="74"/>
      <c r="K11" s="74"/>
      <c r="L11" s="74" t="s">
        <v>60</v>
      </c>
      <c r="M11" s="77">
        <f>'Tabel 1.1'!B11</f>
        <v>4445756.0010000002</v>
      </c>
      <c r="N11" s="77">
        <f>'Tabel 1.1'!C11</f>
        <v>3078142</v>
      </c>
      <c r="O11" s="74"/>
    </row>
    <row r="12" spans="1:15" x14ac:dyDescent="0.3">
      <c r="A12" s="74"/>
      <c r="B12" s="74"/>
      <c r="C12" s="74"/>
      <c r="D12" s="74"/>
      <c r="E12" s="74"/>
      <c r="F12" s="74"/>
      <c r="G12" s="74"/>
      <c r="H12" s="74"/>
      <c r="I12" s="74"/>
      <c r="J12" s="74"/>
      <c r="K12" s="74"/>
      <c r="L12" s="74" t="s">
        <v>61</v>
      </c>
      <c r="M12" s="77">
        <f>'Tabel 1.1'!B12</f>
        <v>248926</v>
      </c>
      <c r="N12" s="77">
        <f>'Tabel 1.1'!C12</f>
        <v>154629</v>
      </c>
      <c r="O12" s="74"/>
    </row>
    <row r="13" spans="1:15" x14ac:dyDescent="0.3">
      <c r="A13" s="74"/>
      <c r="B13" s="74"/>
      <c r="C13" s="74"/>
      <c r="D13" s="74"/>
      <c r="E13" s="74"/>
      <c r="F13" s="74"/>
      <c r="G13" s="74"/>
      <c r="H13" s="74"/>
      <c r="I13" s="74"/>
      <c r="J13" s="74"/>
      <c r="K13" s="74"/>
      <c r="L13" s="74" t="s">
        <v>62</v>
      </c>
      <c r="M13" s="77">
        <f>'Tabel 1.1'!B13</f>
        <v>449437</v>
      </c>
      <c r="N13" s="77">
        <f>'Tabel 1.1'!C13</f>
        <v>490232.783</v>
      </c>
      <c r="O13" s="74"/>
    </row>
    <row r="14" spans="1:15" x14ac:dyDescent="0.3">
      <c r="A14" s="74"/>
      <c r="B14" s="74"/>
      <c r="C14" s="74"/>
      <c r="D14" s="74"/>
      <c r="E14" s="74"/>
      <c r="F14" s="74"/>
      <c r="G14" s="74"/>
      <c r="H14" s="74"/>
      <c r="I14" s="74"/>
      <c r="J14" s="74"/>
      <c r="K14" s="74"/>
      <c r="L14" s="74" t="s">
        <v>63</v>
      </c>
      <c r="M14" s="77">
        <f>'Tabel 1.1'!B14</f>
        <v>4457</v>
      </c>
      <c r="N14" s="77">
        <f>'Tabel 1.1'!C14</f>
        <v>4451</v>
      </c>
      <c r="O14" s="74"/>
    </row>
    <row r="15" spans="1:15" x14ac:dyDescent="0.3">
      <c r="A15" s="74"/>
      <c r="B15" s="74"/>
      <c r="C15" s="74"/>
      <c r="D15" s="74"/>
      <c r="E15" s="74"/>
      <c r="F15" s="74"/>
      <c r="G15" s="74"/>
      <c r="H15" s="74"/>
      <c r="I15" s="74"/>
      <c r="J15" s="74"/>
      <c r="K15" s="74"/>
      <c r="L15" s="74" t="s">
        <v>64</v>
      </c>
      <c r="M15" s="77">
        <f>'Tabel 1.1'!B15</f>
        <v>1139361</v>
      </c>
      <c r="N15" s="77">
        <f>'Tabel 1.1'!C15</f>
        <v>1205494</v>
      </c>
      <c r="O15" s="74"/>
    </row>
    <row r="16" spans="1:15" x14ac:dyDescent="0.3">
      <c r="A16" s="74"/>
      <c r="B16" s="74"/>
      <c r="C16" s="74"/>
      <c r="D16" s="74"/>
      <c r="E16" s="74"/>
      <c r="F16" s="74"/>
      <c r="G16" s="74"/>
      <c r="H16" s="74"/>
      <c r="I16" s="74"/>
      <c r="J16" s="74"/>
      <c r="K16" s="74"/>
      <c r="L16" s="74" t="s">
        <v>65</v>
      </c>
      <c r="M16" s="77">
        <f>'Tabel 1.1'!B16</f>
        <v>268828.26399999997</v>
      </c>
      <c r="N16" s="77">
        <f>'Tabel 1.1'!C16</f>
        <v>276379</v>
      </c>
      <c r="O16" s="74"/>
    </row>
    <row r="17" spans="1:15" x14ac:dyDescent="0.3">
      <c r="A17" s="74"/>
      <c r="B17" s="74"/>
      <c r="C17" s="74"/>
      <c r="D17" s="74"/>
      <c r="E17" s="74"/>
      <c r="F17" s="74"/>
      <c r="G17" s="74"/>
      <c r="H17" s="74"/>
      <c r="I17" s="74"/>
      <c r="J17" s="74"/>
      <c r="K17" s="74"/>
      <c r="L17" s="74" t="s">
        <v>66</v>
      </c>
      <c r="M17" s="77">
        <f>'Tabel 1.1'!B17</f>
        <v>20615</v>
      </c>
      <c r="N17" s="77">
        <f>'Tabel 1.1'!C17</f>
        <v>19906</v>
      </c>
      <c r="O17" s="74"/>
    </row>
    <row r="18" spans="1:15" x14ac:dyDescent="0.3">
      <c r="A18" s="74"/>
      <c r="B18" s="74"/>
      <c r="C18" s="74"/>
      <c r="D18" s="74"/>
      <c r="E18" s="74"/>
      <c r="F18" s="74"/>
      <c r="G18" s="74"/>
      <c r="H18" s="74"/>
      <c r="I18" s="74"/>
      <c r="J18" s="74"/>
      <c r="K18" s="74"/>
      <c r="L18" s="74" t="s">
        <v>67</v>
      </c>
      <c r="M18" s="77">
        <f>'Tabel 1.1'!B18</f>
        <v>248460.12299999999</v>
      </c>
      <c r="N18" s="77">
        <f>'Tabel 1.1'!C18</f>
        <v>286954.01899999997</v>
      </c>
      <c r="O18" s="74"/>
    </row>
    <row r="19" spans="1:15" x14ac:dyDescent="0.3">
      <c r="A19" s="74"/>
      <c r="B19" s="74"/>
      <c r="C19" s="74"/>
      <c r="D19" s="74"/>
      <c r="E19" s="74"/>
      <c r="F19" s="74"/>
      <c r="G19" s="74"/>
      <c r="H19" s="74"/>
      <c r="I19" s="74"/>
      <c r="J19" s="74"/>
      <c r="K19" s="74"/>
      <c r="L19" s="74" t="s">
        <v>68</v>
      </c>
      <c r="M19" s="77">
        <f>'Tabel 1.1'!B19</f>
        <v>17863744.790199999</v>
      </c>
      <c r="N19" s="77">
        <f>'Tabel 1.1'!C19</f>
        <v>14896769.38098</v>
      </c>
      <c r="O19" s="74"/>
    </row>
    <row r="20" spans="1:15" x14ac:dyDescent="0.3">
      <c r="A20" s="74"/>
      <c r="B20" s="74"/>
      <c r="C20" s="74"/>
      <c r="D20" s="74"/>
      <c r="E20" s="74"/>
      <c r="F20" s="74"/>
      <c r="G20" s="74"/>
      <c r="H20" s="74"/>
      <c r="I20" s="74"/>
      <c r="J20" s="74"/>
      <c r="K20" s="74"/>
      <c r="L20" s="74" t="s">
        <v>69</v>
      </c>
      <c r="M20" s="77">
        <f>'Tabel 1.1'!B20</f>
        <v>52817</v>
      </c>
      <c r="N20" s="77">
        <f>'Tabel 1.1'!C20</f>
        <v>42087</v>
      </c>
      <c r="O20" s="74"/>
    </row>
    <row r="21" spans="1:15" x14ac:dyDescent="0.3">
      <c r="A21" s="74"/>
      <c r="B21" s="74"/>
      <c r="C21" s="74"/>
      <c r="D21" s="74"/>
      <c r="E21" s="74"/>
      <c r="F21" s="74"/>
      <c r="G21" s="74"/>
      <c r="H21" s="74"/>
      <c r="I21" s="74"/>
      <c r="J21" s="74"/>
      <c r="K21" s="74"/>
      <c r="L21" s="74" t="s">
        <v>70</v>
      </c>
      <c r="M21" s="77">
        <f>'Tabel 1.1'!B21</f>
        <v>118032.765</v>
      </c>
      <c r="N21" s="77">
        <f>'Tabel 1.1'!C21</f>
        <v>128824.133</v>
      </c>
      <c r="O21" s="74"/>
    </row>
    <row r="22" spans="1:15" x14ac:dyDescent="0.3">
      <c r="A22" s="74"/>
      <c r="B22" s="74"/>
      <c r="C22" s="74"/>
      <c r="D22" s="74"/>
      <c r="E22" s="74"/>
      <c r="F22" s="74"/>
      <c r="G22" s="74"/>
      <c r="H22" s="74"/>
      <c r="I22" s="74"/>
      <c r="J22" s="74"/>
      <c r="K22" s="74"/>
      <c r="L22" s="74" t="s">
        <v>71</v>
      </c>
      <c r="M22" s="77">
        <f>'Tabel 1.1'!B22</f>
        <v>17232</v>
      </c>
      <c r="N22" s="77">
        <f>'Tabel 1.1'!C22</f>
        <v>24256</v>
      </c>
      <c r="O22" s="74"/>
    </row>
    <row r="23" spans="1:15" x14ac:dyDescent="0.3">
      <c r="A23" s="74"/>
      <c r="B23" s="74"/>
      <c r="C23" s="74"/>
      <c r="D23" s="74"/>
      <c r="E23" s="74"/>
      <c r="F23" s="74"/>
      <c r="G23" s="74"/>
      <c r="H23" s="74"/>
      <c r="I23" s="74"/>
      <c r="J23" s="74"/>
      <c r="K23" s="74"/>
      <c r="L23" s="74" t="s">
        <v>72</v>
      </c>
      <c r="M23" s="77">
        <f>'Tabel 1.1'!B23</f>
        <v>1481</v>
      </c>
      <c r="N23" s="77">
        <f>'Tabel 1.1'!C23</f>
        <v>2011</v>
      </c>
      <c r="O23" s="74"/>
    </row>
    <row r="24" spans="1:15" x14ac:dyDescent="0.3">
      <c r="A24" s="74"/>
      <c r="B24" s="74"/>
      <c r="C24" s="74"/>
      <c r="D24" s="74"/>
      <c r="E24" s="74"/>
      <c r="F24" s="74"/>
      <c r="G24" s="74"/>
      <c r="H24" s="74"/>
      <c r="I24" s="74"/>
      <c r="J24" s="74"/>
      <c r="K24" s="74"/>
      <c r="L24" s="74" t="s">
        <v>73</v>
      </c>
      <c r="M24" s="77">
        <f>'Tabel 1.1'!B24</f>
        <v>1314347.7010432926</v>
      </c>
      <c r="N24" s="77">
        <f>'Tabel 1.1'!C24</f>
        <v>927868.64466550318</v>
      </c>
      <c r="O24" s="74"/>
    </row>
    <row r="25" spans="1:15" x14ac:dyDescent="0.3">
      <c r="A25" s="74"/>
      <c r="B25" s="74"/>
      <c r="C25" s="74"/>
      <c r="D25" s="74"/>
      <c r="E25" s="74"/>
      <c r="F25" s="74"/>
      <c r="G25" s="74"/>
      <c r="H25" s="74"/>
      <c r="I25" s="74"/>
      <c r="J25" s="74"/>
      <c r="K25" s="74"/>
      <c r="L25" s="74" t="s">
        <v>74</v>
      </c>
      <c r="M25" s="77">
        <f>'Tabel 1.1'!B25</f>
        <v>1315437</v>
      </c>
      <c r="N25" s="77">
        <f>'Tabel 1.1'!C25</f>
        <v>1524757</v>
      </c>
      <c r="O25" s="74"/>
    </row>
    <row r="26" spans="1:15" x14ac:dyDescent="0.3">
      <c r="A26" s="74"/>
      <c r="B26" s="74"/>
      <c r="C26" s="74"/>
      <c r="D26" s="74"/>
      <c r="E26" s="74"/>
      <c r="F26" s="74"/>
      <c r="G26" s="74"/>
      <c r="H26" s="74"/>
      <c r="I26" s="74"/>
      <c r="J26" s="74"/>
      <c r="K26" s="74"/>
      <c r="L26" s="74" t="s">
        <v>75</v>
      </c>
      <c r="M26" s="77">
        <f>'Tabel 1.1'!B27</f>
        <v>1347598.1754899998</v>
      </c>
      <c r="N26" s="77">
        <f>'Tabel 1.1'!C27</f>
        <v>1416935.0100199999</v>
      </c>
      <c r="O26" s="74"/>
    </row>
    <row r="27" spans="1:15" x14ac:dyDescent="0.3">
      <c r="A27" s="74"/>
      <c r="B27" s="74"/>
      <c r="C27" s="74"/>
      <c r="D27" s="74"/>
      <c r="E27" s="74"/>
      <c r="F27" s="74"/>
      <c r="G27" s="74"/>
      <c r="H27" s="74"/>
      <c r="I27" s="74"/>
      <c r="J27" s="74"/>
      <c r="K27" s="74"/>
      <c r="L27" s="74" t="s">
        <v>76</v>
      </c>
      <c r="M27" s="77">
        <f>'Tabel 1.1'!B28</f>
        <v>4383879.6049999995</v>
      </c>
      <c r="N27" s="77">
        <f>'Tabel 1.1'!C28</f>
        <v>3161034.8239999996</v>
      </c>
    </row>
    <row r="28" spans="1:15" x14ac:dyDescent="0.3">
      <c r="A28" s="74"/>
      <c r="B28" s="74"/>
      <c r="C28" s="74"/>
      <c r="D28" s="74"/>
      <c r="E28" s="74"/>
      <c r="F28" s="74"/>
      <c r="G28" s="74"/>
      <c r="H28" s="74"/>
      <c r="I28" s="74"/>
      <c r="J28" s="74"/>
      <c r="K28" s="74"/>
      <c r="L28" s="74" t="s">
        <v>77</v>
      </c>
      <c r="M28" s="77">
        <f>'Tabel 1.1'!B29</f>
        <v>25828</v>
      </c>
      <c r="N28" s="77">
        <f>'Tabel 1.1'!C29</f>
        <v>23751</v>
      </c>
    </row>
    <row r="29" spans="1:15" x14ac:dyDescent="0.3">
      <c r="A29" s="74"/>
      <c r="B29" s="74"/>
      <c r="C29" s="74"/>
      <c r="D29" s="74"/>
      <c r="E29" s="74"/>
      <c r="F29" s="74"/>
      <c r="G29" s="74"/>
      <c r="H29" s="74"/>
      <c r="I29" s="74"/>
      <c r="J29" s="74"/>
      <c r="K29" s="74"/>
      <c r="L29" s="74" t="s">
        <v>78</v>
      </c>
      <c r="M29" s="77">
        <f>'Tabel 1.1'!B30</f>
        <v>472129.78125</v>
      </c>
      <c r="N29" s="77">
        <f>'Tabel 1.1'!C30</f>
        <v>458748.43799999997</v>
      </c>
    </row>
    <row r="30" spans="1:15" x14ac:dyDescent="0.3">
      <c r="A30" s="75" t="s">
        <v>416</v>
      </c>
      <c r="B30" s="74"/>
      <c r="C30" s="74"/>
      <c r="D30" s="74"/>
      <c r="E30" s="74"/>
      <c r="F30" s="74"/>
      <c r="G30" s="74"/>
      <c r="H30" s="74"/>
      <c r="I30" s="79"/>
      <c r="J30" s="74"/>
      <c r="K30" s="74"/>
    </row>
    <row r="31" spans="1:15" x14ac:dyDescent="0.3">
      <c r="B31" s="74"/>
      <c r="C31" s="74"/>
      <c r="D31" s="74"/>
      <c r="E31" s="74"/>
      <c r="F31" s="74"/>
      <c r="G31" s="74"/>
      <c r="H31" s="74"/>
      <c r="I31" s="74"/>
      <c r="J31" s="74"/>
      <c r="K31" s="74"/>
    </row>
    <row r="32" spans="1:15" x14ac:dyDescent="0.3">
      <c r="B32" s="74"/>
      <c r="C32" s="74"/>
      <c r="D32" s="74"/>
      <c r="E32" s="74"/>
      <c r="F32" s="74"/>
      <c r="G32" s="74"/>
      <c r="H32" s="74"/>
      <c r="I32" s="74"/>
      <c r="J32" s="74"/>
      <c r="K32" s="74"/>
    </row>
    <row r="33" spans="1:15" x14ac:dyDescent="0.3">
      <c r="A33" s="74"/>
      <c r="B33" s="74"/>
      <c r="C33" s="74"/>
      <c r="D33" s="74"/>
      <c r="E33" s="74"/>
      <c r="F33" s="74"/>
      <c r="G33" s="74"/>
      <c r="H33" s="74"/>
      <c r="I33" s="74"/>
      <c r="J33" s="74"/>
      <c r="K33" s="74"/>
      <c r="L33" s="75" t="s">
        <v>57</v>
      </c>
      <c r="M33" s="75"/>
      <c r="N33" s="75"/>
    </row>
    <row r="34" spans="1:15" x14ac:dyDescent="0.3">
      <c r="A34" s="74"/>
      <c r="B34" s="74"/>
      <c r="C34" s="74"/>
      <c r="D34" s="74"/>
      <c r="E34" s="74"/>
      <c r="F34" s="74"/>
      <c r="G34" s="74"/>
      <c r="H34" s="74"/>
      <c r="I34" s="74"/>
      <c r="J34" s="74"/>
      <c r="K34" s="74"/>
      <c r="L34" s="75" t="s">
        <v>1</v>
      </c>
      <c r="M34" s="75"/>
      <c r="N34" s="75"/>
    </row>
    <row r="35" spans="1:15" x14ac:dyDescent="0.3">
      <c r="A35" s="74"/>
      <c r="B35" s="74"/>
      <c r="C35" s="74"/>
      <c r="D35" s="74"/>
      <c r="E35" s="74"/>
      <c r="F35" s="74"/>
      <c r="G35" s="74"/>
      <c r="H35" s="74"/>
      <c r="I35" s="74"/>
      <c r="J35" s="74"/>
      <c r="K35" s="74"/>
      <c r="L35" s="75"/>
      <c r="M35" s="75">
        <v>2016</v>
      </c>
      <c r="N35" s="75">
        <v>2017</v>
      </c>
    </row>
    <row r="36" spans="1:15" x14ac:dyDescent="0.3">
      <c r="A36" s="74"/>
      <c r="B36" s="74"/>
      <c r="C36" s="74"/>
      <c r="D36" s="74"/>
      <c r="E36" s="74"/>
      <c r="F36" s="74"/>
      <c r="G36" s="74"/>
      <c r="H36" s="74"/>
      <c r="I36" s="74"/>
      <c r="J36" s="74"/>
      <c r="K36" s="74"/>
      <c r="L36" s="79" t="s">
        <v>59</v>
      </c>
      <c r="M36" s="78">
        <f>'Tabel 1.1'!B34</f>
        <v>797149.23</v>
      </c>
      <c r="N36" s="78">
        <f>'Tabel 1.1'!C34</f>
        <v>872284.58900000004</v>
      </c>
    </row>
    <row r="37" spans="1:15" x14ac:dyDescent="0.3">
      <c r="A37" s="74"/>
      <c r="B37" s="74"/>
      <c r="C37" s="74"/>
      <c r="D37" s="74"/>
      <c r="E37" s="74"/>
      <c r="F37" s="74"/>
      <c r="G37" s="74"/>
      <c r="H37" s="74"/>
      <c r="I37" s="74"/>
      <c r="J37" s="74"/>
      <c r="K37" s="74"/>
      <c r="L37" s="74" t="s">
        <v>60</v>
      </c>
      <c r="M37" s="78">
        <f>'Tabel 1.1'!B35</f>
        <v>3901376</v>
      </c>
      <c r="N37" s="78">
        <f>'Tabel 1.1'!C35</f>
        <v>4145174</v>
      </c>
    </row>
    <row r="38" spans="1:15" x14ac:dyDescent="0.3">
      <c r="A38" s="74"/>
      <c r="B38" s="74"/>
      <c r="C38" s="74"/>
      <c r="D38" s="74"/>
      <c r="E38" s="74"/>
      <c r="F38" s="74"/>
      <c r="G38" s="74"/>
      <c r="H38" s="74"/>
      <c r="I38" s="74"/>
      <c r="J38" s="74"/>
      <c r="K38" s="74"/>
      <c r="L38" s="74" t="s">
        <v>62</v>
      </c>
      <c r="M38" s="78">
        <f>'Tabel 1.1'!B36</f>
        <v>148103</v>
      </c>
      <c r="N38" s="78">
        <f>'Tabel 1.1'!C36</f>
        <v>168384</v>
      </c>
    </row>
    <row r="39" spans="1:15" x14ac:dyDescent="0.3">
      <c r="A39" s="74"/>
      <c r="B39" s="74"/>
      <c r="C39" s="74"/>
      <c r="D39" s="74"/>
      <c r="E39" s="74"/>
      <c r="F39" s="74"/>
      <c r="G39" s="74"/>
      <c r="H39" s="74"/>
      <c r="I39" s="74"/>
      <c r="J39" s="74"/>
      <c r="K39" s="74"/>
      <c r="L39" s="79" t="s">
        <v>65</v>
      </c>
      <c r="M39" s="78">
        <f>'Tabel 1.1'!B37</f>
        <v>934615.7030000001</v>
      </c>
      <c r="N39" s="78">
        <f>'Tabel 1.1'!C37</f>
        <v>1226333</v>
      </c>
    </row>
    <row r="40" spans="1:15" x14ac:dyDescent="0.3">
      <c r="A40" s="74"/>
      <c r="B40" s="74"/>
      <c r="C40" s="74"/>
      <c r="D40" s="74"/>
      <c r="E40" s="74"/>
      <c r="F40" s="74"/>
      <c r="G40" s="74"/>
      <c r="H40" s="74"/>
      <c r="I40" s="74"/>
      <c r="J40" s="74"/>
      <c r="K40" s="74"/>
      <c r="L40" s="74" t="s">
        <v>68</v>
      </c>
      <c r="M40" s="78">
        <f>'Tabel 1.1'!B38</f>
        <v>76382.539000000004</v>
      </c>
      <c r="N40" s="78">
        <f>'Tabel 1.1'!C38</f>
        <v>52296.226000000002</v>
      </c>
      <c r="O40" s="74"/>
    </row>
    <row r="41" spans="1:15" x14ac:dyDescent="0.3">
      <c r="A41" s="74"/>
      <c r="B41" s="74"/>
      <c r="C41" s="74"/>
      <c r="D41" s="74"/>
      <c r="E41" s="74"/>
      <c r="F41" s="74"/>
      <c r="G41" s="74"/>
      <c r="H41" s="74"/>
      <c r="I41" s="74"/>
      <c r="J41" s="74"/>
      <c r="K41" s="74"/>
      <c r="L41" s="79" t="s">
        <v>69</v>
      </c>
      <c r="M41" s="78">
        <f>'Tabel 1.1'!B39</f>
        <v>130945</v>
      </c>
      <c r="N41" s="78">
        <f>'Tabel 1.1'!C39</f>
        <v>176194</v>
      </c>
      <c r="O41" s="74"/>
    </row>
    <row r="42" spans="1:15" x14ac:dyDescent="0.3">
      <c r="A42" s="74"/>
      <c r="B42" s="74"/>
      <c r="C42" s="74"/>
      <c r="D42" s="74"/>
      <c r="E42" s="74"/>
      <c r="F42" s="74"/>
      <c r="G42" s="74"/>
      <c r="H42" s="74"/>
      <c r="I42" s="74"/>
      <c r="J42" s="74"/>
      <c r="K42" s="74"/>
      <c r="L42" s="79" t="s">
        <v>73</v>
      </c>
      <c r="M42" s="78">
        <f>'Tabel 1.1'!B40</f>
        <v>4451546.6203800002</v>
      </c>
      <c r="N42" s="78">
        <f>'Tabel 1.1'!C40</f>
        <v>4608895.0639900006</v>
      </c>
      <c r="O42" s="74"/>
    </row>
    <row r="43" spans="1:15" x14ac:dyDescent="0.3">
      <c r="A43" s="74"/>
      <c r="B43" s="74"/>
      <c r="C43" s="74"/>
      <c r="D43" s="74"/>
      <c r="E43" s="74"/>
      <c r="F43" s="74"/>
      <c r="G43" s="74"/>
      <c r="H43" s="74"/>
      <c r="I43" s="74"/>
      <c r="J43" s="74"/>
      <c r="K43" s="74"/>
      <c r="L43" s="79" t="s">
        <v>79</v>
      </c>
      <c r="M43" s="78">
        <f>'Tabel 1.1'!B41</f>
        <v>64356</v>
      </c>
      <c r="N43" s="78">
        <f>'Tabel 1.1'!C41</f>
        <v>59615</v>
      </c>
      <c r="O43" s="74"/>
    </row>
    <row r="44" spans="1:15" x14ac:dyDescent="0.3">
      <c r="A44" s="74"/>
      <c r="B44" s="74"/>
      <c r="C44" s="74"/>
      <c r="D44" s="74"/>
      <c r="E44" s="74"/>
      <c r="F44" s="74"/>
      <c r="G44" s="74"/>
      <c r="H44" s="74"/>
      <c r="I44" s="74"/>
      <c r="J44" s="74"/>
      <c r="K44" s="74"/>
      <c r="L44" s="74" t="s">
        <v>80</v>
      </c>
      <c r="M44" s="78">
        <f>'Tabel 1.1'!B42</f>
        <v>-0.69540974</v>
      </c>
      <c r="N44" s="78">
        <f>'Tabel 1.1'!C42</f>
        <v>0</v>
      </c>
      <c r="O44" s="74"/>
    </row>
    <row r="45" spans="1:15" x14ac:dyDescent="0.3">
      <c r="A45" s="74"/>
      <c r="B45" s="74"/>
      <c r="C45" s="74"/>
      <c r="D45" s="74"/>
      <c r="E45" s="74"/>
      <c r="F45" s="74"/>
      <c r="G45" s="74"/>
      <c r="H45" s="74"/>
      <c r="I45" s="74"/>
      <c r="J45" s="74"/>
      <c r="K45" s="74"/>
      <c r="L45" s="79" t="s">
        <v>75</v>
      </c>
      <c r="M45" s="78">
        <f>'Tabel 1.1'!B43</f>
        <v>1016157.0894799998</v>
      </c>
      <c r="N45" s="78">
        <f>'Tabel 1.1'!C43</f>
        <v>1413647.3683399998</v>
      </c>
      <c r="O45" s="74"/>
    </row>
    <row r="46" spans="1:15" x14ac:dyDescent="0.3">
      <c r="A46" s="74"/>
      <c r="B46" s="74"/>
      <c r="C46" s="74"/>
      <c r="D46" s="74"/>
      <c r="E46" s="74"/>
      <c r="F46" s="74"/>
      <c r="G46" s="74"/>
      <c r="H46" s="74"/>
      <c r="I46" s="74"/>
      <c r="J46" s="74"/>
      <c r="K46" s="74"/>
      <c r="L46" s="79" t="s">
        <v>81</v>
      </c>
      <c r="M46" s="78">
        <f>'Tabel 1.1'!B44</f>
        <v>4898885.9740000004</v>
      </c>
      <c r="N46" s="78">
        <f>'Tabel 1.1'!C44</f>
        <v>5054517.3</v>
      </c>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417</v>
      </c>
      <c r="B56" s="74"/>
      <c r="C56" s="74"/>
      <c r="D56" s="74"/>
      <c r="E56" s="74"/>
      <c r="F56" s="74"/>
      <c r="G56" s="74"/>
      <c r="H56" s="74"/>
      <c r="I56" s="79"/>
      <c r="J56" s="74"/>
      <c r="K56" s="74"/>
      <c r="O56" s="74"/>
    </row>
    <row r="57" spans="1:15" x14ac:dyDescent="0.3">
      <c r="A57" s="74"/>
      <c r="B57" s="74"/>
      <c r="C57" s="74"/>
      <c r="D57" s="74"/>
      <c r="E57" s="74"/>
      <c r="F57" s="74"/>
      <c r="G57" s="74"/>
      <c r="H57" s="74"/>
      <c r="I57" s="74"/>
      <c r="J57" s="74"/>
      <c r="K57" s="74"/>
      <c r="L57" s="75" t="s">
        <v>82</v>
      </c>
      <c r="M57" s="75"/>
      <c r="N57" s="75"/>
      <c r="O57" s="74"/>
    </row>
    <row r="58" spans="1:15" x14ac:dyDescent="0.3">
      <c r="A58" s="74"/>
      <c r="B58" s="74"/>
      <c r="C58" s="74"/>
      <c r="D58" s="74"/>
      <c r="E58" s="74"/>
      <c r="F58" s="74"/>
      <c r="G58" s="74"/>
      <c r="H58" s="74"/>
      <c r="I58" s="74"/>
      <c r="J58" s="74"/>
      <c r="K58" s="74"/>
      <c r="L58" s="75" t="s">
        <v>0</v>
      </c>
      <c r="M58" s="75"/>
      <c r="N58" s="75"/>
      <c r="O58" s="74"/>
    </row>
    <row r="59" spans="1:15" x14ac:dyDescent="0.3">
      <c r="A59" s="74"/>
      <c r="B59" s="74"/>
      <c r="C59" s="74"/>
      <c r="D59" s="74"/>
      <c r="E59" s="74"/>
      <c r="F59" s="74"/>
      <c r="G59" s="74"/>
      <c r="H59" s="74"/>
      <c r="I59" s="74"/>
      <c r="J59" s="74"/>
      <c r="K59" s="74"/>
      <c r="L59" s="75"/>
      <c r="M59" s="75">
        <v>2016</v>
      </c>
      <c r="N59" s="75">
        <v>2017</v>
      </c>
      <c r="O59" s="74"/>
    </row>
    <row r="60" spans="1:15" x14ac:dyDescent="0.3">
      <c r="A60" s="74"/>
      <c r="B60" s="74"/>
      <c r="C60" s="74"/>
      <c r="D60" s="74"/>
      <c r="E60" s="74"/>
      <c r="F60" s="74"/>
      <c r="G60" s="74"/>
      <c r="H60" s="74"/>
      <c r="I60" s="74"/>
      <c r="J60" s="74"/>
      <c r="K60" s="74"/>
      <c r="L60" s="74" t="s">
        <v>59</v>
      </c>
      <c r="M60" s="77">
        <f>'Tabel 1.1'!G10</f>
        <v>910116.41500000004</v>
      </c>
      <c r="N60" s="77">
        <f>'Tabel 1.1'!H10</f>
        <v>981728.21099999989</v>
      </c>
      <c r="O60" s="74"/>
    </row>
    <row r="61" spans="1:15" x14ac:dyDescent="0.3">
      <c r="A61" s="74"/>
      <c r="B61" s="74"/>
      <c r="C61" s="74"/>
      <c r="D61" s="74"/>
      <c r="E61" s="74"/>
      <c r="F61" s="74"/>
      <c r="G61" s="74"/>
      <c r="H61" s="74"/>
      <c r="I61" s="74"/>
      <c r="J61" s="74"/>
      <c r="K61" s="74"/>
      <c r="L61" s="74" t="s">
        <v>60</v>
      </c>
      <c r="M61" s="77">
        <f>'Tabel 1.1'!G11</f>
        <v>204999593</v>
      </c>
      <c r="N61" s="77">
        <f>'Tabel 1.1'!H11</f>
        <v>202823706</v>
      </c>
      <c r="O61" s="74"/>
    </row>
    <row r="62" spans="1:15" x14ac:dyDescent="0.3">
      <c r="A62" s="74"/>
      <c r="B62" s="74"/>
      <c r="C62" s="74"/>
      <c r="D62" s="74"/>
      <c r="E62" s="74"/>
      <c r="F62" s="74"/>
      <c r="G62" s="74"/>
      <c r="H62" s="74"/>
      <c r="I62" s="74"/>
      <c r="J62" s="74"/>
      <c r="K62" s="74"/>
      <c r="L62" s="74" t="s">
        <v>61</v>
      </c>
      <c r="M62" s="77">
        <f>'Tabel 1.1'!G12</f>
        <v>0</v>
      </c>
      <c r="N62" s="77">
        <f>'Tabel 1.1'!H12</f>
        <v>0</v>
      </c>
      <c r="O62" s="74"/>
    </row>
    <row r="63" spans="1:15" x14ac:dyDescent="0.3">
      <c r="A63" s="74"/>
      <c r="B63" s="74"/>
      <c r="C63" s="74"/>
      <c r="D63" s="74"/>
      <c r="E63" s="74"/>
      <c r="F63" s="74"/>
      <c r="G63" s="74"/>
      <c r="H63" s="74"/>
      <c r="I63" s="74"/>
      <c r="J63" s="74"/>
      <c r="K63" s="74"/>
      <c r="L63" s="74" t="s">
        <v>62</v>
      </c>
      <c r="M63" s="77">
        <f>'Tabel 1.1'!G13</f>
        <v>832830</v>
      </c>
      <c r="N63" s="77">
        <f>'Tabel 1.1'!H13</f>
        <v>979049</v>
      </c>
      <c r="O63" s="74"/>
    </row>
    <row r="64" spans="1:15" x14ac:dyDescent="0.3">
      <c r="A64" s="74"/>
      <c r="B64" s="74"/>
      <c r="C64" s="74"/>
      <c r="D64" s="74"/>
      <c r="E64" s="74"/>
      <c r="F64" s="74"/>
      <c r="G64" s="74"/>
      <c r="H64" s="74"/>
      <c r="I64" s="74"/>
      <c r="J64" s="74"/>
      <c r="K64" s="74"/>
      <c r="L64" s="74" t="s">
        <v>64</v>
      </c>
      <c r="M64" s="77">
        <f>'Tabel 1.1'!G15</f>
        <v>0</v>
      </c>
      <c r="N64" s="77">
        <f>'Tabel 1.1'!H15</f>
        <v>0</v>
      </c>
      <c r="O64" s="74"/>
    </row>
    <row r="65" spans="1:15" x14ac:dyDescent="0.3">
      <c r="A65" s="74"/>
      <c r="B65" s="74"/>
      <c r="C65" s="74"/>
      <c r="D65" s="74"/>
      <c r="E65" s="74"/>
      <c r="F65" s="74"/>
      <c r="G65" s="74"/>
      <c r="H65" s="74"/>
      <c r="I65" s="74"/>
      <c r="J65" s="74"/>
      <c r="K65" s="74"/>
      <c r="L65" s="74" t="s">
        <v>65</v>
      </c>
      <c r="M65" s="77">
        <f>'Tabel 1.1'!G16</f>
        <v>5116874.0429999996</v>
      </c>
      <c r="N65" s="77">
        <f>'Tabel 1.1'!H16</f>
        <v>5705784</v>
      </c>
      <c r="O65" s="74"/>
    </row>
    <row r="66" spans="1:15" x14ac:dyDescent="0.3">
      <c r="A66" s="74"/>
      <c r="B66" s="74"/>
      <c r="C66" s="74"/>
      <c r="D66" s="74"/>
      <c r="E66" s="74"/>
      <c r="F66" s="74"/>
      <c r="G66" s="74"/>
      <c r="H66" s="74"/>
      <c r="I66" s="74"/>
      <c r="J66" s="74"/>
      <c r="K66" s="74"/>
      <c r="L66" s="74" t="s">
        <v>66</v>
      </c>
      <c r="M66" s="77">
        <f>'Tabel 1.1'!G17</f>
        <v>28242</v>
      </c>
      <c r="N66" s="77">
        <f>'Tabel 1.1'!H17</f>
        <v>27134</v>
      </c>
      <c r="O66" s="74"/>
    </row>
    <row r="67" spans="1:15" x14ac:dyDescent="0.3">
      <c r="A67" s="74"/>
      <c r="B67" s="74"/>
      <c r="C67" s="74"/>
      <c r="D67" s="74"/>
      <c r="E67" s="74"/>
      <c r="F67" s="74"/>
      <c r="G67" s="74"/>
      <c r="H67" s="74"/>
      <c r="I67" s="74"/>
      <c r="J67" s="74"/>
      <c r="K67" s="74"/>
      <c r="L67" s="74" t="s">
        <v>67</v>
      </c>
      <c r="M67" s="77">
        <f>'Tabel 1.1'!G18</f>
        <v>0</v>
      </c>
      <c r="N67" s="77">
        <f>'Tabel 1.1'!H18</f>
        <v>0</v>
      </c>
      <c r="O67" s="74"/>
    </row>
    <row r="68" spans="1:15" x14ac:dyDescent="0.3">
      <c r="A68" s="74"/>
      <c r="B68" s="74"/>
      <c r="C68" s="74"/>
      <c r="D68" s="74"/>
      <c r="E68" s="74"/>
      <c r="F68" s="74"/>
      <c r="G68" s="74"/>
      <c r="H68" s="74"/>
      <c r="I68" s="74"/>
      <c r="J68" s="74"/>
      <c r="K68" s="74"/>
      <c r="L68" s="74" t="s">
        <v>68</v>
      </c>
      <c r="M68" s="77">
        <f>'Tabel 1.1'!G19</f>
        <v>408022300.04294997</v>
      </c>
      <c r="N68" s="77">
        <f>'Tabel 1.1'!H19</f>
        <v>432230923.24921</v>
      </c>
      <c r="O68" s="74"/>
    </row>
    <row r="69" spans="1:15" x14ac:dyDescent="0.3">
      <c r="A69" s="74"/>
      <c r="B69" s="74"/>
      <c r="C69" s="74"/>
      <c r="D69" s="74"/>
      <c r="E69" s="74"/>
      <c r="F69" s="74"/>
      <c r="G69" s="74"/>
      <c r="H69" s="74"/>
      <c r="I69" s="74"/>
      <c r="J69" s="74"/>
      <c r="K69" s="74"/>
      <c r="L69" s="74" t="s">
        <v>69</v>
      </c>
      <c r="M69" s="77">
        <f>'Tabel 1.1'!G20</f>
        <v>1444299</v>
      </c>
      <c r="N69" s="77">
        <f>'Tabel 1.1'!H20</f>
        <v>1534741</v>
      </c>
      <c r="O69" s="74"/>
    </row>
    <row r="70" spans="1:15" x14ac:dyDescent="0.3">
      <c r="A70" s="74"/>
      <c r="B70" s="74"/>
      <c r="C70" s="74"/>
      <c r="D70" s="74"/>
      <c r="E70" s="74"/>
      <c r="F70" s="74"/>
      <c r="G70" s="74"/>
      <c r="H70" s="74"/>
      <c r="I70" s="74"/>
      <c r="J70" s="74"/>
      <c r="K70" s="74"/>
      <c r="L70" s="74" t="s">
        <v>73</v>
      </c>
      <c r="M70" s="77">
        <f>'Tabel 1.1'!G24</f>
        <v>48064765.021499872</v>
      </c>
      <c r="N70" s="77">
        <f>'Tabel 1.1'!H24</f>
        <v>49325851.608999982</v>
      </c>
      <c r="O70" s="74"/>
    </row>
    <row r="71" spans="1:15" x14ac:dyDescent="0.3">
      <c r="A71" s="74"/>
      <c r="B71" s="74"/>
      <c r="C71" s="74"/>
      <c r="D71" s="74"/>
      <c r="E71" s="74"/>
      <c r="F71" s="74"/>
      <c r="G71" s="74"/>
      <c r="H71" s="74"/>
      <c r="I71" s="74"/>
      <c r="J71" s="74"/>
      <c r="K71" s="74"/>
      <c r="L71" s="74" t="s">
        <v>74</v>
      </c>
      <c r="M71" s="77">
        <f>'Tabel 1.1'!G25</f>
        <v>61571650</v>
      </c>
      <c r="N71" s="77">
        <f>'Tabel 1.1'!H25</f>
        <v>66551653</v>
      </c>
      <c r="O71" s="74"/>
    </row>
    <row r="72" spans="1:15" x14ac:dyDescent="0.3">
      <c r="A72" s="74"/>
      <c r="B72" s="74"/>
      <c r="C72" s="74"/>
      <c r="D72" s="74"/>
      <c r="E72" s="74"/>
      <c r="F72" s="74"/>
      <c r="G72" s="74"/>
      <c r="H72" s="74"/>
      <c r="I72" s="74"/>
      <c r="J72" s="74"/>
      <c r="K72" s="74"/>
      <c r="L72" s="74" t="s">
        <v>80</v>
      </c>
      <c r="M72" s="77">
        <f>'Tabel 1.1'!G26</f>
        <v>8612877.0735400002</v>
      </c>
      <c r="N72" s="77">
        <f>'Tabel 1.1'!H26</f>
        <v>0</v>
      </c>
      <c r="O72" s="74"/>
    </row>
    <row r="73" spans="1:15" x14ac:dyDescent="0.3">
      <c r="A73" s="74"/>
      <c r="B73" s="74"/>
      <c r="C73" s="74"/>
      <c r="D73" s="74"/>
      <c r="E73" s="74"/>
      <c r="F73" s="74"/>
      <c r="G73" s="74"/>
      <c r="H73" s="74"/>
      <c r="I73" s="74"/>
      <c r="J73" s="74"/>
      <c r="K73" s="74"/>
      <c r="L73" s="74" t="s">
        <v>75</v>
      </c>
      <c r="M73" s="77">
        <f>'Tabel 1.1'!G27</f>
        <v>16839593.38775</v>
      </c>
      <c r="N73" s="77">
        <f>'Tabel 1.1'!H27</f>
        <v>17251701.960609999</v>
      </c>
      <c r="O73" s="74"/>
    </row>
    <row r="74" spans="1:15" x14ac:dyDescent="0.3">
      <c r="A74" s="74"/>
      <c r="B74" s="74"/>
      <c r="C74" s="74"/>
      <c r="D74" s="74"/>
      <c r="E74" s="74"/>
      <c r="F74" s="74"/>
      <c r="G74" s="74"/>
      <c r="H74" s="74"/>
      <c r="I74" s="74"/>
      <c r="J74" s="74"/>
      <c r="K74" s="74"/>
      <c r="L74" s="74" t="s">
        <v>76</v>
      </c>
      <c r="M74" s="77">
        <f>'Tabel 1.1'!G28</f>
        <v>173966226.97000003</v>
      </c>
      <c r="N74" s="77">
        <f>'Tabel 1.1'!H28</f>
        <v>175952011.514</v>
      </c>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4"/>
      <c r="B80" s="74"/>
      <c r="C80" s="74"/>
      <c r="D80" s="74"/>
      <c r="E80" s="74"/>
      <c r="F80" s="74"/>
      <c r="G80" s="74"/>
      <c r="H80" s="74"/>
      <c r="I80" s="74"/>
      <c r="J80" s="74"/>
      <c r="K80" s="74"/>
      <c r="O80" s="74"/>
    </row>
    <row r="81" spans="1:15" x14ac:dyDescent="0.3">
      <c r="A81" s="75" t="s">
        <v>418</v>
      </c>
      <c r="B81" s="74"/>
      <c r="C81" s="74"/>
      <c r="D81" s="74"/>
      <c r="E81" s="74"/>
      <c r="F81" s="74"/>
      <c r="G81" s="74"/>
      <c r="H81" s="74"/>
      <c r="I81" s="79"/>
      <c r="J81" s="74"/>
      <c r="K81" s="74"/>
      <c r="O81" s="74"/>
    </row>
    <row r="82" spans="1:15" x14ac:dyDescent="0.3">
      <c r="B82" s="74"/>
      <c r="C82" s="74"/>
      <c r="D82" s="74"/>
      <c r="E82" s="74"/>
      <c r="F82" s="74"/>
      <c r="G82" s="74"/>
      <c r="H82" s="74"/>
      <c r="I82" s="74"/>
      <c r="J82" s="74"/>
      <c r="K82" s="74"/>
      <c r="L82" s="75" t="s">
        <v>82</v>
      </c>
      <c r="M82" s="75"/>
      <c r="N82" s="75"/>
      <c r="O82" s="74"/>
    </row>
    <row r="83" spans="1:15" x14ac:dyDescent="0.3">
      <c r="A83" s="74"/>
      <c r="B83" s="74"/>
      <c r="C83" s="74"/>
      <c r="D83" s="74"/>
      <c r="E83" s="74"/>
      <c r="F83" s="74"/>
      <c r="G83" s="74"/>
      <c r="H83" s="74"/>
      <c r="I83" s="74"/>
      <c r="J83" s="74"/>
      <c r="K83" s="74"/>
      <c r="L83" s="75" t="s">
        <v>1</v>
      </c>
      <c r="M83" s="75"/>
      <c r="N83" s="75"/>
      <c r="O83" s="74"/>
    </row>
    <row r="84" spans="1:15" x14ac:dyDescent="0.3">
      <c r="A84" s="74"/>
      <c r="B84" s="74"/>
      <c r="C84" s="74"/>
      <c r="D84" s="74"/>
      <c r="E84" s="74"/>
      <c r="F84" s="74"/>
      <c r="G84" s="74"/>
      <c r="H84" s="74"/>
      <c r="I84" s="74"/>
      <c r="J84" s="74"/>
      <c r="K84" s="74"/>
      <c r="L84" s="75"/>
      <c r="M84" s="75">
        <v>2016</v>
      </c>
      <c r="N84" s="75">
        <v>2017</v>
      </c>
      <c r="O84" s="74"/>
    </row>
    <row r="85" spans="1:15" x14ac:dyDescent="0.3">
      <c r="A85" s="74"/>
      <c r="B85" s="74"/>
      <c r="C85" s="74"/>
      <c r="D85" s="74"/>
      <c r="E85" s="74"/>
      <c r="F85" s="74"/>
      <c r="G85" s="74"/>
      <c r="H85" s="74"/>
      <c r="I85" s="74"/>
      <c r="J85" s="74"/>
      <c r="K85" s="74"/>
      <c r="L85" s="74" t="s">
        <v>59</v>
      </c>
      <c r="M85" s="77">
        <f>'Tabel 1.1'!G34</f>
        <v>12599531.244999999</v>
      </c>
      <c r="N85" s="77">
        <f>'Tabel 1.1'!H34</f>
        <v>15516241.074000001</v>
      </c>
      <c r="O85" s="74"/>
    </row>
    <row r="86" spans="1:15" x14ac:dyDescent="0.3">
      <c r="B86" s="74"/>
      <c r="C86" s="74"/>
      <c r="D86" s="74"/>
      <c r="E86" s="74"/>
      <c r="F86" s="74"/>
      <c r="G86" s="74"/>
      <c r="H86" s="74"/>
      <c r="I86" s="74"/>
      <c r="J86" s="74"/>
      <c r="K86" s="74"/>
      <c r="L86" s="74" t="s">
        <v>60</v>
      </c>
      <c r="M86" s="77">
        <f>'Tabel 1.1'!G35</f>
        <v>52892825</v>
      </c>
      <c r="N86" s="77">
        <f>'Tabel 1.1'!H35</f>
        <v>67680359</v>
      </c>
      <c r="O86" s="74"/>
    </row>
    <row r="87" spans="1:15" x14ac:dyDescent="0.3">
      <c r="B87" s="74"/>
      <c r="C87" s="74"/>
      <c r="D87" s="74"/>
      <c r="E87" s="74"/>
      <c r="F87" s="74"/>
      <c r="G87" s="74"/>
      <c r="H87" s="74"/>
      <c r="I87" s="74"/>
      <c r="J87" s="74"/>
      <c r="K87" s="74"/>
      <c r="L87" s="74" t="s">
        <v>62</v>
      </c>
      <c r="M87" s="77">
        <f>'Tabel 1.1'!G36</f>
        <v>2394875</v>
      </c>
      <c r="N87" s="77">
        <f>'Tabel 1.1'!H36</f>
        <v>2925269</v>
      </c>
      <c r="O87" s="74"/>
    </row>
    <row r="88" spans="1:15" x14ac:dyDescent="0.3">
      <c r="B88" s="74"/>
      <c r="C88" s="74"/>
      <c r="D88" s="74"/>
      <c r="E88" s="74"/>
      <c r="F88" s="74"/>
      <c r="G88" s="74"/>
      <c r="H88" s="74"/>
      <c r="I88" s="74"/>
      <c r="J88" s="74"/>
      <c r="K88" s="74"/>
      <c r="L88" s="79" t="s">
        <v>65</v>
      </c>
      <c r="M88" s="77">
        <f>'Tabel 1.1'!G37</f>
        <v>16013492.852000002</v>
      </c>
      <c r="N88" s="77">
        <f>'Tabel 1.1'!H37</f>
        <v>20522578</v>
      </c>
      <c r="O88" s="74"/>
    </row>
    <row r="89" spans="1:15" x14ac:dyDescent="0.3">
      <c r="B89" s="74"/>
      <c r="C89" s="74"/>
      <c r="D89" s="74"/>
      <c r="E89" s="74"/>
      <c r="F89" s="74"/>
      <c r="G89" s="74"/>
      <c r="H89" s="74"/>
      <c r="I89" s="74"/>
      <c r="J89" s="74"/>
      <c r="K89" s="74"/>
      <c r="L89" s="74" t="s">
        <v>68</v>
      </c>
      <c r="M89" s="77">
        <f>'Tabel 1.1'!G38</f>
        <v>2120218.96215</v>
      </c>
      <c r="N89" s="77">
        <f>'Tabel 1.1'!H38</f>
        <v>2288839.25715</v>
      </c>
      <c r="O89" s="74"/>
    </row>
    <row r="90" spans="1:15" x14ac:dyDescent="0.3">
      <c r="B90" s="74"/>
      <c r="C90" s="74"/>
      <c r="D90" s="74"/>
      <c r="E90" s="74"/>
      <c r="F90" s="74"/>
      <c r="G90" s="74"/>
      <c r="H90" s="74"/>
      <c r="I90" s="74"/>
      <c r="J90" s="74"/>
      <c r="K90" s="74"/>
      <c r="L90" s="74" t="s">
        <v>69</v>
      </c>
      <c r="M90" s="77">
        <f>'Tabel 1.1'!G39</f>
        <v>1361843</v>
      </c>
      <c r="N90" s="77">
        <f>'Tabel 1.1'!H39</f>
        <v>2183015</v>
      </c>
      <c r="O90" s="74"/>
    </row>
    <row r="91" spans="1:15" x14ac:dyDescent="0.3">
      <c r="B91" s="74"/>
      <c r="C91" s="74"/>
      <c r="D91" s="74"/>
      <c r="E91" s="74"/>
      <c r="F91" s="74"/>
      <c r="G91" s="74"/>
      <c r="H91" s="74"/>
      <c r="I91" s="74"/>
      <c r="J91" s="74"/>
      <c r="K91" s="74"/>
      <c r="L91" s="74" t="s">
        <v>73</v>
      </c>
      <c r="M91" s="77">
        <f>'Tabel 1.1'!G40</f>
        <v>42006581.100000001</v>
      </c>
      <c r="N91" s="77">
        <f>'Tabel 1.1'!H40</f>
        <v>52390620</v>
      </c>
      <c r="O91" s="74"/>
    </row>
    <row r="92" spans="1:15" x14ac:dyDescent="0.3">
      <c r="A92" s="74"/>
      <c r="B92" s="74"/>
      <c r="C92" s="74"/>
      <c r="D92" s="74"/>
      <c r="E92" s="74"/>
      <c r="F92" s="74"/>
      <c r="G92" s="74"/>
      <c r="H92" s="74"/>
      <c r="I92" s="74"/>
      <c r="J92" s="74"/>
      <c r="K92" s="74"/>
      <c r="L92" s="74" t="s">
        <v>79</v>
      </c>
      <c r="M92" s="77">
        <f>'Tabel 1.1'!G41</f>
        <v>1571024</v>
      </c>
      <c r="N92" s="77">
        <f>'Tabel 1.1'!H41</f>
        <v>1903610</v>
      </c>
      <c r="O92" s="74"/>
    </row>
    <row r="93" spans="1:15" x14ac:dyDescent="0.3">
      <c r="A93" s="74"/>
      <c r="B93" s="74"/>
      <c r="C93" s="74"/>
      <c r="D93" s="74"/>
      <c r="E93" s="74"/>
      <c r="F93" s="74"/>
      <c r="G93" s="74"/>
      <c r="H93" s="74"/>
      <c r="I93" s="74"/>
      <c r="J93" s="74"/>
      <c r="K93" s="74"/>
      <c r="L93" s="74" t="s">
        <v>80</v>
      </c>
      <c r="M93" s="77">
        <f>'Tabel 1.1'!G42</f>
        <v>515694.20325000002</v>
      </c>
      <c r="N93" s="77">
        <f>'Tabel 1.1'!H42</f>
        <v>0</v>
      </c>
      <c r="O93" s="74"/>
    </row>
    <row r="94" spans="1:15" ht="18.75" customHeight="1" x14ac:dyDescent="0.3">
      <c r="A94" s="74"/>
      <c r="B94" s="74"/>
      <c r="C94" s="74"/>
      <c r="D94" s="74"/>
      <c r="E94" s="74"/>
      <c r="F94" s="74"/>
      <c r="G94" s="74"/>
      <c r="H94" s="74"/>
      <c r="I94" s="74"/>
      <c r="J94" s="74"/>
      <c r="K94" s="74"/>
      <c r="L94" s="74" t="s">
        <v>75</v>
      </c>
      <c r="M94" s="77">
        <f>'Tabel 1.1'!G43</f>
        <v>16928884.25474</v>
      </c>
      <c r="N94" s="77">
        <f>'Tabel 1.1'!H43</f>
        <v>21802567.120070003</v>
      </c>
      <c r="O94" s="74"/>
    </row>
    <row r="95" spans="1:15" ht="18.75" customHeight="1" x14ac:dyDescent="0.3">
      <c r="A95" s="74"/>
      <c r="B95" s="74"/>
      <c r="C95" s="74"/>
      <c r="D95" s="74"/>
      <c r="E95" s="74"/>
      <c r="F95" s="74"/>
      <c r="G95" s="74"/>
      <c r="H95" s="74"/>
      <c r="I95" s="74"/>
      <c r="J95" s="74"/>
      <c r="K95" s="74"/>
      <c r="L95" s="74" t="s">
        <v>81</v>
      </c>
      <c r="M95" s="77">
        <f>'Tabel 1.1'!G44</f>
        <v>58026529.603</v>
      </c>
      <c r="N95" s="77">
        <f>'Tabel 1.1'!H44</f>
        <v>71261439.237000003</v>
      </c>
      <c r="O95" s="74"/>
    </row>
    <row r="96" spans="1:15" ht="18.75" customHeight="1" x14ac:dyDescent="0.3">
      <c r="A96" s="74"/>
      <c r="B96" s="74"/>
      <c r="C96" s="74"/>
      <c r="D96" s="74"/>
      <c r="E96" s="74"/>
      <c r="F96" s="74"/>
      <c r="G96" s="74"/>
      <c r="H96" s="74"/>
      <c r="I96" s="74"/>
      <c r="J96" s="74"/>
      <c r="K96" s="74"/>
      <c r="M96" s="77"/>
      <c r="O96" s="74"/>
    </row>
    <row r="97" spans="1:17" ht="18.75" customHeight="1" x14ac:dyDescent="0.3">
      <c r="A97" s="74"/>
      <c r="B97" s="74"/>
      <c r="C97" s="74"/>
      <c r="D97" s="74"/>
      <c r="E97" s="74"/>
      <c r="F97" s="74"/>
      <c r="G97" s="74"/>
      <c r="H97" s="74"/>
      <c r="I97" s="74"/>
      <c r="J97" s="74"/>
      <c r="K97" s="74"/>
      <c r="O97" s="74"/>
    </row>
    <row r="98" spans="1:17" ht="18.75" customHeight="1" x14ac:dyDescent="0.3">
      <c r="A98" s="74"/>
      <c r="B98" s="74"/>
      <c r="C98" s="74"/>
      <c r="D98" s="74"/>
      <c r="E98" s="74"/>
      <c r="F98" s="74"/>
      <c r="G98" s="74"/>
      <c r="H98" s="74"/>
      <c r="I98" s="74"/>
      <c r="J98" s="74"/>
      <c r="K98" s="74"/>
      <c r="O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4"/>
      <c r="B106" s="74"/>
      <c r="C106" s="74"/>
      <c r="D106" s="74"/>
      <c r="E106" s="74"/>
      <c r="F106" s="74"/>
      <c r="G106" s="74"/>
      <c r="H106" s="74"/>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5" t="s">
        <v>419</v>
      </c>
      <c r="B108" s="74"/>
      <c r="C108" s="74"/>
      <c r="D108" s="74"/>
      <c r="E108" s="74"/>
      <c r="F108" s="74"/>
      <c r="G108" s="74"/>
      <c r="H108" s="79"/>
      <c r="I108" s="74"/>
      <c r="J108" s="74"/>
      <c r="K108" s="74"/>
      <c r="O108" s="74"/>
      <c r="Q108" s="74"/>
    </row>
    <row r="109" spans="1:17" ht="18.75" customHeight="1" x14ac:dyDescent="0.3">
      <c r="A109" s="74"/>
      <c r="B109" s="74"/>
      <c r="C109" s="74"/>
      <c r="D109" s="74"/>
      <c r="E109" s="74"/>
      <c r="F109" s="74"/>
      <c r="G109" s="74"/>
      <c r="H109" s="74"/>
      <c r="I109" s="74"/>
      <c r="J109" s="74"/>
      <c r="K109" s="74"/>
      <c r="L109" s="75" t="s">
        <v>83</v>
      </c>
      <c r="M109" s="75"/>
      <c r="N109" s="75"/>
      <c r="O109" s="74"/>
      <c r="Q109" s="74"/>
    </row>
    <row r="110" spans="1:17" ht="18.75" customHeight="1" x14ac:dyDescent="0.3">
      <c r="A110" s="74"/>
      <c r="B110" s="74"/>
      <c r="C110" s="74"/>
      <c r="D110" s="74"/>
      <c r="E110" s="74"/>
      <c r="F110" s="74"/>
      <c r="G110" s="74"/>
      <c r="H110" s="74"/>
      <c r="I110" s="74"/>
      <c r="J110" s="74"/>
      <c r="K110" s="74"/>
      <c r="L110" s="75" t="s">
        <v>0</v>
      </c>
      <c r="M110" s="75"/>
      <c r="N110" s="75"/>
      <c r="O110" s="74"/>
      <c r="Q110" s="74"/>
    </row>
    <row r="111" spans="1:17" ht="18.75" customHeight="1" x14ac:dyDescent="0.3">
      <c r="A111" s="74"/>
      <c r="B111" s="74"/>
      <c r="C111" s="74"/>
      <c r="D111" s="74"/>
      <c r="E111" s="74"/>
      <c r="F111" s="74"/>
      <c r="G111" s="74"/>
      <c r="H111" s="74"/>
      <c r="I111" s="74"/>
      <c r="J111" s="74"/>
      <c r="K111" s="74"/>
      <c r="L111" s="75"/>
      <c r="M111" s="75">
        <v>2016</v>
      </c>
      <c r="N111" s="75">
        <v>2017</v>
      </c>
      <c r="O111" s="74"/>
      <c r="Q111" s="74"/>
    </row>
    <row r="112" spans="1:17" ht="18.75" customHeight="1" x14ac:dyDescent="0.3">
      <c r="A112" s="74"/>
      <c r="B112" s="74"/>
      <c r="C112" s="74"/>
      <c r="D112" s="74"/>
      <c r="E112" s="74"/>
      <c r="F112" s="74"/>
      <c r="G112" s="74"/>
      <c r="H112" s="74"/>
      <c r="I112" s="74"/>
      <c r="J112" s="74"/>
      <c r="K112" s="74"/>
      <c r="L112" s="74" t="s">
        <v>59</v>
      </c>
      <c r="M112" s="77">
        <f>'Danica Pensjonsforsikring'!B11-'Danica Pensjonsforsikring'!B12+'Danica Pensjonsforsikring'!B32-'Danica Pensjonsforsikring'!B33+'Danica Pensjonsforsikring'!B36-'Danica Pensjonsforsikring'!B37+'Danica Pensjonsforsikring'!B109-'Danica Pensjonsforsikring'!B117+'Danica Pensjonsforsikring'!B134-'Danica Pensjonsforsikring'!B135</f>
        <v>-12439.066000000001</v>
      </c>
      <c r="N112" s="77">
        <f>'Danica Pensjonsforsikring'!C11-'Danica Pensjonsforsikring'!C12+'Danica Pensjonsforsikring'!C32-'Danica Pensjonsforsikring'!C33+'Danica Pensjonsforsikring'!C36-'Danica Pensjonsforsikring'!C37+'Danica Pensjonsforsikring'!C109-'Danica Pensjonsforsikring'!C117+'Danica Pensjonsforsikring'!C134-'Danica Pensjonsforsikring'!C135</f>
        <v>6533.34</v>
      </c>
      <c r="O112" s="74"/>
      <c r="Q112" s="74"/>
    </row>
    <row r="113" spans="1:17" ht="18.75" customHeight="1" x14ac:dyDescent="0.3">
      <c r="A113" s="74"/>
      <c r="B113" s="74"/>
      <c r="C113" s="74"/>
      <c r="D113" s="74"/>
      <c r="E113" s="74"/>
      <c r="F113" s="74"/>
      <c r="G113" s="74"/>
      <c r="H113" s="74"/>
      <c r="I113" s="74"/>
      <c r="J113" s="74"/>
      <c r="K113" s="74"/>
      <c r="L113" s="74" t="s">
        <v>60</v>
      </c>
      <c r="M113" s="77">
        <f>'DNB Livsforsikring'!B11-'DNB Livsforsikring'!B12+'DNB Livsforsikring'!B32-'DNB Livsforsikring'!B33+'DNB Livsforsikring'!B36-'DNB Livsforsikring'!B37+'DNB Livsforsikring'!B109-'DNB Livsforsikring'!B117+'DNB Livsforsikring'!B134-'DNB Livsforsikring'!B135</f>
        <v>262638</v>
      </c>
      <c r="N113" s="77">
        <f>'DNB Livsforsikring'!C11-'DNB Livsforsikring'!C12+'DNB Livsforsikring'!C32-'DNB Livsforsikring'!C33+'DNB Livsforsikring'!C36-'DNB Livsforsikring'!C37+'DNB Livsforsikring'!C109-'DNB Livsforsikring'!C117+'DNB Livsforsikring'!C134-'DNB Livsforsikring'!C135</f>
        <v>265666</v>
      </c>
      <c r="O113" s="74"/>
      <c r="Q113" s="74"/>
    </row>
    <row r="114" spans="1:17" ht="18.75" customHeight="1" x14ac:dyDescent="0.3">
      <c r="A114" s="74"/>
      <c r="B114" s="74"/>
      <c r="C114" s="74"/>
      <c r="D114" s="74"/>
      <c r="E114" s="74"/>
      <c r="F114" s="74"/>
      <c r="G114" s="74"/>
      <c r="H114" s="74"/>
      <c r="I114" s="74"/>
      <c r="J114" s="74"/>
      <c r="K114" s="74"/>
      <c r="L114" s="79" t="s">
        <v>65</v>
      </c>
      <c r="M114" s="77">
        <f>'Gjensidige Pensjon'!B11-'Gjensidige Pensjon'!B12+'Gjensidige Pensjon'!B32-'Gjensidige Pensjon'!B33+'Gjensidige Pensjon'!B36-'Gjensidige Pensjon'!B37+'Gjensidige Pensjon'!B109-'Gjensidige Pensjon'!B117+'Gjensidige Pensjon'!B134-'Gjensidige Pensjon'!B135</f>
        <v>18936.523000000001</v>
      </c>
      <c r="N114" s="77">
        <f>'Gjensidige Pensjon'!C11-'Gjensidige Pensjon'!C12+'Gjensidige Pensjon'!C32-'Gjensidige Pensjon'!C33+'Gjensidige Pensjon'!C36-'Gjensidige Pensjon'!C37+'Gjensidige Pensjon'!C109-'Gjensidige Pensjon'!C117+'Gjensidige Pensjon'!C134-'Gjensidige Pensjon'!C135</f>
        <v>28932</v>
      </c>
      <c r="O114" s="74"/>
      <c r="Q114" s="74"/>
    </row>
    <row r="115" spans="1:17" ht="18.75" customHeight="1" x14ac:dyDescent="0.3">
      <c r="A115" s="74"/>
      <c r="B115" s="74"/>
      <c r="C115" s="74"/>
      <c r="D115" s="74"/>
      <c r="E115" s="74"/>
      <c r="F115" s="74"/>
      <c r="G115" s="74"/>
      <c r="H115" s="74"/>
      <c r="I115" s="74"/>
      <c r="J115" s="74"/>
      <c r="K115" s="74"/>
      <c r="L115" s="79" t="s">
        <v>68</v>
      </c>
      <c r="M115" s="77">
        <f>KLP!B11-KLP!B12+KLP!B32-KLP!B33+KLP!B36-KLP!B37+KLP!B109-KLP!B117+KLP!B134-KLP!B135</f>
        <v>1614478.551</v>
      </c>
      <c r="N115" s="77">
        <f>KLP!C11-KLP!C12+KLP!C32-KLP!C33+KLP!C36-KLP!C37+KLP!C109-KLP!C117+KLP!C134-KLP!C135</f>
        <v>-27046.426999999996</v>
      </c>
      <c r="O115" s="74"/>
      <c r="Q115" s="74"/>
    </row>
    <row r="116" spans="1:17" ht="18.75" customHeight="1" x14ac:dyDescent="0.3">
      <c r="A116" s="74"/>
      <c r="B116" s="74"/>
      <c r="C116" s="74"/>
      <c r="D116" s="74"/>
      <c r="E116" s="74"/>
      <c r="F116" s="74"/>
      <c r="G116" s="74"/>
      <c r="H116" s="74"/>
      <c r="I116" s="74"/>
      <c r="J116" s="74"/>
      <c r="K116" s="74"/>
      <c r="L116" s="79" t="s">
        <v>69</v>
      </c>
      <c r="M116" s="77">
        <f>'KLP Bedriftspensjon AS'!B11-'KLP Bedriftspensjon AS'!B12+'KLP Bedriftspensjon AS'!B32-'KLP Bedriftspensjon AS'!B33+'KLP Bedriftspensjon AS'!B36-'KLP Bedriftspensjon AS'!B37+'KLP Bedriftspensjon AS'!B109-'KLP Bedriftspensjon AS'!B117+'KLP Bedriftspensjon AS'!B134-'KLP Bedriftspensjon AS'!B135</f>
        <v>-820</v>
      </c>
      <c r="N116" s="77">
        <f>'KLP Bedriftspensjon AS'!C11-'KLP Bedriftspensjon AS'!C12+'KLP Bedriftspensjon AS'!C32-'KLP Bedriftspensjon AS'!C33+'KLP Bedriftspensjon AS'!C36-'KLP Bedriftspensjon AS'!C37+'KLP Bedriftspensjon AS'!C109-'KLP Bedriftspensjon AS'!C117+'KLP Bedriftspensjon AS'!C134-'KLP Bedriftspensjon AS'!C135</f>
        <v>-12133</v>
      </c>
      <c r="O116" s="74"/>
      <c r="Q116" s="74"/>
    </row>
    <row r="117" spans="1:17" ht="18.75" customHeight="1" x14ac:dyDescent="0.3">
      <c r="A117" s="74"/>
      <c r="B117" s="74"/>
      <c r="C117" s="74"/>
      <c r="D117" s="74"/>
      <c r="E117" s="74"/>
      <c r="F117" s="74"/>
      <c r="G117" s="74"/>
      <c r="H117" s="74"/>
      <c r="I117" s="74"/>
      <c r="J117" s="74"/>
      <c r="K117" s="74"/>
      <c r="L117" s="74" t="s">
        <v>73</v>
      </c>
      <c r="M117" s="77">
        <f>'Nordea Liv '!B11-'Nordea Liv '!B12+'Nordea Liv '!B32-'Nordea Liv '!B33+'Nordea Liv '!B36-'Nordea Liv '!B37+'Nordea Liv '!B109-'Nordea Liv '!B117+'Nordea Liv '!B134-'Nordea Liv '!B135</f>
        <v>-123516.09354999999</v>
      </c>
      <c r="N117" s="77">
        <f>'Nordea Liv '!C11-'Nordea Liv '!C12+'Nordea Liv '!C32-'Nordea Liv '!C33+'Nordea Liv '!C36-'Nordea Liv '!C37+'Nordea Liv '!C109-'Nordea Liv '!C117+'Nordea Liv '!C134-'Nordea Liv '!C135</f>
        <v>-56828.131709999798</v>
      </c>
      <c r="O117" s="74"/>
      <c r="Q117" s="74"/>
    </row>
    <row r="118" spans="1:17" ht="18.75" customHeight="1" x14ac:dyDescent="0.3">
      <c r="A118" s="74"/>
      <c r="B118" s="74"/>
      <c r="C118" s="74"/>
      <c r="D118" s="74"/>
      <c r="E118" s="74"/>
      <c r="F118" s="74"/>
      <c r="G118" s="74"/>
      <c r="H118" s="74"/>
      <c r="I118" s="74"/>
      <c r="J118" s="74"/>
      <c r="K118" s="74"/>
      <c r="L118" s="74" t="s">
        <v>80</v>
      </c>
      <c r="M118" s="77">
        <f>'Silver Pensjonsforsikring AS'!B11-'Silver Pensjonsforsikring AS'!B12+'Silver Pensjonsforsikring AS'!B32-'Silver Pensjonsforsikring AS'!B33+'Silver Pensjonsforsikring AS'!B36-'Silver Pensjonsforsikring AS'!B37+'Silver Pensjonsforsikring AS'!B109-'Silver Pensjonsforsikring AS'!B117+'Silver Pensjonsforsikring AS'!B134-'Silver Pensjonsforsikring AS'!B135</f>
        <v>-6471.7848400000003</v>
      </c>
      <c r="N118" s="77">
        <f>'Silver Pensjonsforsikring AS'!C11-'Silver Pensjonsforsikring AS'!C12+'Silver Pensjonsforsikring AS'!C32-'Silver Pensjonsforsikring AS'!C33+'Silver Pensjonsforsikring AS'!C36-'Silver Pensjonsforsikring AS'!C37+'Silver Pensjonsforsikring AS'!C109-'Silver Pensjonsforsikring AS'!C117+'Silver Pensjonsforsikring AS'!C134-'Silver Pensjonsforsikring AS'!C135</f>
        <v>0</v>
      </c>
      <c r="O118" s="74"/>
      <c r="Q118" s="74"/>
    </row>
    <row r="119" spans="1:17" ht="18.75" customHeight="1" x14ac:dyDescent="0.3">
      <c r="A119" s="74"/>
      <c r="B119" s="74"/>
      <c r="C119" s="74"/>
      <c r="D119" s="74"/>
      <c r="E119" s="74"/>
      <c r="F119" s="74"/>
      <c r="G119" s="74"/>
      <c r="H119" s="74"/>
      <c r="I119" s="74"/>
      <c r="J119" s="74"/>
      <c r="K119" s="74"/>
      <c r="L119" s="74" t="s">
        <v>75</v>
      </c>
      <c r="M119" s="77">
        <f>'Sparebank 1'!B11-'Sparebank 1'!B12+'Sparebank 1'!B32-'Sparebank 1'!B33+'Sparebank 1'!B36-'Sparebank 1'!B37+'Sparebank 1'!B109-'Sparebank 1'!B117+'Sparebank 1'!B134-'Sparebank 1'!B135</f>
        <v>64200.531299999988</v>
      </c>
      <c r="N119" s="77">
        <f>'Sparebank 1'!C11-'Sparebank 1'!C12+'Sparebank 1'!C32-'Sparebank 1'!C33+'Sparebank 1'!C36-'Sparebank 1'!C37+'Sparebank 1'!C109-'Sparebank 1'!C117+'Sparebank 1'!C134-'Sparebank 1'!C135</f>
        <v>1724.0824799999973</v>
      </c>
      <c r="O119" s="74"/>
      <c r="Q119" s="74"/>
    </row>
    <row r="120" spans="1:17" ht="18.75" customHeight="1" x14ac:dyDescent="0.3">
      <c r="A120" s="74"/>
      <c r="B120" s="74"/>
      <c r="C120" s="74"/>
      <c r="D120" s="74"/>
      <c r="E120" s="74"/>
      <c r="F120" s="74"/>
      <c r="G120" s="74"/>
      <c r="H120" s="74"/>
      <c r="I120" s="74"/>
      <c r="J120" s="74"/>
      <c r="K120" s="74"/>
      <c r="L120" s="74" t="s">
        <v>76</v>
      </c>
      <c r="M120" s="77">
        <f>'Storebrand Livsforsikring'!B11-'Storebrand Livsforsikring'!B12+'Storebrand Livsforsikring'!B32-'Storebrand Livsforsikring'!B33+'Storebrand Livsforsikring'!B36-'Storebrand Livsforsikring'!B37+'Storebrand Livsforsikring'!B109-'Storebrand Livsforsikring'!B117+'Storebrand Livsforsikring'!B134-'Storebrand Livsforsikring'!B135</f>
        <v>-1925751.284</v>
      </c>
      <c r="N120" s="77">
        <f>'Storebrand Livsforsikring'!C11-'Storebrand Livsforsikring'!C12+'Storebrand Livsforsikring'!C32-'Storebrand Livsforsikring'!C33+'Storebrand Livsforsikring'!C36-'Storebrand Livsforsikring'!C37+'Storebrand Livsforsikring'!C109-'Storebrand Livsforsikring'!C117+'Storebrand Livsforsikring'!C134-'Storebrand Livsforsikring'!C135</f>
        <v>-257188.065</v>
      </c>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ht="18.75" customHeight="1" x14ac:dyDescent="0.3">
      <c r="A123" s="74"/>
      <c r="B123" s="74"/>
      <c r="C123" s="74"/>
      <c r="D123" s="74"/>
      <c r="E123" s="74"/>
      <c r="F123" s="74"/>
      <c r="G123" s="74"/>
      <c r="H123" s="74"/>
      <c r="I123" s="74"/>
      <c r="J123" s="74"/>
      <c r="K123" s="74"/>
      <c r="M123" s="77"/>
      <c r="N123" s="77"/>
      <c r="O123" s="74"/>
    </row>
    <row r="124" spans="1:17" ht="18.75" customHeight="1" x14ac:dyDescent="0.3">
      <c r="A124" s="74"/>
      <c r="B124" s="74"/>
      <c r="C124" s="74"/>
      <c r="D124" s="74"/>
      <c r="E124" s="74"/>
      <c r="F124" s="74"/>
      <c r="G124" s="74"/>
      <c r="H124" s="74"/>
      <c r="I124" s="74"/>
      <c r="J124" s="74"/>
      <c r="K124" s="74"/>
      <c r="M124" s="77"/>
      <c r="N124" s="77"/>
      <c r="O124" s="74"/>
    </row>
    <row r="125" spans="1:17" ht="18.75" customHeight="1"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M127" s="77"/>
      <c r="N127" s="77"/>
      <c r="O127" s="74"/>
    </row>
    <row r="128" spans="1:17" x14ac:dyDescent="0.3">
      <c r="A128" s="74"/>
      <c r="B128" s="74"/>
      <c r="C128" s="74"/>
      <c r="D128" s="74"/>
      <c r="E128" s="74"/>
      <c r="F128" s="74"/>
      <c r="G128" s="74"/>
      <c r="H128" s="74"/>
      <c r="I128" s="74"/>
      <c r="J128" s="74"/>
      <c r="K128" s="74"/>
      <c r="M128" s="77"/>
      <c r="N128" s="77"/>
      <c r="O128" s="74"/>
    </row>
    <row r="129" spans="1:15" x14ac:dyDescent="0.3">
      <c r="A129" s="74"/>
      <c r="B129" s="74"/>
      <c r="C129" s="74"/>
      <c r="D129" s="74"/>
      <c r="E129" s="74"/>
      <c r="F129" s="74"/>
      <c r="G129" s="74"/>
      <c r="H129" s="74"/>
      <c r="I129" s="74"/>
      <c r="J129" s="74"/>
      <c r="K129" s="74"/>
      <c r="O129" s="74"/>
    </row>
    <row r="130" spans="1:15" x14ac:dyDescent="0.3">
      <c r="A130" s="74"/>
      <c r="B130" s="74"/>
      <c r="C130" s="74"/>
      <c r="D130" s="74"/>
      <c r="E130" s="74"/>
      <c r="F130" s="74"/>
      <c r="G130" s="74"/>
      <c r="H130" s="74"/>
      <c r="I130" s="74"/>
      <c r="J130" s="74"/>
      <c r="K130" s="74"/>
      <c r="O130" s="74"/>
    </row>
    <row r="131" spans="1:15" x14ac:dyDescent="0.3">
      <c r="A131" s="74"/>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5" t="s">
        <v>420</v>
      </c>
      <c r="B133" s="74"/>
      <c r="C133" s="74"/>
      <c r="D133" s="74"/>
      <c r="E133" s="74"/>
      <c r="F133" s="74"/>
      <c r="G133" s="74"/>
      <c r="H133" s="79"/>
      <c r="I133" s="74"/>
      <c r="J133" s="74"/>
      <c r="K133" s="74"/>
      <c r="O133" s="74"/>
    </row>
    <row r="134" spans="1:15" x14ac:dyDescent="0.3">
      <c r="B134" s="74"/>
      <c r="C134" s="74"/>
      <c r="D134" s="74"/>
      <c r="E134" s="74"/>
      <c r="F134" s="74"/>
      <c r="G134" s="74"/>
      <c r="H134" s="74"/>
      <c r="I134" s="74"/>
      <c r="J134" s="74"/>
      <c r="K134" s="74"/>
      <c r="O134" s="74"/>
    </row>
    <row r="135" spans="1:15" x14ac:dyDescent="0.3">
      <c r="A135" s="74"/>
      <c r="B135" s="74"/>
      <c r="C135" s="74"/>
      <c r="D135" s="74"/>
      <c r="E135" s="74"/>
      <c r="F135" s="74"/>
      <c r="G135" s="74"/>
      <c r="H135" s="74"/>
      <c r="I135" s="74"/>
      <c r="J135" s="74"/>
      <c r="K135" s="74"/>
      <c r="L135" s="75" t="s">
        <v>84</v>
      </c>
      <c r="M135" s="75"/>
      <c r="N135" s="75"/>
      <c r="O135" s="74"/>
    </row>
    <row r="136" spans="1:15" x14ac:dyDescent="0.3">
      <c r="A136" s="74"/>
      <c r="B136" s="74"/>
      <c r="C136" s="74"/>
      <c r="D136" s="74"/>
      <c r="E136" s="74"/>
      <c r="F136" s="74"/>
      <c r="G136" s="74"/>
      <c r="H136" s="74"/>
      <c r="I136" s="74"/>
      <c r="J136" s="74"/>
      <c r="K136" s="74"/>
      <c r="L136" s="75" t="s">
        <v>1</v>
      </c>
      <c r="M136" s="75"/>
      <c r="N136" s="75"/>
      <c r="O136" s="74"/>
    </row>
    <row r="137" spans="1:15" x14ac:dyDescent="0.3">
      <c r="A137" s="74"/>
      <c r="B137" s="74"/>
      <c r="C137" s="74"/>
      <c r="D137" s="74"/>
      <c r="E137" s="74"/>
      <c r="F137" s="74"/>
      <c r="G137" s="74"/>
      <c r="H137" s="74"/>
      <c r="I137" s="74"/>
      <c r="J137" s="74"/>
      <c r="K137" s="74"/>
      <c r="L137" s="75"/>
      <c r="M137" s="75">
        <v>2016</v>
      </c>
      <c r="N137" s="75">
        <v>2017</v>
      </c>
      <c r="O137" s="74"/>
    </row>
    <row r="138" spans="1:15" x14ac:dyDescent="0.3">
      <c r="A138" s="74"/>
      <c r="B138" s="74"/>
      <c r="C138" s="74"/>
      <c r="D138" s="74"/>
      <c r="E138" s="74"/>
      <c r="F138" s="74"/>
      <c r="G138" s="74"/>
      <c r="H138" s="74"/>
      <c r="I138" s="74"/>
      <c r="J138" s="74"/>
      <c r="K138" s="74"/>
      <c r="L138" s="74" t="s">
        <v>59</v>
      </c>
      <c r="M138" s="77">
        <f>'Danica Pensjonsforsikring'!F11-'Danica Pensjonsforsikring'!F12+'Danica Pensjonsforsikring'!F32-'Danica Pensjonsforsikring'!F33+'Danica Pensjonsforsikring'!F36-'Danica Pensjonsforsikring'!F37+'Danica Pensjonsforsikring'!F109-'Danica Pensjonsforsikring'!F117+'Danica Pensjonsforsikring'!F134-'Danica Pensjonsforsikring'!F135</f>
        <v>37077.396000000008</v>
      </c>
      <c r="N138" s="77">
        <f>'Danica Pensjonsforsikring'!G11-'Danica Pensjonsforsikring'!G12+'Danica Pensjonsforsikring'!G32-'Danica Pensjonsforsikring'!G33+'Danica Pensjonsforsikring'!G36-'Danica Pensjonsforsikring'!G37+'Danica Pensjonsforsikring'!G109-'Danica Pensjonsforsikring'!G117+'Danica Pensjonsforsikring'!G134-'Danica Pensjonsforsikring'!G135</f>
        <v>161022.16700000002</v>
      </c>
      <c r="O138" s="74"/>
    </row>
    <row r="139" spans="1:15" x14ac:dyDescent="0.3">
      <c r="A139" s="74"/>
      <c r="B139" s="74"/>
      <c r="C139" s="74"/>
      <c r="D139" s="74"/>
      <c r="E139" s="74"/>
      <c r="F139" s="74"/>
      <c r="G139" s="74"/>
      <c r="H139" s="74"/>
      <c r="I139" s="74"/>
      <c r="J139" s="74"/>
      <c r="K139" s="74"/>
      <c r="L139" s="74" t="s">
        <v>60</v>
      </c>
      <c r="M139" s="77">
        <f>'DNB Livsforsikring'!F11-'DNB Livsforsikring'!F12+'DNB Livsforsikring'!F32-'DNB Livsforsikring'!F33+'DNB Livsforsikring'!F36-'DNB Livsforsikring'!F37+'DNB Livsforsikring'!F109-'DNB Livsforsikring'!F117+'DNB Livsforsikring'!F134-'DNB Livsforsikring'!F135</f>
        <v>208921</v>
      </c>
      <c r="N139" s="77">
        <f>'DNB Livsforsikring'!G11-'DNB Livsforsikring'!G12+'DNB Livsforsikring'!G32-'DNB Livsforsikring'!G33+'DNB Livsforsikring'!G36-'DNB Livsforsikring'!G37+'DNB Livsforsikring'!G109-'DNB Livsforsikring'!G117+'DNB Livsforsikring'!G134-'DNB Livsforsikring'!G135</f>
        <v>1424944</v>
      </c>
      <c r="O139" s="74"/>
    </row>
    <row r="140" spans="1:15" x14ac:dyDescent="0.3">
      <c r="A140" s="74"/>
      <c r="B140" s="74"/>
      <c r="C140" s="74"/>
      <c r="D140" s="74"/>
      <c r="E140" s="74"/>
      <c r="F140" s="74"/>
      <c r="G140" s="74"/>
      <c r="H140" s="74"/>
      <c r="I140" s="74"/>
      <c r="J140" s="74"/>
      <c r="K140" s="74"/>
      <c r="L140" s="74" t="s">
        <v>62</v>
      </c>
      <c r="M140" s="77">
        <f>'Frende Livsforsikring'!F11-'Frende Livsforsikring'!F12+'Frende Livsforsikring'!F32-'Frende Livsforsikring'!F33+'Frende Livsforsikring'!F36-'Frende Livsforsikring'!F37+'Frende Livsforsikring'!F109-'Frende Livsforsikring'!F117+'Frende Livsforsikring'!F134-'Frende Livsforsikring'!F135</f>
        <v>-5750.4639999999999</v>
      </c>
      <c r="N140" s="77">
        <f>'Frende Livsforsikring'!G11-'Frende Livsforsikring'!G12+'Frende Livsforsikring'!G32-'Frende Livsforsikring'!G33+'Frende Livsforsikring'!G36-'Frende Livsforsikring'!G37+'Frende Livsforsikring'!G109-'Frende Livsforsikring'!G117+'Frende Livsforsikring'!G134-'Frende Livsforsikring'!G135</f>
        <v>-35332.91399999999</v>
      </c>
      <c r="O140" s="74"/>
    </row>
    <row r="141" spans="1:15" x14ac:dyDescent="0.3">
      <c r="A141" s="74"/>
      <c r="B141" s="74"/>
      <c r="C141" s="74"/>
      <c r="D141" s="74"/>
      <c r="E141" s="74"/>
      <c r="F141" s="74"/>
      <c r="G141" s="74"/>
      <c r="H141" s="74"/>
      <c r="I141" s="74"/>
      <c r="J141" s="74"/>
      <c r="K141" s="74"/>
      <c r="L141" s="79" t="s">
        <v>65</v>
      </c>
      <c r="M141" s="77">
        <f>'Gjensidige Pensjon'!F11-'Gjensidige Pensjon'!F12+'Gjensidige Pensjon'!F32-'Gjensidige Pensjon'!F33+'Gjensidige Pensjon'!F36-'Gjensidige Pensjon'!F37+'Gjensidige Pensjon'!F109-'Gjensidige Pensjon'!F117+'Gjensidige Pensjon'!F134-'Gjensidige Pensjon'!F135</f>
        <v>183221.28399999999</v>
      </c>
      <c r="N141" s="77">
        <f>'Gjensidige Pensjon'!G11-'Gjensidige Pensjon'!G12+'Gjensidige Pensjon'!G32-'Gjensidige Pensjon'!G33+'Gjensidige Pensjon'!G36-'Gjensidige Pensjon'!G37+'Gjensidige Pensjon'!G109-'Gjensidige Pensjon'!G117+'Gjensidige Pensjon'!G134-'Gjensidige Pensjon'!G135</f>
        <v>835231</v>
      </c>
      <c r="O141" s="74"/>
    </row>
    <row r="142" spans="1:15" x14ac:dyDescent="0.3">
      <c r="A142" s="74"/>
      <c r="B142" s="74"/>
      <c r="C142" s="74"/>
      <c r="D142" s="74"/>
      <c r="E142" s="74"/>
      <c r="F142" s="74"/>
      <c r="G142" s="74"/>
      <c r="H142" s="74"/>
      <c r="I142" s="74"/>
      <c r="J142" s="74"/>
      <c r="K142" s="74"/>
      <c r="L142" s="74" t="s">
        <v>69</v>
      </c>
      <c r="M142" s="77">
        <f>'KLP Bedriftspensjon AS'!F11-'KLP Bedriftspensjon AS'!F12+'KLP Bedriftspensjon AS'!F32-'KLP Bedriftspensjon AS'!F33+'KLP Bedriftspensjon AS'!F36-'KLP Bedriftspensjon AS'!F37+'KLP Bedriftspensjon AS'!F109-'KLP Bedriftspensjon AS'!F117+'KLP Bedriftspensjon AS'!F134-'KLP Bedriftspensjon AS'!F135</f>
        <v>32282</v>
      </c>
      <c r="N142" s="77">
        <f>'KLP Bedriftspensjon AS'!G11-'KLP Bedriftspensjon AS'!G12+'KLP Bedriftspensjon AS'!G32-'KLP Bedriftspensjon AS'!G33+'KLP Bedriftspensjon AS'!G36-'KLP Bedriftspensjon AS'!G37+'KLP Bedriftspensjon AS'!G109-'KLP Bedriftspensjon AS'!G117+'KLP Bedriftspensjon AS'!G134-'KLP Bedriftspensjon AS'!G135</f>
        <v>264421</v>
      </c>
      <c r="O142" s="74"/>
    </row>
    <row r="143" spans="1:15" x14ac:dyDescent="0.3">
      <c r="A143" s="74"/>
      <c r="B143" s="74"/>
      <c r="C143" s="74"/>
      <c r="D143" s="74"/>
      <c r="E143" s="74"/>
      <c r="F143" s="74"/>
      <c r="G143" s="74"/>
      <c r="H143" s="74"/>
      <c r="I143" s="74"/>
      <c r="J143" s="74"/>
      <c r="K143" s="74"/>
      <c r="L143" s="74" t="s">
        <v>73</v>
      </c>
      <c r="M143" s="77">
        <f>'Nordea Liv '!F11-'Nordea Liv '!F12+'Nordea Liv '!F32-'Nordea Liv '!F33+'Nordea Liv '!F36-'Nordea Liv '!F37+'Nordea Liv '!F109-'Nordea Liv '!F117+'Nordea Liv '!F134-'Nordea Liv '!F135</f>
        <v>-398530.23641999997</v>
      </c>
      <c r="N143" s="77">
        <f>'Nordea Liv '!G11-'Nordea Liv '!G12+'Nordea Liv '!G32-'Nordea Liv '!G33+'Nordea Liv '!G36-'Nordea Liv '!G37+'Nordea Liv '!G109-'Nordea Liv '!G117+'Nordea Liv '!G134-'Nordea Liv '!G135</f>
        <v>-874319.18146000011</v>
      </c>
      <c r="O143" s="74"/>
    </row>
    <row r="144" spans="1:15" x14ac:dyDescent="0.3">
      <c r="A144" s="74"/>
      <c r="B144" s="74"/>
      <c r="C144" s="74"/>
      <c r="D144" s="74"/>
      <c r="E144" s="74"/>
      <c r="F144" s="74"/>
      <c r="G144" s="74"/>
      <c r="H144" s="74"/>
      <c r="I144" s="74"/>
      <c r="J144" s="74"/>
      <c r="K144" s="74"/>
      <c r="L144" s="74" t="s">
        <v>79</v>
      </c>
      <c r="M144" s="77">
        <f>'SHB Liv'!F11-'SHB Liv'!F12+'SHB Liv'!F32-'SHB Liv'!F33+'SHB Liv'!F36-'SHB Liv'!F37+'SHB Liv'!F109-'SHB Liv'!F117+'SHB Liv'!F134-'SHB Liv'!F135</f>
        <v>48162</v>
      </c>
      <c r="N144" s="77">
        <f>'SHB Liv'!G11-'SHB Liv'!G12+'SHB Liv'!G32-'SHB Liv'!G33+'SHB Liv'!G36-'SHB Liv'!G37+'SHB Liv'!G109-'SHB Liv'!G117+'SHB Liv'!G134-'SHB Liv'!G135</f>
        <v>42014</v>
      </c>
      <c r="O144" s="74"/>
    </row>
    <row r="145" spans="1:15" x14ac:dyDescent="0.3">
      <c r="A145" s="74"/>
      <c r="B145" s="74"/>
      <c r="C145" s="74"/>
      <c r="D145" s="74"/>
      <c r="E145" s="74"/>
      <c r="F145" s="74"/>
      <c r="G145" s="74"/>
      <c r="H145" s="74"/>
      <c r="I145" s="74"/>
      <c r="J145" s="74"/>
      <c r="K145" s="74"/>
      <c r="L145" s="74" t="s">
        <v>80</v>
      </c>
      <c r="M145" s="77">
        <f>'Silver Pensjonsforsikring AS'!F11-'Silver Pensjonsforsikring AS'!F12+'Silver Pensjonsforsikring AS'!F32-'Silver Pensjonsforsikring AS'!F33+'Silver Pensjonsforsikring AS'!F36-'Silver Pensjonsforsikring AS'!F37+'Silver Pensjonsforsikring AS'!F109-'Silver Pensjonsforsikring AS'!F117+'Silver Pensjonsforsikring AS'!F134-'Silver Pensjonsforsikring AS'!F135</f>
        <v>-19388</v>
      </c>
      <c r="N145" s="77">
        <f>'Silver Pensjonsforsikring AS'!G11-'Silver Pensjonsforsikring AS'!G12+'Silver Pensjonsforsikring AS'!G32-'Silver Pensjonsforsikring AS'!G33+'Silver Pensjonsforsikring AS'!G36-'Silver Pensjonsforsikring AS'!G37+'Silver Pensjonsforsikring AS'!G109-'Silver Pensjonsforsikring AS'!G117+'Silver Pensjonsforsikring AS'!G134-'Silver Pensjonsforsikring AS'!G135</f>
        <v>0</v>
      </c>
      <c r="O145" s="74"/>
    </row>
    <row r="146" spans="1:15" x14ac:dyDescent="0.3">
      <c r="A146" s="74"/>
      <c r="B146" s="74"/>
      <c r="C146" s="74"/>
      <c r="D146" s="74"/>
      <c r="E146" s="74"/>
      <c r="F146" s="74"/>
      <c r="G146" s="74"/>
      <c r="H146" s="74"/>
      <c r="I146" s="74"/>
      <c r="J146" s="74"/>
      <c r="K146" s="74"/>
      <c r="L146" s="74" t="s">
        <v>75</v>
      </c>
      <c r="M146" s="77">
        <f>'Sparebank 1'!F11-'Sparebank 1'!F12+'Sparebank 1'!F32-'Sparebank 1'!F33+'Sparebank 1'!F36-'Sparebank 1'!F37+'Sparebank 1'!F109-'Sparebank 1'!F117+'Sparebank 1'!F134-'Sparebank 1'!F135</f>
        <v>654348.20671000006</v>
      </c>
      <c r="N146" s="77">
        <f>'Sparebank 1'!G11-'Sparebank 1'!G12+'Sparebank 1'!G32-'Sparebank 1'!G33+'Sparebank 1'!G36-'Sparebank 1'!G37+'Sparebank 1'!G109-'Sparebank 1'!G117+'Sparebank 1'!G134-'Sparebank 1'!G135</f>
        <v>413293.57460000005</v>
      </c>
      <c r="O146" s="74"/>
    </row>
    <row r="147" spans="1:15" x14ac:dyDescent="0.3">
      <c r="A147" s="74"/>
      <c r="B147" s="74"/>
      <c r="C147" s="74"/>
      <c r="D147" s="74"/>
      <c r="E147" s="74"/>
      <c r="F147" s="74"/>
      <c r="G147" s="74"/>
      <c r="H147" s="74"/>
      <c r="I147" s="74"/>
      <c r="J147" s="74"/>
      <c r="K147" s="74"/>
      <c r="L147" s="74" t="s">
        <v>81</v>
      </c>
      <c r="M147" s="77">
        <f>'Storebrand Livsforsikring'!F11-'Storebrand Livsforsikring'!F12+'Storebrand Livsforsikring'!F32-'Storebrand Livsforsikring'!F33+'Storebrand Livsforsikring'!F36-'Storebrand Livsforsikring'!F37+'Storebrand Livsforsikring'!F109-'Storebrand Livsforsikring'!F117+'Storebrand Livsforsikring'!F134-'Storebrand Livsforsikring'!F135</f>
        <v>-523421.85800000001</v>
      </c>
      <c r="N147" s="77">
        <f>'Storebrand Livsforsikring'!G11-'Storebrand Livsforsikring'!G12+'Storebrand Livsforsikring'!G32-'Storebrand Livsforsikring'!G33+'Storebrand Livsforsikring'!G36-'Storebrand Livsforsikring'!G37+'Storebrand Livsforsikring'!G109-'Storebrand Livsforsikring'!G117+'Storebrand Livsforsikring'!G134-'Storebrand Livsforsikring'!G135</f>
        <v>-2167031.818</v>
      </c>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A154" s="74"/>
      <c r="B154" s="74"/>
      <c r="C154" s="74"/>
      <c r="D154" s="74"/>
      <c r="E154" s="74"/>
      <c r="F154" s="74"/>
      <c r="G154" s="74"/>
      <c r="H154" s="74"/>
      <c r="I154" s="74"/>
      <c r="J154" s="74"/>
      <c r="K154" s="74"/>
      <c r="O154" s="74"/>
    </row>
    <row r="155" spans="1:15" x14ac:dyDescent="0.3">
      <c r="A155" s="74"/>
      <c r="B155" s="74"/>
      <c r="C155" s="74"/>
      <c r="D155" s="74"/>
      <c r="E155" s="74"/>
      <c r="F155" s="74"/>
      <c r="G155" s="74"/>
      <c r="H155" s="74"/>
      <c r="I155" s="74"/>
      <c r="J155" s="74"/>
      <c r="K155" s="74"/>
      <c r="O155" s="74"/>
    </row>
    <row r="156" spans="1:15" x14ac:dyDescent="0.3">
      <c r="A156" s="74"/>
      <c r="B156" s="74"/>
      <c r="C156" s="74"/>
      <c r="D156" s="74"/>
      <c r="E156" s="74"/>
      <c r="F156" s="74"/>
      <c r="G156" s="74"/>
      <c r="H156" s="74"/>
      <c r="I156" s="74"/>
      <c r="J156" s="74"/>
      <c r="K156" s="74"/>
      <c r="O156" s="74"/>
    </row>
    <row r="157" spans="1:15" x14ac:dyDescent="0.3">
      <c r="A157" s="74"/>
      <c r="B157" s="74"/>
      <c r="C157" s="74"/>
      <c r="D157" s="74"/>
      <c r="E157" s="74"/>
      <c r="F157" s="74"/>
      <c r="G157" s="74"/>
      <c r="H157" s="74"/>
      <c r="I157" s="74"/>
      <c r="J157" s="74"/>
      <c r="K157" s="74"/>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O170" s="74"/>
    </row>
    <row r="171" spans="1:15" x14ac:dyDescent="0.3">
      <c r="O171" s="74"/>
    </row>
    <row r="172" spans="1:15" x14ac:dyDescent="0.3">
      <c r="O172" s="74"/>
    </row>
    <row r="173" spans="1:15" x14ac:dyDescent="0.3">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row r="177" spans="1:15" x14ac:dyDescent="0.3">
      <c r="A177" s="74"/>
      <c r="B177" s="74"/>
      <c r="C177" s="74"/>
      <c r="D177" s="74"/>
      <c r="E177" s="74"/>
      <c r="F177" s="74"/>
      <c r="G177" s="74"/>
      <c r="H177" s="74"/>
      <c r="I177" s="74"/>
      <c r="J177" s="74"/>
      <c r="K177" s="74"/>
      <c r="O177" s="74"/>
    </row>
    <row r="178" spans="1:15" x14ac:dyDescent="0.3">
      <c r="A178" s="74"/>
      <c r="B178" s="74"/>
      <c r="C178" s="74"/>
      <c r="D178" s="74"/>
      <c r="E178" s="74"/>
      <c r="F178" s="74"/>
      <c r="G178" s="74"/>
      <c r="H178" s="74"/>
      <c r="I178" s="74"/>
      <c r="J178" s="74"/>
      <c r="K178" s="74"/>
      <c r="O178" s="74"/>
    </row>
    <row r="179" spans="1:15" x14ac:dyDescent="0.3">
      <c r="A179" s="74"/>
      <c r="B179" s="74"/>
      <c r="C179" s="74"/>
      <c r="D179" s="74"/>
      <c r="E179" s="74"/>
      <c r="F179" s="74"/>
      <c r="G179" s="74"/>
      <c r="H179" s="74"/>
      <c r="I179" s="74"/>
      <c r="J179" s="74"/>
      <c r="K179" s="74"/>
      <c r="O179" s="74"/>
    </row>
    <row r="180" spans="1:15" x14ac:dyDescent="0.3">
      <c r="A180" s="74"/>
      <c r="B180" s="74"/>
      <c r="C180" s="74"/>
      <c r="D180" s="74"/>
      <c r="E180" s="74"/>
      <c r="F180" s="74"/>
      <c r="G180" s="74"/>
      <c r="H180" s="74"/>
      <c r="I180" s="74"/>
      <c r="J180" s="74"/>
      <c r="K180" s="74"/>
      <c r="O180" s="74"/>
    </row>
  </sheetData>
  <hyperlinks>
    <hyperlink ref="A1" location="Innhold!A1" display="Tilbake"/>
  </hyperlink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3"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112</v>
      </c>
      <c r="D1" s="26"/>
      <c r="E1" s="26"/>
      <c r="F1" s="26"/>
      <c r="G1" s="26"/>
      <c r="H1" s="26"/>
      <c r="I1" s="26"/>
      <c r="J1" s="26"/>
      <c r="K1" s="26"/>
      <c r="L1" s="26"/>
      <c r="M1" s="26"/>
    </row>
    <row r="2" spans="1:14" ht="15.75" x14ac:dyDescent="0.25">
      <c r="A2" s="164" t="s">
        <v>32</v>
      </c>
      <c r="B2" s="679"/>
      <c r="C2" s="679"/>
      <c r="D2" s="679"/>
      <c r="E2" s="297"/>
      <c r="F2" s="679"/>
      <c r="G2" s="679"/>
      <c r="H2" s="679"/>
      <c r="I2" s="297"/>
      <c r="J2" s="679"/>
      <c r="K2" s="679"/>
      <c r="L2" s="679"/>
      <c r="M2" s="297"/>
    </row>
    <row r="3" spans="1:14" ht="15.75" x14ac:dyDescent="0.25">
      <c r="A3" s="162"/>
      <c r="B3" s="297"/>
      <c r="C3" s="297"/>
      <c r="D3" s="297"/>
      <c r="E3" s="297"/>
      <c r="F3" s="297"/>
      <c r="G3" s="297"/>
      <c r="H3" s="297"/>
      <c r="I3" s="297"/>
      <c r="J3" s="297"/>
      <c r="K3" s="297"/>
      <c r="L3" s="297"/>
      <c r="M3" s="297"/>
    </row>
    <row r="4" spans="1:14" x14ac:dyDescent="0.2">
      <c r="A4" s="143"/>
      <c r="B4" s="676" t="s">
        <v>0</v>
      </c>
      <c r="C4" s="677"/>
      <c r="D4" s="677"/>
      <c r="E4" s="299"/>
      <c r="F4" s="676" t="s">
        <v>1</v>
      </c>
      <c r="G4" s="677"/>
      <c r="H4" s="677"/>
      <c r="I4" s="302"/>
      <c r="J4" s="676" t="s">
        <v>2</v>
      </c>
      <c r="K4" s="677"/>
      <c r="L4" s="677"/>
      <c r="M4" s="302"/>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c r="C7" s="305"/>
      <c r="D7" s="344"/>
      <c r="E7" s="11"/>
      <c r="F7" s="304"/>
      <c r="G7" s="305"/>
      <c r="H7" s="344"/>
      <c r="I7" s="159"/>
      <c r="J7" s="306"/>
      <c r="K7" s="307"/>
      <c r="L7" s="403"/>
      <c r="M7" s="11"/>
    </row>
    <row r="8" spans="1:14" ht="15.75" x14ac:dyDescent="0.2">
      <c r="A8" s="21" t="s">
        <v>29</v>
      </c>
      <c r="B8" s="286"/>
      <c r="C8" s="287"/>
      <c r="D8" s="165"/>
      <c r="E8" s="27"/>
      <c r="F8" s="423"/>
      <c r="G8" s="424"/>
      <c r="H8" s="170"/>
      <c r="I8" s="175"/>
      <c r="J8" s="234"/>
      <c r="K8" s="290"/>
      <c r="L8" s="165"/>
      <c r="M8" s="27"/>
    </row>
    <row r="9" spans="1:14" ht="15.75" x14ac:dyDescent="0.2">
      <c r="A9" s="21" t="s">
        <v>28</v>
      </c>
      <c r="B9" s="286"/>
      <c r="C9" s="287"/>
      <c r="D9" s="165"/>
      <c r="E9" s="27"/>
      <c r="F9" s="423"/>
      <c r="G9" s="424"/>
      <c r="H9" s="170"/>
      <c r="I9" s="175"/>
      <c r="J9" s="234"/>
      <c r="K9" s="290"/>
      <c r="L9" s="165"/>
      <c r="M9" s="27"/>
    </row>
    <row r="10" spans="1:14" ht="15.75" x14ac:dyDescent="0.2">
      <c r="A10" s="13" t="s">
        <v>26</v>
      </c>
      <c r="B10" s="308"/>
      <c r="C10" s="309"/>
      <c r="D10" s="170"/>
      <c r="E10" s="11"/>
      <c r="F10" s="308"/>
      <c r="G10" s="309"/>
      <c r="H10" s="170"/>
      <c r="I10" s="159"/>
      <c r="J10" s="306"/>
      <c r="K10" s="307"/>
      <c r="L10" s="404"/>
      <c r="M10" s="11"/>
    </row>
    <row r="11" spans="1:14" s="43" customFormat="1" ht="15.75" x14ac:dyDescent="0.2">
      <c r="A11" s="13" t="s">
        <v>25</v>
      </c>
      <c r="B11" s="308"/>
      <c r="C11" s="309"/>
      <c r="D11" s="170"/>
      <c r="E11" s="11"/>
      <c r="F11" s="308"/>
      <c r="G11" s="309"/>
      <c r="H11" s="170"/>
      <c r="I11" s="159"/>
      <c r="J11" s="306"/>
      <c r="K11" s="307"/>
      <c r="L11" s="404"/>
      <c r="M11" s="11"/>
      <c r="N11" s="142"/>
    </row>
    <row r="12" spans="1:14" s="43" customFormat="1" ht="15.75" x14ac:dyDescent="0.2">
      <c r="A12" s="41" t="s">
        <v>24</v>
      </c>
      <c r="B12" s="310"/>
      <c r="C12" s="311"/>
      <c r="D12" s="168"/>
      <c r="E12" s="36"/>
      <c r="F12" s="310"/>
      <c r="G12" s="311"/>
      <c r="H12" s="168"/>
      <c r="I12" s="168"/>
      <c r="J12" s="312"/>
      <c r="K12" s="313"/>
      <c r="L12" s="405"/>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297"/>
      <c r="F18" s="680"/>
      <c r="G18" s="680"/>
      <c r="H18" s="680"/>
      <c r="I18" s="297"/>
      <c r="J18" s="680"/>
      <c r="K18" s="680"/>
      <c r="L18" s="680"/>
      <c r="M18" s="297"/>
    </row>
    <row r="19" spans="1:14" x14ac:dyDescent="0.2">
      <c r="A19" s="143"/>
      <c r="B19" s="676" t="s">
        <v>0</v>
      </c>
      <c r="C19" s="677"/>
      <c r="D19" s="677"/>
      <c r="E19" s="299"/>
      <c r="F19" s="676" t="s">
        <v>1</v>
      </c>
      <c r="G19" s="677"/>
      <c r="H19" s="677"/>
      <c r="I19" s="302"/>
      <c r="J19" s="676" t="s">
        <v>2</v>
      </c>
      <c r="K19" s="677"/>
      <c r="L19" s="677"/>
      <c r="M19" s="302"/>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14"/>
      <c r="C22" s="315"/>
      <c r="D22" s="344"/>
      <c r="E22" s="11"/>
      <c r="F22" s="316"/>
      <c r="G22" s="315"/>
      <c r="H22" s="344"/>
      <c r="I22" s="11"/>
      <c r="J22" s="314"/>
      <c r="K22" s="314"/>
      <c r="L22" s="403"/>
      <c r="M22" s="24"/>
    </row>
    <row r="23" spans="1:14" ht="15.75" x14ac:dyDescent="0.2">
      <c r="A23" s="413" t="s">
        <v>305</v>
      </c>
      <c r="B23" s="423" t="s">
        <v>413</v>
      </c>
      <c r="C23" s="423" t="s">
        <v>413</v>
      </c>
      <c r="D23" s="165"/>
      <c r="E23" s="393"/>
      <c r="F23" s="423"/>
      <c r="G23" s="423"/>
      <c r="H23" s="165"/>
      <c r="I23" s="393"/>
      <c r="J23" s="423"/>
      <c r="K23" s="423"/>
      <c r="L23" s="165"/>
      <c r="M23" s="23"/>
    </row>
    <row r="24" spans="1:14" ht="15.75" x14ac:dyDescent="0.2">
      <c r="A24" s="413" t="s">
        <v>306</v>
      </c>
      <c r="B24" s="423" t="s">
        <v>413</v>
      </c>
      <c r="C24" s="423" t="s">
        <v>413</v>
      </c>
      <c r="D24" s="165"/>
      <c r="E24" s="393"/>
      <c r="F24" s="423"/>
      <c r="G24" s="423"/>
      <c r="H24" s="165"/>
      <c r="I24" s="393"/>
      <c r="J24" s="423"/>
      <c r="K24" s="423"/>
      <c r="L24" s="165"/>
      <c r="M24" s="23"/>
    </row>
    <row r="25" spans="1:14" ht="15.75" x14ac:dyDescent="0.2">
      <c r="A25" s="413" t="s">
        <v>307</v>
      </c>
      <c r="B25" s="423" t="s">
        <v>413</v>
      </c>
      <c r="C25" s="423" t="s">
        <v>413</v>
      </c>
      <c r="D25" s="165"/>
      <c r="E25" s="393"/>
      <c r="F25" s="423"/>
      <c r="G25" s="423"/>
      <c r="H25" s="165"/>
      <c r="I25" s="393"/>
      <c r="J25" s="423"/>
      <c r="K25" s="423"/>
      <c r="L25" s="165"/>
      <c r="M25" s="23"/>
    </row>
    <row r="26" spans="1:14" x14ac:dyDescent="0.2">
      <c r="A26" s="413" t="s">
        <v>11</v>
      </c>
      <c r="B26" s="423" t="s">
        <v>413</v>
      </c>
      <c r="C26" s="423" t="s">
        <v>413</v>
      </c>
      <c r="D26" s="165"/>
      <c r="E26" s="393"/>
      <c r="F26" s="423"/>
      <c r="G26" s="423"/>
      <c r="H26" s="165"/>
      <c r="I26" s="393"/>
      <c r="J26" s="423"/>
      <c r="K26" s="423"/>
      <c r="L26" s="165"/>
      <c r="M26" s="23"/>
    </row>
    <row r="27" spans="1:14" ht="15.75" x14ac:dyDescent="0.2">
      <c r="A27" s="49" t="s">
        <v>297</v>
      </c>
      <c r="B27" s="44"/>
      <c r="C27" s="290"/>
      <c r="D27" s="165"/>
      <c r="E27" s="27"/>
      <c r="F27" s="234"/>
      <c r="G27" s="290"/>
      <c r="H27" s="165"/>
      <c r="I27" s="27"/>
      <c r="J27" s="44"/>
      <c r="K27" s="44"/>
      <c r="L27" s="259"/>
      <c r="M27" s="23"/>
    </row>
    <row r="28" spans="1:14" s="3" customFormat="1" ht="15.75" x14ac:dyDescent="0.2">
      <c r="A28" s="13" t="s">
        <v>26</v>
      </c>
      <c r="B28" s="236"/>
      <c r="C28" s="307"/>
      <c r="D28" s="170"/>
      <c r="E28" s="11"/>
      <c r="F28" s="306"/>
      <c r="G28" s="307"/>
      <c r="H28" s="170"/>
      <c r="I28" s="11"/>
      <c r="J28" s="236"/>
      <c r="K28" s="236"/>
      <c r="L28" s="404"/>
      <c r="M28" s="24"/>
      <c r="N28" s="147"/>
    </row>
    <row r="29" spans="1:14" s="3" customFormat="1" ht="15.75" x14ac:dyDescent="0.2">
      <c r="A29" s="413" t="s">
        <v>305</v>
      </c>
      <c r="B29" s="423" t="s">
        <v>413</v>
      </c>
      <c r="C29" s="423" t="s">
        <v>413</v>
      </c>
      <c r="D29" s="165"/>
      <c r="E29" s="393"/>
      <c r="F29" s="423"/>
      <c r="G29" s="423"/>
      <c r="H29" s="165"/>
      <c r="I29" s="393"/>
      <c r="J29" s="423"/>
      <c r="K29" s="423"/>
      <c r="L29" s="165"/>
      <c r="M29" s="23"/>
      <c r="N29" s="147"/>
    </row>
    <row r="30" spans="1:14" s="3" customFormat="1" ht="15.75" x14ac:dyDescent="0.2">
      <c r="A30" s="413" t="s">
        <v>306</v>
      </c>
      <c r="B30" s="423" t="s">
        <v>413</v>
      </c>
      <c r="C30" s="423" t="s">
        <v>413</v>
      </c>
      <c r="D30" s="165"/>
      <c r="E30" s="393"/>
      <c r="F30" s="423"/>
      <c r="G30" s="423"/>
      <c r="H30" s="165"/>
      <c r="I30" s="393"/>
      <c r="J30" s="423"/>
      <c r="K30" s="423"/>
      <c r="L30" s="165"/>
      <c r="M30" s="23"/>
      <c r="N30" s="147"/>
    </row>
    <row r="31" spans="1:14" ht="15.75" x14ac:dyDescent="0.2">
      <c r="A31" s="413" t="s">
        <v>307</v>
      </c>
      <c r="B31" s="423" t="s">
        <v>413</v>
      </c>
      <c r="C31" s="423" t="s">
        <v>413</v>
      </c>
      <c r="D31" s="165"/>
      <c r="E31" s="393"/>
      <c r="F31" s="423"/>
      <c r="G31" s="423"/>
      <c r="H31" s="165"/>
      <c r="I31" s="393"/>
      <c r="J31" s="423"/>
      <c r="K31" s="423"/>
      <c r="L31" s="165"/>
      <c r="M31" s="23"/>
    </row>
    <row r="32" spans="1:14" ht="15.75" x14ac:dyDescent="0.2">
      <c r="A32" s="13" t="s">
        <v>25</v>
      </c>
      <c r="B32" s="236"/>
      <c r="C32" s="307"/>
      <c r="D32" s="170"/>
      <c r="E32" s="11"/>
      <c r="F32" s="306"/>
      <c r="G32" s="307"/>
      <c r="H32" s="170"/>
      <c r="I32" s="11"/>
      <c r="J32" s="236"/>
      <c r="K32" s="236"/>
      <c r="L32" s="404"/>
      <c r="M32" s="24"/>
    </row>
    <row r="33" spans="1:14" ht="15.75" x14ac:dyDescent="0.2">
      <c r="A33" s="13" t="s">
        <v>24</v>
      </c>
      <c r="B33" s="236"/>
      <c r="C33" s="307"/>
      <c r="D33" s="170"/>
      <c r="E33" s="11"/>
      <c r="F33" s="306"/>
      <c r="G33" s="307"/>
      <c r="H33" s="170"/>
      <c r="I33" s="11"/>
      <c r="J33" s="236"/>
      <c r="K33" s="236"/>
      <c r="L33" s="404"/>
      <c r="M33" s="24"/>
    </row>
    <row r="34" spans="1:14" ht="15.75" x14ac:dyDescent="0.2">
      <c r="A34" s="12" t="s">
        <v>308</v>
      </c>
      <c r="B34" s="236"/>
      <c r="C34" s="307"/>
      <c r="D34" s="170"/>
      <c r="E34" s="11"/>
      <c r="F34" s="425"/>
      <c r="G34" s="426"/>
      <c r="H34" s="170"/>
      <c r="I34" s="410"/>
      <c r="J34" s="236"/>
      <c r="K34" s="236"/>
      <c r="L34" s="404"/>
      <c r="M34" s="24"/>
    </row>
    <row r="35" spans="1:14" ht="15.75" x14ac:dyDescent="0.2">
      <c r="A35" s="12" t="s">
        <v>309</v>
      </c>
      <c r="B35" s="236"/>
      <c r="C35" s="307"/>
      <c r="D35" s="170"/>
      <c r="E35" s="11"/>
      <c r="F35" s="425"/>
      <c r="G35" s="427"/>
      <c r="H35" s="170"/>
      <c r="I35" s="410"/>
      <c r="J35" s="236"/>
      <c r="K35" s="236"/>
      <c r="L35" s="404"/>
      <c r="M35" s="24"/>
    </row>
    <row r="36" spans="1:14" ht="15.75" x14ac:dyDescent="0.2">
      <c r="A36" s="12" t="s">
        <v>310</v>
      </c>
      <c r="B36" s="236"/>
      <c r="C36" s="307"/>
      <c r="D36" s="408"/>
      <c r="E36" s="24"/>
      <c r="F36" s="425"/>
      <c r="G36" s="426"/>
      <c r="H36" s="170"/>
      <c r="I36" s="410"/>
      <c r="J36" s="236"/>
      <c r="K36" s="236"/>
      <c r="L36" s="404"/>
      <c r="M36" s="24"/>
    </row>
    <row r="37" spans="1:14" ht="15.75" x14ac:dyDescent="0.2">
      <c r="A37" s="18" t="s">
        <v>311</v>
      </c>
      <c r="B37" s="281"/>
      <c r="C37" s="313"/>
      <c r="D37" s="409"/>
      <c r="E37" s="36"/>
      <c r="F37" s="428"/>
      <c r="G37" s="429"/>
      <c r="H37" s="168"/>
      <c r="I37" s="36"/>
      <c r="J37" s="236"/>
      <c r="K37" s="236"/>
      <c r="L37" s="405"/>
      <c r="M37" s="36"/>
    </row>
    <row r="38" spans="1:14" ht="15.75" x14ac:dyDescent="0.25">
      <c r="A38" s="47"/>
      <c r="B38" s="258"/>
      <c r="C38" s="258"/>
      <c r="D38" s="681"/>
      <c r="E38" s="682"/>
      <c r="F38" s="681"/>
      <c r="G38" s="681"/>
      <c r="H38" s="681"/>
      <c r="I38" s="681"/>
      <c r="J38" s="681"/>
      <c r="K38" s="681"/>
      <c r="L38" s="681"/>
      <c r="M38" s="300"/>
    </row>
    <row r="39" spans="1:14" x14ac:dyDescent="0.2">
      <c r="A39" s="154"/>
    </row>
    <row r="40" spans="1:14" ht="15.75" x14ac:dyDescent="0.25">
      <c r="A40" s="146" t="s">
        <v>294</v>
      </c>
      <c r="B40" s="679"/>
      <c r="C40" s="679"/>
      <c r="D40" s="679"/>
      <c r="E40" s="297"/>
      <c r="F40" s="682"/>
      <c r="G40" s="682"/>
      <c r="H40" s="682"/>
      <c r="I40" s="300"/>
      <c r="J40" s="682"/>
      <c r="K40" s="682"/>
      <c r="L40" s="682"/>
      <c r="M40" s="300"/>
    </row>
    <row r="41" spans="1:14" ht="15.75" x14ac:dyDescent="0.25">
      <c r="A41" s="162"/>
      <c r="B41" s="301"/>
      <c r="C41" s="301"/>
      <c r="D41" s="301"/>
      <c r="E41" s="301"/>
      <c r="F41" s="300"/>
      <c r="G41" s="300"/>
      <c r="H41" s="300"/>
      <c r="I41" s="300"/>
      <c r="J41" s="300"/>
      <c r="K41" s="300"/>
      <c r="L41" s="300"/>
      <c r="M41" s="300"/>
    </row>
    <row r="42" spans="1:14" ht="15.75" x14ac:dyDescent="0.25">
      <c r="A42" s="249"/>
      <c r="B42" s="676" t="s">
        <v>0</v>
      </c>
      <c r="C42" s="677"/>
      <c r="D42" s="677"/>
      <c r="E42" s="244"/>
      <c r="F42" s="300"/>
      <c r="G42" s="300"/>
      <c r="H42" s="300"/>
      <c r="I42" s="300"/>
      <c r="J42" s="300"/>
      <c r="K42" s="300"/>
      <c r="L42" s="300"/>
      <c r="M42" s="300"/>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472129.78125</v>
      </c>
      <c r="C45" s="309">
        <v>458748.43799999997</v>
      </c>
      <c r="D45" s="403">
        <f t="shared" ref="D45:D56" si="0">IF(B45=0, "    ---- ", IF(ABS(ROUND(100/B45*C45-100,1))&lt;999,ROUND(100/B45*C45-100,1),IF(ROUND(100/B45*C45-100,1)&gt;999,999,-999)))</f>
        <v>-2.8</v>
      </c>
      <c r="E45" s="11">
        <f>IFERROR(100/'Skjema total MA'!C45*C45,0)</f>
        <v>16.730443809912714</v>
      </c>
      <c r="F45" s="144"/>
      <c r="G45" s="33"/>
      <c r="H45" s="158"/>
      <c r="I45" s="158"/>
      <c r="J45" s="37"/>
      <c r="K45" s="37"/>
      <c r="L45" s="158"/>
      <c r="M45" s="158"/>
      <c r="N45" s="147"/>
    </row>
    <row r="46" spans="1:14" s="3" customFormat="1" ht="15.75" x14ac:dyDescent="0.2">
      <c r="A46" s="38" t="s">
        <v>312</v>
      </c>
      <c r="B46" s="286">
        <v>192905.44025000001</v>
      </c>
      <c r="C46" s="287">
        <v>179264.53099999999</v>
      </c>
      <c r="D46" s="259">
        <f t="shared" si="0"/>
        <v>-7.1</v>
      </c>
      <c r="E46" s="27">
        <f>IFERROR(100/'Skjema total MA'!C46*C46,0)</f>
        <v>12.316098022780569</v>
      </c>
      <c r="F46" s="144"/>
      <c r="G46" s="33"/>
      <c r="H46" s="144"/>
      <c r="I46" s="144"/>
      <c r="J46" s="33"/>
      <c r="K46" s="33"/>
      <c r="L46" s="158"/>
      <c r="M46" s="158"/>
      <c r="N46" s="147"/>
    </row>
    <row r="47" spans="1:14" s="3" customFormat="1" ht="15.75" x14ac:dyDescent="0.2">
      <c r="A47" s="38" t="s">
        <v>313</v>
      </c>
      <c r="B47" s="44">
        <v>279224.34100000001</v>
      </c>
      <c r="C47" s="290">
        <v>279483.90700000001</v>
      </c>
      <c r="D47" s="259">
        <f>IF(B47=0, "    ---- ", IF(ABS(ROUND(100/B47*C47-100,1))&lt;999,ROUND(100/B47*C47-100,1),IF(ROUND(100/B47*C47-100,1)&gt;999,999,-999)))</f>
        <v>0.1</v>
      </c>
      <c r="E47" s="27">
        <f>IFERROR(100/'Skjema total MA'!C47*C47,0)</f>
        <v>21.724905291694583</v>
      </c>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v>13790.199999999999</v>
      </c>
      <c r="C51" s="309">
        <v>13627.451999999999</v>
      </c>
      <c r="D51" s="404">
        <f t="shared" si="0"/>
        <v>-1.2</v>
      </c>
      <c r="E51" s="11">
        <f>IFERROR(100/'Skjema total MA'!C51*C51,0)</f>
        <v>9.619409366113949</v>
      </c>
      <c r="F51" s="144"/>
      <c r="G51" s="33"/>
      <c r="H51" s="144"/>
      <c r="I51" s="144"/>
      <c r="J51" s="33"/>
      <c r="K51" s="33"/>
      <c r="L51" s="158"/>
      <c r="M51" s="158"/>
      <c r="N51" s="147"/>
    </row>
    <row r="52" spans="1:14" s="3" customFormat="1" ht="15.75" x14ac:dyDescent="0.2">
      <c r="A52" s="38" t="s">
        <v>312</v>
      </c>
      <c r="B52" s="286">
        <v>13652.8</v>
      </c>
      <c r="C52" s="287">
        <v>11444.552</v>
      </c>
      <c r="D52" s="259">
        <f t="shared" si="0"/>
        <v>-16.2</v>
      </c>
      <c r="E52" s="27">
        <f>IFERROR(100/'Skjema total MA'!C52*C52,0)</f>
        <v>13.57319505345184</v>
      </c>
      <c r="F52" s="144"/>
      <c r="G52" s="33"/>
      <c r="H52" s="144"/>
      <c r="I52" s="144"/>
      <c r="J52" s="33"/>
      <c r="K52" s="33"/>
      <c r="L52" s="158"/>
      <c r="M52" s="158"/>
      <c r="N52" s="147"/>
    </row>
    <row r="53" spans="1:14" s="3" customFormat="1" ht="15.75" x14ac:dyDescent="0.2">
      <c r="A53" s="38" t="s">
        <v>313</v>
      </c>
      <c r="B53" s="286">
        <v>137.4</v>
      </c>
      <c r="C53" s="287">
        <v>2182.9</v>
      </c>
      <c r="D53" s="259">
        <f t="shared" si="0"/>
        <v>999</v>
      </c>
      <c r="E53" s="27">
        <f>IFERROR(100/'Skjema total MA'!C53*C53,0)</f>
        <v>3.8063502525767712</v>
      </c>
      <c r="F53" s="144"/>
      <c r="G53" s="33"/>
      <c r="H53" s="144"/>
      <c r="I53" s="144"/>
      <c r="J53" s="33"/>
      <c r="K53" s="33"/>
      <c r="L53" s="158"/>
      <c r="M53" s="158"/>
      <c r="N53" s="147"/>
    </row>
    <row r="54" spans="1:14" s="3" customFormat="1" ht="15.75" x14ac:dyDescent="0.2">
      <c r="A54" s="39" t="s">
        <v>315</v>
      </c>
      <c r="B54" s="308">
        <v>41554.200000000004</v>
      </c>
      <c r="C54" s="309">
        <v>12299.998</v>
      </c>
      <c r="D54" s="404">
        <f t="shared" si="0"/>
        <v>-70.400000000000006</v>
      </c>
      <c r="E54" s="11">
        <f>IFERROR(100/'Skjema total MA'!C54*C54,0)</f>
        <v>14.250216180448826</v>
      </c>
      <c r="F54" s="144"/>
      <c r="G54" s="33"/>
      <c r="H54" s="144"/>
      <c r="I54" s="144"/>
      <c r="J54" s="33"/>
      <c r="K54" s="33"/>
      <c r="L54" s="158"/>
      <c r="M54" s="158"/>
      <c r="N54" s="147"/>
    </row>
    <row r="55" spans="1:14" s="3" customFormat="1" ht="15.75" x14ac:dyDescent="0.2">
      <c r="A55" s="38" t="s">
        <v>312</v>
      </c>
      <c r="B55" s="286">
        <v>41473.9</v>
      </c>
      <c r="C55" s="287">
        <v>12299.998</v>
      </c>
      <c r="D55" s="259">
        <f t="shared" si="0"/>
        <v>-70.3</v>
      </c>
      <c r="E55" s="27">
        <f>IFERROR(100/'Skjema total MA'!C55*C55,0)</f>
        <v>14.250216180448826</v>
      </c>
      <c r="F55" s="144"/>
      <c r="G55" s="33"/>
      <c r="H55" s="144"/>
      <c r="I55" s="144"/>
      <c r="J55" s="33"/>
      <c r="K55" s="33"/>
      <c r="L55" s="158"/>
      <c r="M55" s="158"/>
      <c r="N55" s="147"/>
    </row>
    <row r="56" spans="1:14" s="3" customFormat="1" ht="15.75" x14ac:dyDescent="0.2">
      <c r="A56" s="46" t="s">
        <v>313</v>
      </c>
      <c r="B56" s="288">
        <v>80.3</v>
      </c>
      <c r="C56" s="289"/>
      <c r="D56" s="260">
        <f t="shared" si="0"/>
        <v>-100</v>
      </c>
      <c r="E56" s="22">
        <f>IFERROR(100/'Skjema total MA'!C56*C56,0)</f>
        <v>0</v>
      </c>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297"/>
      <c r="F60" s="680"/>
      <c r="G60" s="680"/>
      <c r="H60" s="680"/>
      <c r="I60" s="297"/>
      <c r="J60" s="680"/>
      <c r="K60" s="680"/>
      <c r="L60" s="680"/>
      <c r="M60" s="297"/>
    </row>
    <row r="61" spans="1:14" x14ac:dyDescent="0.2">
      <c r="A61" s="143"/>
      <c r="B61" s="676" t="s">
        <v>0</v>
      </c>
      <c r="C61" s="677"/>
      <c r="D61" s="678"/>
      <c r="E61" s="298"/>
      <c r="F61" s="677" t="s">
        <v>1</v>
      </c>
      <c r="G61" s="677"/>
      <c r="H61" s="677"/>
      <c r="I61" s="302"/>
      <c r="J61" s="676" t="s">
        <v>2</v>
      </c>
      <c r="K61" s="677"/>
      <c r="L61" s="677"/>
      <c r="M61" s="302"/>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c r="C64" s="347"/>
      <c r="D64" s="344"/>
      <c r="E64" s="11"/>
      <c r="F64" s="346"/>
      <c r="G64" s="346"/>
      <c r="H64" s="344"/>
      <c r="I64" s="11"/>
      <c r="J64" s="307"/>
      <c r="K64" s="314"/>
      <c r="L64" s="404"/>
      <c r="M64" s="11"/>
    </row>
    <row r="65" spans="1:14" x14ac:dyDescent="0.2">
      <c r="A65" s="395" t="s">
        <v>9</v>
      </c>
      <c r="B65" s="44"/>
      <c r="C65" s="144"/>
      <c r="D65" s="165"/>
      <c r="E65" s="27"/>
      <c r="F65" s="234"/>
      <c r="G65" s="144"/>
      <c r="H65" s="165"/>
      <c r="I65" s="27"/>
      <c r="J65" s="290"/>
      <c r="K65" s="44"/>
      <c r="L65" s="259"/>
      <c r="M65" s="27"/>
    </row>
    <row r="66" spans="1:14" x14ac:dyDescent="0.2">
      <c r="A66" s="21" t="s">
        <v>10</v>
      </c>
      <c r="B66" s="292"/>
      <c r="C66" s="293"/>
      <c r="D66" s="165"/>
      <c r="E66" s="27"/>
      <c r="F66" s="292"/>
      <c r="G66" s="293"/>
      <c r="H66" s="165"/>
      <c r="I66" s="27"/>
      <c r="J66" s="290"/>
      <c r="K66" s="44"/>
      <c r="L66" s="259"/>
      <c r="M66" s="27"/>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c r="C75" s="234"/>
      <c r="D75" s="165"/>
      <c r="E75" s="27"/>
      <c r="F75" s="234"/>
      <c r="G75" s="144"/>
      <c r="H75" s="165"/>
      <c r="I75" s="27"/>
      <c r="J75" s="290"/>
      <c r="K75" s="44"/>
      <c r="L75" s="259"/>
      <c r="M75" s="27"/>
    </row>
    <row r="76" spans="1:14" x14ac:dyDescent="0.2">
      <c r="A76" s="21" t="s">
        <v>9</v>
      </c>
      <c r="B76" s="234"/>
      <c r="C76" s="144"/>
      <c r="D76" s="165"/>
      <c r="E76" s="27"/>
      <c r="F76" s="234"/>
      <c r="G76" s="144"/>
      <c r="H76" s="165"/>
      <c r="I76" s="27"/>
      <c r="J76" s="290"/>
      <c r="K76" s="44"/>
      <c r="L76" s="259"/>
      <c r="M76" s="27"/>
    </row>
    <row r="77" spans="1:14" x14ac:dyDescent="0.2">
      <c r="A77" s="21" t="s">
        <v>10</v>
      </c>
      <c r="B77" s="292"/>
      <c r="C77" s="293"/>
      <c r="D77" s="165"/>
      <c r="E77" s="27"/>
      <c r="F77" s="292"/>
      <c r="G77" s="293"/>
      <c r="H77" s="165"/>
      <c r="I77" s="27"/>
      <c r="J77" s="290"/>
      <c r="K77" s="44"/>
      <c r="L77" s="259"/>
      <c r="M77" s="27"/>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c r="C85" s="347"/>
      <c r="D85" s="170"/>
      <c r="E85" s="11"/>
      <c r="F85" s="346"/>
      <c r="G85" s="346"/>
      <c r="H85" s="170"/>
      <c r="I85" s="11"/>
      <c r="J85" s="307"/>
      <c r="K85" s="236"/>
      <c r="L85" s="404"/>
      <c r="M85" s="11"/>
    </row>
    <row r="86" spans="1:13" x14ac:dyDescent="0.2">
      <c r="A86" s="21" t="s">
        <v>9</v>
      </c>
      <c r="B86" s="234"/>
      <c r="C86" s="144"/>
      <c r="D86" s="165"/>
      <c r="E86" s="27"/>
      <c r="F86" s="234"/>
      <c r="G86" s="144"/>
      <c r="H86" s="165"/>
      <c r="I86" s="27"/>
      <c r="J86" s="290"/>
      <c r="K86" s="44"/>
      <c r="L86" s="259"/>
      <c r="M86" s="27"/>
    </row>
    <row r="87" spans="1:13" x14ac:dyDescent="0.2">
      <c r="A87" s="21" t="s">
        <v>10</v>
      </c>
      <c r="B87" s="234"/>
      <c r="C87" s="144"/>
      <c r="D87" s="165"/>
      <c r="E87" s="27"/>
      <c r="F87" s="234"/>
      <c r="G87" s="144"/>
      <c r="H87" s="165"/>
      <c r="I87" s="27"/>
      <c r="J87" s="290"/>
      <c r="K87" s="44"/>
      <c r="L87" s="259"/>
      <c r="M87" s="27"/>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c r="C96" s="234"/>
      <c r="D96" s="165"/>
      <c r="E96" s="27"/>
      <c r="F96" s="292"/>
      <c r="G96" s="292"/>
      <c r="H96" s="165"/>
      <c r="I96" s="27"/>
      <c r="J96" s="290"/>
      <c r="K96" s="44"/>
      <c r="L96" s="259"/>
      <c r="M96" s="27"/>
    </row>
    <row r="97" spans="1:13" x14ac:dyDescent="0.2">
      <c r="A97" s="21" t="s">
        <v>9</v>
      </c>
      <c r="B97" s="292"/>
      <c r="C97" s="293"/>
      <c r="D97" s="165"/>
      <c r="E97" s="27"/>
      <c r="F97" s="234"/>
      <c r="G97" s="144"/>
      <c r="H97" s="165"/>
      <c r="I97" s="27"/>
      <c r="J97" s="290"/>
      <c r="K97" s="44"/>
      <c r="L97" s="259"/>
      <c r="M97" s="27"/>
    </row>
    <row r="98" spans="1:13" x14ac:dyDescent="0.2">
      <c r="A98" s="21" t="s">
        <v>10</v>
      </c>
      <c r="B98" s="292"/>
      <c r="C98" s="293"/>
      <c r="D98" s="165"/>
      <c r="E98" s="27"/>
      <c r="F98" s="234"/>
      <c r="G98" s="234"/>
      <c r="H98" s="165"/>
      <c r="I98" s="27"/>
      <c r="J98" s="290"/>
      <c r="K98" s="44"/>
      <c r="L98" s="259"/>
      <c r="M98" s="27"/>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c r="C106" s="234"/>
      <c r="D106" s="165"/>
      <c r="E106" s="27"/>
      <c r="F106" s="234"/>
      <c r="G106" s="234"/>
      <c r="H106" s="165"/>
      <c r="I106" s="27"/>
      <c r="J106" s="290"/>
      <c r="K106" s="44"/>
      <c r="L106" s="259"/>
      <c r="M106" s="27"/>
    </row>
    <row r="107" spans="1:13" ht="15.75" x14ac:dyDescent="0.2">
      <c r="A107" s="21" t="s">
        <v>320</v>
      </c>
      <c r="B107" s="234"/>
      <c r="C107" s="234"/>
      <c r="D107" s="165"/>
      <c r="E107" s="27"/>
      <c r="F107" s="234"/>
      <c r="G107" s="234"/>
      <c r="H107" s="165"/>
      <c r="I107" s="27"/>
      <c r="J107" s="290"/>
      <c r="K107" s="44"/>
      <c r="L107" s="259"/>
      <c r="M107" s="27"/>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c r="C109" s="158"/>
      <c r="D109" s="170"/>
      <c r="E109" s="11"/>
      <c r="F109" s="306"/>
      <c r="G109" s="158"/>
      <c r="H109" s="170"/>
      <c r="I109" s="11"/>
      <c r="J109" s="307"/>
      <c r="K109" s="236"/>
      <c r="L109" s="404"/>
      <c r="M109" s="11"/>
    </row>
    <row r="110" spans="1:13" x14ac:dyDescent="0.2">
      <c r="A110" s="21" t="s">
        <v>9</v>
      </c>
      <c r="B110" s="234"/>
      <c r="C110" s="144"/>
      <c r="D110" s="165"/>
      <c r="E110" s="27"/>
      <c r="F110" s="234"/>
      <c r="G110" s="144"/>
      <c r="H110" s="165"/>
      <c r="I110" s="27"/>
      <c r="J110" s="290"/>
      <c r="K110" s="44"/>
      <c r="L110" s="259"/>
      <c r="M110" s="27"/>
    </row>
    <row r="111" spans="1:13" x14ac:dyDescent="0.2">
      <c r="A111" s="21" t="s">
        <v>10</v>
      </c>
      <c r="B111" s="234"/>
      <c r="C111" s="144"/>
      <c r="D111" s="165"/>
      <c r="E111" s="27"/>
      <c r="F111" s="234"/>
      <c r="G111" s="144"/>
      <c r="H111" s="165"/>
      <c r="I111" s="27"/>
      <c r="J111" s="290"/>
      <c r="K111" s="44"/>
      <c r="L111" s="259"/>
      <c r="M111" s="27"/>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c r="C114" s="234"/>
      <c r="D114" s="165"/>
      <c r="E114" s="27"/>
      <c r="F114" s="234"/>
      <c r="G114" s="234"/>
      <c r="H114" s="165"/>
      <c r="I114" s="27"/>
      <c r="J114" s="290"/>
      <c r="K114" s="44"/>
      <c r="L114" s="259"/>
      <c r="M114" s="27"/>
    </row>
    <row r="115" spans="1:14" ht="15.75" x14ac:dyDescent="0.2">
      <c r="A115" s="21" t="s">
        <v>322</v>
      </c>
      <c r="B115" s="234"/>
      <c r="C115" s="234"/>
      <c r="D115" s="165"/>
      <c r="E115" s="27"/>
      <c r="F115" s="234"/>
      <c r="G115" s="234"/>
      <c r="H115" s="165"/>
      <c r="I115" s="27"/>
      <c r="J115" s="290"/>
      <c r="K115" s="44"/>
      <c r="L115" s="259"/>
      <c r="M115" s="27"/>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c r="C117" s="158"/>
      <c r="D117" s="170"/>
      <c r="E117" s="11"/>
      <c r="F117" s="306"/>
      <c r="G117" s="158"/>
      <c r="H117" s="170"/>
      <c r="I117" s="11"/>
      <c r="J117" s="307"/>
      <c r="K117" s="236"/>
      <c r="L117" s="404"/>
      <c r="M117" s="11"/>
    </row>
    <row r="118" spans="1:14" x14ac:dyDescent="0.2">
      <c r="A118" s="21" t="s">
        <v>9</v>
      </c>
      <c r="B118" s="234"/>
      <c r="C118" s="144"/>
      <c r="D118" s="165"/>
      <c r="E118" s="27"/>
      <c r="F118" s="234"/>
      <c r="G118" s="144"/>
      <c r="H118" s="165"/>
      <c r="I118" s="27"/>
      <c r="J118" s="290"/>
      <c r="K118" s="44"/>
      <c r="L118" s="259"/>
      <c r="M118" s="27"/>
    </row>
    <row r="119" spans="1:14" x14ac:dyDescent="0.2">
      <c r="A119" s="21" t="s">
        <v>10</v>
      </c>
      <c r="B119" s="234"/>
      <c r="C119" s="144"/>
      <c r="D119" s="165"/>
      <c r="E119" s="27"/>
      <c r="F119" s="234"/>
      <c r="G119" s="144"/>
      <c r="H119" s="165"/>
      <c r="I119" s="27"/>
      <c r="J119" s="290"/>
      <c r="K119" s="44"/>
      <c r="L119" s="259"/>
      <c r="M119" s="27"/>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c r="G123" s="234"/>
      <c r="H123" s="165"/>
      <c r="I123" s="27"/>
      <c r="J123" s="290"/>
      <c r="K123" s="44"/>
      <c r="L123" s="259"/>
      <c r="M123" s="27"/>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297"/>
      <c r="F128" s="680"/>
      <c r="G128" s="680"/>
      <c r="H128" s="680"/>
      <c r="I128" s="297"/>
      <c r="J128" s="680"/>
      <c r="K128" s="680"/>
      <c r="L128" s="680"/>
      <c r="M128" s="297"/>
    </row>
    <row r="129" spans="1:14" s="3" customFormat="1" x14ac:dyDescent="0.2">
      <c r="A129" s="143"/>
      <c r="B129" s="676" t="s">
        <v>0</v>
      </c>
      <c r="C129" s="677"/>
      <c r="D129" s="677"/>
      <c r="E129" s="299"/>
      <c r="F129" s="676" t="s">
        <v>1</v>
      </c>
      <c r="G129" s="677"/>
      <c r="H129" s="677"/>
      <c r="I129" s="302"/>
      <c r="J129" s="676" t="s">
        <v>2</v>
      </c>
      <c r="K129" s="677"/>
      <c r="L129" s="677"/>
      <c r="M129" s="302"/>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81" priority="117">
      <formula>kvartal &lt; 4</formula>
    </cfRule>
  </conditionalFormatting>
  <conditionalFormatting sqref="B29">
    <cfRule type="expression" dxfId="80" priority="115">
      <formula>kvartal &lt; 4</formula>
    </cfRule>
  </conditionalFormatting>
  <conditionalFormatting sqref="B30">
    <cfRule type="expression" dxfId="79" priority="114">
      <formula>kvartal &lt; 4</formula>
    </cfRule>
  </conditionalFormatting>
  <conditionalFormatting sqref="B31">
    <cfRule type="expression" dxfId="78" priority="113">
      <formula>kvartal &lt; 4</formula>
    </cfRule>
  </conditionalFormatting>
  <conditionalFormatting sqref="C29">
    <cfRule type="expression" dxfId="77" priority="112">
      <formula>kvartal &lt; 4</formula>
    </cfRule>
  </conditionalFormatting>
  <conditionalFormatting sqref="C30">
    <cfRule type="expression" dxfId="76" priority="111">
      <formula>kvartal &lt; 4</formula>
    </cfRule>
  </conditionalFormatting>
  <conditionalFormatting sqref="C31">
    <cfRule type="expression" dxfId="75" priority="110">
      <formula>kvartal &lt; 4</formula>
    </cfRule>
  </conditionalFormatting>
  <conditionalFormatting sqref="B23:C25">
    <cfRule type="expression" dxfId="74" priority="109">
      <formula>kvartal &lt; 4</formula>
    </cfRule>
  </conditionalFormatting>
  <conditionalFormatting sqref="F23:G25">
    <cfRule type="expression" dxfId="73" priority="105">
      <formula>kvartal &lt; 4</formula>
    </cfRule>
  </conditionalFormatting>
  <conditionalFormatting sqref="F29">
    <cfRule type="expression" dxfId="72" priority="98">
      <formula>kvartal &lt; 4</formula>
    </cfRule>
  </conditionalFormatting>
  <conditionalFormatting sqref="F30">
    <cfRule type="expression" dxfId="71" priority="97">
      <formula>kvartal &lt; 4</formula>
    </cfRule>
  </conditionalFormatting>
  <conditionalFormatting sqref="F31">
    <cfRule type="expression" dxfId="70" priority="96">
      <formula>kvartal &lt; 4</formula>
    </cfRule>
  </conditionalFormatting>
  <conditionalFormatting sqref="G29">
    <cfRule type="expression" dxfId="69" priority="95">
      <formula>kvartal &lt; 4</formula>
    </cfRule>
  </conditionalFormatting>
  <conditionalFormatting sqref="G30">
    <cfRule type="expression" dxfId="68" priority="94">
      <formula>kvartal &lt; 4</formula>
    </cfRule>
  </conditionalFormatting>
  <conditionalFormatting sqref="G31">
    <cfRule type="expression" dxfId="67" priority="93">
      <formula>kvartal &lt; 4</formula>
    </cfRule>
  </conditionalFormatting>
  <conditionalFormatting sqref="B26">
    <cfRule type="expression" dxfId="66" priority="92">
      <formula>kvartal &lt; 4</formula>
    </cfRule>
  </conditionalFormatting>
  <conditionalFormatting sqref="C26">
    <cfRule type="expression" dxfId="65" priority="91">
      <formula>kvartal &lt; 4</formula>
    </cfRule>
  </conditionalFormatting>
  <conditionalFormatting sqref="F26">
    <cfRule type="expression" dxfId="64" priority="90">
      <formula>kvartal &lt; 4</formula>
    </cfRule>
  </conditionalFormatting>
  <conditionalFormatting sqref="G26">
    <cfRule type="expression" dxfId="63" priority="89">
      <formula>kvartal &lt; 4</formula>
    </cfRule>
  </conditionalFormatting>
  <conditionalFormatting sqref="J23:K26">
    <cfRule type="expression" dxfId="62" priority="88">
      <formula>kvartal &lt; 4</formula>
    </cfRule>
  </conditionalFormatting>
  <conditionalFormatting sqref="J29:K31">
    <cfRule type="expression" dxfId="61" priority="86">
      <formula>kvartal &lt; 4</formula>
    </cfRule>
  </conditionalFormatting>
  <conditionalFormatting sqref="B67">
    <cfRule type="expression" dxfId="60" priority="85">
      <formula>kvartal &lt; 4</formula>
    </cfRule>
  </conditionalFormatting>
  <conditionalFormatting sqref="C67">
    <cfRule type="expression" dxfId="59" priority="84">
      <formula>kvartal &lt; 4</formula>
    </cfRule>
  </conditionalFormatting>
  <conditionalFormatting sqref="B70">
    <cfRule type="expression" dxfId="58" priority="83">
      <formula>kvartal &lt; 4</formula>
    </cfRule>
  </conditionalFormatting>
  <conditionalFormatting sqref="C70">
    <cfRule type="expression" dxfId="57" priority="82">
      <formula>kvartal &lt; 4</formula>
    </cfRule>
  </conditionalFormatting>
  <conditionalFormatting sqref="B78">
    <cfRule type="expression" dxfId="56" priority="81">
      <formula>kvartal &lt; 4</formula>
    </cfRule>
  </conditionalFormatting>
  <conditionalFormatting sqref="C78">
    <cfRule type="expression" dxfId="55" priority="80">
      <formula>kvartal &lt; 4</formula>
    </cfRule>
  </conditionalFormatting>
  <conditionalFormatting sqref="B81">
    <cfRule type="expression" dxfId="54" priority="79">
      <formula>kvartal &lt; 4</formula>
    </cfRule>
  </conditionalFormatting>
  <conditionalFormatting sqref="C81">
    <cfRule type="expression" dxfId="53" priority="78">
      <formula>kvartal &lt; 4</formula>
    </cfRule>
  </conditionalFormatting>
  <conditionalFormatting sqref="B88">
    <cfRule type="expression" dxfId="52" priority="69">
      <formula>kvartal &lt; 4</formula>
    </cfRule>
  </conditionalFormatting>
  <conditionalFormatting sqref="C88">
    <cfRule type="expression" dxfId="51" priority="68">
      <formula>kvartal &lt; 4</formula>
    </cfRule>
  </conditionalFormatting>
  <conditionalFormatting sqref="B91">
    <cfRule type="expression" dxfId="50" priority="67">
      <formula>kvartal &lt; 4</formula>
    </cfRule>
  </conditionalFormatting>
  <conditionalFormatting sqref="C91">
    <cfRule type="expression" dxfId="49" priority="66">
      <formula>kvartal &lt; 4</formula>
    </cfRule>
  </conditionalFormatting>
  <conditionalFormatting sqref="B99">
    <cfRule type="expression" dxfId="48" priority="65">
      <formula>kvartal &lt; 4</formula>
    </cfRule>
  </conditionalFormatting>
  <conditionalFormatting sqref="C99">
    <cfRule type="expression" dxfId="47" priority="64">
      <formula>kvartal &lt; 4</formula>
    </cfRule>
  </conditionalFormatting>
  <conditionalFormatting sqref="B102">
    <cfRule type="expression" dxfId="46" priority="63">
      <formula>kvartal &lt; 4</formula>
    </cfRule>
  </conditionalFormatting>
  <conditionalFormatting sqref="C102">
    <cfRule type="expression" dxfId="45" priority="62">
      <formula>kvartal &lt; 4</formula>
    </cfRule>
  </conditionalFormatting>
  <conditionalFormatting sqref="B113">
    <cfRule type="expression" dxfId="44" priority="61">
      <formula>kvartal &lt; 4</formula>
    </cfRule>
  </conditionalFormatting>
  <conditionalFormatting sqref="C113">
    <cfRule type="expression" dxfId="43" priority="60">
      <formula>kvartal &lt; 4</formula>
    </cfRule>
  </conditionalFormatting>
  <conditionalFormatting sqref="B121">
    <cfRule type="expression" dxfId="42" priority="59">
      <formula>kvartal &lt; 4</formula>
    </cfRule>
  </conditionalFormatting>
  <conditionalFormatting sqref="C121">
    <cfRule type="expression" dxfId="41" priority="58">
      <formula>kvartal &lt; 4</formula>
    </cfRule>
  </conditionalFormatting>
  <conditionalFormatting sqref="F68">
    <cfRule type="expression" dxfId="40" priority="57">
      <formula>kvartal &lt; 4</formula>
    </cfRule>
  </conditionalFormatting>
  <conditionalFormatting sqref="G68">
    <cfRule type="expression" dxfId="39" priority="56">
      <formula>kvartal &lt; 4</formula>
    </cfRule>
  </conditionalFormatting>
  <conditionalFormatting sqref="F69:G69">
    <cfRule type="expression" dxfId="38" priority="55">
      <formula>kvartal &lt; 4</formula>
    </cfRule>
  </conditionalFormatting>
  <conditionalFormatting sqref="F71:G72">
    <cfRule type="expression" dxfId="37" priority="54">
      <formula>kvartal &lt; 4</formula>
    </cfRule>
  </conditionalFormatting>
  <conditionalFormatting sqref="F79:G80">
    <cfRule type="expression" dxfId="36" priority="53">
      <formula>kvartal &lt; 4</formula>
    </cfRule>
  </conditionalFormatting>
  <conditionalFormatting sqref="F82:G83">
    <cfRule type="expression" dxfId="35" priority="52">
      <formula>kvartal &lt; 4</formula>
    </cfRule>
  </conditionalFormatting>
  <conditionalFormatting sqref="F89:G90">
    <cfRule type="expression" dxfId="34" priority="47">
      <formula>kvartal &lt; 4</formula>
    </cfRule>
  </conditionalFormatting>
  <conditionalFormatting sqref="F92:G93">
    <cfRule type="expression" dxfId="33" priority="46">
      <formula>kvartal &lt; 4</formula>
    </cfRule>
  </conditionalFormatting>
  <conditionalFormatting sqref="F100:G101">
    <cfRule type="expression" dxfId="32" priority="45">
      <formula>kvartal &lt; 4</formula>
    </cfRule>
  </conditionalFormatting>
  <conditionalFormatting sqref="F103:G104">
    <cfRule type="expression" dxfId="31" priority="44">
      <formula>kvartal &lt; 4</formula>
    </cfRule>
  </conditionalFormatting>
  <conditionalFormatting sqref="F113">
    <cfRule type="expression" dxfId="30" priority="43">
      <formula>kvartal &lt; 4</formula>
    </cfRule>
  </conditionalFormatting>
  <conditionalFormatting sqref="G113">
    <cfRule type="expression" dxfId="29" priority="42">
      <formula>kvartal &lt; 4</formula>
    </cfRule>
  </conditionalFormatting>
  <conditionalFormatting sqref="F121:G121">
    <cfRule type="expression" dxfId="28" priority="41">
      <formula>kvartal &lt; 4</formula>
    </cfRule>
  </conditionalFormatting>
  <conditionalFormatting sqref="F67:G67">
    <cfRule type="expression" dxfId="27" priority="40">
      <formula>kvartal &lt; 4</formula>
    </cfRule>
  </conditionalFormatting>
  <conditionalFormatting sqref="F70:G70">
    <cfRule type="expression" dxfId="26" priority="39">
      <formula>kvartal &lt; 4</formula>
    </cfRule>
  </conditionalFormatting>
  <conditionalFormatting sqref="F78:G78">
    <cfRule type="expression" dxfId="25" priority="38">
      <formula>kvartal &lt; 4</formula>
    </cfRule>
  </conditionalFormatting>
  <conditionalFormatting sqref="F81:G81">
    <cfRule type="expression" dxfId="24" priority="37">
      <formula>kvartal &lt; 4</formula>
    </cfRule>
  </conditionalFormatting>
  <conditionalFormatting sqref="F88:G88">
    <cfRule type="expression" dxfId="23" priority="31">
      <formula>kvartal &lt; 4</formula>
    </cfRule>
  </conditionalFormatting>
  <conditionalFormatting sqref="F91">
    <cfRule type="expression" dxfId="22" priority="30">
      <formula>kvartal &lt; 4</formula>
    </cfRule>
  </conditionalFormatting>
  <conditionalFormatting sqref="G91">
    <cfRule type="expression" dxfId="21" priority="29">
      <formula>kvartal &lt; 4</formula>
    </cfRule>
  </conditionalFormatting>
  <conditionalFormatting sqref="F99">
    <cfRule type="expression" dxfId="20" priority="28">
      <formula>kvartal &lt; 4</formula>
    </cfRule>
  </conditionalFormatting>
  <conditionalFormatting sqref="G99">
    <cfRule type="expression" dxfId="19" priority="27">
      <formula>kvartal &lt; 4</formula>
    </cfRule>
  </conditionalFormatting>
  <conditionalFormatting sqref="G102">
    <cfRule type="expression" dxfId="18" priority="26">
      <formula>kvartal &lt; 4</formula>
    </cfRule>
  </conditionalFormatting>
  <conditionalFormatting sqref="F102">
    <cfRule type="expression" dxfId="17" priority="25">
      <formula>kvartal &lt; 4</formula>
    </cfRule>
  </conditionalFormatting>
  <conditionalFormatting sqref="J67:K71">
    <cfRule type="expression" dxfId="16" priority="24">
      <formula>kvartal &lt; 4</formula>
    </cfRule>
  </conditionalFormatting>
  <conditionalFormatting sqref="J72:K72">
    <cfRule type="expression" dxfId="15" priority="23">
      <formula>kvartal &lt; 4</formula>
    </cfRule>
  </conditionalFormatting>
  <conditionalFormatting sqref="J78:K83">
    <cfRule type="expression" dxfId="14" priority="22">
      <formula>kvartal &lt; 4</formula>
    </cfRule>
  </conditionalFormatting>
  <conditionalFormatting sqref="J88:K93">
    <cfRule type="expression" dxfId="13" priority="19">
      <formula>kvartal &lt; 4</formula>
    </cfRule>
  </conditionalFormatting>
  <conditionalFormatting sqref="J99:K104">
    <cfRule type="expression" dxfId="12" priority="18">
      <formula>kvartal &lt; 4</formula>
    </cfRule>
  </conditionalFormatting>
  <conditionalFormatting sqref="J113:K113">
    <cfRule type="expression" dxfId="11" priority="17">
      <formula>kvartal &lt; 4</formula>
    </cfRule>
  </conditionalFormatting>
  <conditionalFormatting sqref="J121:K121">
    <cfRule type="expression" dxfId="10" priority="16">
      <formula>kvartal &lt; 4</formula>
    </cfRule>
  </conditionalFormatting>
  <conditionalFormatting sqref="A23:A25">
    <cfRule type="expression" dxfId="9" priority="15">
      <formula>kvartal &lt; 4</formula>
    </cfRule>
  </conditionalFormatting>
  <conditionalFormatting sqref="A29:A31">
    <cfRule type="expression" dxfId="8" priority="13">
      <formula>kvartal &lt; 4</formula>
    </cfRule>
  </conditionalFormatting>
  <conditionalFormatting sqref="A48:A50">
    <cfRule type="expression" dxfId="7" priority="12">
      <formula>kvartal &lt; 4</formula>
    </cfRule>
  </conditionalFormatting>
  <conditionalFormatting sqref="A67:A72">
    <cfRule type="expression" dxfId="6" priority="10">
      <formula>kvartal &lt; 4</formula>
    </cfRule>
  </conditionalFormatting>
  <conditionalFormatting sqref="A78:A83">
    <cfRule type="expression" dxfId="5" priority="9">
      <formula>kvartal &lt; 4</formula>
    </cfRule>
  </conditionalFormatting>
  <conditionalFormatting sqref="A88:A93">
    <cfRule type="expression" dxfId="4" priority="6">
      <formula>kvartal &lt; 4</formula>
    </cfRule>
  </conditionalFormatting>
  <conditionalFormatting sqref="A99:A104">
    <cfRule type="expression" dxfId="3" priority="5">
      <formula>kvartal &lt; 4</formula>
    </cfRule>
  </conditionalFormatting>
  <conditionalFormatting sqref="A113">
    <cfRule type="expression" dxfId="2" priority="4">
      <formula>kvartal &lt; 4</formula>
    </cfRule>
  </conditionalFormatting>
  <conditionalFormatting sqref="A121">
    <cfRule type="expression" dxfId="1" priority="3">
      <formula>kvartal &lt; 4</formula>
    </cfRule>
  </conditionalFormatting>
  <conditionalFormatting sqref="A26">
    <cfRule type="expression" dxfId="0" priority="2">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showGridLines="0" zoomScale="60" zoomScaleNormal="6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90" style="548" customWidth="1"/>
    <col min="2" max="46" width="11.7109375" style="548" customWidth="1"/>
    <col min="47" max="16384" width="11.42578125" style="548"/>
  </cols>
  <sheetData>
    <row r="1" spans="1:46" ht="20.25" x14ac:dyDescent="0.3">
      <c r="A1" s="546" t="s">
        <v>330</v>
      </c>
      <c r="B1" s="441" t="s">
        <v>56</v>
      </c>
      <c r="C1" s="547"/>
      <c r="D1" s="547"/>
      <c r="E1" s="547"/>
      <c r="F1" s="547"/>
      <c r="G1" s="547"/>
      <c r="H1" s="547"/>
      <c r="I1" s="547"/>
      <c r="J1" s="547"/>
    </row>
    <row r="2" spans="1:46" ht="20.25" x14ac:dyDescent="0.3">
      <c r="A2" s="546" t="s">
        <v>277</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row>
    <row r="3" spans="1:46" ht="18.75" x14ac:dyDescent="0.3">
      <c r="A3" s="550" t="s">
        <v>331</v>
      </c>
      <c r="B3" s="551"/>
      <c r="C3" s="551"/>
      <c r="D3" s="551"/>
      <c r="E3" s="551"/>
      <c r="F3" s="551"/>
      <c r="G3" s="551"/>
      <c r="H3" s="551"/>
      <c r="I3" s="551"/>
      <c r="J3" s="551"/>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52"/>
      <c r="AS3" s="549"/>
      <c r="AT3" s="549"/>
    </row>
    <row r="4" spans="1:46" ht="18.75" customHeight="1" x14ac:dyDescent="0.25">
      <c r="A4" s="553" t="s">
        <v>421</v>
      </c>
      <c r="B4" s="554"/>
      <c r="C4" s="554"/>
      <c r="D4" s="555"/>
      <c r="E4" s="556"/>
      <c r="F4" s="554"/>
      <c r="G4" s="555"/>
      <c r="H4" s="556"/>
      <c r="I4" s="554"/>
      <c r="J4" s="555"/>
      <c r="K4" s="557"/>
      <c r="L4" s="557"/>
      <c r="M4" s="557"/>
      <c r="N4" s="558"/>
      <c r="O4" s="557"/>
      <c r="P4" s="559"/>
      <c r="Q4" s="558"/>
      <c r="R4" s="557"/>
      <c r="S4" s="559"/>
      <c r="T4" s="558"/>
      <c r="U4" s="557"/>
      <c r="V4" s="559"/>
      <c r="W4" s="558"/>
      <c r="X4" s="557"/>
      <c r="Y4" s="559"/>
      <c r="Z4" s="558"/>
      <c r="AA4" s="557"/>
      <c r="AB4" s="559"/>
      <c r="AC4" s="558"/>
      <c r="AD4" s="557"/>
      <c r="AE4" s="559"/>
      <c r="AF4" s="558"/>
      <c r="AG4" s="557"/>
      <c r="AH4" s="559"/>
      <c r="AI4" s="558"/>
      <c r="AJ4" s="557"/>
      <c r="AK4" s="559"/>
      <c r="AL4" s="558"/>
      <c r="AM4" s="557"/>
      <c r="AN4" s="559"/>
      <c r="AO4" s="560"/>
      <c r="AP4" s="561"/>
      <c r="AQ4" s="562"/>
      <c r="AR4" s="558"/>
      <c r="AS4" s="557"/>
      <c r="AT4" s="563"/>
    </row>
    <row r="5" spans="1:46" ht="18.75" customHeight="1" x14ac:dyDescent="0.3">
      <c r="A5" s="564" t="s">
        <v>115</v>
      </c>
      <c r="B5" s="689" t="s">
        <v>192</v>
      </c>
      <c r="C5" s="690"/>
      <c r="D5" s="691"/>
      <c r="E5" s="689" t="s">
        <v>193</v>
      </c>
      <c r="F5" s="690"/>
      <c r="G5" s="691"/>
      <c r="H5" s="689" t="s">
        <v>194</v>
      </c>
      <c r="I5" s="690"/>
      <c r="J5" s="691"/>
      <c r="K5" s="689" t="s">
        <v>195</v>
      </c>
      <c r="L5" s="690"/>
      <c r="M5" s="691"/>
      <c r="N5" s="689" t="s">
        <v>196</v>
      </c>
      <c r="O5" s="690"/>
      <c r="P5" s="691"/>
      <c r="Q5" s="689"/>
      <c r="R5" s="690"/>
      <c r="S5" s="691"/>
      <c r="T5" s="689" t="s">
        <v>68</v>
      </c>
      <c r="U5" s="690"/>
      <c r="V5" s="691"/>
      <c r="W5" s="565"/>
      <c r="X5" s="566"/>
      <c r="Y5" s="567"/>
      <c r="Z5" s="689" t="s">
        <v>197</v>
      </c>
      <c r="AA5" s="690"/>
      <c r="AB5" s="691"/>
      <c r="AC5" s="565"/>
      <c r="AD5" s="566"/>
      <c r="AE5" s="567"/>
      <c r="AF5" s="689" t="s">
        <v>80</v>
      </c>
      <c r="AG5" s="690"/>
      <c r="AH5" s="691"/>
      <c r="AI5" s="689"/>
      <c r="AJ5" s="690"/>
      <c r="AK5" s="691"/>
      <c r="AL5" s="689" t="s">
        <v>81</v>
      </c>
      <c r="AM5" s="690"/>
      <c r="AN5" s="691"/>
      <c r="AO5" s="692" t="s">
        <v>2</v>
      </c>
      <c r="AP5" s="693"/>
      <c r="AQ5" s="694"/>
      <c r="AR5" s="689" t="s">
        <v>332</v>
      </c>
      <c r="AS5" s="690"/>
      <c r="AT5" s="691"/>
    </row>
    <row r="6" spans="1:46" ht="21" customHeight="1" x14ac:dyDescent="0.3">
      <c r="A6" s="568"/>
      <c r="B6" s="683" t="s">
        <v>198</v>
      </c>
      <c r="C6" s="684"/>
      <c r="D6" s="685"/>
      <c r="E6" s="683" t="s">
        <v>199</v>
      </c>
      <c r="F6" s="684"/>
      <c r="G6" s="685"/>
      <c r="H6" s="683" t="s">
        <v>199</v>
      </c>
      <c r="I6" s="684"/>
      <c r="J6" s="685"/>
      <c r="K6" s="683" t="s">
        <v>200</v>
      </c>
      <c r="L6" s="684"/>
      <c r="M6" s="685"/>
      <c r="N6" s="683" t="s">
        <v>101</v>
      </c>
      <c r="O6" s="684"/>
      <c r="P6" s="685"/>
      <c r="Q6" s="683" t="s">
        <v>68</v>
      </c>
      <c r="R6" s="684"/>
      <c r="S6" s="685"/>
      <c r="T6" s="683" t="s">
        <v>201</v>
      </c>
      <c r="U6" s="684"/>
      <c r="V6" s="685"/>
      <c r="W6" s="683" t="s">
        <v>73</v>
      </c>
      <c r="X6" s="684"/>
      <c r="Y6" s="685"/>
      <c r="Z6" s="683" t="s">
        <v>198</v>
      </c>
      <c r="AA6" s="684"/>
      <c r="AB6" s="685"/>
      <c r="AC6" s="683" t="s">
        <v>79</v>
      </c>
      <c r="AD6" s="684"/>
      <c r="AE6" s="685"/>
      <c r="AF6" s="683" t="s">
        <v>202</v>
      </c>
      <c r="AG6" s="684"/>
      <c r="AH6" s="685"/>
      <c r="AI6" s="683" t="s">
        <v>75</v>
      </c>
      <c r="AJ6" s="684"/>
      <c r="AK6" s="685"/>
      <c r="AL6" s="683" t="s">
        <v>199</v>
      </c>
      <c r="AM6" s="684"/>
      <c r="AN6" s="685"/>
      <c r="AO6" s="686" t="s">
        <v>333</v>
      </c>
      <c r="AP6" s="687"/>
      <c r="AQ6" s="688"/>
      <c r="AR6" s="683" t="s">
        <v>334</v>
      </c>
      <c r="AS6" s="684"/>
      <c r="AT6" s="685"/>
    </row>
    <row r="7" spans="1:46" ht="18.75" customHeight="1" x14ac:dyDescent="0.3">
      <c r="A7" s="568"/>
      <c r="B7" s="568"/>
      <c r="C7" s="568"/>
      <c r="D7" s="569" t="s">
        <v>90</v>
      </c>
      <c r="E7" s="568"/>
      <c r="F7" s="568"/>
      <c r="G7" s="569" t="s">
        <v>90</v>
      </c>
      <c r="H7" s="568"/>
      <c r="I7" s="568"/>
      <c r="J7" s="569" t="s">
        <v>90</v>
      </c>
      <c r="K7" s="568"/>
      <c r="L7" s="568"/>
      <c r="M7" s="569" t="s">
        <v>90</v>
      </c>
      <c r="N7" s="568"/>
      <c r="O7" s="568"/>
      <c r="P7" s="569" t="s">
        <v>90</v>
      </c>
      <c r="Q7" s="568"/>
      <c r="R7" s="568"/>
      <c r="S7" s="569" t="s">
        <v>90</v>
      </c>
      <c r="T7" s="568"/>
      <c r="U7" s="568"/>
      <c r="V7" s="569" t="s">
        <v>90</v>
      </c>
      <c r="W7" s="568"/>
      <c r="X7" s="568"/>
      <c r="Y7" s="569" t="s">
        <v>90</v>
      </c>
      <c r="Z7" s="568"/>
      <c r="AA7" s="568"/>
      <c r="AB7" s="569" t="s">
        <v>90</v>
      </c>
      <c r="AC7" s="568"/>
      <c r="AD7" s="568"/>
      <c r="AE7" s="569" t="s">
        <v>90</v>
      </c>
      <c r="AF7" s="568"/>
      <c r="AG7" s="568"/>
      <c r="AH7" s="569" t="s">
        <v>90</v>
      </c>
      <c r="AI7" s="568"/>
      <c r="AJ7" s="568"/>
      <c r="AK7" s="569" t="s">
        <v>90</v>
      </c>
      <c r="AL7" s="568"/>
      <c r="AM7" s="568"/>
      <c r="AN7" s="569" t="s">
        <v>90</v>
      </c>
      <c r="AO7" s="568"/>
      <c r="AP7" s="568"/>
      <c r="AQ7" s="569" t="s">
        <v>90</v>
      </c>
      <c r="AR7" s="568"/>
      <c r="AS7" s="568"/>
      <c r="AT7" s="569" t="s">
        <v>90</v>
      </c>
    </row>
    <row r="8" spans="1:46" ht="18.75" customHeight="1" x14ac:dyDescent="0.25">
      <c r="A8" s="570" t="s">
        <v>335</v>
      </c>
      <c r="B8" s="571">
        <v>2016</v>
      </c>
      <c r="C8" s="571">
        <v>2017</v>
      </c>
      <c r="D8" s="572" t="s">
        <v>92</v>
      </c>
      <c r="E8" s="571">
        <v>2016</v>
      </c>
      <c r="F8" s="571">
        <v>2017</v>
      </c>
      <c r="G8" s="572" t="s">
        <v>92</v>
      </c>
      <c r="H8" s="571">
        <v>2016</v>
      </c>
      <c r="I8" s="571">
        <v>2017</v>
      </c>
      <c r="J8" s="572" t="s">
        <v>92</v>
      </c>
      <c r="K8" s="571">
        <v>2016</v>
      </c>
      <c r="L8" s="571">
        <v>2017</v>
      </c>
      <c r="M8" s="572" t="s">
        <v>92</v>
      </c>
      <c r="N8" s="571">
        <v>2016</v>
      </c>
      <c r="O8" s="571">
        <v>2017</v>
      </c>
      <c r="P8" s="572" t="s">
        <v>92</v>
      </c>
      <c r="Q8" s="571">
        <v>2016</v>
      </c>
      <c r="R8" s="571">
        <v>2017</v>
      </c>
      <c r="S8" s="572" t="s">
        <v>92</v>
      </c>
      <c r="T8" s="571">
        <v>2016</v>
      </c>
      <c r="U8" s="571">
        <v>2017</v>
      </c>
      <c r="V8" s="572" t="s">
        <v>92</v>
      </c>
      <c r="W8" s="571">
        <v>2016</v>
      </c>
      <c r="X8" s="571">
        <v>2017</v>
      </c>
      <c r="Y8" s="572" t="s">
        <v>92</v>
      </c>
      <c r="Z8" s="571">
        <v>2016</v>
      </c>
      <c r="AA8" s="571">
        <v>2017</v>
      </c>
      <c r="AB8" s="572" t="s">
        <v>92</v>
      </c>
      <c r="AC8" s="571">
        <v>2016</v>
      </c>
      <c r="AD8" s="571">
        <v>2017</v>
      </c>
      <c r="AE8" s="572" t="s">
        <v>92</v>
      </c>
      <c r="AF8" s="571">
        <v>2016</v>
      </c>
      <c r="AG8" s="571">
        <v>2017</v>
      </c>
      <c r="AH8" s="572" t="s">
        <v>92</v>
      </c>
      <c r="AI8" s="571">
        <v>2016</v>
      </c>
      <c r="AJ8" s="571">
        <v>2017</v>
      </c>
      <c r="AK8" s="572" t="s">
        <v>92</v>
      </c>
      <c r="AL8" s="571">
        <v>2016</v>
      </c>
      <c r="AM8" s="571">
        <v>2017</v>
      </c>
      <c r="AN8" s="572" t="s">
        <v>92</v>
      </c>
      <c r="AO8" s="571">
        <v>2016</v>
      </c>
      <c r="AP8" s="571">
        <v>2017</v>
      </c>
      <c r="AQ8" s="572" t="s">
        <v>92</v>
      </c>
      <c r="AR8" s="571">
        <v>2016</v>
      </c>
      <c r="AS8" s="571">
        <v>2017</v>
      </c>
      <c r="AT8" s="572" t="s">
        <v>92</v>
      </c>
    </row>
    <row r="9" spans="1:46" ht="18.75" customHeight="1" x14ac:dyDescent="0.3">
      <c r="A9" s="568" t="s">
        <v>336</v>
      </c>
      <c r="B9" s="573"/>
      <c r="C9" s="574"/>
      <c r="D9" s="575"/>
      <c r="E9" s="573"/>
      <c r="F9" s="574"/>
      <c r="G9" s="575"/>
      <c r="H9" s="573"/>
      <c r="I9" s="574"/>
      <c r="J9" s="575"/>
      <c r="K9" s="573"/>
      <c r="L9" s="574"/>
      <c r="M9" s="574"/>
      <c r="N9" s="576"/>
      <c r="O9" s="577"/>
      <c r="P9" s="575"/>
      <c r="Q9" s="578"/>
      <c r="R9" s="575"/>
      <c r="S9" s="575"/>
      <c r="T9" s="573"/>
      <c r="U9" s="574"/>
      <c r="V9" s="575"/>
      <c r="W9" s="573"/>
      <c r="X9" s="574"/>
      <c r="Y9" s="575"/>
      <c r="Z9" s="578"/>
      <c r="AA9" s="575"/>
      <c r="AB9" s="575"/>
      <c r="AC9" s="573"/>
      <c r="AD9" s="574"/>
      <c r="AE9" s="575"/>
      <c r="AF9" s="578"/>
      <c r="AG9" s="575"/>
      <c r="AH9" s="575"/>
      <c r="AI9" s="573"/>
      <c r="AJ9" s="574"/>
      <c r="AK9" s="575"/>
      <c r="AL9" s="573"/>
      <c r="AM9" s="574"/>
      <c r="AN9" s="575"/>
      <c r="AO9" s="579"/>
      <c r="AP9" s="579"/>
      <c r="AQ9" s="579"/>
      <c r="AR9" s="580"/>
      <c r="AS9" s="580"/>
      <c r="AT9" s="580"/>
    </row>
    <row r="10" spans="1:46" s="549" customFormat="1" ht="18.75" customHeight="1" x14ac:dyDescent="0.3">
      <c r="A10" s="581" t="s">
        <v>337</v>
      </c>
      <c r="B10" s="473"/>
      <c r="C10" s="474"/>
      <c r="D10" s="496"/>
      <c r="E10" s="473"/>
      <c r="F10" s="474"/>
      <c r="G10" s="496"/>
      <c r="H10" s="473"/>
      <c r="I10" s="474"/>
      <c r="J10" s="496"/>
      <c r="K10" s="473"/>
      <c r="L10" s="474"/>
      <c r="M10" s="474"/>
      <c r="N10" s="582"/>
      <c r="O10" s="583"/>
      <c r="P10" s="496"/>
      <c r="Q10" s="507"/>
      <c r="R10" s="496"/>
      <c r="S10" s="496"/>
      <c r="T10" s="473"/>
      <c r="U10" s="474"/>
      <c r="V10" s="496"/>
      <c r="W10" s="473"/>
      <c r="X10" s="474"/>
      <c r="Y10" s="496"/>
      <c r="Z10" s="507"/>
      <c r="AA10" s="496"/>
      <c r="AB10" s="496"/>
      <c r="AC10" s="473"/>
      <c r="AD10" s="474"/>
      <c r="AE10" s="496"/>
      <c r="AF10" s="507"/>
      <c r="AG10" s="496"/>
      <c r="AH10" s="496"/>
      <c r="AI10" s="473"/>
      <c r="AJ10" s="474"/>
      <c r="AK10" s="496"/>
      <c r="AL10" s="473"/>
      <c r="AM10" s="474"/>
      <c r="AN10" s="496"/>
      <c r="AO10" s="584"/>
      <c r="AP10" s="584"/>
      <c r="AQ10" s="584"/>
      <c r="AR10" s="585"/>
      <c r="AS10" s="585"/>
      <c r="AT10" s="585"/>
    </row>
    <row r="11" spans="1:46" s="549" customFormat="1" ht="18.75" customHeight="1" x14ac:dyDescent="0.3">
      <c r="A11" s="581" t="s">
        <v>338</v>
      </c>
      <c r="B11" s="507">
        <v>995.90599999999995</v>
      </c>
      <c r="C11" s="496">
        <v>1069.4949999999999</v>
      </c>
      <c r="D11" s="584">
        <f t="shared" ref="D11:D45" si="0">IF(B11=0, "    ---- ", IF(ABS(ROUND(100/B11*C11-100,1))&lt;999,ROUND(100/B11*C11-100,1),IF(ROUND(100/B11*C11-100,1)&gt;999,999,-999)))</f>
        <v>7.4</v>
      </c>
      <c r="E11" s="507">
        <v>8735.6270000000004</v>
      </c>
      <c r="F11" s="496">
        <v>7590.8140000000003</v>
      </c>
      <c r="G11" s="584">
        <f t="shared" ref="G11:G45" si="1">IF(E11=0, "    ---- ", IF(ABS(ROUND(100/E11*F11-100,1))&lt;999,ROUND(100/E11*F11-100,1),IF(ROUND(100/E11*F11-100,1)&gt;999,999,-999)))</f>
        <v>-13.1</v>
      </c>
      <c r="H11" s="507">
        <v>616.10500000000002</v>
      </c>
      <c r="I11" s="496">
        <v>683.18899999999996</v>
      </c>
      <c r="J11" s="584">
        <f t="shared" ref="J11:J45" si="2">IF(H11=0, "    ---- ", IF(ABS(ROUND(100/H11*I11-100,1))&lt;999,ROUND(100/H11*I11-100,1),IF(ROUND(100/H11*I11-100,1)&gt;999,999,-999)))</f>
        <v>10.9</v>
      </c>
      <c r="K11" s="507">
        <v>1203.4549999999999</v>
      </c>
      <c r="L11" s="496">
        <v>1502.7</v>
      </c>
      <c r="M11" s="584">
        <f t="shared" ref="M11:M45" si="3">IF(K11=0, "    ---- ", IF(ABS(ROUND(100/K11*L11-100,1))&lt;999,ROUND(100/K11*L11-100,1),IF(ROUND(100/K11*L11-100,1)&gt;999,999,-999)))</f>
        <v>24.9</v>
      </c>
      <c r="N11" s="507">
        <v>21</v>
      </c>
      <c r="O11" s="496">
        <v>20</v>
      </c>
      <c r="P11" s="496">
        <v>-0.5</v>
      </c>
      <c r="Q11" s="507">
        <v>17940.127329450002</v>
      </c>
      <c r="R11" s="496">
        <v>14949.065606979999</v>
      </c>
      <c r="S11" s="584">
        <f t="shared" ref="S11:S45" si="4">IF(Q11=0, "    ---- ", IF(ABS(ROUND(100/Q11*R11-100,1))&lt;999,ROUND(100/Q11*R11-100,1),IF(ROUND(100/Q11*R11-100,1)&gt;999,999,-999)))</f>
        <v>-16.7</v>
      </c>
      <c r="T11" s="507">
        <v>183.762</v>
      </c>
      <c r="U11" s="496">
        <v>218.28100000000001</v>
      </c>
      <c r="V11" s="584">
        <f t="shared" ref="V11:V45" si="5">IF(T11=0, "    ---- ", IF(ABS(ROUND(100/T11*U11-100,1))&lt;999,ROUND(100/T11*U11-100,1),IF(ROUND(100/T11*U11-100,1)&gt;999,999,-999)))</f>
        <v>18.8</v>
      </c>
      <c r="W11" s="507">
        <v>5830</v>
      </c>
      <c r="X11" s="496">
        <v>5736</v>
      </c>
      <c r="Y11" s="584">
        <f t="shared" ref="Y11:Y45" si="6">IF(W11=0, "    ---- ", IF(ABS(ROUND(100/W11*X11-100,1))&lt;999,ROUND(100/W11*X11-100,1),IF(ROUND(100/W11*X11-100,1)&gt;999,999,-999)))</f>
        <v>-1.6</v>
      </c>
      <c r="Z11" s="507">
        <v>1316</v>
      </c>
      <c r="AA11" s="496">
        <v>1525</v>
      </c>
      <c r="AB11" s="584">
        <f t="shared" ref="AB11:AB45" si="7">IF(Z11=0, "    ---- ", IF(ABS(ROUND(100/Z11*AA11-100,1))&lt;999,ROUND(100/Z11*AA11-100,1),IF(ROUND(100/Z11*AA11-100,1)&gt;999,999,-999)))</f>
        <v>15.9</v>
      </c>
      <c r="AC11" s="507">
        <v>65</v>
      </c>
      <c r="AD11" s="496">
        <v>60</v>
      </c>
      <c r="AE11" s="584">
        <f t="shared" ref="AE11:AE45" si="8">IF(AC11=0, "    ---- ", IF(ABS(ROUND(100/AC11*AD11-100,1))&lt;999,ROUND(100/AC11*AD11-100,1),IF(ROUND(100/AC11*AD11-100,1)&gt;999,999,-999)))</f>
        <v>-7.7</v>
      </c>
      <c r="AF11" s="507"/>
      <c r="AG11" s="496"/>
      <c r="AH11" s="584"/>
      <c r="AI11" s="507">
        <v>2507.1861711099991</v>
      </c>
      <c r="AJ11" s="496">
        <v>3063.7735745700002</v>
      </c>
      <c r="AK11" s="584">
        <f t="shared" ref="AK11:AK45" si="9">IF(AI11=0, "    ---- ", IF(ABS(ROUND(100/AI11*AJ11-100,1))&lt;999,ROUND(100/AI11*AJ11-100,1),IF(ROUND(100/AI11*AJ11-100,1)&gt;999,999,-999)))</f>
        <v>22.2</v>
      </c>
      <c r="AL11" s="507">
        <v>9474</v>
      </c>
      <c r="AM11" s="496">
        <v>8921</v>
      </c>
      <c r="AN11" s="584">
        <f t="shared" ref="AN11:AN45" si="10">IF(AL11=0, "    ---- ", IF(ABS(ROUND(100/AL11*AM11-100,1))&lt;999,ROUND(100/AL11*AM11-100,1),IF(ROUND(100/AL11*AM11-100,1)&gt;999,999,-999)))</f>
        <v>-5.8</v>
      </c>
      <c r="AO11" s="584">
        <f>B11+E11+H11+K11+Q11+T11+W11+Z11+AF11+AI11+AL11</f>
        <v>48802.168500559994</v>
      </c>
      <c r="AP11" s="584">
        <f>C11+F11+I11+L11+R11+U11+X11+AA11+AG11+AJ11+AM11</f>
        <v>45259.318181549992</v>
      </c>
      <c r="AQ11" s="584">
        <f t="shared" ref="AQ11:AQ45" si="11">IF(AO11=0, "    ---- ", IF(ABS(ROUND(100/AO11*AP11-100,1))&lt;999,ROUND(100/AO11*AP11-100,1),IF(ROUND(100/AO11*AP11-100,1)&gt;999,999,-999)))</f>
        <v>-7.3</v>
      </c>
      <c r="AR11" s="586">
        <f>+B11+E11+H11+K11+N11+Q11+T11+W11+Z11+AC11+AF11+AI11+AL11</f>
        <v>48888.168500559994</v>
      </c>
      <c r="AS11" s="584">
        <f>+C11+F11+I11+L11+O11+R11+U11+X11+AA11+AD11+AG11+AJ11+AM11</f>
        <v>45339.318181549992</v>
      </c>
      <c r="AT11" s="584">
        <f t="shared" ref="AT11:AT17" si="12">IF(AR11=0, "    ---- ", IF(ABS(ROUND(100/AR11*AS11-100,1))&lt;999,ROUND(100/AR11*AS11-100,1),IF(ROUND(100/AR11*AS11-100,1)&gt;999,999,-999)))</f>
        <v>-7.3</v>
      </c>
    </row>
    <row r="12" spans="1:46" s="549" customFormat="1" ht="18.75" customHeight="1" x14ac:dyDescent="0.3">
      <c r="A12" s="581" t="s">
        <v>339</v>
      </c>
      <c r="B12" s="507">
        <v>-41.094000000000001</v>
      </c>
      <c r="C12" s="496">
        <v>-45.863</v>
      </c>
      <c r="D12" s="584">
        <f t="shared" si="0"/>
        <v>11.6</v>
      </c>
      <c r="E12" s="507">
        <v>-178.26400000000001</v>
      </c>
      <c r="F12" s="496">
        <v>-160.17599999999999</v>
      </c>
      <c r="G12" s="584">
        <f t="shared" si="1"/>
        <v>-10.1</v>
      </c>
      <c r="H12" s="507">
        <v>-24.523</v>
      </c>
      <c r="I12" s="496">
        <v>-28.052</v>
      </c>
      <c r="J12" s="584">
        <f t="shared" si="2"/>
        <v>14.4</v>
      </c>
      <c r="K12" s="507">
        <v>-5.4569999999999999</v>
      </c>
      <c r="L12" s="496">
        <v>-6.9</v>
      </c>
      <c r="M12" s="584">
        <f t="shared" si="3"/>
        <v>26.4</v>
      </c>
      <c r="N12" s="507"/>
      <c r="O12" s="496"/>
      <c r="P12" s="496"/>
      <c r="Q12" s="507">
        <v>-1.454731</v>
      </c>
      <c r="R12" s="496">
        <v>0</v>
      </c>
      <c r="S12" s="584">
        <f t="shared" si="4"/>
        <v>-100</v>
      </c>
      <c r="T12" s="507"/>
      <c r="U12" s="496"/>
      <c r="V12" s="584"/>
      <c r="W12" s="507">
        <v>-53</v>
      </c>
      <c r="X12" s="496">
        <v>-43</v>
      </c>
      <c r="Y12" s="584">
        <f t="shared" si="6"/>
        <v>-18.899999999999999</v>
      </c>
      <c r="Z12" s="507">
        <v>-1</v>
      </c>
      <c r="AA12" s="496">
        <v>-1</v>
      </c>
      <c r="AB12" s="584">
        <f t="shared" si="7"/>
        <v>0</v>
      </c>
      <c r="AC12" s="507"/>
      <c r="AD12" s="496"/>
      <c r="AE12" s="584"/>
      <c r="AF12" s="507"/>
      <c r="AG12" s="496"/>
      <c r="AH12" s="584"/>
      <c r="AI12" s="507">
        <v>-104.95</v>
      </c>
      <c r="AJ12" s="496">
        <v>-105.658</v>
      </c>
      <c r="AK12" s="584">
        <f t="shared" si="9"/>
        <v>0.7</v>
      </c>
      <c r="AL12" s="507">
        <v>-28.4</v>
      </c>
      <c r="AM12" s="496">
        <v>-28</v>
      </c>
      <c r="AN12" s="584">
        <f t="shared" si="10"/>
        <v>-1.4</v>
      </c>
      <c r="AO12" s="584">
        <f t="shared" ref="AO12:AP45" si="13">B12+E12+H12+K12+Q12+T12+W12+Z12+AF12+AI12+AL12</f>
        <v>-438.14273099999997</v>
      </c>
      <c r="AP12" s="584">
        <f t="shared" si="13"/>
        <v>-418.649</v>
      </c>
      <c r="AQ12" s="584">
        <f t="shared" si="11"/>
        <v>-4.4000000000000004</v>
      </c>
      <c r="AR12" s="586">
        <f t="shared" ref="AR12:AS17" si="14">+B12+E12+H12+K12+N12+Q12+T12+W12+Z12+AC12+AF12+AI12+AL12</f>
        <v>-438.14273099999997</v>
      </c>
      <c r="AS12" s="584">
        <f>+C12+F12+I12+L12+O12+R12+U12+X12+AA12+AD12+AG12+AJ12+AM12</f>
        <v>-418.649</v>
      </c>
      <c r="AT12" s="584">
        <f t="shared" si="12"/>
        <v>-4.4000000000000004</v>
      </c>
    </row>
    <row r="13" spans="1:46" s="549" customFormat="1" ht="18.75" customHeight="1" x14ac:dyDescent="0.3">
      <c r="A13" s="581" t="s">
        <v>340</v>
      </c>
      <c r="B13" s="507">
        <v>389.18900000000002</v>
      </c>
      <c r="C13" s="496">
        <v>517.62800000000004</v>
      </c>
      <c r="D13" s="584">
        <f t="shared" si="0"/>
        <v>33</v>
      </c>
      <c r="E13" s="507">
        <v>1254.9760000000001</v>
      </c>
      <c r="F13" s="496">
        <v>2696.8989999999999</v>
      </c>
      <c r="G13" s="584">
        <f t="shared" si="1"/>
        <v>114.9</v>
      </c>
      <c r="H13" s="507">
        <v>31.577999999999999</v>
      </c>
      <c r="I13" s="496">
        <v>46.481000000000002</v>
      </c>
      <c r="J13" s="584">
        <f t="shared" si="2"/>
        <v>47.2</v>
      </c>
      <c r="K13" s="507">
        <v>440.41899999999998</v>
      </c>
      <c r="L13" s="496">
        <v>1389</v>
      </c>
      <c r="M13" s="584">
        <f t="shared" si="3"/>
        <v>215.4</v>
      </c>
      <c r="N13" s="507"/>
      <c r="O13" s="496"/>
      <c r="P13" s="496"/>
      <c r="Q13" s="507">
        <v>1735.678887</v>
      </c>
      <c r="R13" s="496">
        <v>208.47842800000001</v>
      </c>
      <c r="S13" s="584">
        <f t="shared" si="4"/>
        <v>-88</v>
      </c>
      <c r="T13" s="507">
        <v>65.322000000000003</v>
      </c>
      <c r="U13" s="496">
        <v>351.642</v>
      </c>
      <c r="V13" s="584">
        <f t="shared" si="5"/>
        <v>438.3</v>
      </c>
      <c r="W13" s="507">
        <v>586</v>
      </c>
      <c r="X13" s="496">
        <v>703</v>
      </c>
      <c r="Y13" s="584">
        <f t="shared" si="6"/>
        <v>20</v>
      </c>
      <c r="Z13" s="507"/>
      <c r="AA13" s="496"/>
      <c r="AB13" s="584"/>
      <c r="AC13" s="507">
        <v>51</v>
      </c>
      <c r="AD13" s="496">
        <v>61</v>
      </c>
      <c r="AE13" s="584">
        <f t="shared" si="8"/>
        <v>19.600000000000001</v>
      </c>
      <c r="AF13" s="507">
        <v>-0.69540974</v>
      </c>
      <c r="AG13" s="496"/>
      <c r="AH13" s="584">
        <f t="shared" ref="AH13:AH45" si="15">IF(AF13=0, "    ---- ", IF(ABS(ROUND(100/AF13*AG13-100,1))&lt;999,ROUND(100/AF13*AG13-100,1),IF(ROUND(100/AF13*AG13-100,1)&gt;999,999,-999)))</f>
        <v>-100</v>
      </c>
      <c r="AI13" s="507">
        <v>876.66529858999991</v>
      </c>
      <c r="AJ13" s="496">
        <v>891.19950561000019</v>
      </c>
      <c r="AK13" s="584">
        <f t="shared" si="9"/>
        <v>1.7</v>
      </c>
      <c r="AL13" s="507">
        <v>317</v>
      </c>
      <c r="AM13" s="496">
        <v>733</v>
      </c>
      <c r="AN13" s="584">
        <f t="shared" si="10"/>
        <v>131.19999999999999</v>
      </c>
      <c r="AO13" s="584">
        <f>B13+E13+H13+K13+Q13+T13+W13+Z13+AF13+AI13+AL13</f>
        <v>5696.1327758500001</v>
      </c>
      <c r="AP13" s="584">
        <f t="shared" si="13"/>
        <v>7537.3279336100004</v>
      </c>
      <c r="AQ13" s="584">
        <f t="shared" si="11"/>
        <v>32.299999999999997</v>
      </c>
      <c r="AR13" s="586">
        <f t="shared" si="14"/>
        <v>5747.1327758500001</v>
      </c>
      <c r="AS13" s="584">
        <f>+C13+F13+I13+L13+O13+R13+U13+X13+AA13+AD13+AG13+AJ13+AM13</f>
        <v>7598.3279336100004</v>
      </c>
      <c r="AT13" s="584">
        <f t="shared" si="12"/>
        <v>32.200000000000003</v>
      </c>
    </row>
    <row r="14" spans="1:46" s="549" customFormat="1" ht="18.75" customHeight="1" x14ac:dyDescent="0.3">
      <c r="A14" s="581" t="s">
        <v>341</v>
      </c>
      <c r="B14" s="473">
        <f>SUM(B11:B13)</f>
        <v>1344.001</v>
      </c>
      <c r="C14" s="473">
        <f>SUM(C11:C13)</f>
        <v>1541.2599999999998</v>
      </c>
      <c r="D14" s="584">
        <f t="shared" si="0"/>
        <v>14.7</v>
      </c>
      <c r="E14" s="473">
        <f>SUM(E11:E13)</f>
        <v>9812.3390000000018</v>
      </c>
      <c r="F14" s="473">
        <f>SUM(F11:F13)</f>
        <v>10127.537</v>
      </c>
      <c r="G14" s="584">
        <f t="shared" si="1"/>
        <v>3.2</v>
      </c>
      <c r="H14" s="473">
        <f>SUM(H11:H13)</f>
        <v>623.16</v>
      </c>
      <c r="I14" s="474">
        <f>SUM(I11:I13)</f>
        <v>701.61799999999994</v>
      </c>
      <c r="J14" s="584">
        <f t="shared" si="2"/>
        <v>12.6</v>
      </c>
      <c r="K14" s="473">
        <f>SUM(K11:K13)</f>
        <v>1638.4169999999999</v>
      </c>
      <c r="L14" s="473">
        <v>2884.8</v>
      </c>
      <c r="M14" s="584">
        <f t="shared" si="3"/>
        <v>76.099999999999994</v>
      </c>
      <c r="N14" s="473">
        <f>SUM(N11:N13)</f>
        <v>21</v>
      </c>
      <c r="O14" s="473">
        <f>SUM(O11:O13)</f>
        <v>20</v>
      </c>
      <c r="P14" s="496">
        <v>-0.5</v>
      </c>
      <c r="Q14" s="473">
        <v>19674.351485450003</v>
      </c>
      <c r="R14" s="473">
        <v>15157.544034979999</v>
      </c>
      <c r="S14" s="584">
        <f t="shared" si="4"/>
        <v>-23</v>
      </c>
      <c r="T14" s="473">
        <f>SUM(T11:T13)</f>
        <v>249.084</v>
      </c>
      <c r="U14" s="473">
        <f>SUM(U11:U13)</f>
        <v>569.923</v>
      </c>
      <c r="V14" s="584">
        <f t="shared" si="5"/>
        <v>128.80000000000001</v>
      </c>
      <c r="W14" s="473">
        <f>SUM(W11:W13)</f>
        <v>6363</v>
      </c>
      <c r="X14" s="473">
        <f>SUM(X11:X13)</f>
        <v>6396</v>
      </c>
      <c r="Y14" s="584">
        <f t="shared" si="6"/>
        <v>0.5</v>
      </c>
      <c r="Z14" s="473">
        <f>SUM(Z11:Z13)</f>
        <v>1315</v>
      </c>
      <c r="AA14" s="473">
        <f>SUM(AA11:AA13)</f>
        <v>1524</v>
      </c>
      <c r="AB14" s="584">
        <f t="shared" si="7"/>
        <v>15.9</v>
      </c>
      <c r="AC14" s="473">
        <f>SUM(AC11:AC13)</f>
        <v>116</v>
      </c>
      <c r="AD14" s="473">
        <f>SUM(AD11:AD13)</f>
        <v>121</v>
      </c>
      <c r="AE14" s="584">
        <f t="shared" si="8"/>
        <v>4.3</v>
      </c>
      <c r="AF14" s="473">
        <f>SUM(AF11:AF13)</f>
        <v>-0.69540974</v>
      </c>
      <c r="AG14" s="473">
        <f>SUM(AG11:AG13)</f>
        <v>0</v>
      </c>
      <c r="AH14" s="584">
        <f t="shared" si="15"/>
        <v>-100</v>
      </c>
      <c r="AI14" s="473">
        <f>SUM(AI11:AI13)</f>
        <v>3278.9014696999993</v>
      </c>
      <c r="AJ14" s="473">
        <f>SUM(AJ11:AJ13)</f>
        <v>3849.3150801800002</v>
      </c>
      <c r="AK14" s="584">
        <f t="shared" si="9"/>
        <v>17.399999999999999</v>
      </c>
      <c r="AL14" s="473">
        <f>SUM(AL11:AL13)</f>
        <v>9762.6</v>
      </c>
      <c r="AM14" s="473">
        <f>SUM(AM11:AM13)</f>
        <v>9626</v>
      </c>
      <c r="AN14" s="584">
        <f t="shared" si="10"/>
        <v>-1.4</v>
      </c>
      <c r="AO14" s="584">
        <f>B14+E14+H14+K14+Q14+T14+W14+Z14+AF14+AI14+AL14</f>
        <v>54060.158545410006</v>
      </c>
      <c r="AP14" s="584">
        <f>C14+F14+I14+L14+R14+U14+X14+AA14+AG14+AJ14+AM14</f>
        <v>52377.997115159997</v>
      </c>
      <c r="AQ14" s="584">
        <f t="shared" si="11"/>
        <v>-3.1</v>
      </c>
      <c r="AR14" s="586">
        <f>+B14+E14+H14+K14+N14+Q14+T14+W14+Z14+AC14+AF14+AI14+AL14</f>
        <v>54197.158545410006</v>
      </c>
      <c r="AS14" s="584">
        <f>+C14+F14+I14+L14+O14+R14+U14+X14+AA14+AD14+AG14+AJ14+AM14</f>
        <v>52518.997115159997</v>
      </c>
      <c r="AT14" s="584">
        <f t="shared" si="12"/>
        <v>-3.1</v>
      </c>
    </row>
    <row r="15" spans="1:46" s="549" customFormat="1" ht="18.75" customHeight="1" x14ac:dyDescent="0.3">
      <c r="A15" s="581" t="s">
        <v>342</v>
      </c>
      <c r="B15" s="499">
        <v>22.125</v>
      </c>
      <c r="C15" s="500">
        <v>17.896000000000001</v>
      </c>
      <c r="D15" s="584">
        <f t="shared" si="0"/>
        <v>-19.100000000000001</v>
      </c>
      <c r="E15" s="499">
        <v>4141.8190000000004</v>
      </c>
      <c r="F15" s="500">
        <v>5419.8590000000004</v>
      </c>
      <c r="G15" s="584">
        <f t="shared" si="1"/>
        <v>30.9</v>
      </c>
      <c r="H15" s="587">
        <v>12.423</v>
      </c>
      <c r="I15" s="588">
        <v>24.100999999999999</v>
      </c>
      <c r="J15" s="584">
        <f t="shared" si="2"/>
        <v>94</v>
      </c>
      <c r="K15" s="499">
        <v>107.68899999999999</v>
      </c>
      <c r="L15" s="500">
        <v>121.6</v>
      </c>
      <c r="M15" s="584">
        <f t="shared" si="3"/>
        <v>12.9</v>
      </c>
      <c r="N15" s="589"/>
      <c r="O15" s="590"/>
      <c r="P15" s="496"/>
      <c r="Q15" s="499">
        <v>11198.444173620001</v>
      </c>
      <c r="R15" s="500">
        <v>13640.6132371</v>
      </c>
      <c r="S15" s="584">
        <f t="shared" si="4"/>
        <v>21.8</v>
      </c>
      <c r="T15" s="499">
        <v>41.171999999999997</v>
      </c>
      <c r="U15" s="500">
        <v>37.743000000000002</v>
      </c>
      <c r="V15" s="584">
        <f t="shared" si="5"/>
        <v>-8.3000000000000007</v>
      </c>
      <c r="W15" s="499">
        <v>1134</v>
      </c>
      <c r="X15" s="500">
        <v>1306</v>
      </c>
      <c r="Y15" s="584">
        <f t="shared" si="6"/>
        <v>15.2</v>
      </c>
      <c r="Z15" s="499">
        <v>1086</v>
      </c>
      <c r="AA15" s="500">
        <v>3861</v>
      </c>
      <c r="AB15" s="584">
        <f t="shared" si="7"/>
        <v>255.5</v>
      </c>
      <c r="AC15" s="589"/>
      <c r="AD15" s="590"/>
      <c r="AE15" s="584"/>
      <c r="AF15" s="499">
        <v>153.75920493999999</v>
      </c>
      <c r="AG15" s="500"/>
      <c r="AH15" s="584">
        <f t="shared" si="15"/>
        <v>-100</v>
      </c>
      <c r="AI15" s="591">
        <v>343.19236687000011</v>
      </c>
      <c r="AJ15" s="592">
        <v>688.46622493999985</v>
      </c>
      <c r="AK15" s="584">
        <f t="shared" si="9"/>
        <v>100.6</v>
      </c>
      <c r="AL15" s="499">
        <v>5145</v>
      </c>
      <c r="AM15" s="500">
        <v>5157</v>
      </c>
      <c r="AN15" s="584">
        <f t="shared" si="10"/>
        <v>0.2</v>
      </c>
      <c r="AO15" s="584">
        <f t="shared" si="13"/>
        <v>23385.623745430003</v>
      </c>
      <c r="AP15" s="584">
        <f t="shared" si="13"/>
        <v>30274.278462039998</v>
      </c>
      <c r="AQ15" s="584">
        <f t="shared" si="11"/>
        <v>29.5</v>
      </c>
      <c r="AR15" s="586">
        <f>+B15+E15+H15+K15+N15+Q15+T15+W15+Z15+AC15+AF15+AI15+AL15</f>
        <v>23385.623745430003</v>
      </c>
      <c r="AS15" s="584">
        <f>+C15+F15+I15+L15+O15+R15+U15+X15+AA15+AD15+AG15+AJ15+AM15</f>
        <v>30274.278462039998</v>
      </c>
      <c r="AT15" s="584">
        <f t="shared" si="12"/>
        <v>29.5</v>
      </c>
    </row>
    <row r="16" spans="1:46" s="549" customFormat="1" ht="18.75" customHeight="1" x14ac:dyDescent="0.3">
      <c r="A16" s="581" t="s">
        <v>343</v>
      </c>
      <c r="B16" s="499">
        <v>-314.65199999999999</v>
      </c>
      <c r="C16" s="500">
        <v>744.50099999999998</v>
      </c>
      <c r="D16" s="584">
        <f t="shared" si="0"/>
        <v>-336.6</v>
      </c>
      <c r="E16" s="499">
        <v>-193.19900000000001</v>
      </c>
      <c r="F16" s="500">
        <v>2726.2539999999999</v>
      </c>
      <c r="G16" s="584">
        <f t="shared" si="1"/>
        <v>-999</v>
      </c>
      <c r="H16" s="587">
        <v>-85.266999999999996</v>
      </c>
      <c r="I16" s="588">
        <v>120.931</v>
      </c>
      <c r="J16" s="584">
        <f t="shared" si="2"/>
        <v>-241.8</v>
      </c>
      <c r="K16" s="499">
        <v>-85.706999999999994</v>
      </c>
      <c r="L16" s="500">
        <v>845.9</v>
      </c>
      <c r="M16" s="584">
        <f t="shared" si="3"/>
        <v>-999</v>
      </c>
      <c r="N16" s="589"/>
      <c r="O16" s="590"/>
      <c r="P16" s="593"/>
      <c r="Q16" s="499">
        <v>51.60107489</v>
      </c>
      <c r="R16" s="500">
        <v>69.902505550000001</v>
      </c>
      <c r="S16" s="584">
        <f t="shared" si="4"/>
        <v>35.5</v>
      </c>
      <c r="T16" s="499">
        <v>25.181999999999999</v>
      </c>
      <c r="U16" s="500">
        <v>80.180999999999997</v>
      </c>
      <c r="V16" s="584">
        <f t="shared" si="5"/>
        <v>218.4</v>
      </c>
      <c r="W16" s="499">
        <v>33</v>
      </c>
      <c r="X16" s="500">
        <v>2584</v>
      </c>
      <c r="Y16" s="584">
        <f t="shared" si="6"/>
        <v>999</v>
      </c>
      <c r="Z16" s="499"/>
      <c r="AA16" s="500"/>
      <c r="AB16" s="584"/>
      <c r="AC16" s="589">
        <v>-76</v>
      </c>
      <c r="AD16" s="590">
        <v>134</v>
      </c>
      <c r="AE16" s="584">
        <f t="shared" si="8"/>
        <v>-276.3</v>
      </c>
      <c r="AF16" s="499">
        <v>-11.259156409999997</v>
      </c>
      <c r="AG16" s="500"/>
      <c r="AH16" s="584">
        <f t="shared" si="15"/>
        <v>-100</v>
      </c>
      <c r="AI16" s="591">
        <v>-243.75061017000024</v>
      </c>
      <c r="AJ16" s="592">
        <v>1220.88438088</v>
      </c>
      <c r="AK16" s="584">
        <f t="shared" si="9"/>
        <v>-600.9</v>
      </c>
      <c r="AL16" s="499">
        <v>140</v>
      </c>
      <c r="AM16" s="500">
        <v>3528</v>
      </c>
      <c r="AN16" s="584">
        <f t="shared" si="10"/>
        <v>999</v>
      </c>
      <c r="AO16" s="584">
        <f t="shared" si="13"/>
        <v>-684.0516916900001</v>
      </c>
      <c r="AP16" s="584">
        <f t="shared" si="13"/>
        <v>11920.55388643</v>
      </c>
      <c r="AQ16" s="584">
        <f t="shared" si="11"/>
        <v>-999</v>
      </c>
      <c r="AR16" s="586">
        <f>+B16+E16+H16+K16+N16+Q16+T16+W16+Z16+AC16+AF16+AI16+AL16</f>
        <v>-760.0516916900001</v>
      </c>
      <c r="AS16" s="584">
        <f t="shared" si="14"/>
        <v>12054.55388643</v>
      </c>
      <c r="AT16" s="584">
        <f t="shared" si="12"/>
        <v>-999</v>
      </c>
    </row>
    <row r="17" spans="1:46" s="549" customFormat="1" ht="18.75" customHeight="1" x14ac:dyDescent="0.3">
      <c r="A17" s="581" t="s">
        <v>344</v>
      </c>
      <c r="B17" s="499"/>
      <c r="C17" s="500"/>
      <c r="D17" s="584"/>
      <c r="E17" s="499">
        <v>7.3120000000000003</v>
      </c>
      <c r="F17" s="500">
        <v>5.3010000000000002</v>
      </c>
      <c r="G17" s="584">
        <f t="shared" si="1"/>
        <v>-27.5</v>
      </c>
      <c r="H17" s="587">
        <v>4.9009999999999998</v>
      </c>
      <c r="I17" s="588">
        <v>5.4059999999999997</v>
      </c>
      <c r="J17" s="584">
        <f t="shared" si="2"/>
        <v>10.3</v>
      </c>
      <c r="K17" s="499"/>
      <c r="L17" s="500">
        <v>59.23</v>
      </c>
      <c r="M17" s="584" t="str">
        <f t="shared" si="3"/>
        <v xml:space="preserve">    ---- </v>
      </c>
      <c r="N17" s="589"/>
      <c r="O17" s="590"/>
      <c r="P17" s="496"/>
      <c r="Q17" s="499">
        <v>456.17199169999998</v>
      </c>
      <c r="R17" s="500">
        <v>486.75468000000001</v>
      </c>
      <c r="S17" s="584">
        <f t="shared" si="4"/>
        <v>6.7</v>
      </c>
      <c r="T17" s="499">
        <v>2.0659999999999998</v>
      </c>
      <c r="U17" s="500">
        <v>1.3260000000000001</v>
      </c>
      <c r="V17" s="584">
        <f t="shared" si="5"/>
        <v>-35.799999999999997</v>
      </c>
      <c r="W17" s="499">
        <v>66</v>
      </c>
      <c r="X17" s="500">
        <v>76</v>
      </c>
      <c r="Y17" s="584">
        <f t="shared" si="6"/>
        <v>15.2</v>
      </c>
      <c r="Z17" s="499">
        <v>90</v>
      </c>
      <c r="AA17" s="500">
        <v>97</v>
      </c>
      <c r="AB17" s="584">
        <f t="shared" si="7"/>
        <v>7.8</v>
      </c>
      <c r="AC17" s="589"/>
      <c r="AD17" s="590"/>
      <c r="AE17" s="584"/>
      <c r="AF17" s="499">
        <v>0</v>
      </c>
      <c r="AG17" s="500"/>
      <c r="AH17" s="584"/>
      <c r="AI17" s="591">
        <v>56.728955080000013</v>
      </c>
      <c r="AJ17" s="592">
        <v>62.76892625</v>
      </c>
      <c r="AK17" s="584">
        <f t="shared" si="9"/>
        <v>10.6</v>
      </c>
      <c r="AL17" s="499">
        <v>218</v>
      </c>
      <c r="AM17" s="500">
        <v>259</v>
      </c>
      <c r="AN17" s="584">
        <f t="shared" si="10"/>
        <v>18.8</v>
      </c>
      <c r="AO17" s="584">
        <f t="shared" si="13"/>
        <v>901.17994678000002</v>
      </c>
      <c r="AP17" s="584">
        <f t="shared" si="13"/>
        <v>1052.7866062500002</v>
      </c>
      <c r="AQ17" s="584">
        <f t="shared" si="11"/>
        <v>16.8</v>
      </c>
      <c r="AR17" s="586">
        <f>+B17+E17+H17+K17+N17+Q17+T17+W17+Z17+AC17+AF17+AI17+AL17</f>
        <v>901.17994678000002</v>
      </c>
      <c r="AS17" s="584">
        <f t="shared" si="14"/>
        <v>1052.7866062500002</v>
      </c>
      <c r="AT17" s="584">
        <f t="shared" si="12"/>
        <v>16.8</v>
      </c>
    </row>
    <row r="18" spans="1:46" s="549" customFormat="1" ht="18.75" customHeight="1" x14ac:dyDescent="0.3">
      <c r="A18" s="581" t="s">
        <v>345</v>
      </c>
      <c r="B18" s="499"/>
      <c r="C18" s="500"/>
      <c r="D18" s="584"/>
      <c r="E18" s="499"/>
      <c r="F18" s="500"/>
      <c r="G18" s="584"/>
      <c r="H18" s="587"/>
      <c r="I18" s="588"/>
      <c r="J18" s="584"/>
      <c r="K18" s="499"/>
      <c r="L18" s="500"/>
      <c r="M18" s="584"/>
      <c r="N18" s="589"/>
      <c r="O18" s="590"/>
      <c r="P18" s="496"/>
      <c r="Q18" s="499"/>
      <c r="R18" s="500"/>
      <c r="S18" s="584"/>
      <c r="T18" s="499"/>
      <c r="U18" s="500"/>
      <c r="V18" s="584"/>
      <c r="W18" s="594"/>
      <c r="X18" s="595"/>
      <c r="Y18" s="584"/>
      <c r="Z18" s="499"/>
      <c r="AA18" s="500"/>
      <c r="AB18" s="584"/>
      <c r="AC18" s="589"/>
      <c r="AD18" s="590"/>
      <c r="AE18" s="584"/>
      <c r="AF18" s="499"/>
      <c r="AG18" s="500"/>
      <c r="AH18" s="584"/>
      <c r="AI18" s="591"/>
      <c r="AJ18" s="592"/>
      <c r="AK18" s="584"/>
      <c r="AL18" s="499"/>
      <c r="AM18" s="500"/>
      <c r="AN18" s="584"/>
      <c r="AO18" s="584"/>
      <c r="AP18" s="584"/>
      <c r="AQ18" s="584"/>
      <c r="AR18" s="596"/>
      <c r="AS18" s="585"/>
      <c r="AT18" s="585"/>
    </row>
    <row r="19" spans="1:46" s="549" customFormat="1" ht="18.75" customHeight="1" x14ac:dyDescent="0.3">
      <c r="A19" s="581" t="s">
        <v>346</v>
      </c>
      <c r="B19" s="473">
        <v>-230.37199999999999</v>
      </c>
      <c r="C19" s="474">
        <v>-257.65100000000001</v>
      </c>
      <c r="D19" s="584">
        <f t="shared" si="0"/>
        <v>11.8</v>
      </c>
      <c r="E19" s="473">
        <v>-6948.23</v>
      </c>
      <c r="F19" s="474">
        <v>-7345.3140000000003</v>
      </c>
      <c r="G19" s="584">
        <f t="shared" si="1"/>
        <v>5.7</v>
      </c>
      <c r="H19" s="473">
        <v>-32.104999999999997</v>
      </c>
      <c r="I19" s="474">
        <v>-37.997</v>
      </c>
      <c r="J19" s="584">
        <f t="shared" si="2"/>
        <v>18.399999999999999</v>
      </c>
      <c r="K19" s="473">
        <v>-217.25399999999999</v>
      </c>
      <c r="L19" s="474">
        <f>-228.1+13.8</f>
        <v>-214.29999999999998</v>
      </c>
      <c r="M19" s="584">
        <f t="shared" si="3"/>
        <v>-1.4</v>
      </c>
      <c r="N19" s="473">
        <v>-16</v>
      </c>
      <c r="O19" s="474">
        <v>-8</v>
      </c>
      <c r="P19" s="496">
        <v>-38</v>
      </c>
      <c r="Q19" s="473">
        <v>-7911.5229419999996</v>
      </c>
      <c r="R19" s="474">
        <v>-8540.7821010000007</v>
      </c>
      <c r="S19" s="584">
        <f t="shared" si="4"/>
        <v>8</v>
      </c>
      <c r="T19" s="473">
        <v>-31.504999999999999</v>
      </c>
      <c r="U19" s="474">
        <v>-37.082000000000001</v>
      </c>
      <c r="V19" s="584">
        <f t="shared" si="5"/>
        <v>17.7</v>
      </c>
      <c r="W19" s="473">
        <v>-2143</v>
      </c>
      <c r="X19" s="474">
        <v>-2202.9144612099999</v>
      </c>
      <c r="Y19" s="584">
        <f t="shared" si="6"/>
        <v>2.8</v>
      </c>
      <c r="Z19" s="473">
        <v>-1286</v>
      </c>
      <c r="AA19" s="474">
        <v>-1313</v>
      </c>
      <c r="AB19" s="584">
        <f t="shared" si="7"/>
        <v>2.1</v>
      </c>
      <c r="AC19" s="473">
        <v>-71</v>
      </c>
      <c r="AD19" s="474">
        <v>-92</v>
      </c>
      <c r="AE19" s="584">
        <f t="shared" si="8"/>
        <v>29.6</v>
      </c>
      <c r="AF19" s="473">
        <v>-95.403405589999991</v>
      </c>
      <c r="AG19" s="474"/>
      <c r="AH19" s="584">
        <f t="shared" si="15"/>
        <v>-100</v>
      </c>
      <c r="AI19" s="597">
        <v>-1014.3213309499996</v>
      </c>
      <c r="AJ19" s="598">
        <v>-1080.6270917999998</v>
      </c>
      <c r="AK19" s="584">
        <f t="shared" si="9"/>
        <v>6.5</v>
      </c>
      <c r="AL19" s="473">
        <v>-5001</v>
      </c>
      <c r="AM19" s="474">
        <v>-5165</v>
      </c>
      <c r="AN19" s="584">
        <f t="shared" si="10"/>
        <v>3.3</v>
      </c>
      <c r="AO19" s="584">
        <f t="shared" si="13"/>
        <v>-24910.713678539996</v>
      </c>
      <c r="AP19" s="584">
        <f t="shared" si="13"/>
        <v>-26194.667654009998</v>
      </c>
      <c r="AQ19" s="584">
        <f t="shared" si="11"/>
        <v>5.2</v>
      </c>
      <c r="AR19" s="586">
        <f t="shared" ref="AR19:AS33" si="16">+B19+E19+H19+K19+N19+Q19+T19+W19+Z19+AC19+AF19+AI19+AL19</f>
        <v>-24997.713678539996</v>
      </c>
      <c r="AS19" s="584">
        <f t="shared" si="16"/>
        <v>-26294.667654009998</v>
      </c>
      <c r="AT19" s="584">
        <f>IF(AR19=0, "    ---- ", IF(ABS(ROUND(100/AR19*AS19-100,1))&lt;999,ROUND(100/AR19*AS19-100,1),IF(ROUND(100/AR19*AS19-100,1)&gt;999,999,-999)))</f>
        <v>5.2</v>
      </c>
    </row>
    <row r="20" spans="1:46" s="549" customFormat="1" ht="18.75" customHeight="1" x14ac:dyDescent="0.3">
      <c r="A20" s="581" t="s">
        <v>426</v>
      </c>
      <c r="B20" s="507">
        <v>-364.55099999999999</v>
      </c>
      <c r="C20" s="496">
        <v>-350.072</v>
      </c>
      <c r="D20" s="584">
        <f t="shared" si="0"/>
        <v>-4</v>
      </c>
      <c r="E20" s="507">
        <v>-793.47299999999996</v>
      </c>
      <c r="F20" s="496">
        <v>-1020.691</v>
      </c>
      <c r="G20" s="584">
        <f t="shared" si="1"/>
        <v>28.6</v>
      </c>
      <c r="H20" s="507">
        <v>-39.204999999999998</v>
      </c>
      <c r="I20" s="496">
        <v>-82.244</v>
      </c>
      <c r="J20" s="584">
        <f t="shared" si="2"/>
        <v>109.8</v>
      </c>
      <c r="K20" s="507">
        <v>-233.53100000000001</v>
      </c>
      <c r="L20" s="496">
        <v>-524.5</v>
      </c>
      <c r="M20" s="584">
        <f t="shared" si="3"/>
        <v>124.6</v>
      </c>
      <c r="N20" s="507"/>
      <c r="O20" s="496"/>
      <c r="P20" s="496"/>
      <c r="Q20" s="507">
        <v>-123.887451</v>
      </c>
      <c r="R20" s="496">
        <v>-210.53673000000001</v>
      </c>
      <c r="S20" s="584">
        <f t="shared" si="4"/>
        <v>69.900000000000006</v>
      </c>
      <c r="T20" s="507">
        <v>-33.86</v>
      </c>
      <c r="U20" s="496">
        <v>-99.353999999999999</v>
      </c>
      <c r="V20" s="584">
        <f t="shared" si="5"/>
        <v>193.4</v>
      </c>
      <c r="W20" s="599">
        <v>-1108</v>
      </c>
      <c r="X20" s="600">
        <v>-1621.97453879</v>
      </c>
      <c r="Y20" s="584">
        <f t="shared" si="6"/>
        <v>46.4</v>
      </c>
      <c r="Z20" s="599"/>
      <c r="AA20" s="600"/>
      <c r="AB20" s="584"/>
      <c r="AC20" s="507">
        <v>-4</v>
      </c>
      <c r="AD20" s="496">
        <v>-19</v>
      </c>
      <c r="AE20" s="584">
        <f t="shared" si="8"/>
        <v>375</v>
      </c>
      <c r="AF20" s="507">
        <v>-25.860259750000001</v>
      </c>
      <c r="AG20" s="496"/>
      <c r="AH20" s="584">
        <f t="shared" si="15"/>
        <v>-100</v>
      </c>
      <c r="AI20" s="599">
        <v>-158.12464273000001</v>
      </c>
      <c r="AJ20" s="600">
        <v>-476.18184953000008</v>
      </c>
      <c r="AK20" s="584">
        <f t="shared" si="9"/>
        <v>201.1</v>
      </c>
      <c r="AL20" s="507">
        <v>-2646</v>
      </c>
      <c r="AM20" s="496">
        <v>-2978</v>
      </c>
      <c r="AN20" s="584">
        <f t="shared" si="10"/>
        <v>12.5</v>
      </c>
      <c r="AO20" s="584">
        <f t="shared" si="13"/>
        <v>-5526.4923534799991</v>
      </c>
      <c r="AP20" s="584">
        <f t="shared" si="13"/>
        <v>-7363.5541183200003</v>
      </c>
      <c r="AQ20" s="584">
        <f t="shared" si="11"/>
        <v>33.200000000000003</v>
      </c>
      <c r="AR20" s="586">
        <f t="shared" si="16"/>
        <v>-5530.4923534799991</v>
      </c>
      <c r="AS20" s="584">
        <f t="shared" si="16"/>
        <v>-7382.5541183200003</v>
      </c>
      <c r="AT20" s="584">
        <f>IF(AR20=0, "    ---- ", IF(ABS(ROUND(100/AR20*AS20-100,1))&lt;999,ROUND(100/AR20*AS20-100,1),IF(ROUND(100/AR20*AS20-100,1)&gt;999,999,-999)))</f>
        <v>33.5</v>
      </c>
    </row>
    <row r="21" spans="1:46" s="549" customFormat="1" ht="18.75" customHeight="1" x14ac:dyDescent="0.3">
      <c r="A21" s="581" t="s">
        <v>347</v>
      </c>
      <c r="B21" s="473">
        <f>SUM(B19:B20)</f>
        <v>-594.923</v>
      </c>
      <c r="C21" s="473">
        <f>SUM(C19:C20)</f>
        <v>-607.72299999999996</v>
      </c>
      <c r="D21" s="584">
        <f t="shared" si="0"/>
        <v>2.2000000000000002</v>
      </c>
      <c r="E21" s="473">
        <f>SUM(E19:E20)</f>
        <v>-7741.7029999999995</v>
      </c>
      <c r="F21" s="473">
        <f>SUM(F19:F20)</f>
        <v>-8366.005000000001</v>
      </c>
      <c r="G21" s="584">
        <f t="shared" si="1"/>
        <v>8.1</v>
      </c>
      <c r="H21" s="473">
        <f>SUM(H19:H20)</f>
        <v>-71.31</v>
      </c>
      <c r="I21" s="474">
        <f>SUM(I19:I20)</f>
        <v>-120.241</v>
      </c>
      <c r="J21" s="584">
        <f t="shared" si="2"/>
        <v>68.599999999999994</v>
      </c>
      <c r="K21" s="473">
        <f>SUM(K19:K20)</f>
        <v>-450.78499999999997</v>
      </c>
      <c r="L21" s="473">
        <v>-738.7</v>
      </c>
      <c r="M21" s="584">
        <f t="shared" si="3"/>
        <v>63.9</v>
      </c>
      <c r="N21" s="473">
        <f>SUM(N19:N20)</f>
        <v>-16</v>
      </c>
      <c r="O21" s="473">
        <f>SUM(O19:O20)</f>
        <v>-8</v>
      </c>
      <c r="P21" s="496">
        <v>29.6</v>
      </c>
      <c r="Q21" s="473">
        <v>-8035.4103929999992</v>
      </c>
      <c r="R21" s="473">
        <v>-8751.3188310000005</v>
      </c>
      <c r="S21" s="584">
        <f t="shared" si="4"/>
        <v>8.9</v>
      </c>
      <c r="T21" s="473">
        <f>SUM(T19:T20)</f>
        <v>-65.364999999999995</v>
      </c>
      <c r="U21" s="473">
        <f>SUM(U19:U20)</f>
        <v>-136.43600000000001</v>
      </c>
      <c r="V21" s="584">
        <f t="shared" si="5"/>
        <v>108.7</v>
      </c>
      <c r="W21" s="473">
        <f>SUM(W19:W20)</f>
        <v>-3251</v>
      </c>
      <c r="X21" s="473">
        <f>SUM(X19:X20)</f>
        <v>-3824.8890000000001</v>
      </c>
      <c r="Y21" s="584">
        <f t="shared" si="6"/>
        <v>17.7</v>
      </c>
      <c r="Z21" s="473">
        <f>SUM(Z19:Z20)</f>
        <v>-1286</v>
      </c>
      <c r="AA21" s="473">
        <f>SUM(AA19:AA20)</f>
        <v>-1313</v>
      </c>
      <c r="AB21" s="584">
        <f t="shared" si="7"/>
        <v>2.1</v>
      </c>
      <c r="AC21" s="473">
        <f>SUM(AC19:AC20)</f>
        <v>-75</v>
      </c>
      <c r="AD21" s="473">
        <f>SUM(AD19:AD20)</f>
        <v>-111</v>
      </c>
      <c r="AE21" s="584">
        <f t="shared" si="8"/>
        <v>48</v>
      </c>
      <c r="AF21" s="473">
        <f>SUM(AF19:AF20)</f>
        <v>-121.26366533999999</v>
      </c>
      <c r="AG21" s="473">
        <f>SUM(AG19:AG20)</f>
        <v>0</v>
      </c>
      <c r="AH21" s="584">
        <f t="shared" si="15"/>
        <v>-100</v>
      </c>
      <c r="AI21" s="473">
        <f>SUM(AI19:AI20)</f>
        <v>-1172.4459736799995</v>
      </c>
      <c r="AJ21" s="473">
        <f>SUM(AJ19:AJ20)</f>
        <v>-1556.8089413299999</v>
      </c>
      <c r="AK21" s="584">
        <f t="shared" si="9"/>
        <v>32.799999999999997</v>
      </c>
      <c r="AL21" s="473">
        <f>SUM(AL19:AL20)</f>
        <v>-7647</v>
      </c>
      <c r="AM21" s="473">
        <f>SUM(AM19:AM20)</f>
        <v>-8143</v>
      </c>
      <c r="AN21" s="584">
        <f t="shared" si="10"/>
        <v>6.5</v>
      </c>
      <c r="AO21" s="584">
        <f t="shared" si="13"/>
        <v>-30437.20603202</v>
      </c>
      <c r="AP21" s="584">
        <f t="shared" si="13"/>
        <v>-33558.121772330007</v>
      </c>
      <c r="AQ21" s="584">
        <f t="shared" si="11"/>
        <v>10.3</v>
      </c>
      <c r="AR21" s="586">
        <f t="shared" si="16"/>
        <v>-30528.20603202</v>
      </c>
      <c r="AS21" s="584">
        <f t="shared" si="16"/>
        <v>-33677.121772330007</v>
      </c>
      <c r="AT21" s="584">
        <f>IF(AR21=0, "    ---- ", IF(ABS(ROUND(100/AR21*AS21-100,1))&lt;999,ROUND(100/AR21*AS21-100,1),IF(ROUND(100/AR21*AS21-100,1)&gt;999,999,-999)))</f>
        <v>10.3</v>
      </c>
    </row>
    <row r="22" spans="1:46" s="549" customFormat="1" ht="18.75" customHeight="1" x14ac:dyDescent="0.3">
      <c r="A22" s="581" t="s">
        <v>348</v>
      </c>
      <c r="B22" s="499"/>
      <c r="C22" s="500"/>
      <c r="D22" s="584"/>
      <c r="E22" s="499"/>
      <c r="F22" s="500"/>
      <c r="G22" s="584"/>
      <c r="H22" s="589"/>
      <c r="I22" s="590"/>
      <c r="J22" s="584"/>
      <c r="K22" s="499"/>
      <c r="L22" s="500"/>
      <c r="M22" s="584"/>
      <c r="N22" s="589"/>
      <c r="O22" s="590"/>
      <c r="P22" s="496"/>
      <c r="Q22" s="499"/>
      <c r="R22" s="500"/>
      <c r="S22" s="584"/>
      <c r="T22" s="589"/>
      <c r="U22" s="590"/>
      <c r="V22" s="584"/>
      <c r="W22" s="589"/>
      <c r="X22" s="590"/>
      <c r="Y22" s="584"/>
      <c r="Z22" s="589"/>
      <c r="AA22" s="590"/>
      <c r="AB22" s="584"/>
      <c r="AC22" s="589"/>
      <c r="AD22" s="590"/>
      <c r="AE22" s="584"/>
      <c r="AF22" s="499"/>
      <c r="AG22" s="500"/>
      <c r="AH22" s="584"/>
      <c r="AI22" s="589"/>
      <c r="AJ22" s="590"/>
      <c r="AK22" s="584"/>
      <c r="AL22" s="499"/>
      <c r="AM22" s="500"/>
      <c r="AN22" s="584"/>
      <c r="AO22" s="584"/>
      <c r="AP22" s="584"/>
      <c r="AQ22" s="584"/>
      <c r="AR22" s="584"/>
      <c r="AS22" s="584"/>
      <c r="AT22" s="584"/>
    </row>
    <row r="23" spans="1:46" s="549" customFormat="1" ht="18.75" customHeight="1" x14ac:dyDescent="0.3">
      <c r="A23" s="581" t="s">
        <v>349</v>
      </c>
      <c r="B23" s="507">
        <f>-7.705+-14.421</f>
        <v>-22.125999999999998</v>
      </c>
      <c r="C23" s="496">
        <v>-33.561</v>
      </c>
      <c r="D23" s="584">
        <f t="shared" si="0"/>
        <v>51.7</v>
      </c>
      <c r="E23" s="507">
        <f>-1014.318+61.352</f>
        <v>-952.96600000000001</v>
      </c>
      <c r="F23" s="496">
        <v>812.05</v>
      </c>
      <c r="G23" s="584">
        <f t="shared" si="1"/>
        <v>-185.2</v>
      </c>
      <c r="H23" s="507">
        <f>-232.479+-43.105</f>
        <v>-275.584</v>
      </c>
      <c r="I23" s="496">
        <v>-330.35300000000001</v>
      </c>
      <c r="J23" s="584">
        <f t="shared" si="2"/>
        <v>19.899999999999999</v>
      </c>
      <c r="K23" s="507">
        <f>-144.185+-74.526</f>
        <v>-218.71100000000001</v>
      </c>
      <c r="L23" s="496">
        <f>-278.7+3.4</f>
        <v>-275.3</v>
      </c>
      <c r="M23" s="584">
        <f t="shared" si="3"/>
        <v>25.9</v>
      </c>
      <c r="N23" s="507">
        <v>2</v>
      </c>
      <c r="O23" s="496">
        <v>7</v>
      </c>
      <c r="P23" s="496"/>
      <c r="Q23" s="507">
        <v>-15066.48947126</v>
      </c>
      <c r="R23" s="496">
        <v>-10083.25196102</v>
      </c>
      <c r="S23" s="584">
        <f t="shared" si="4"/>
        <v>-33.1</v>
      </c>
      <c r="T23" s="507">
        <v>-39.402999999999999</v>
      </c>
      <c r="U23" s="496">
        <v>-13.851000000000001</v>
      </c>
      <c r="V23" s="584">
        <f t="shared" si="5"/>
        <v>-64.8</v>
      </c>
      <c r="W23" s="507">
        <f>-745.9+13</f>
        <v>-732.9</v>
      </c>
      <c r="X23" s="496">
        <v>-313</v>
      </c>
      <c r="Y23" s="584">
        <f t="shared" si="6"/>
        <v>-57.3</v>
      </c>
      <c r="Z23" s="507">
        <f>-472-7</f>
        <v>-479</v>
      </c>
      <c r="AA23" s="496">
        <v>-609</v>
      </c>
      <c r="AB23" s="584">
        <f t="shared" si="7"/>
        <v>27.1</v>
      </c>
      <c r="AC23" s="507"/>
      <c r="AD23" s="496"/>
      <c r="AE23" s="584"/>
      <c r="AF23" s="507">
        <f>-53.54520117+-11.79948169</f>
        <v>-65.344682860000006</v>
      </c>
      <c r="AG23" s="496"/>
      <c r="AH23" s="584">
        <f t="shared" si="15"/>
        <v>-100</v>
      </c>
      <c r="AI23" s="507">
        <f>-269.2132621+-137.32187248</f>
        <v>-406.53513457999998</v>
      </c>
      <c r="AJ23" s="496">
        <v>-471.59095664000034</v>
      </c>
      <c r="AK23" s="584">
        <f t="shared" si="9"/>
        <v>16</v>
      </c>
      <c r="AL23" s="507">
        <f>402.4+-358</f>
        <v>44.399999999999977</v>
      </c>
      <c r="AM23" s="496">
        <v>-721</v>
      </c>
      <c r="AN23" s="584">
        <f t="shared" si="10"/>
        <v>-999</v>
      </c>
      <c r="AO23" s="584">
        <f t="shared" si="13"/>
        <v>-18214.659288699997</v>
      </c>
      <c r="AP23" s="584">
        <f t="shared" si="13"/>
        <v>-12038.857917660001</v>
      </c>
      <c r="AQ23" s="584">
        <f t="shared" si="11"/>
        <v>-33.9</v>
      </c>
      <c r="AR23" s="586">
        <f t="shared" si="16"/>
        <v>-18212.659288699997</v>
      </c>
      <c r="AS23" s="584">
        <f t="shared" si="16"/>
        <v>-12031.857917660001</v>
      </c>
      <c r="AT23" s="584">
        <f t="shared" ref="AT23:AT34" si="17">IF(AR23=0, "    ---- ", IF(ABS(ROUND(100/AR23*AS23-100,1))&lt;999,ROUND(100/AR23*AS23-100,1),IF(ROUND(100/AR23*AS23-100,1)&gt;999,999,-999)))</f>
        <v>-33.9</v>
      </c>
    </row>
    <row r="24" spans="1:46" s="549" customFormat="1" ht="18.75" customHeight="1" x14ac:dyDescent="0.3">
      <c r="A24" s="581" t="s">
        <v>350</v>
      </c>
      <c r="B24" s="507"/>
      <c r="C24" s="496"/>
      <c r="D24" s="584"/>
      <c r="E24" s="507">
        <v>-1.631</v>
      </c>
      <c r="F24" s="496">
        <v>-12.486000000000001</v>
      </c>
      <c r="G24" s="584">
        <f t="shared" si="1"/>
        <v>665.5</v>
      </c>
      <c r="H24" s="507"/>
      <c r="I24" s="496"/>
      <c r="J24" s="584"/>
      <c r="K24" s="507">
        <v>0.20699999999999999</v>
      </c>
      <c r="L24" s="496">
        <v>-0.9</v>
      </c>
      <c r="M24" s="584">
        <f t="shared" si="3"/>
        <v>-534.79999999999995</v>
      </c>
      <c r="N24" s="507"/>
      <c r="O24" s="496"/>
      <c r="P24" s="496"/>
      <c r="Q24" s="507">
        <v>9.2478010000000008</v>
      </c>
      <c r="R24" s="496">
        <v>12.326510000000001</v>
      </c>
      <c r="S24" s="584">
        <f t="shared" si="4"/>
        <v>33.299999999999997</v>
      </c>
      <c r="T24" s="507">
        <v>0</v>
      </c>
      <c r="U24" s="496">
        <v>9.2999999999999999E-2</v>
      </c>
      <c r="V24" s="584" t="str">
        <f t="shared" si="5"/>
        <v xml:space="preserve">    ---- </v>
      </c>
      <c r="W24" s="507">
        <v>18</v>
      </c>
      <c r="X24" s="496">
        <v>13</v>
      </c>
      <c r="Y24" s="584">
        <f t="shared" si="6"/>
        <v>-27.8</v>
      </c>
      <c r="Z24" s="507"/>
      <c r="AA24" s="496"/>
      <c r="AB24" s="584"/>
      <c r="AC24" s="507"/>
      <c r="AD24" s="496"/>
      <c r="AE24" s="584"/>
      <c r="AF24" s="507">
        <v>1.8990900900000001</v>
      </c>
      <c r="AG24" s="496"/>
      <c r="AH24" s="584">
        <f t="shared" si="15"/>
        <v>-100</v>
      </c>
      <c r="AI24" s="507">
        <v>9.7924553599999982</v>
      </c>
      <c r="AJ24" s="496">
        <v>23.85080476000002</v>
      </c>
      <c r="AK24" s="584">
        <f t="shared" si="9"/>
        <v>143.6</v>
      </c>
      <c r="AL24" s="507">
        <v>141.6</v>
      </c>
      <c r="AM24" s="496">
        <v>61</v>
      </c>
      <c r="AN24" s="584">
        <f t="shared" si="10"/>
        <v>-56.9</v>
      </c>
      <c r="AO24" s="584">
        <f t="shared" si="13"/>
        <v>179.11534645</v>
      </c>
      <c r="AP24" s="584">
        <f t="shared" si="13"/>
        <v>96.884314760000024</v>
      </c>
      <c r="AQ24" s="584">
        <f t="shared" si="11"/>
        <v>-45.9</v>
      </c>
      <c r="AR24" s="586">
        <f t="shared" si="16"/>
        <v>179.11534645</v>
      </c>
      <c r="AS24" s="584">
        <f t="shared" si="16"/>
        <v>96.884314760000024</v>
      </c>
      <c r="AT24" s="584">
        <f t="shared" si="17"/>
        <v>-45.9</v>
      </c>
    </row>
    <row r="25" spans="1:46" s="549" customFormat="1" ht="18.75" customHeight="1" x14ac:dyDescent="0.3">
      <c r="A25" s="581" t="s">
        <v>351</v>
      </c>
      <c r="B25" s="507">
        <v>-14.401</v>
      </c>
      <c r="C25" s="496">
        <v>-5.9489999999999998</v>
      </c>
      <c r="D25" s="584">
        <f t="shared" si="0"/>
        <v>-58.7</v>
      </c>
      <c r="E25" s="507">
        <v>-160.90199999999999</v>
      </c>
      <c r="F25" s="496">
        <v>-1028.615</v>
      </c>
      <c r="G25" s="584">
        <f t="shared" si="1"/>
        <v>539.29999999999995</v>
      </c>
      <c r="H25" s="507"/>
      <c r="I25" s="496"/>
      <c r="J25" s="584"/>
      <c r="K25" s="507">
        <v>-1.32</v>
      </c>
      <c r="L25" s="496">
        <v>-12.4</v>
      </c>
      <c r="M25" s="584">
        <f t="shared" si="3"/>
        <v>839.4</v>
      </c>
      <c r="N25" s="507"/>
      <c r="O25" s="496"/>
      <c r="P25" s="496"/>
      <c r="Q25" s="507">
        <v>-2519.0279850000002</v>
      </c>
      <c r="R25" s="496">
        <v>-7079.7278690000003</v>
      </c>
      <c r="S25" s="584">
        <f t="shared" si="4"/>
        <v>181</v>
      </c>
      <c r="T25" s="507">
        <v>-10.672000000000001</v>
      </c>
      <c r="U25" s="496">
        <v>-11.35</v>
      </c>
      <c r="V25" s="584">
        <f t="shared" si="5"/>
        <v>6.4</v>
      </c>
      <c r="W25" s="507">
        <v>57</v>
      </c>
      <c r="X25" s="496">
        <v>-323.60000000000002</v>
      </c>
      <c r="Y25" s="584">
        <f t="shared" si="6"/>
        <v>-667.7</v>
      </c>
      <c r="Z25" s="507">
        <v>355</v>
      </c>
      <c r="AA25" s="496">
        <v>-1751</v>
      </c>
      <c r="AB25" s="584">
        <f t="shared" si="7"/>
        <v>-593.20000000000005</v>
      </c>
      <c r="AC25" s="507"/>
      <c r="AD25" s="496"/>
      <c r="AE25" s="584"/>
      <c r="AF25" s="507">
        <v>98.249516079999992</v>
      </c>
      <c r="AG25" s="496"/>
      <c r="AH25" s="584">
        <f t="shared" si="15"/>
        <v>-100</v>
      </c>
      <c r="AI25" s="507">
        <v>54.801636039999991</v>
      </c>
      <c r="AJ25" s="496">
        <v>-280.15978485000005</v>
      </c>
      <c r="AK25" s="584">
        <f t="shared" si="9"/>
        <v>-611.20000000000005</v>
      </c>
      <c r="AL25" s="507">
        <v>-724.2</v>
      </c>
      <c r="AM25" s="496">
        <v>525</v>
      </c>
      <c r="AN25" s="584">
        <f t="shared" si="10"/>
        <v>-172.5</v>
      </c>
      <c r="AO25" s="584">
        <f t="shared" si="13"/>
        <v>-2865.47183288</v>
      </c>
      <c r="AP25" s="584">
        <f t="shared" si="13"/>
        <v>-9967.8016538500015</v>
      </c>
      <c r="AQ25" s="584">
        <f t="shared" si="11"/>
        <v>247.9</v>
      </c>
      <c r="AR25" s="586">
        <f t="shared" si="16"/>
        <v>-2865.47183288</v>
      </c>
      <c r="AS25" s="584">
        <f t="shared" si="16"/>
        <v>-9967.8016538500015</v>
      </c>
      <c r="AT25" s="584">
        <f t="shared" si="17"/>
        <v>247.9</v>
      </c>
    </row>
    <row r="26" spans="1:46" s="549" customFormat="1" ht="18.75" customHeight="1" x14ac:dyDescent="0.3">
      <c r="A26" s="581" t="s">
        <v>352</v>
      </c>
      <c r="B26" s="507"/>
      <c r="C26" s="496"/>
      <c r="D26" s="584"/>
      <c r="E26" s="507">
        <v>-17.216999999999999</v>
      </c>
      <c r="F26" s="496">
        <v>-10.241</v>
      </c>
      <c r="G26" s="584">
        <f t="shared" si="1"/>
        <v>-40.5</v>
      </c>
      <c r="H26" s="507"/>
      <c r="I26" s="496"/>
      <c r="J26" s="584"/>
      <c r="K26" s="507">
        <v>3.161</v>
      </c>
      <c r="L26" s="496">
        <v>0.2</v>
      </c>
      <c r="M26" s="584">
        <f t="shared" si="3"/>
        <v>-93.7</v>
      </c>
      <c r="N26" s="507"/>
      <c r="O26" s="496"/>
      <c r="P26" s="496"/>
      <c r="Q26" s="507">
        <v>-155.05205799999999</v>
      </c>
      <c r="R26" s="496">
        <v>-162.87695500000001</v>
      </c>
      <c r="S26" s="584">
        <f t="shared" si="4"/>
        <v>5</v>
      </c>
      <c r="T26" s="507">
        <v>-1.212</v>
      </c>
      <c r="U26" s="496">
        <v>-0.28899999999999998</v>
      </c>
      <c r="V26" s="584">
        <f t="shared" si="5"/>
        <v>-76.2</v>
      </c>
      <c r="W26" s="507">
        <v>-2</v>
      </c>
      <c r="X26" s="496">
        <v>0</v>
      </c>
      <c r="Y26" s="584">
        <f t="shared" si="6"/>
        <v>-100</v>
      </c>
      <c r="Z26" s="507">
        <v>-21</v>
      </c>
      <c r="AA26" s="496">
        <v>-20</v>
      </c>
      <c r="AB26" s="584">
        <f t="shared" si="7"/>
        <v>-4.8</v>
      </c>
      <c r="AC26" s="507"/>
      <c r="AD26" s="496"/>
      <c r="AE26" s="584"/>
      <c r="AF26" s="507"/>
      <c r="AG26" s="496"/>
      <c r="AH26" s="584"/>
      <c r="AI26" s="507">
        <v>-2.0891679999999999</v>
      </c>
      <c r="AJ26" s="496">
        <v>-2.0379529999999999</v>
      </c>
      <c r="AK26" s="584">
        <f t="shared" si="9"/>
        <v>-2.5</v>
      </c>
      <c r="AL26" s="507">
        <v>-3.6</v>
      </c>
      <c r="AM26" s="496">
        <v>-15</v>
      </c>
      <c r="AN26" s="584">
        <f t="shared" si="10"/>
        <v>316.7</v>
      </c>
      <c r="AO26" s="584">
        <f t="shared" si="13"/>
        <v>-199.00922599999998</v>
      </c>
      <c r="AP26" s="584">
        <f t="shared" si="13"/>
        <v>-210.24490799999998</v>
      </c>
      <c r="AQ26" s="584">
        <f t="shared" si="11"/>
        <v>5.6</v>
      </c>
      <c r="AR26" s="586">
        <f t="shared" si="16"/>
        <v>-199.00922599999998</v>
      </c>
      <c r="AS26" s="584">
        <f t="shared" si="16"/>
        <v>-210.24490799999998</v>
      </c>
      <c r="AT26" s="584">
        <f t="shared" si="17"/>
        <v>5.6</v>
      </c>
    </row>
    <row r="27" spans="1:46" s="549" customFormat="1" ht="18.75" customHeight="1" x14ac:dyDescent="0.3">
      <c r="A27" s="581" t="s">
        <v>353</v>
      </c>
      <c r="B27" s="507">
        <v>11.148</v>
      </c>
      <c r="C27" s="496">
        <v>-0.85299999999999998</v>
      </c>
      <c r="D27" s="584">
        <f t="shared" si="0"/>
        <v>-107.7</v>
      </c>
      <c r="E27" s="507">
        <v>-166.25</v>
      </c>
      <c r="F27" s="496">
        <v>-169.8</v>
      </c>
      <c r="G27" s="584">
        <f t="shared" si="1"/>
        <v>2.1</v>
      </c>
      <c r="H27" s="507">
        <v>-1.272</v>
      </c>
      <c r="I27" s="496">
        <v>-2.641</v>
      </c>
      <c r="J27" s="584">
        <f t="shared" si="2"/>
        <v>107.6</v>
      </c>
      <c r="K27" s="507"/>
      <c r="L27" s="496"/>
      <c r="M27" s="584"/>
      <c r="N27" s="507"/>
      <c r="O27" s="496"/>
      <c r="P27" s="496"/>
      <c r="Q27" s="507"/>
      <c r="R27" s="496"/>
      <c r="S27" s="584"/>
      <c r="T27" s="507"/>
      <c r="U27" s="496"/>
      <c r="V27" s="584"/>
      <c r="W27" s="507"/>
      <c r="X27" s="496"/>
      <c r="Y27" s="584"/>
      <c r="Z27" s="507"/>
      <c r="AA27" s="496"/>
      <c r="AB27" s="584"/>
      <c r="AC27" s="507"/>
      <c r="AD27" s="496"/>
      <c r="AE27" s="584"/>
      <c r="AF27" s="507"/>
      <c r="AG27" s="496"/>
      <c r="AH27" s="584"/>
      <c r="AI27" s="507"/>
      <c r="AJ27" s="496"/>
      <c r="AK27" s="584"/>
      <c r="AL27" s="507">
        <v>-27</v>
      </c>
      <c r="AM27" s="496">
        <v>1</v>
      </c>
      <c r="AN27" s="584">
        <f t="shared" si="10"/>
        <v>-103.7</v>
      </c>
      <c r="AO27" s="584">
        <f t="shared" si="13"/>
        <v>-183.374</v>
      </c>
      <c r="AP27" s="584">
        <f t="shared" si="13"/>
        <v>-172.29400000000001</v>
      </c>
      <c r="AQ27" s="584">
        <f t="shared" si="11"/>
        <v>-6</v>
      </c>
      <c r="AR27" s="586">
        <f t="shared" si="16"/>
        <v>-183.374</v>
      </c>
      <c r="AS27" s="584">
        <f t="shared" si="16"/>
        <v>-172.29400000000001</v>
      </c>
      <c r="AT27" s="584">
        <f t="shared" si="17"/>
        <v>-6</v>
      </c>
    </row>
    <row r="28" spans="1:46" s="549" customFormat="1" ht="18.75" customHeight="1" x14ac:dyDescent="0.3">
      <c r="A28" s="581" t="s">
        <v>354</v>
      </c>
      <c r="B28" s="507"/>
      <c r="C28" s="496"/>
      <c r="D28" s="584"/>
      <c r="E28" s="507">
        <v>10.055</v>
      </c>
      <c r="F28" s="496">
        <v>14.401999999999999</v>
      </c>
      <c r="G28" s="584">
        <f t="shared" si="1"/>
        <v>43.2</v>
      </c>
      <c r="H28" s="507"/>
      <c r="I28" s="496"/>
      <c r="J28" s="584"/>
      <c r="K28" s="507"/>
      <c r="L28" s="496"/>
      <c r="M28" s="584"/>
      <c r="N28" s="507"/>
      <c r="O28" s="496"/>
      <c r="P28" s="496"/>
      <c r="Q28" s="507">
        <v>-2.6871149999999999</v>
      </c>
      <c r="R28" s="496">
        <v>0</v>
      </c>
      <c r="S28" s="584">
        <f t="shared" si="4"/>
        <v>-100</v>
      </c>
      <c r="T28" s="507"/>
      <c r="U28" s="496"/>
      <c r="V28" s="584"/>
      <c r="W28" s="507"/>
      <c r="X28" s="496"/>
      <c r="Y28" s="584"/>
      <c r="Z28" s="507"/>
      <c r="AA28" s="496"/>
      <c r="AB28" s="584"/>
      <c r="AC28" s="507"/>
      <c r="AD28" s="496"/>
      <c r="AE28" s="584"/>
      <c r="AF28" s="507"/>
      <c r="AG28" s="496"/>
      <c r="AH28" s="584"/>
      <c r="AI28" s="507">
        <v>7.9909999999999998E-3</v>
      </c>
      <c r="AJ28" s="496">
        <v>0</v>
      </c>
      <c r="AK28" s="584">
        <f t="shared" si="9"/>
        <v>-100</v>
      </c>
      <c r="AL28" s="507">
        <v>-8.6</v>
      </c>
      <c r="AM28" s="496">
        <v>-8</v>
      </c>
      <c r="AN28" s="584">
        <f t="shared" si="10"/>
        <v>-7</v>
      </c>
      <c r="AO28" s="584">
        <f t="shared" si="13"/>
        <v>-1.2241240000000007</v>
      </c>
      <c r="AP28" s="584">
        <f t="shared" si="13"/>
        <v>6.4019999999999992</v>
      </c>
      <c r="AQ28" s="584">
        <f t="shared" si="11"/>
        <v>-623</v>
      </c>
      <c r="AR28" s="586">
        <f t="shared" si="16"/>
        <v>-1.2241240000000007</v>
      </c>
      <c r="AS28" s="584">
        <f t="shared" si="16"/>
        <v>6.4019999999999992</v>
      </c>
      <c r="AT28" s="584">
        <f t="shared" si="17"/>
        <v>-623</v>
      </c>
    </row>
    <row r="29" spans="1:46" s="549" customFormat="1" ht="18.75" customHeight="1" x14ac:dyDescent="0.3">
      <c r="A29" s="581" t="s">
        <v>355</v>
      </c>
      <c r="B29" s="507">
        <f>SUM(B23:B28)</f>
        <v>-25.379000000000001</v>
      </c>
      <c r="C29" s="507">
        <f>SUM(C23:C28)</f>
        <v>-40.363</v>
      </c>
      <c r="D29" s="584">
        <f t="shared" si="0"/>
        <v>59</v>
      </c>
      <c r="E29" s="507">
        <f>SUM(E23:E28)</f>
        <v>-1288.9110000000001</v>
      </c>
      <c r="F29" s="507">
        <f>SUM(F23:F28)</f>
        <v>-394.69000000000005</v>
      </c>
      <c r="G29" s="584">
        <f t="shared" si="1"/>
        <v>-69.400000000000006</v>
      </c>
      <c r="H29" s="507">
        <f>SUM(H23:H28)</f>
        <v>-276.85599999999999</v>
      </c>
      <c r="I29" s="507">
        <f>SUM(I23:I28)</f>
        <v>-332.99400000000003</v>
      </c>
      <c r="J29" s="584">
        <f t="shared" si="2"/>
        <v>20.3</v>
      </c>
      <c r="K29" s="507">
        <f>SUM(K23:K28)</f>
        <v>-216.66300000000001</v>
      </c>
      <c r="L29" s="507">
        <v>-288.39999999999998</v>
      </c>
      <c r="M29" s="584">
        <f t="shared" si="3"/>
        <v>33.1</v>
      </c>
      <c r="N29" s="507">
        <f>SUM(N23:N28)</f>
        <v>2</v>
      </c>
      <c r="O29" s="507">
        <f>SUM(O23:O28)</f>
        <v>7</v>
      </c>
      <c r="P29" s="496"/>
      <c r="Q29" s="507">
        <v>-17734.008828260001</v>
      </c>
      <c r="R29" s="507">
        <v>-17313.530275019999</v>
      </c>
      <c r="S29" s="584">
        <f t="shared" si="4"/>
        <v>-2.4</v>
      </c>
      <c r="T29" s="507">
        <f>SUM(T23:T28)</f>
        <v>-51.287000000000006</v>
      </c>
      <c r="U29" s="507">
        <f>SUM(U23:U28)</f>
        <v>-25.397000000000002</v>
      </c>
      <c r="V29" s="584">
        <f t="shared" si="5"/>
        <v>-50.5</v>
      </c>
      <c r="W29" s="507">
        <f>SUM(W23:W28)</f>
        <v>-659.9</v>
      </c>
      <c r="X29" s="507">
        <f>SUM(X23:X28)</f>
        <v>-623.6</v>
      </c>
      <c r="Y29" s="584">
        <f t="shared" si="6"/>
        <v>-5.5</v>
      </c>
      <c r="Z29" s="507">
        <f>SUM(Z23:Z28)</f>
        <v>-145</v>
      </c>
      <c r="AA29" s="507">
        <f>SUM(AA23:AA28)</f>
        <v>-2380</v>
      </c>
      <c r="AB29" s="584">
        <f t="shared" si="7"/>
        <v>999</v>
      </c>
      <c r="AC29" s="507">
        <f>SUM(AC23:AC28)</f>
        <v>0</v>
      </c>
      <c r="AD29" s="507">
        <f>SUM(AD23:AD28)</f>
        <v>0</v>
      </c>
      <c r="AE29" s="584"/>
      <c r="AF29" s="507">
        <f>SUM(AF23:AF28)</f>
        <v>34.803923309999988</v>
      </c>
      <c r="AG29" s="507">
        <f>SUM(AG23:AG28)</f>
        <v>0</v>
      </c>
      <c r="AH29" s="584">
        <f t="shared" si="15"/>
        <v>-100</v>
      </c>
      <c r="AI29" s="507">
        <f>SUM(AI23:AI28)</f>
        <v>-344.02222017999992</v>
      </c>
      <c r="AJ29" s="507">
        <f>SUM(AJ23:AJ28)</f>
        <v>-729.93788973000039</v>
      </c>
      <c r="AK29" s="584">
        <f t="shared" si="9"/>
        <v>112.2</v>
      </c>
      <c r="AL29" s="507">
        <f>SUM(AL23:AL28)</f>
        <v>-577.40000000000009</v>
      </c>
      <c r="AM29" s="507">
        <f>SUM(AM23:AM28)</f>
        <v>-157</v>
      </c>
      <c r="AN29" s="584">
        <f t="shared" si="10"/>
        <v>-72.8</v>
      </c>
      <c r="AO29" s="584">
        <f t="shared" si="13"/>
        <v>-21284.623125130005</v>
      </c>
      <c r="AP29" s="584">
        <f t="shared" si="13"/>
        <v>-22285.91216475</v>
      </c>
      <c r="AQ29" s="584">
        <f t="shared" si="11"/>
        <v>4.7</v>
      </c>
      <c r="AR29" s="586">
        <f t="shared" si="16"/>
        <v>-21282.623125130005</v>
      </c>
      <c r="AS29" s="584">
        <f t="shared" si="16"/>
        <v>-22278.91216475</v>
      </c>
      <c r="AT29" s="584">
        <f t="shared" si="17"/>
        <v>4.7</v>
      </c>
    </row>
    <row r="30" spans="1:46" s="549" customFormat="1" ht="18.75" customHeight="1" x14ac:dyDescent="0.3">
      <c r="A30" s="581" t="s">
        <v>356</v>
      </c>
      <c r="B30" s="507">
        <v>-269.596</v>
      </c>
      <c r="C30" s="496">
        <v>-1498.8130000000001</v>
      </c>
      <c r="D30" s="584">
        <f t="shared" si="0"/>
        <v>455.9</v>
      </c>
      <c r="E30" s="507">
        <v>-3113.0549999999998</v>
      </c>
      <c r="F30" s="496">
        <v>-7348.3069999999998</v>
      </c>
      <c r="G30" s="584">
        <f t="shared" si="1"/>
        <v>136</v>
      </c>
      <c r="H30" s="507">
        <v>-49.066000000000003</v>
      </c>
      <c r="I30" s="496">
        <v>-244.595</v>
      </c>
      <c r="J30" s="584">
        <f t="shared" si="2"/>
        <v>398.5</v>
      </c>
      <c r="K30" s="507">
        <v>-857.92700000000002</v>
      </c>
      <c r="L30" s="496">
        <v>-2696.9</v>
      </c>
      <c r="M30" s="584">
        <f t="shared" si="3"/>
        <v>214.4</v>
      </c>
      <c r="N30" s="507"/>
      <c r="O30" s="496"/>
      <c r="P30" s="496"/>
      <c r="Q30" s="507">
        <v>-57.285958999999998</v>
      </c>
      <c r="R30" s="496">
        <v>-59.226253999999997</v>
      </c>
      <c r="S30" s="584">
        <f t="shared" si="4"/>
        <v>3.4</v>
      </c>
      <c r="T30" s="507">
        <v>-181.38200000000001</v>
      </c>
      <c r="U30" s="496">
        <v>-511.16699999999997</v>
      </c>
      <c r="V30" s="584">
        <f t="shared" si="5"/>
        <v>181.8</v>
      </c>
      <c r="W30" s="507">
        <v>-2849</v>
      </c>
      <c r="X30" s="496">
        <v>-5091</v>
      </c>
      <c r="Y30" s="584">
        <f t="shared" si="6"/>
        <v>78.7</v>
      </c>
      <c r="Z30" s="507"/>
      <c r="AA30" s="496"/>
      <c r="AB30" s="584"/>
      <c r="AC30" s="507">
        <v>40</v>
      </c>
      <c r="AD30" s="496">
        <v>-135</v>
      </c>
      <c r="AE30" s="584">
        <f t="shared" si="8"/>
        <v>-437.5</v>
      </c>
      <c r="AF30" s="507">
        <v>38.961559289999997</v>
      </c>
      <c r="AG30" s="496"/>
      <c r="AH30" s="584">
        <f t="shared" si="15"/>
        <v>-100</v>
      </c>
      <c r="AI30" s="507">
        <v>-1095.1188349000004</v>
      </c>
      <c r="AJ30" s="496">
        <v>-2679.9301750499999</v>
      </c>
      <c r="AK30" s="584">
        <f t="shared" si="9"/>
        <v>144.69999999999999</v>
      </c>
      <c r="AL30" s="507">
        <v>-4204</v>
      </c>
      <c r="AM30" s="496">
        <v>-6166</v>
      </c>
      <c r="AN30" s="584">
        <f t="shared" si="10"/>
        <v>46.7</v>
      </c>
      <c r="AO30" s="584">
        <f t="shared" si="13"/>
        <v>-12637.469234609998</v>
      </c>
      <c r="AP30" s="584">
        <f t="shared" si="13"/>
        <v>-26295.938429049995</v>
      </c>
      <c r="AQ30" s="584">
        <f t="shared" si="11"/>
        <v>108.1</v>
      </c>
      <c r="AR30" s="586">
        <f t="shared" si="16"/>
        <v>-12597.469234609998</v>
      </c>
      <c r="AS30" s="584">
        <f t="shared" si="16"/>
        <v>-26430.938429049995</v>
      </c>
      <c r="AT30" s="584">
        <f t="shared" si="17"/>
        <v>109.8</v>
      </c>
    </row>
    <row r="31" spans="1:46" s="549" customFormat="1" ht="18.75" customHeight="1" x14ac:dyDescent="0.3">
      <c r="A31" s="581" t="s">
        <v>357</v>
      </c>
      <c r="B31" s="507">
        <v>0</v>
      </c>
      <c r="C31" s="496">
        <v>-0.435</v>
      </c>
      <c r="D31" s="584"/>
      <c r="E31" s="507">
        <v>-518.13900000000001</v>
      </c>
      <c r="F31" s="496">
        <v>-1036.7360000000001</v>
      </c>
      <c r="G31" s="584">
        <f t="shared" si="1"/>
        <v>100.1</v>
      </c>
      <c r="H31" s="507"/>
      <c r="I31" s="496"/>
      <c r="J31" s="584"/>
      <c r="K31" s="507">
        <v>-30.11</v>
      </c>
      <c r="L31" s="496">
        <v>-19</v>
      </c>
      <c r="M31" s="584">
        <f t="shared" si="3"/>
        <v>-36.9</v>
      </c>
      <c r="N31" s="507"/>
      <c r="O31" s="496"/>
      <c r="P31" s="496"/>
      <c r="Q31" s="507">
        <v>-4028.674865</v>
      </c>
      <c r="R31" s="496">
        <v>-1643.1085399999999</v>
      </c>
      <c r="S31" s="584">
        <f t="shared" si="4"/>
        <v>-59.2</v>
      </c>
      <c r="T31" s="507">
        <v>-8.4760000000000009</v>
      </c>
      <c r="U31" s="496">
        <v>-5.9039999999999999</v>
      </c>
      <c r="V31" s="584">
        <f t="shared" si="5"/>
        <v>-30.3</v>
      </c>
      <c r="W31" s="507">
        <v>-223</v>
      </c>
      <c r="X31" s="496">
        <v>-214</v>
      </c>
      <c r="Y31" s="584">
        <f t="shared" si="6"/>
        <v>-4</v>
      </c>
      <c r="Z31" s="507">
        <v>-741</v>
      </c>
      <c r="AA31" s="496">
        <v>-1374</v>
      </c>
      <c r="AB31" s="584">
        <f t="shared" si="7"/>
        <v>85.4</v>
      </c>
      <c r="AC31" s="507"/>
      <c r="AD31" s="496"/>
      <c r="AE31" s="584"/>
      <c r="AF31" s="507">
        <v>-78.989075</v>
      </c>
      <c r="AG31" s="496"/>
      <c r="AH31" s="584">
        <f t="shared" si="15"/>
        <v>-100</v>
      </c>
      <c r="AI31" s="507">
        <v>-123.04590125</v>
      </c>
      <c r="AJ31" s="496">
        <v>-107.26159164000001</v>
      </c>
      <c r="AK31" s="584">
        <f t="shared" si="9"/>
        <v>-12.8</v>
      </c>
      <c r="AL31" s="507">
        <v>-1482</v>
      </c>
      <c r="AM31" s="496">
        <v>-2642</v>
      </c>
      <c r="AN31" s="584">
        <f t="shared" si="10"/>
        <v>78.3</v>
      </c>
      <c r="AO31" s="584">
        <f t="shared" si="13"/>
        <v>-7233.4348412499994</v>
      </c>
      <c r="AP31" s="584">
        <f t="shared" si="13"/>
        <v>-7042.44513164</v>
      </c>
      <c r="AQ31" s="584">
        <f t="shared" si="11"/>
        <v>-2.6</v>
      </c>
      <c r="AR31" s="586">
        <f t="shared" si="16"/>
        <v>-7233.4348412499994</v>
      </c>
      <c r="AS31" s="584">
        <f t="shared" si="16"/>
        <v>-7042.44513164</v>
      </c>
      <c r="AT31" s="584">
        <f t="shared" si="17"/>
        <v>-2.6</v>
      </c>
    </row>
    <row r="32" spans="1:46" s="549" customFormat="1" ht="18.75" customHeight="1" x14ac:dyDescent="0.3">
      <c r="A32" s="581" t="s">
        <v>358</v>
      </c>
      <c r="B32" s="507">
        <v>-102.98</v>
      </c>
      <c r="C32" s="496">
        <v>-95.436000000000007</v>
      </c>
      <c r="D32" s="584">
        <f t="shared" si="0"/>
        <v>-7.3</v>
      </c>
      <c r="E32" s="507">
        <v>-682.46</v>
      </c>
      <c r="F32" s="496">
        <v>-628.654</v>
      </c>
      <c r="G32" s="584">
        <f t="shared" si="1"/>
        <v>-7.9</v>
      </c>
      <c r="H32" s="507">
        <v>-103.511</v>
      </c>
      <c r="I32" s="496">
        <v>-112.05200000000001</v>
      </c>
      <c r="J32" s="584">
        <f t="shared" si="2"/>
        <v>8.3000000000000007</v>
      </c>
      <c r="K32" s="507">
        <v>-97.02</v>
      </c>
      <c r="L32" s="496">
        <v>-114.9</v>
      </c>
      <c r="M32" s="584">
        <f t="shared" si="3"/>
        <v>18.399999999999999</v>
      </c>
      <c r="N32" s="507">
        <v>-6</v>
      </c>
      <c r="O32" s="496">
        <v>-5</v>
      </c>
      <c r="P32" s="496">
        <v>-4.8</v>
      </c>
      <c r="Q32" s="507">
        <v>-456.37578076</v>
      </c>
      <c r="R32" s="496">
        <v>-506.74557472000004</v>
      </c>
      <c r="S32" s="584">
        <f t="shared" si="4"/>
        <v>11</v>
      </c>
      <c r="T32" s="507">
        <v>-22.783000000000001</v>
      </c>
      <c r="U32" s="496">
        <v>-31.152000000000001</v>
      </c>
      <c r="V32" s="584">
        <f t="shared" si="5"/>
        <v>36.700000000000003</v>
      </c>
      <c r="W32" s="507">
        <v>-298</v>
      </c>
      <c r="X32" s="496">
        <v>-293</v>
      </c>
      <c r="Y32" s="584">
        <f t="shared" si="6"/>
        <v>-1.7</v>
      </c>
      <c r="Z32" s="507"/>
      <c r="AA32" s="496"/>
      <c r="AB32" s="584"/>
      <c r="AC32" s="507">
        <v>-1</v>
      </c>
      <c r="AD32" s="496">
        <v>-2</v>
      </c>
      <c r="AE32" s="584">
        <f t="shared" si="8"/>
        <v>100</v>
      </c>
      <c r="AF32" s="507">
        <v>-19.858792430000008</v>
      </c>
      <c r="AG32" s="496"/>
      <c r="AH32" s="584">
        <f t="shared" si="15"/>
        <v>-100</v>
      </c>
      <c r="AI32" s="507">
        <v>-469.62128394640013</v>
      </c>
      <c r="AJ32" s="496">
        <v>-522.66496701429958</v>
      </c>
      <c r="AK32" s="584">
        <f t="shared" si="9"/>
        <v>11.3</v>
      </c>
      <c r="AL32" s="507">
        <v>-622</v>
      </c>
      <c r="AM32" s="496">
        <v>-700</v>
      </c>
      <c r="AN32" s="584">
        <f t="shared" si="10"/>
        <v>12.5</v>
      </c>
      <c r="AO32" s="584">
        <f t="shared" si="13"/>
        <v>-2874.6098571364</v>
      </c>
      <c r="AP32" s="584">
        <f t="shared" si="13"/>
        <v>-3004.6045417342998</v>
      </c>
      <c r="AQ32" s="584">
        <f t="shared" si="11"/>
        <v>4.5</v>
      </c>
      <c r="AR32" s="586">
        <f t="shared" si="16"/>
        <v>-2881.6098571364</v>
      </c>
      <c r="AS32" s="584">
        <f t="shared" si="16"/>
        <v>-3011.6045417342998</v>
      </c>
      <c r="AT32" s="584">
        <f t="shared" si="17"/>
        <v>4.5</v>
      </c>
    </row>
    <row r="33" spans="1:46" s="601" customFormat="1" ht="18.75" customHeight="1" x14ac:dyDescent="0.3">
      <c r="A33" s="581" t="s">
        <v>359</v>
      </c>
      <c r="B33" s="494"/>
      <c r="C33" s="495"/>
      <c r="D33" s="586"/>
      <c r="E33" s="494">
        <v>-3.028</v>
      </c>
      <c r="F33" s="495">
        <v>-4.29</v>
      </c>
      <c r="G33" s="586">
        <f t="shared" si="1"/>
        <v>41.7</v>
      </c>
      <c r="H33" s="494"/>
      <c r="I33" s="495"/>
      <c r="J33" s="586"/>
      <c r="K33" s="494"/>
      <c r="L33" s="495"/>
      <c r="M33" s="586"/>
      <c r="N33" s="494"/>
      <c r="O33" s="495"/>
      <c r="P33" s="495"/>
      <c r="Q33" s="494">
        <v>-453.52030999999999</v>
      </c>
      <c r="R33" s="495">
        <v>-484.29214300000001</v>
      </c>
      <c r="S33" s="586">
        <f t="shared" si="4"/>
        <v>6.8</v>
      </c>
      <c r="T33" s="494">
        <v>-0.35299999999999998</v>
      </c>
      <c r="U33" s="495">
        <v>-0.311</v>
      </c>
      <c r="V33" s="586">
        <f t="shared" si="5"/>
        <v>-11.9</v>
      </c>
      <c r="W33" s="494">
        <v>-5.5641027100005118</v>
      </c>
      <c r="X33" s="495">
        <v>-4.61591679</v>
      </c>
      <c r="Y33" s="586">
        <f t="shared" si="6"/>
        <v>-17</v>
      </c>
      <c r="Z33" s="494">
        <v>-85</v>
      </c>
      <c r="AA33" s="495">
        <v>-78</v>
      </c>
      <c r="AB33" s="586">
        <f t="shared" si="7"/>
        <v>-8.1999999999999993</v>
      </c>
      <c r="AC33" s="494"/>
      <c r="AD33" s="495"/>
      <c r="AE33" s="586"/>
      <c r="AF33" s="494">
        <v>-1.1094731100000002</v>
      </c>
      <c r="AG33" s="495"/>
      <c r="AH33" s="586">
        <f t="shared" si="15"/>
        <v>-100</v>
      </c>
      <c r="AI33" s="494">
        <v>-11.331449839999996</v>
      </c>
      <c r="AJ33" s="495">
        <v>-5.5003792199999992</v>
      </c>
      <c r="AK33" s="586">
        <f t="shared" si="9"/>
        <v>-51.5</v>
      </c>
      <c r="AL33" s="494">
        <v>-273</v>
      </c>
      <c r="AM33" s="495">
        <v>-190</v>
      </c>
      <c r="AN33" s="586">
        <f t="shared" si="10"/>
        <v>-30.4</v>
      </c>
      <c r="AO33" s="586">
        <f t="shared" si="13"/>
        <v>-832.90633566000042</v>
      </c>
      <c r="AP33" s="586">
        <f t="shared" si="13"/>
        <v>-767.00943901000005</v>
      </c>
      <c r="AQ33" s="586">
        <f t="shared" si="11"/>
        <v>-7.9</v>
      </c>
      <c r="AR33" s="586">
        <f t="shared" si="16"/>
        <v>-832.90633566000042</v>
      </c>
      <c r="AS33" s="584">
        <f t="shared" si="16"/>
        <v>-767.00943901000005</v>
      </c>
      <c r="AT33" s="586">
        <f t="shared" si="17"/>
        <v>-7.9</v>
      </c>
    </row>
    <row r="34" spans="1:46" s="607" customFormat="1" ht="18.75" customHeight="1" x14ac:dyDescent="0.3">
      <c r="A34" s="602" t="s">
        <v>360</v>
      </c>
      <c r="B34" s="603">
        <f>B14+B15+B16+B17+B21+B29+B30+B31+B32+B33</f>
        <v>58.595999999999904</v>
      </c>
      <c r="C34" s="603">
        <f>C14+C15+C16+C17+C21+C29+C30+C31+C32+C33</f>
        <v>60.886999999999574</v>
      </c>
      <c r="D34" s="604">
        <f t="shared" si="0"/>
        <v>3.9</v>
      </c>
      <c r="E34" s="603">
        <f>E14+E15+E16+E17+E21+E29+E30+E31+E32+E33</f>
        <v>420.97500000000286</v>
      </c>
      <c r="F34" s="603">
        <f>F14+F15+F16+F17+F21+F29+F30+F31+F32+F33</f>
        <v>500.26899999999949</v>
      </c>
      <c r="G34" s="604">
        <f t="shared" si="1"/>
        <v>18.8</v>
      </c>
      <c r="H34" s="603">
        <f>H14+H15+H16+H17+H21+H29+H30+H31+H32+H33</f>
        <v>54.47399999999999</v>
      </c>
      <c r="I34" s="603">
        <f>I14+I15+I16+I17+I21+I29+I30+I31+I32+I33</f>
        <v>42.173999999999907</v>
      </c>
      <c r="J34" s="604">
        <f t="shared" si="2"/>
        <v>-22.6</v>
      </c>
      <c r="K34" s="603">
        <f>K14+K15+K16+K17+K21+K29+K30+K31+K32+K33</f>
        <v>7.8940000000000055</v>
      </c>
      <c r="L34" s="603">
        <f>L14+L15+L16+L17+L21+L29+L30+L31+L32+L33</f>
        <v>53.62999999999974</v>
      </c>
      <c r="M34" s="604">
        <f t="shared" si="3"/>
        <v>579.4</v>
      </c>
      <c r="N34" s="603">
        <f>N14+N15+N16+N17+N21+N29+N30+N31+N32+N33</f>
        <v>1</v>
      </c>
      <c r="O34" s="603">
        <f>O14+O15+O16+O17+O21+O29+O30+O31+O32+O33</f>
        <v>14</v>
      </c>
      <c r="P34" s="511">
        <v>-75</v>
      </c>
      <c r="Q34" s="603">
        <v>615.2925896400078</v>
      </c>
      <c r="R34" s="603">
        <v>596.59283988999698</v>
      </c>
      <c r="S34" s="604">
        <f t="shared" si="4"/>
        <v>-3</v>
      </c>
      <c r="T34" s="603">
        <f>T14+T15+T16+T17+T21+T29+T30+T31+T32+T33</f>
        <v>-12.14200000000006</v>
      </c>
      <c r="U34" s="603">
        <f>U14+U15+U16+U17+U21+U29+U30+U31+U32+U33</f>
        <v>-21.193999999999942</v>
      </c>
      <c r="V34" s="604">
        <f t="shared" si="5"/>
        <v>74.599999999999994</v>
      </c>
      <c r="W34" s="603">
        <f>W14+W15+W16+W17+W21+W29+W30+W31+W32+W33</f>
        <v>309.53589728999941</v>
      </c>
      <c r="X34" s="603">
        <f>X14+X15+X16+X17+X21+X29+X30+X31+X32+X33</f>
        <v>310.89508320999948</v>
      </c>
      <c r="Y34" s="604">
        <f t="shared" si="6"/>
        <v>0.4</v>
      </c>
      <c r="Z34" s="603">
        <f>Z14+Z15+Z16+Z17+Z21+Z29+Z30+Z31+Z32+Z33</f>
        <v>234</v>
      </c>
      <c r="AA34" s="603">
        <f>AA14+AA15+AA16+AA17+AA21+AA29+AA30+AA31+AA32+AA33</f>
        <v>337</v>
      </c>
      <c r="AB34" s="604">
        <f t="shared" si="7"/>
        <v>44</v>
      </c>
      <c r="AC34" s="603">
        <f>AC14+AC15+AC16+AC17+AC21+AC29+AC30+AC31+AC32+AC33</f>
        <v>4</v>
      </c>
      <c r="AD34" s="603">
        <f>AD14+AD15+AD16+AD17+AD21+AD29+AD30+AD31+AD32+AD33</f>
        <v>7</v>
      </c>
      <c r="AE34" s="604">
        <f t="shared" si="8"/>
        <v>75</v>
      </c>
      <c r="AF34" s="603">
        <f>AF14+AF15+AF16+AF17+AF21+AF29+AF30+AF31+AF32+AF33</f>
        <v>-5.6508844900000277</v>
      </c>
      <c r="AG34" s="603">
        <f>AG14+AG15+AG16+AG17+AG21+AG29+AG30+AG31+AG32+AG33</f>
        <v>0</v>
      </c>
      <c r="AH34" s="604">
        <f t="shared" si="15"/>
        <v>-100</v>
      </c>
      <c r="AI34" s="603">
        <f>AI14+AI15+AI16+AI17+AI21+AI29+AI30+AI31+AI32+AI33</f>
        <v>219.48651768359946</v>
      </c>
      <c r="AJ34" s="603">
        <f>AJ14+AJ15+AJ16+AJ17+AJ21+AJ29+AJ30+AJ31+AJ32+AJ33</f>
        <v>219.33066826570087</v>
      </c>
      <c r="AK34" s="604">
        <f t="shared" si="9"/>
        <v>-0.1</v>
      </c>
      <c r="AL34" s="603">
        <f>AL14+AL15+AL16+AL17+AL21+AL29+AL30+AL31+AL32+AL33</f>
        <v>460.20000000000073</v>
      </c>
      <c r="AM34" s="603">
        <f>AM14+AM15+AM16+AM17+AM21+AM29+AM30+AM31+AM32+AM33</f>
        <v>572</v>
      </c>
      <c r="AN34" s="604">
        <f t="shared" si="10"/>
        <v>24.3</v>
      </c>
      <c r="AO34" s="604">
        <f>B34+E34+H34+K34+Q34+T34+W34+Z34+AF34+AI34+AL34</f>
        <v>2362.6611201236101</v>
      </c>
      <c r="AP34" s="604">
        <f t="shared" si="13"/>
        <v>2671.5845913656958</v>
      </c>
      <c r="AQ34" s="604">
        <f t="shared" si="11"/>
        <v>13.1</v>
      </c>
      <c r="AR34" s="605">
        <f>+B34+E34+H34+K34+N34+Q34+T34+W34+Z34+AC34+AF34+AI34+AL34</f>
        <v>2367.6611201236101</v>
      </c>
      <c r="AS34" s="606">
        <f>+C34+F34+I34+L34+O34+R34+U34+X34+AA34+AD34+AG34+AJ34+AM34</f>
        <v>2692.5845913656958</v>
      </c>
      <c r="AT34" s="604">
        <f t="shared" si="17"/>
        <v>13.7</v>
      </c>
    </row>
    <row r="35" spans="1:46" s="607" customFormat="1" ht="18.75" customHeight="1" x14ac:dyDescent="0.3">
      <c r="A35" s="608"/>
      <c r="B35" s="609"/>
      <c r="C35" s="610"/>
      <c r="D35" s="611"/>
      <c r="E35" s="609"/>
      <c r="F35" s="610"/>
      <c r="G35" s="611"/>
      <c r="H35" s="609"/>
      <c r="I35" s="610"/>
      <c r="J35" s="611"/>
      <c r="K35" s="609"/>
      <c r="L35" s="610"/>
      <c r="M35" s="611"/>
      <c r="N35" s="609"/>
      <c r="O35" s="610"/>
      <c r="P35" s="479"/>
      <c r="Q35" s="609"/>
      <c r="R35" s="610"/>
      <c r="S35" s="611"/>
      <c r="T35" s="609"/>
      <c r="U35" s="610"/>
      <c r="V35" s="611"/>
      <c r="W35" s="609"/>
      <c r="X35" s="610"/>
      <c r="Y35" s="611"/>
      <c r="Z35" s="609"/>
      <c r="AA35" s="610"/>
      <c r="AB35" s="611"/>
      <c r="AC35" s="609"/>
      <c r="AD35" s="610"/>
      <c r="AE35" s="611"/>
      <c r="AF35" s="609"/>
      <c r="AG35" s="610"/>
      <c r="AH35" s="611"/>
      <c r="AI35" s="609"/>
      <c r="AJ35" s="610"/>
      <c r="AK35" s="611"/>
      <c r="AL35" s="609"/>
      <c r="AM35" s="610"/>
      <c r="AN35" s="611"/>
      <c r="AO35" s="611"/>
      <c r="AP35" s="611"/>
      <c r="AQ35" s="611"/>
      <c r="AR35" s="612"/>
      <c r="AS35" s="613"/>
      <c r="AT35" s="614"/>
    </row>
    <row r="36" spans="1:46" s="607" customFormat="1" ht="18.75" customHeight="1" x14ac:dyDescent="0.3">
      <c r="A36" s="568" t="s">
        <v>361</v>
      </c>
      <c r="B36" s="609"/>
      <c r="C36" s="610"/>
      <c r="D36" s="606"/>
      <c r="E36" s="609"/>
      <c r="F36" s="610"/>
      <c r="G36" s="606"/>
      <c r="H36" s="609"/>
      <c r="I36" s="610"/>
      <c r="J36" s="606"/>
      <c r="K36" s="609"/>
      <c r="L36" s="610"/>
      <c r="M36" s="606"/>
      <c r="N36" s="609"/>
      <c r="O36" s="610"/>
      <c r="P36" s="479"/>
      <c r="Q36" s="609"/>
      <c r="R36" s="610"/>
      <c r="S36" s="606"/>
      <c r="T36" s="609"/>
      <c r="U36" s="610"/>
      <c r="V36" s="606"/>
      <c r="W36" s="609"/>
      <c r="X36" s="610"/>
      <c r="Y36" s="606"/>
      <c r="Z36" s="609"/>
      <c r="AA36" s="610"/>
      <c r="AB36" s="606"/>
      <c r="AC36" s="609"/>
      <c r="AD36" s="610"/>
      <c r="AE36" s="606"/>
      <c r="AF36" s="609"/>
      <c r="AG36" s="610"/>
      <c r="AH36" s="606"/>
      <c r="AI36" s="609"/>
      <c r="AJ36" s="610"/>
      <c r="AK36" s="606"/>
      <c r="AL36" s="609"/>
      <c r="AM36" s="610"/>
      <c r="AN36" s="606"/>
      <c r="AO36" s="606"/>
      <c r="AP36" s="606"/>
      <c r="AQ36" s="606"/>
      <c r="AR36" s="606"/>
      <c r="AS36" s="606"/>
      <c r="AT36" s="606"/>
    </row>
    <row r="37" spans="1:46" s="615" customFormat="1" ht="18.75" customHeight="1" x14ac:dyDescent="0.3">
      <c r="A37" s="581" t="s">
        <v>362</v>
      </c>
      <c r="B37" s="582">
        <v>-0.72599999999999998</v>
      </c>
      <c r="C37" s="583">
        <v>0.186</v>
      </c>
      <c r="D37" s="584">
        <f t="shared" si="0"/>
        <v>-125.6</v>
      </c>
      <c r="E37" s="582">
        <v>355.63799999999998</v>
      </c>
      <c r="F37" s="583">
        <v>629.44299999999998</v>
      </c>
      <c r="G37" s="584">
        <f t="shared" si="1"/>
        <v>77</v>
      </c>
      <c r="H37" s="582">
        <v>3.6739999999999999</v>
      </c>
      <c r="I37" s="583">
        <v>5.0270000000000001</v>
      </c>
      <c r="J37" s="584">
        <f t="shared" si="2"/>
        <v>36.799999999999997</v>
      </c>
      <c r="K37" s="582">
        <v>5.1840000000000002</v>
      </c>
      <c r="L37" s="583">
        <v>0.6</v>
      </c>
      <c r="M37" s="584">
        <f t="shared" si="3"/>
        <v>-88.4</v>
      </c>
      <c r="N37" s="582">
        <v>1</v>
      </c>
      <c r="O37" s="583">
        <v>1</v>
      </c>
      <c r="P37" s="496">
        <v>-28.6</v>
      </c>
      <c r="Q37" s="582">
        <v>792.92177909999998</v>
      </c>
      <c r="R37" s="583">
        <v>677.96994748999998</v>
      </c>
      <c r="S37" s="584">
        <f t="shared" si="4"/>
        <v>-14.5</v>
      </c>
      <c r="T37" s="582">
        <v>5.1710000000000003</v>
      </c>
      <c r="U37" s="583">
        <v>3.6779999999999999</v>
      </c>
      <c r="V37" s="584">
        <f t="shared" si="5"/>
        <v>-28.9</v>
      </c>
      <c r="W37" s="582">
        <v>46</v>
      </c>
      <c r="X37" s="583">
        <v>59</v>
      </c>
      <c r="Y37" s="584">
        <f t="shared" si="6"/>
        <v>28.3</v>
      </c>
      <c r="Z37" s="582">
        <v>145</v>
      </c>
      <c r="AA37" s="583">
        <v>244</v>
      </c>
      <c r="AB37" s="584">
        <f t="shared" si="7"/>
        <v>68.3</v>
      </c>
      <c r="AC37" s="582"/>
      <c r="AD37" s="583"/>
      <c r="AE37" s="584"/>
      <c r="AF37" s="582">
        <v>-0.23688863999999929</v>
      </c>
      <c r="AG37" s="583"/>
      <c r="AH37" s="584">
        <f t="shared" si="15"/>
        <v>-100</v>
      </c>
      <c r="AI37" s="582">
        <v>120.42595679000001</v>
      </c>
      <c r="AJ37" s="583">
        <v>126.17788856999999</v>
      </c>
      <c r="AK37" s="584">
        <f t="shared" si="9"/>
        <v>4.8</v>
      </c>
      <c r="AL37" s="582">
        <v>362.5</v>
      </c>
      <c r="AM37" s="583">
        <v>480</v>
      </c>
      <c r="AN37" s="584">
        <f t="shared" si="10"/>
        <v>32.4</v>
      </c>
      <c r="AO37" s="584">
        <f t="shared" si="13"/>
        <v>1835.5518472500003</v>
      </c>
      <c r="AP37" s="584">
        <f t="shared" si="13"/>
        <v>2226.0818360600006</v>
      </c>
      <c r="AQ37" s="584">
        <f t="shared" si="11"/>
        <v>21.3</v>
      </c>
      <c r="AR37" s="586">
        <f t="shared" ref="AR37:AS45" si="18">+B37+E37+H37+K37+N37+Q37+T37+W37+Z37+AC37+AF37+AI37+AL37</f>
        <v>1836.5518472500003</v>
      </c>
      <c r="AS37" s="586">
        <f t="shared" si="18"/>
        <v>2227.0818360600006</v>
      </c>
      <c r="AT37" s="584">
        <f t="shared" ref="AT37:AT45" si="19">IF(AR37=0, "    ---- ", IF(ABS(ROUND(100/AR37*AS37-100,1))&lt;999,ROUND(100/AR37*AS37-100,1),IF(ROUND(100/AR37*AS37-100,1)&gt;999,999,-999)))</f>
        <v>21.3</v>
      </c>
    </row>
    <row r="38" spans="1:46" s="615" customFormat="1" ht="18.75" customHeight="1" x14ac:dyDescent="0.3">
      <c r="A38" s="581" t="s">
        <v>363</v>
      </c>
      <c r="B38" s="582"/>
      <c r="C38" s="583"/>
      <c r="D38" s="584"/>
      <c r="E38" s="582">
        <v>20.135000000000002</v>
      </c>
      <c r="F38" s="583">
        <v>21.814</v>
      </c>
      <c r="G38" s="584">
        <f t="shared" si="1"/>
        <v>8.3000000000000007</v>
      </c>
      <c r="H38" s="582">
        <v>2.1000000000000001E-2</v>
      </c>
      <c r="I38" s="583">
        <v>2.1000000000000001E-2</v>
      </c>
      <c r="J38" s="584">
        <f t="shared" si="2"/>
        <v>0</v>
      </c>
      <c r="K38" s="582">
        <v>39.811999999999998</v>
      </c>
      <c r="L38" s="583">
        <v>0</v>
      </c>
      <c r="M38" s="584">
        <f t="shared" si="3"/>
        <v>-100</v>
      </c>
      <c r="N38" s="582"/>
      <c r="O38" s="583"/>
      <c r="P38" s="496"/>
      <c r="Q38" s="582">
        <v>1.0770167900000001</v>
      </c>
      <c r="R38" s="583">
        <v>5.4507580099999995</v>
      </c>
      <c r="S38" s="584">
        <f t="shared" si="4"/>
        <v>406.1</v>
      </c>
      <c r="T38" s="582">
        <v>0.216</v>
      </c>
      <c r="U38" s="583">
        <v>0.32700000000000001</v>
      </c>
      <c r="V38" s="584">
        <f t="shared" si="5"/>
        <v>51.4</v>
      </c>
      <c r="W38" s="582"/>
      <c r="X38" s="583"/>
      <c r="Y38" s="584"/>
      <c r="Z38" s="582">
        <v>3</v>
      </c>
      <c r="AA38" s="583">
        <v>3</v>
      </c>
      <c r="AB38" s="584">
        <f t="shared" si="7"/>
        <v>0</v>
      </c>
      <c r="AC38" s="582"/>
      <c r="AD38" s="583"/>
      <c r="AE38" s="584"/>
      <c r="AF38" s="582">
        <v>0.35122058999999994</v>
      </c>
      <c r="AG38" s="583"/>
      <c r="AH38" s="584">
        <f t="shared" si="15"/>
        <v>-100</v>
      </c>
      <c r="AI38" s="582">
        <v>106.41805205000001</v>
      </c>
      <c r="AJ38" s="583">
        <v>0.79372725999999993</v>
      </c>
      <c r="AK38" s="584">
        <f t="shared" si="9"/>
        <v>-99.3</v>
      </c>
      <c r="AL38" s="582">
        <v>13</v>
      </c>
      <c r="AM38" s="583">
        <v>12</v>
      </c>
      <c r="AN38" s="584">
        <f t="shared" si="10"/>
        <v>-7.7</v>
      </c>
      <c r="AO38" s="584">
        <f t="shared" si="13"/>
        <v>184.03028943000004</v>
      </c>
      <c r="AP38" s="584">
        <f t="shared" si="13"/>
        <v>43.406485270000005</v>
      </c>
      <c r="AQ38" s="584">
        <f t="shared" si="11"/>
        <v>-76.400000000000006</v>
      </c>
      <c r="AR38" s="586">
        <f t="shared" si="18"/>
        <v>184.03028943000004</v>
      </c>
      <c r="AS38" s="586">
        <f t="shared" si="18"/>
        <v>43.406485270000005</v>
      </c>
      <c r="AT38" s="584">
        <f t="shared" si="19"/>
        <v>-76.400000000000006</v>
      </c>
    </row>
    <row r="39" spans="1:46" s="615" customFormat="1" ht="18.75" customHeight="1" x14ac:dyDescent="0.3">
      <c r="A39" s="581" t="s">
        <v>364</v>
      </c>
      <c r="B39" s="582"/>
      <c r="C39" s="583"/>
      <c r="D39" s="584"/>
      <c r="E39" s="582">
        <v>-116.4</v>
      </c>
      <c r="F39" s="583">
        <v>-111.13800000000001</v>
      </c>
      <c r="G39" s="584">
        <f t="shared" si="1"/>
        <v>-4.5</v>
      </c>
      <c r="H39" s="582"/>
      <c r="I39" s="583"/>
      <c r="J39" s="584"/>
      <c r="K39" s="582">
        <v>-1</v>
      </c>
      <c r="L39" s="583">
        <v>0</v>
      </c>
      <c r="M39" s="584">
        <f t="shared" si="3"/>
        <v>-100</v>
      </c>
      <c r="N39" s="582"/>
      <c r="O39" s="583"/>
      <c r="P39" s="496"/>
      <c r="Q39" s="582">
        <v>-213.27084558000001</v>
      </c>
      <c r="R39" s="583">
        <v>-195.54825387</v>
      </c>
      <c r="S39" s="584">
        <f t="shared" si="4"/>
        <v>-8.3000000000000007</v>
      </c>
      <c r="T39" s="582">
        <v>-0.16300000000000001</v>
      </c>
      <c r="U39" s="583">
        <v>-0.24</v>
      </c>
      <c r="V39" s="584">
        <f t="shared" si="5"/>
        <v>47.2</v>
      </c>
      <c r="W39" s="582">
        <v>-45</v>
      </c>
      <c r="X39" s="583">
        <v>-46</v>
      </c>
      <c r="Y39" s="584">
        <f t="shared" si="6"/>
        <v>2.2000000000000002</v>
      </c>
      <c r="Z39" s="582">
        <v>-45</v>
      </c>
      <c r="AA39" s="583">
        <v>-45</v>
      </c>
      <c r="AB39" s="584">
        <f t="shared" si="7"/>
        <v>0</v>
      </c>
      <c r="AC39" s="582"/>
      <c r="AD39" s="583"/>
      <c r="AE39" s="584"/>
      <c r="AF39" s="582">
        <v>-5.1415200000000001E-3</v>
      </c>
      <c r="AG39" s="583"/>
      <c r="AH39" s="584">
        <f t="shared" si="15"/>
        <v>-100</v>
      </c>
      <c r="AI39" s="582">
        <v>-3.3450153936000002</v>
      </c>
      <c r="AJ39" s="583">
        <v>-33.845241655700001</v>
      </c>
      <c r="AK39" s="584">
        <f>IF(AI39=0, "    ---- ", IF(ABS(ROUND(100/AI39*AJ39-100,1))&lt;999,ROUND(100/AI39*AJ39-100,1),IF(ROUND(100/AI39*AJ39-100,1)&gt;999,999,-999)))</f>
        <v>911.8</v>
      </c>
      <c r="AL39" s="582">
        <v>-165.4</v>
      </c>
      <c r="AM39" s="583">
        <v>-252</v>
      </c>
      <c r="AN39" s="584">
        <f t="shared" si="10"/>
        <v>52.4</v>
      </c>
      <c r="AO39" s="584">
        <f t="shared" si="13"/>
        <v>-589.5840024936</v>
      </c>
      <c r="AP39" s="584">
        <f t="shared" si="13"/>
        <v>-683.77149552569995</v>
      </c>
      <c r="AQ39" s="584">
        <f t="shared" si="11"/>
        <v>16</v>
      </c>
      <c r="AR39" s="586">
        <f t="shared" si="18"/>
        <v>-589.5840024936</v>
      </c>
      <c r="AS39" s="586">
        <f t="shared" si="18"/>
        <v>-683.77149552569995</v>
      </c>
      <c r="AT39" s="584">
        <f t="shared" si="19"/>
        <v>16</v>
      </c>
    </row>
    <row r="40" spans="1:46" s="616" customFormat="1" ht="18.75" customHeight="1" x14ac:dyDescent="0.3">
      <c r="A40" s="608" t="s">
        <v>365</v>
      </c>
      <c r="B40" s="609">
        <f>SUM(B37:B39)</f>
        <v>-0.72599999999999998</v>
      </c>
      <c r="C40" s="609">
        <f>SUM(C37:C39)</f>
        <v>0.186</v>
      </c>
      <c r="D40" s="606">
        <f t="shared" si="0"/>
        <v>-125.6</v>
      </c>
      <c r="E40" s="609">
        <v>259.37299999999993</v>
      </c>
      <c r="F40" s="610">
        <f>+F37+F38+F39</f>
        <v>540.11899999999991</v>
      </c>
      <c r="G40" s="606">
        <f t="shared" si="1"/>
        <v>108.2</v>
      </c>
      <c r="H40" s="610">
        <f>+H37+H38+H39</f>
        <v>3.6949999999999998</v>
      </c>
      <c r="I40" s="610">
        <f>+I37+I38+I39</f>
        <v>5.048</v>
      </c>
      <c r="J40" s="606">
        <f t="shared" si="2"/>
        <v>36.6</v>
      </c>
      <c r="K40" s="609">
        <v>43.995999999999995</v>
      </c>
      <c r="L40" s="610">
        <f>SUM(L37:L39)</f>
        <v>0.6</v>
      </c>
      <c r="M40" s="606">
        <f t="shared" si="3"/>
        <v>-98.6</v>
      </c>
      <c r="N40" s="609">
        <v>1</v>
      </c>
      <c r="O40" s="610">
        <v>1</v>
      </c>
      <c r="P40" s="479">
        <v>-28.6</v>
      </c>
      <c r="Q40" s="609">
        <v>580.72795030999998</v>
      </c>
      <c r="R40" s="610">
        <v>487.87245162999994</v>
      </c>
      <c r="S40" s="606">
        <f t="shared" si="4"/>
        <v>-16</v>
      </c>
      <c r="T40" s="609">
        <v>5.2240000000000002</v>
      </c>
      <c r="U40" s="610">
        <f>SUM(U37:U39)</f>
        <v>3.7649999999999997</v>
      </c>
      <c r="V40" s="610">
        <f>SUM(V37:V39)</f>
        <v>69.7</v>
      </c>
      <c r="W40" s="609">
        <v>1</v>
      </c>
      <c r="X40" s="610">
        <f>SUM(X37:X39)</f>
        <v>13</v>
      </c>
      <c r="Y40" s="606">
        <f t="shared" si="6"/>
        <v>999</v>
      </c>
      <c r="Z40" s="609">
        <v>103</v>
      </c>
      <c r="AA40" s="610">
        <f>SUM(AA37:AA39)</f>
        <v>202</v>
      </c>
      <c r="AB40" s="606">
        <f t="shared" si="7"/>
        <v>96.1</v>
      </c>
      <c r="AC40" s="609"/>
      <c r="AD40" s="610"/>
      <c r="AE40" s="606"/>
      <c r="AF40" s="610">
        <f>SUM(AF37:AF39)</f>
        <v>0.10919043000000066</v>
      </c>
      <c r="AG40" s="610"/>
      <c r="AH40" s="606">
        <f t="shared" si="15"/>
        <v>-100</v>
      </c>
      <c r="AI40" s="610">
        <f>SUM(AI37:AI39)</f>
        <v>223.49899344640002</v>
      </c>
      <c r="AJ40" s="610">
        <f>SUM(AJ37:AJ39)</f>
        <v>93.126374174299997</v>
      </c>
      <c r="AK40" s="606">
        <f t="shared" si="9"/>
        <v>-58.3</v>
      </c>
      <c r="AL40" s="609">
        <v>210.1</v>
      </c>
      <c r="AM40" s="610">
        <v>240</v>
      </c>
      <c r="AN40" s="606">
        <f t="shared" si="10"/>
        <v>14.2</v>
      </c>
      <c r="AO40" s="606">
        <f t="shared" si="13"/>
        <v>1429.9981341863997</v>
      </c>
      <c r="AP40" s="606">
        <f t="shared" si="13"/>
        <v>1585.7168258043</v>
      </c>
      <c r="AQ40" s="606">
        <f t="shared" si="11"/>
        <v>10.9</v>
      </c>
      <c r="AR40" s="605">
        <f t="shared" si="18"/>
        <v>1430.9981341863997</v>
      </c>
      <c r="AS40" s="605">
        <f t="shared" si="18"/>
        <v>1586.7168258043</v>
      </c>
      <c r="AT40" s="606">
        <f t="shared" si="19"/>
        <v>10.9</v>
      </c>
    </row>
    <row r="41" spans="1:46" s="616" customFormat="1" ht="18.75" customHeight="1" x14ac:dyDescent="0.3">
      <c r="A41" s="608" t="s">
        <v>366</v>
      </c>
      <c r="B41" s="609">
        <f>B40+B34</f>
        <v>57.869999999999905</v>
      </c>
      <c r="C41" s="609">
        <f>C40+C34</f>
        <v>61.072999999999574</v>
      </c>
      <c r="D41" s="606">
        <f t="shared" si="0"/>
        <v>5.5</v>
      </c>
      <c r="E41" s="609">
        <v>680.3480000000028</v>
      </c>
      <c r="F41" s="610">
        <f>+F34+F40</f>
        <v>1040.3879999999995</v>
      </c>
      <c r="G41" s="606">
        <f t="shared" si="1"/>
        <v>52.9</v>
      </c>
      <c r="H41" s="610">
        <f>+H34+H40</f>
        <v>58.16899999999999</v>
      </c>
      <c r="I41" s="610">
        <f>+I34+I40</f>
        <v>47.221999999999909</v>
      </c>
      <c r="J41" s="606">
        <f t="shared" si="2"/>
        <v>-18.8</v>
      </c>
      <c r="K41" s="609">
        <v>51.89</v>
      </c>
      <c r="L41" s="610">
        <f>+L34+L40</f>
        <v>54.229999999999741</v>
      </c>
      <c r="M41" s="606">
        <f t="shared" si="3"/>
        <v>4.5</v>
      </c>
      <c r="N41" s="609">
        <v>2</v>
      </c>
      <c r="O41" s="610">
        <v>15</v>
      </c>
      <c r="P41" s="479">
        <v>-63</v>
      </c>
      <c r="Q41" s="609">
        <v>1196.0205399500078</v>
      </c>
      <c r="R41" s="610">
        <v>1084.465291519997</v>
      </c>
      <c r="S41" s="606">
        <f t="shared" si="4"/>
        <v>-9.3000000000000007</v>
      </c>
      <c r="T41" s="609">
        <v>-6.9180000000000597</v>
      </c>
      <c r="U41" s="610">
        <f>U40+U34</f>
        <v>-17.428999999999942</v>
      </c>
      <c r="V41" s="610">
        <f>V40+V34</f>
        <v>144.30000000000001</v>
      </c>
      <c r="W41" s="609">
        <v>310.53589728999941</v>
      </c>
      <c r="X41" s="610">
        <f>X40+X34</f>
        <v>323.89508320999948</v>
      </c>
      <c r="Y41" s="606">
        <f t="shared" si="6"/>
        <v>4.3</v>
      </c>
      <c r="Z41" s="609">
        <v>337</v>
      </c>
      <c r="AA41" s="610">
        <f>AA40+AA34</f>
        <v>539</v>
      </c>
      <c r="AB41" s="606">
        <f t="shared" si="7"/>
        <v>59.9</v>
      </c>
      <c r="AC41" s="609">
        <v>4</v>
      </c>
      <c r="AD41" s="610">
        <v>7</v>
      </c>
      <c r="AE41" s="606">
        <f t="shared" si="8"/>
        <v>75</v>
      </c>
      <c r="AF41" s="610">
        <f>AF40+AF34</f>
        <v>-5.5416940600000268</v>
      </c>
      <c r="AG41" s="610"/>
      <c r="AH41" s="606">
        <f t="shared" si="15"/>
        <v>-100</v>
      </c>
      <c r="AI41" s="610">
        <f>AI40+AI34</f>
        <v>442.98551112999951</v>
      </c>
      <c r="AJ41" s="610">
        <f>AJ40+AJ34</f>
        <v>312.45704244000086</v>
      </c>
      <c r="AK41" s="606">
        <f t="shared" si="9"/>
        <v>-29.5</v>
      </c>
      <c r="AL41" s="609">
        <v>670.30000000000075</v>
      </c>
      <c r="AM41" s="610">
        <v>812</v>
      </c>
      <c r="AN41" s="606">
        <f t="shared" si="10"/>
        <v>21.1</v>
      </c>
      <c r="AO41" s="606">
        <f t="shared" si="13"/>
        <v>3792.6592543100101</v>
      </c>
      <c r="AP41" s="606">
        <f t="shared" si="13"/>
        <v>4257.3014171699961</v>
      </c>
      <c r="AQ41" s="606">
        <f t="shared" si="11"/>
        <v>12.3</v>
      </c>
      <c r="AR41" s="605">
        <f t="shared" si="18"/>
        <v>3798.6592543100101</v>
      </c>
      <c r="AS41" s="605">
        <f t="shared" si="18"/>
        <v>4279.3014171699961</v>
      </c>
      <c r="AT41" s="606">
        <f t="shared" si="19"/>
        <v>12.7</v>
      </c>
    </row>
    <row r="42" spans="1:46" s="615" customFormat="1" ht="18.75" customHeight="1" x14ac:dyDescent="0.3">
      <c r="A42" s="581" t="s">
        <v>367</v>
      </c>
      <c r="B42" s="582">
        <v>-14.468</v>
      </c>
      <c r="C42" s="583">
        <v>-15.273999999999999</v>
      </c>
      <c r="D42" s="584">
        <f t="shared" si="0"/>
        <v>5.6</v>
      </c>
      <c r="E42" s="582">
        <v>-139.46700000000001</v>
      </c>
      <c r="F42" s="583">
        <v>30.001999999999999</v>
      </c>
      <c r="G42" s="584">
        <f t="shared" si="1"/>
        <v>-121.5</v>
      </c>
      <c r="H42" s="582">
        <v>-14.438000000000001</v>
      </c>
      <c r="I42" s="583">
        <v>-9.1639999999999997</v>
      </c>
      <c r="J42" s="584">
        <f t="shared" si="2"/>
        <v>-36.5</v>
      </c>
      <c r="K42" s="582">
        <v>-12.972</v>
      </c>
      <c r="L42" s="583">
        <v>-13.5</v>
      </c>
      <c r="M42" s="584">
        <f t="shared" si="3"/>
        <v>4.0999999999999996</v>
      </c>
      <c r="N42" s="582"/>
      <c r="O42" s="583">
        <v>-3</v>
      </c>
      <c r="P42" s="496">
        <v>-100</v>
      </c>
      <c r="Q42" s="582">
        <v>255.53914500000002</v>
      </c>
      <c r="R42" s="583">
        <v>-194.235083</v>
      </c>
      <c r="S42" s="584">
        <f t="shared" si="4"/>
        <v>-176</v>
      </c>
      <c r="T42" s="582"/>
      <c r="U42" s="583"/>
      <c r="V42" s="584"/>
      <c r="W42" s="582">
        <v>-31</v>
      </c>
      <c r="X42" s="583">
        <v>-32.432433000000003</v>
      </c>
      <c r="Y42" s="584">
        <f t="shared" si="6"/>
        <v>4.5999999999999996</v>
      </c>
      <c r="Z42" s="582">
        <v>-99</v>
      </c>
      <c r="AA42" s="583">
        <v>-174</v>
      </c>
      <c r="AB42" s="584">
        <f t="shared" si="7"/>
        <v>75.8</v>
      </c>
      <c r="AC42" s="582"/>
      <c r="AD42" s="583"/>
      <c r="AE42" s="584"/>
      <c r="AF42" s="582"/>
      <c r="AG42" s="583"/>
      <c r="AH42" s="584"/>
      <c r="AI42" s="582">
        <v>-110.477844</v>
      </c>
      <c r="AJ42" s="583">
        <v>-73.864851399999992</v>
      </c>
      <c r="AK42" s="584">
        <f t="shared" si="9"/>
        <v>-33.1</v>
      </c>
      <c r="AL42" s="582">
        <v>7</v>
      </c>
      <c r="AM42" s="583">
        <v>-56</v>
      </c>
      <c r="AN42" s="584">
        <f t="shared" si="10"/>
        <v>-900</v>
      </c>
      <c r="AO42" s="584">
        <f t="shared" si="13"/>
        <v>-159.28369899999998</v>
      </c>
      <c r="AP42" s="584">
        <f t="shared" si="13"/>
        <v>-538.46836740000003</v>
      </c>
      <c r="AQ42" s="584">
        <f t="shared" si="11"/>
        <v>238.1</v>
      </c>
      <c r="AR42" s="586">
        <f t="shared" si="18"/>
        <v>-159.28369899999998</v>
      </c>
      <c r="AS42" s="586">
        <f t="shared" si="18"/>
        <v>-541.46836740000003</v>
      </c>
      <c r="AT42" s="584">
        <f t="shared" si="19"/>
        <v>239.9</v>
      </c>
    </row>
    <row r="43" spans="1:46" s="616" customFormat="1" ht="18.75" customHeight="1" x14ac:dyDescent="0.3">
      <c r="A43" s="608" t="s">
        <v>368</v>
      </c>
      <c r="B43" s="609">
        <f>B42+B41</f>
        <v>43.401999999999902</v>
      </c>
      <c r="C43" s="609">
        <f>C42+C41</f>
        <v>45.798999999999573</v>
      </c>
      <c r="D43" s="606">
        <f t="shared" si="0"/>
        <v>5.5</v>
      </c>
      <c r="E43" s="609">
        <v>540.88100000000281</v>
      </c>
      <c r="F43" s="610">
        <f>+F41+F42</f>
        <v>1070.3899999999994</v>
      </c>
      <c r="G43" s="606">
        <f t="shared" si="1"/>
        <v>97.9</v>
      </c>
      <c r="H43" s="610">
        <f>+H41+H42</f>
        <v>43.730999999999987</v>
      </c>
      <c r="I43" s="610">
        <f>+I41+I42</f>
        <v>38.057999999999907</v>
      </c>
      <c r="J43" s="606">
        <f t="shared" si="2"/>
        <v>-13</v>
      </c>
      <c r="K43" s="609">
        <v>38.917999999999999</v>
      </c>
      <c r="L43" s="610">
        <f>+L41+L42</f>
        <v>40.729999999999741</v>
      </c>
      <c r="M43" s="606">
        <f t="shared" si="3"/>
        <v>4.7</v>
      </c>
      <c r="N43" s="609">
        <v>2</v>
      </c>
      <c r="O43" s="610">
        <v>12</v>
      </c>
      <c r="P43" s="479">
        <v>-41.2</v>
      </c>
      <c r="Q43" s="609">
        <v>1451.5596849500077</v>
      </c>
      <c r="R43" s="610">
        <v>890.23020851999695</v>
      </c>
      <c r="S43" s="606">
        <f t="shared" si="4"/>
        <v>-38.700000000000003</v>
      </c>
      <c r="T43" s="609">
        <v>-6.9180000000000597</v>
      </c>
      <c r="U43" s="610">
        <f>U42+U41</f>
        <v>-17.428999999999942</v>
      </c>
      <c r="V43" s="606">
        <f t="shared" si="5"/>
        <v>151.9</v>
      </c>
      <c r="W43" s="609">
        <v>279.53589728999941</v>
      </c>
      <c r="X43" s="610">
        <f>X42+X41</f>
        <v>291.46265020999948</v>
      </c>
      <c r="Y43" s="606">
        <f t="shared" si="6"/>
        <v>4.3</v>
      </c>
      <c r="Z43" s="609">
        <v>238</v>
      </c>
      <c r="AA43" s="610">
        <f>AA42+AA41</f>
        <v>365</v>
      </c>
      <c r="AB43" s="606">
        <f t="shared" si="7"/>
        <v>53.4</v>
      </c>
      <c r="AC43" s="609">
        <v>4</v>
      </c>
      <c r="AD43" s="610">
        <v>7</v>
      </c>
      <c r="AE43" s="606">
        <f t="shared" si="8"/>
        <v>75</v>
      </c>
      <c r="AF43" s="610">
        <f>AF42+AF41</f>
        <v>-5.5416940600000268</v>
      </c>
      <c r="AG43" s="610"/>
      <c r="AH43" s="606">
        <f t="shared" si="15"/>
        <v>-100</v>
      </c>
      <c r="AI43" s="610">
        <f>AI42+AI41</f>
        <v>332.5076671299995</v>
      </c>
      <c r="AJ43" s="610">
        <f>AJ42+AJ41</f>
        <v>238.59219104000087</v>
      </c>
      <c r="AK43" s="606">
        <f t="shared" si="9"/>
        <v>-28.2</v>
      </c>
      <c r="AL43" s="609">
        <v>677.30000000000075</v>
      </c>
      <c r="AM43" s="610">
        <v>756</v>
      </c>
      <c r="AN43" s="606">
        <f t="shared" si="10"/>
        <v>11.6</v>
      </c>
      <c r="AO43" s="606">
        <f t="shared" si="13"/>
        <v>3633.37555531001</v>
      </c>
      <c r="AP43" s="606">
        <f t="shared" si="13"/>
        <v>3718.8330497699958</v>
      </c>
      <c r="AQ43" s="606">
        <f t="shared" si="11"/>
        <v>2.4</v>
      </c>
      <c r="AR43" s="605">
        <f t="shared" si="18"/>
        <v>3639.37555531001</v>
      </c>
      <c r="AS43" s="605">
        <f t="shared" si="18"/>
        <v>3737.8330497699958</v>
      </c>
      <c r="AT43" s="606">
        <f t="shared" si="19"/>
        <v>2.7</v>
      </c>
    </row>
    <row r="44" spans="1:46" s="615" customFormat="1" ht="18.75" customHeight="1" x14ac:dyDescent="0.3">
      <c r="A44" s="581" t="s">
        <v>369</v>
      </c>
      <c r="B44" s="582"/>
      <c r="C44" s="583"/>
      <c r="D44" s="584"/>
      <c r="E44" s="582"/>
      <c r="F44" s="583"/>
      <c r="G44" s="584"/>
      <c r="H44" s="582"/>
      <c r="I44" s="583"/>
      <c r="J44" s="584"/>
      <c r="K44" s="582"/>
      <c r="L44" s="583"/>
      <c r="M44" s="584"/>
      <c r="N44" s="582"/>
      <c r="O44" s="583"/>
      <c r="P44" s="496"/>
      <c r="Q44" s="582">
        <v>-59.174139000000004</v>
      </c>
      <c r="R44" s="583">
        <v>0</v>
      </c>
      <c r="S44" s="584">
        <f t="shared" si="4"/>
        <v>-100</v>
      </c>
      <c r="T44" s="582">
        <v>-1.0669999999999999</v>
      </c>
      <c r="U44" s="583">
        <v>0</v>
      </c>
      <c r="V44" s="584">
        <f t="shared" si="5"/>
        <v>-100</v>
      </c>
      <c r="W44" s="582"/>
      <c r="X44" s="583"/>
      <c r="Y44" s="584"/>
      <c r="Z44" s="582"/>
      <c r="AA44" s="583"/>
      <c r="AB44" s="584"/>
      <c r="AC44" s="582"/>
      <c r="AD44" s="583"/>
      <c r="AE44" s="584"/>
      <c r="AF44" s="582"/>
      <c r="AG44" s="583"/>
      <c r="AH44" s="584"/>
      <c r="AI44" s="582">
        <v>-91.993836720000004</v>
      </c>
      <c r="AJ44" s="583">
        <v>7.4491660099999999</v>
      </c>
      <c r="AK44" s="584">
        <f t="shared" si="9"/>
        <v>-108.1</v>
      </c>
      <c r="AL44" s="582">
        <v>-18</v>
      </c>
      <c r="AM44" s="583">
        <v>18</v>
      </c>
      <c r="AN44" s="584">
        <f t="shared" si="10"/>
        <v>-200</v>
      </c>
      <c r="AO44" s="584">
        <f t="shared" si="13"/>
        <v>-170.23497572000002</v>
      </c>
      <c r="AP44" s="584">
        <f t="shared" si="13"/>
        <v>25.449166009999999</v>
      </c>
      <c r="AQ44" s="584">
        <f t="shared" si="11"/>
        <v>-114.9</v>
      </c>
      <c r="AR44" s="586">
        <f t="shared" si="18"/>
        <v>-170.23497572000002</v>
      </c>
      <c r="AS44" s="586">
        <f t="shared" si="18"/>
        <v>25.449166009999999</v>
      </c>
      <c r="AT44" s="584">
        <f t="shared" si="19"/>
        <v>-114.9</v>
      </c>
    </row>
    <row r="45" spans="1:46" s="616" customFormat="1" ht="18.75" customHeight="1" x14ac:dyDescent="0.3">
      <c r="A45" s="602" t="s">
        <v>370</v>
      </c>
      <c r="B45" s="617">
        <f>B43+B44</f>
        <v>43.401999999999902</v>
      </c>
      <c r="C45" s="617">
        <f>C43+C44</f>
        <v>45.798999999999573</v>
      </c>
      <c r="D45" s="604">
        <f t="shared" si="0"/>
        <v>5.5</v>
      </c>
      <c r="E45" s="617">
        <v>540.88100000000281</v>
      </c>
      <c r="F45" s="618">
        <f>+F43+F44</f>
        <v>1070.3899999999994</v>
      </c>
      <c r="G45" s="604">
        <f t="shared" si="1"/>
        <v>97.9</v>
      </c>
      <c r="H45" s="618">
        <f>+H43+H44</f>
        <v>43.730999999999987</v>
      </c>
      <c r="I45" s="618">
        <f>+I43+I44</f>
        <v>38.057999999999907</v>
      </c>
      <c r="J45" s="604">
        <f t="shared" si="2"/>
        <v>-13</v>
      </c>
      <c r="K45" s="617">
        <v>38.917999999999999</v>
      </c>
      <c r="L45" s="618">
        <f>+L43+L44</f>
        <v>40.729999999999741</v>
      </c>
      <c r="M45" s="604">
        <f t="shared" si="3"/>
        <v>4.7</v>
      </c>
      <c r="N45" s="617">
        <v>2</v>
      </c>
      <c r="O45" s="618">
        <v>12</v>
      </c>
      <c r="P45" s="511">
        <v>-41.2</v>
      </c>
      <c r="Q45" s="617">
        <v>1392.3855459500078</v>
      </c>
      <c r="R45" s="618">
        <v>890.23020851999695</v>
      </c>
      <c r="S45" s="604">
        <f t="shared" si="4"/>
        <v>-36.1</v>
      </c>
      <c r="T45" s="617">
        <v>-7.9850000000000598</v>
      </c>
      <c r="U45" s="618">
        <f>U43+U44</f>
        <v>-17.428999999999942</v>
      </c>
      <c r="V45" s="604">
        <f t="shared" si="5"/>
        <v>118.3</v>
      </c>
      <c r="W45" s="617">
        <v>279.53589728999941</v>
      </c>
      <c r="X45" s="618">
        <f>X43+X44</f>
        <v>291.46265020999948</v>
      </c>
      <c r="Y45" s="604">
        <f t="shared" si="6"/>
        <v>4.3</v>
      </c>
      <c r="Z45" s="617">
        <v>238</v>
      </c>
      <c r="AA45" s="618">
        <f>AA43+AA44</f>
        <v>365</v>
      </c>
      <c r="AB45" s="604">
        <f t="shared" si="7"/>
        <v>53.4</v>
      </c>
      <c r="AC45" s="617">
        <v>4</v>
      </c>
      <c r="AD45" s="618">
        <v>7</v>
      </c>
      <c r="AE45" s="604">
        <f t="shared" si="8"/>
        <v>75</v>
      </c>
      <c r="AF45" s="618">
        <f>AF43+AF44</f>
        <v>-5.5416940600000268</v>
      </c>
      <c r="AG45" s="618"/>
      <c r="AH45" s="604">
        <f t="shared" si="15"/>
        <v>-100</v>
      </c>
      <c r="AI45" s="618">
        <f>AI43+AI44</f>
        <v>240.51383040999951</v>
      </c>
      <c r="AJ45" s="618">
        <f>AJ43+AJ44</f>
        <v>246.04135705000087</v>
      </c>
      <c r="AK45" s="604">
        <f t="shared" si="9"/>
        <v>2.2999999999999998</v>
      </c>
      <c r="AL45" s="617">
        <v>659.30000000000075</v>
      </c>
      <c r="AM45" s="618">
        <v>774</v>
      </c>
      <c r="AN45" s="604">
        <f t="shared" si="10"/>
        <v>17.399999999999999</v>
      </c>
      <c r="AO45" s="619">
        <f t="shared" si="13"/>
        <v>3463.1405795900105</v>
      </c>
      <c r="AP45" s="604">
        <f t="shared" si="13"/>
        <v>3744.282215779996</v>
      </c>
      <c r="AQ45" s="604">
        <f t="shared" si="11"/>
        <v>8.1</v>
      </c>
      <c r="AR45" s="605">
        <f t="shared" si="18"/>
        <v>3469.1405795900105</v>
      </c>
      <c r="AS45" s="605">
        <f>+C45+F45+I45+L45+O45+R45+U45+X45+AA45+AD45+AG45+AJ45+AM45</f>
        <v>3763.282215779996</v>
      </c>
      <c r="AT45" s="604">
        <f t="shared" si="19"/>
        <v>8.5</v>
      </c>
    </row>
    <row r="46" spans="1:46" s="616" customFormat="1" ht="18.75" customHeight="1" x14ac:dyDescent="0.3">
      <c r="A46" s="620"/>
      <c r="B46" s="621"/>
      <c r="C46" s="621"/>
      <c r="D46" s="622"/>
      <c r="E46" s="621"/>
      <c r="F46" s="621"/>
      <c r="G46" s="611"/>
      <c r="H46" s="621"/>
      <c r="I46" s="621"/>
      <c r="J46" s="611"/>
      <c r="K46" s="621"/>
      <c r="L46" s="621"/>
      <c r="M46" s="622"/>
      <c r="N46" s="621"/>
      <c r="O46" s="621"/>
      <c r="P46" s="611"/>
      <c r="Q46" s="621"/>
      <c r="R46" s="621"/>
      <c r="S46" s="611"/>
      <c r="T46" s="621"/>
      <c r="U46" s="621"/>
      <c r="V46" s="611"/>
      <c r="W46" s="621"/>
      <c r="X46" s="621"/>
      <c r="Y46" s="611"/>
      <c r="Z46" s="621"/>
      <c r="AA46" s="621"/>
      <c r="AB46" s="611"/>
      <c r="AC46" s="621"/>
      <c r="AD46" s="621"/>
      <c r="AE46" s="611"/>
      <c r="AF46" s="621"/>
      <c r="AG46" s="621"/>
      <c r="AH46" s="611"/>
      <c r="AI46" s="621"/>
      <c r="AJ46" s="621"/>
      <c r="AK46" s="611"/>
      <c r="AL46" s="621"/>
      <c r="AM46" s="621"/>
      <c r="AN46" s="611"/>
      <c r="AO46" s="622"/>
      <c r="AP46" s="622"/>
      <c r="AQ46" s="611"/>
      <c r="AR46" s="623"/>
      <c r="AS46" s="623"/>
      <c r="AT46" s="624"/>
    </row>
    <row r="47" spans="1:46" s="629" customFormat="1" ht="18.75" customHeight="1" x14ac:dyDescent="0.3">
      <c r="A47" s="625" t="s">
        <v>371</v>
      </c>
      <c r="B47" s="626"/>
      <c r="C47" s="626"/>
      <c r="D47" s="626"/>
      <c r="E47" s="627"/>
      <c r="F47" s="626"/>
      <c r="G47" s="626"/>
      <c r="H47" s="627"/>
      <c r="I47" s="626"/>
      <c r="J47" s="626"/>
      <c r="K47" s="627"/>
      <c r="L47" s="626"/>
      <c r="M47" s="626"/>
      <c r="N47" s="627"/>
      <c r="O47" s="626"/>
      <c r="P47" s="626"/>
      <c r="Q47" s="627"/>
      <c r="R47" s="626"/>
      <c r="S47" s="626"/>
      <c r="T47" s="627"/>
      <c r="U47" s="626"/>
      <c r="V47" s="626"/>
      <c r="W47" s="627"/>
      <c r="X47" s="626"/>
      <c r="Y47" s="626"/>
      <c r="Z47" s="627"/>
      <c r="AA47" s="626"/>
      <c r="AB47" s="626"/>
      <c r="AC47" s="627"/>
      <c r="AD47" s="626"/>
      <c r="AE47" s="626"/>
      <c r="AF47" s="627"/>
      <c r="AG47" s="626"/>
      <c r="AH47" s="626"/>
      <c r="AI47" s="627"/>
      <c r="AJ47" s="626"/>
      <c r="AK47" s="626"/>
      <c r="AL47" s="627"/>
      <c r="AM47" s="626"/>
      <c r="AN47" s="626"/>
      <c r="AO47" s="628"/>
      <c r="AP47" s="628"/>
      <c r="AQ47" s="626"/>
      <c r="AR47" s="626"/>
      <c r="AS47" s="626"/>
      <c r="AT47" s="626"/>
    </row>
    <row r="48" spans="1:46" s="631" customFormat="1" ht="18.75" customHeight="1" x14ac:dyDescent="0.3">
      <c r="A48" s="626" t="s">
        <v>372</v>
      </c>
      <c r="B48" s="626"/>
      <c r="C48" s="626"/>
      <c r="D48" s="626"/>
      <c r="E48" s="630"/>
      <c r="F48" s="626"/>
      <c r="G48" s="626"/>
      <c r="H48" s="630"/>
      <c r="I48" s="626"/>
      <c r="J48" s="626"/>
      <c r="K48" s="630"/>
      <c r="L48" s="626"/>
      <c r="M48" s="626"/>
      <c r="N48" s="630"/>
      <c r="O48" s="626"/>
      <c r="P48" s="626"/>
      <c r="Q48" s="630"/>
      <c r="R48" s="626"/>
      <c r="S48" s="626"/>
      <c r="T48" s="630"/>
      <c r="U48" s="626"/>
      <c r="V48" s="626"/>
      <c r="W48" s="630"/>
      <c r="X48" s="626"/>
      <c r="Y48" s="626"/>
      <c r="Z48" s="630"/>
      <c r="AA48" s="626"/>
      <c r="AB48" s="626"/>
      <c r="AC48" s="630"/>
      <c r="AD48" s="626"/>
      <c r="AE48" s="626"/>
      <c r="AF48" s="630"/>
      <c r="AG48" s="626"/>
      <c r="AH48" s="626"/>
      <c r="AI48" s="630"/>
      <c r="AJ48" s="626"/>
      <c r="AK48" s="626"/>
      <c r="AL48" s="630"/>
      <c r="AM48" s="626"/>
      <c r="AN48" s="626"/>
      <c r="AO48" s="628"/>
      <c r="AP48" s="628"/>
      <c r="AQ48" s="626"/>
      <c r="AR48" s="626"/>
      <c r="AS48" s="626"/>
      <c r="AT48" s="626"/>
    </row>
    <row r="49" spans="1:46" s="631" customFormat="1" ht="18.75" customHeight="1" x14ac:dyDescent="0.3">
      <c r="A49" s="626" t="s">
        <v>373</v>
      </c>
      <c r="B49" s="626"/>
      <c r="C49" s="626"/>
      <c r="D49" s="626"/>
      <c r="E49" s="630"/>
      <c r="F49" s="626"/>
      <c r="G49" s="626"/>
      <c r="H49" s="630"/>
      <c r="I49" s="626"/>
      <c r="J49" s="626"/>
      <c r="K49" s="630"/>
      <c r="L49" s="626"/>
      <c r="M49" s="626"/>
      <c r="N49" s="630"/>
      <c r="O49" s="626"/>
      <c r="P49" s="626"/>
      <c r="Q49" s="630"/>
      <c r="R49" s="626"/>
      <c r="S49" s="626"/>
      <c r="T49" s="630"/>
      <c r="U49" s="626"/>
      <c r="V49" s="626"/>
      <c r="W49" s="630"/>
      <c r="X49" s="626"/>
      <c r="Y49" s="626"/>
      <c r="Z49" s="630"/>
      <c r="AA49" s="626"/>
      <c r="AB49" s="626"/>
      <c r="AC49" s="630"/>
      <c r="AD49" s="626"/>
      <c r="AE49" s="626"/>
      <c r="AF49" s="630"/>
      <c r="AG49" s="626"/>
      <c r="AH49" s="626"/>
      <c r="AI49" s="630"/>
      <c r="AJ49" s="626"/>
      <c r="AK49" s="626"/>
      <c r="AL49" s="630"/>
      <c r="AM49" s="626"/>
      <c r="AN49" s="626"/>
      <c r="AO49" s="628"/>
      <c r="AP49" s="628"/>
      <c r="AQ49" s="626"/>
      <c r="AR49" s="626"/>
      <c r="AS49" s="626"/>
      <c r="AT49" s="626"/>
    </row>
    <row r="50" spans="1:46" s="631" customFormat="1" ht="18.75" customHeight="1" x14ac:dyDescent="0.3">
      <c r="A50" s="626" t="s">
        <v>374</v>
      </c>
      <c r="B50" s="626"/>
      <c r="C50" s="626"/>
      <c r="D50" s="626"/>
      <c r="E50" s="630"/>
      <c r="F50" s="626"/>
      <c r="G50" s="626"/>
      <c r="H50" s="630"/>
      <c r="I50" s="626"/>
      <c r="J50" s="626"/>
      <c r="K50" s="630"/>
      <c r="L50" s="626"/>
      <c r="M50" s="626"/>
      <c r="N50" s="630"/>
      <c r="O50" s="626"/>
      <c r="P50" s="626"/>
      <c r="Q50" s="630"/>
      <c r="R50" s="626"/>
      <c r="S50" s="626"/>
      <c r="T50" s="630"/>
      <c r="U50" s="626"/>
      <c r="V50" s="626"/>
      <c r="W50" s="630"/>
      <c r="X50" s="626"/>
      <c r="Y50" s="626"/>
      <c r="Z50" s="630"/>
      <c r="AA50" s="626"/>
      <c r="AB50" s="626"/>
      <c r="AC50" s="630"/>
      <c r="AD50" s="626"/>
      <c r="AE50" s="626"/>
      <c r="AF50" s="630"/>
      <c r="AG50" s="626"/>
      <c r="AH50" s="626"/>
      <c r="AI50" s="630"/>
      <c r="AJ50" s="626"/>
      <c r="AK50" s="626"/>
      <c r="AL50" s="630"/>
      <c r="AM50" s="626"/>
      <c r="AN50" s="626"/>
      <c r="AO50" s="628"/>
      <c r="AP50" s="628"/>
      <c r="AQ50" s="626"/>
      <c r="AR50" s="626"/>
      <c r="AS50" s="626"/>
      <c r="AT50" s="626"/>
    </row>
    <row r="51" spans="1:46" s="631" customFormat="1" ht="18.75" customHeight="1" x14ac:dyDescent="0.3">
      <c r="A51" s="626" t="s">
        <v>375</v>
      </c>
      <c r="B51" s="626"/>
      <c r="C51" s="626"/>
      <c r="D51" s="626"/>
      <c r="E51" s="630"/>
      <c r="F51" s="626"/>
      <c r="G51" s="626"/>
      <c r="H51" s="630"/>
      <c r="I51" s="626"/>
      <c r="J51" s="626"/>
      <c r="K51" s="630"/>
      <c r="L51" s="626"/>
      <c r="M51" s="626"/>
      <c r="N51" s="630"/>
      <c r="O51" s="626"/>
      <c r="P51" s="626"/>
      <c r="Q51" s="630"/>
      <c r="R51" s="626"/>
      <c r="S51" s="626"/>
      <c r="T51" s="630"/>
      <c r="U51" s="626"/>
      <c r="V51" s="626"/>
      <c r="W51" s="630"/>
      <c r="X51" s="626"/>
      <c r="Y51" s="626"/>
      <c r="Z51" s="630"/>
      <c r="AA51" s="626"/>
      <c r="AB51" s="626"/>
      <c r="AC51" s="630"/>
      <c r="AD51" s="626"/>
      <c r="AE51" s="626"/>
      <c r="AF51" s="630"/>
      <c r="AG51" s="626"/>
      <c r="AH51" s="626"/>
      <c r="AI51" s="630"/>
      <c r="AJ51" s="626"/>
      <c r="AK51" s="626"/>
      <c r="AL51" s="630"/>
      <c r="AM51" s="626"/>
      <c r="AN51" s="626"/>
      <c r="AO51" s="628"/>
      <c r="AP51" s="628"/>
      <c r="AQ51" s="626"/>
      <c r="AR51" s="626"/>
      <c r="AS51" s="626"/>
      <c r="AT51" s="626"/>
    </row>
    <row r="52" spans="1:46" s="631" customFormat="1" ht="18.75" customHeight="1" x14ac:dyDescent="0.3">
      <c r="A52" s="626" t="s">
        <v>376</v>
      </c>
      <c r="B52" s="626"/>
      <c r="C52" s="626"/>
      <c r="D52" s="626"/>
      <c r="E52" s="630"/>
      <c r="F52" s="626"/>
      <c r="G52" s="626"/>
      <c r="H52" s="630"/>
      <c r="I52" s="626"/>
      <c r="J52" s="626"/>
      <c r="K52" s="630"/>
      <c r="L52" s="626"/>
      <c r="M52" s="626"/>
      <c r="N52" s="630"/>
      <c r="O52" s="626"/>
      <c r="P52" s="626"/>
      <c r="Q52" s="630"/>
      <c r="R52" s="626"/>
      <c r="S52" s="626"/>
      <c r="T52" s="630"/>
      <c r="U52" s="626"/>
      <c r="V52" s="626"/>
      <c r="W52" s="630"/>
      <c r="X52" s="626"/>
      <c r="Y52" s="626"/>
      <c r="Z52" s="630"/>
      <c r="AA52" s="626"/>
      <c r="AB52" s="626"/>
      <c r="AC52" s="630"/>
      <c r="AD52" s="626"/>
      <c r="AE52" s="626"/>
      <c r="AF52" s="630"/>
      <c r="AG52" s="626"/>
      <c r="AH52" s="626"/>
      <c r="AI52" s="630"/>
      <c r="AJ52" s="626"/>
      <c r="AK52" s="626"/>
      <c r="AL52" s="630"/>
      <c r="AM52" s="626"/>
      <c r="AN52" s="626"/>
      <c r="AO52" s="628"/>
      <c r="AP52" s="628"/>
      <c r="AQ52" s="626"/>
      <c r="AR52" s="626"/>
      <c r="AS52" s="626"/>
      <c r="AT52" s="626"/>
    </row>
    <row r="53" spans="1:46" s="631" customFormat="1" ht="18.75" customHeight="1" x14ac:dyDescent="0.3">
      <c r="A53" s="626" t="s">
        <v>377</v>
      </c>
      <c r="B53" s="626"/>
      <c r="C53" s="626"/>
      <c r="D53" s="626"/>
      <c r="E53" s="630"/>
      <c r="F53" s="626"/>
      <c r="G53" s="626"/>
      <c r="H53" s="630"/>
      <c r="I53" s="626"/>
      <c r="J53" s="626"/>
      <c r="K53" s="630"/>
      <c r="L53" s="626"/>
      <c r="M53" s="626"/>
      <c r="N53" s="630"/>
      <c r="O53" s="626"/>
      <c r="P53" s="626"/>
      <c r="Q53" s="630"/>
      <c r="R53" s="626"/>
      <c r="S53" s="626"/>
      <c r="T53" s="630"/>
      <c r="U53" s="626"/>
      <c r="V53" s="626"/>
      <c r="W53" s="630"/>
      <c r="X53" s="626"/>
      <c r="Y53" s="626"/>
      <c r="Z53" s="630"/>
      <c r="AA53" s="626"/>
      <c r="AB53" s="626"/>
      <c r="AC53" s="630"/>
      <c r="AD53" s="626"/>
      <c r="AE53" s="626"/>
      <c r="AF53" s="630"/>
      <c r="AG53" s="626"/>
      <c r="AH53" s="626"/>
      <c r="AI53" s="630"/>
      <c r="AJ53" s="626"/>
      <c r="AK53" s="626"/>
      <c r="AL53" s="630"/>
      <c r="AM53" s="626"/>
      <c r="AN53" s="626"/>
      <c r="AO53" s="628"/>
      <c r="AP53" s="628"/>
      <c r="AQ53" s="626"/>
      <c r="AR53" s="626"/>
      <c r="AS53" s="626"/>
      <c r="AT53" s="626"/>
    </row>
    <row r="54" spans="1:46" s="631" customFormat="1" ht="18.75" customHeight="1" x14ac:dyDescent="0.3">
      <c r="A54" s="626" t="s">
        <v>378</v>
      </c>
      <c r="B54" s="626"/>
      <c r="C54" s="626"/>
      <c r="D54" s="626"/>
      <c r="E54" s="630"/>
      <c r="F54" s="626"/>
      <c r="G54" s="626"/>
      <c r="H54" s="630"/>
      <c r="I54" s="626"/>
      <c r="J54" s="626"/>
      <c r="K54" s="630"/>
      <c r="L54" s="626"/>
      <c r="M54" s="626"/>
      <c r="N54" s="630"/>
      <c r="O54" s="626"/>
      <c r="P54" s="626"/>
      <c r="Q54" s="630"/>
      <c r="R54" s="626"/>
      <c r="S54" s="626"/>
      <c r="T54" s="630"/>
      <c r="U54" s="626"/>
      <c r="V54" s="626"/>
      <c r="W54" s="630"/>
      <c r="X54" s="626"/>
      <c r="Y54" s="626"/>
      <c r="Z54" s="630"/>
      <c r="AA54" s="626"/>
      <c r="AB54" s="626"/>
      <c r="AC54" s="630"/>
      <c r="AD54" s="626"/>
      <c r="AE54" s="626"/>
      <c r="AF54" s="630"/>
      <c r="AG54" s="626"/>
      <c r="AH54" s="626"/>
      <c r="AI54" s="630"/>
      <c r="AJ54" s="626"/>
      <c r="AK54" s="626"/>
      <c r="AL54" s="630"/>
      <c r="AM54" s="626"/>
      <c r="AN54" s="626"/>
      <c r="AO54" s="628"/>
      <c r="AP54" s="628"/>
      <c r="AQ54" s="626"/>
      <c r="AR54" s="626"/>
      <c r="AS54" s="626"/>
      <c r="AT54" s="626"/>
    </row>
    <row r="55" spans="1:46" s="631" customFormat="1" ht="18.75" customHeight="1" x14ac:dyDescent="0.3">
      <c r="A55" s="626" t="s">
        <v>379</v>
      </c>
      <c r="B55" s="632"/>
      <c r="C55" s="626"/>
      <c r="D55" s="626"/>
      <c r="E55" s="630"/>
      <c r="F55" s="626"/>
      <c r="G55" s="626"/>
      <c r="H55" s="630"/>
      <c r="I55" s="626"/>
      <c r="J55" s="626"/>
      <c r="K55" s="630"/>
      <c r="L55" s="626"/>
      <c r="M55" s="626"/>
      <c r="N55" s="630"/>
      <c r="O55" s="626"/>
      <c r="P55" s="626"/>
      <c r="Q55" s="630"/>
      <c r="R55" s="626"/>
      <c r="S55" s="626"/>
      <c r="T55" s="630"/>
      <c r="U55" s="626"/>
      <c r="V55" s="626"/>
      <c r="W55" s="630"/>
      <c r="X55" s="626"/>
      <c r="Y55" s="626"/>
      <c r="Z55" s="630"/>
      <c r="AA55" s="626"/>
      <c r="AB55" s="626"/>
      <c r="AC55" s="630"/>
      <c r="AD55" s="626"/>
      <c r="AE55" s="626"/>
      <c r="AF55" s="630"/>
      <c r="AG55" s="626"/>
      <c r="AH55" s="626"/>
      <c r="AI55" s="630"/>
      <c r="AJ55" s="626"/>
      <c r="AK55" s="626"/>
      <c r="AL55" s="630"/>
      <c r="AM55" s="626"/>
      <c r="AN55" s="626"/>
      <c r="AO55" s="628"/>
      <c r="AP55" s="628"/>
      <c r="AQ55" s="626"/>
      <c r="AR55" s="626"/>
      <c r="AS55" s="626"/>
      <c r="AT55" s="626"/>
    </row>
    <row r="56" spans="1:46" s="631" customFormat="1" ht="18.75" customHeight="1" x14ac:dyDescent="0.3">
      <c r="A56" s="626" t="s">
        <v>380</v>
      </c>
      <c r="B56" s="632"/>
      <c r="C56" s="626"/>
      <c r="D56" s="626"/>
      <c r="E56" s="630"/>
      <c r="F56" s="626"/>
      <c r="G56" s="626"/>
      <c r="H56" s="630"/>
      <c r="I56" s="626"/>
      <c r="J56" s="626"/>
      <c r="K56" s="630"/>
      <c r="L56" s="626"/>
      <c r="M56" s="626"/>
      <c r="N56" s="630"/>
      <c r="O56" s="626"/>
      <c r="P56" s="626"/>
      <c r="Q56" s="630"/>
      <c r="R56" s="626"/>
      <c r="S56" s="626"/>
      <c r="T56" s="630"/>
      <c r="U56" s="626"/>
      <c r="V56" s="626"/>
      <c r="W56" s="630"/>
      <c r="X56" s="626"/>
      <c r="Y56" s="626"/>
      <c r="Z56" s="630"/>
      <c r="AA56" s="626"/>
      <c r="AB56" s="626"/>
      <c r="AC56" s="630"/>
      <c r="AD56" s="626"/>
      <c r="AE56" s="626"/>
      <c r="AF56" s="630"/>
      <c r="AG56" s="626"/>
      <c r="AH56" s="626"/>
      <c r="AI56" s="630"/>
      <c r="AJ56" s="626"/>
      <c r="AK56" s="626"/>
      <c r="AL56" s="630"/>
      <c r="AM56" s="626"/>
      <c r="AN56" s="626"/>
      <c r="AO56" s="628"/>
      <c r="AP56" s="628"/>
      <c r="AQ56" s="626"/>
      <c r="AR56" s="626"/>
      <c r="AS56" s="626"/>
      <c r="AT56" s="626"/>
    </row>
    <row r="57" spans="1:46" s="629" customFormat="1" ht="18.75" customHeight="1" x14ac:dyDescent="0.3">
      <c r="A57" s="633" t="s">
        <v>381</v>
      </c>
      <c r="B57" s="634"/>
      <c r="C57" s="635"/>
      <c r="D57" s="635"/>
      <c r="E57" s="636"/>
      <c r="F57" s="635"/>
      <c r="G57" s="635"/>
      <c r="H57" s="636"/>
      <c r="I57" s="635"/>
      <c r="J57" s="635"/>
      <c r="K57" s="636"/>
      <c r="L57" s="635"/>
      <c r="M57" s="635"/>
      <c r="N57" s="636"/>
      <c r="O57" s="635"/>
      <c r="P57" s="635"/>
      <c r="Q57" s="636"/>
      <c r="R57" s="635"/>
      <c r="S57" s="635"/>
      <c r="T57" s="636"/>
      <c r="U57" s="635"/>
      <c r="V57" s="635"/>
      <c r="W57" s="636"/>
      <c r="X57" s="635"/>
      <c r="Y57" s="635"/>
      <c r="Z57" s="636"/>
      <c r="AA57" s="635"/>
      <c r="AB57" s="635"/>
      <c r="AC57" s="636"/>
      <c r="AD57" s="635"/>
      <c r="AE57" s="635"/>
      <c r="AF57" s="636"/>
      <c r="AG57" s="635"/>
      <c r="AH57" s="635"/>
      <c r="AI57" s="636"/>
      <c r="AJ57" s="635"/>
      <c r="AK57" s="635"/>
      <c r="AL57" s="636"/>
      <c r="AM57" s="635"/>
      <c r="AN57" s="635"/>
      <c r="AO57" s="637"/>
      <c r="AP57" s="637"/>
      <c r="AQ57" s="635"/>
      <c r="AR57" s="635"/>
      <c r="AS57" s="635"/>
      <c r="AT57" s="635"/>
    </row>
    <row r="58" spans="1:46" s="639" customFormat="1" ht="18.75" customHeight="1" x14ac:dyDescent="0.3">
      <c r="A58" s="615" t="s">
        <v>273</v>
      </c>
      <c r="B58" s="615"/>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row>
    <row r="59" spans="1:46" s="639" customFormat="1" ht="18.75" customHeight="1" x14ac:dyDescent="0.3">
      <c r="A59" s="615" t="s">
        <v>274</v>
      </c>
    </row>
    <row r="60" spans="1:46" s="639" customFormat="1" ht="18.75" customHeight="1" x14ac:dyDescent="0.3">
      <c r="A60" s="615" t="s">
        <v>275</v>
      </c>
    </row>
    <row r="61" spans="1:46" s="639" customFormat="1" ht="18.75" x14ac:dyDescent="0.3"/>
    <row r="62" spans="1:46" s="639" customFormat="1" ht="18.75" x14ac:dyDescent="0.3"/>
    <row r="63" spans="1:46" s="640" customFormat="1" ht="18.75" x14ac:dyDescent="0.3">
      <c r="B63" s="640" t="str">
        <f>IF(B14=B11+B12+B13,"","14≠11+12+13")</f>
        <v/>
      </c>
      <c r="C63" s="640" t="str">
        <f>IF(C14=C11+C12+C13,"","14≠11+12+13")</f>
        <v/>
      </c>
      <c r="E63" s="640" t="str">
        <f>IF(E14=E11+E12+E13,"","14≠11+12+13")</f>
        <v/>
      </c>
      <c r="F63" s="640" t="str">
        <f>IF(F14=F11+F12+F13,"","14≠11+12+13")</f>
        <v/>
      </c>
      <c r="H63" s="640" t="str">
        <f>IF(H14=H11+H12+H13,"","14≠11+12+13")</f>
        <v/>
      </c>
      <c r="I63" s="641" t="str">
        <f>IF(I14=I11+I12+I13,"","14≠11+12+13")</f>
        <v/>
      </c>
      <c r="K63" s="640" t="str">
        <f>IF(K14=K11+K12+K13,"","14≠11+12+13")</f>
        <v/>
      </c>
      <c r="L63" s="640" t="str">
        <f>IF(L14=L11+L12+L13,"","14≠11+12+13")</f>
        <v/>
      </c>
      <c r="N63" s="640" t="str">
        <f>IF(N14=N11+N12+N13,"","14≠11+12+13")</f>
        <v/>
      </c>
      <c r="O63" s="640" t="str">
        <f>IF(O14=O11+O12+O13,"","14≠11+12+13")</f>
        <v/>
      </c>
      <c r="Q63" s="640" t="str">
        <f>IF(Q14=Q11+Q12+Q13,"","14≠11+12+13")</f>
        <v/>
      </c>
      <c r="R63" s="640" t="str">
        <f>IF(R14=R11+R12+R13,"","14≠11+12+13")</f>
        <v/>
      </c>
      <c r="T63" s="640" t="str">
        <f>IF(T14=T11+T12+T13,"","14≠11+12+13")</f>
        <v/>
      </c>
      <c r="U63" s="640" t="str">
        <f>IF(U14=U11+U12+U13,"","14≠11+12+13")</f>
        <v/>
      </c>
      <c r="W63" s="640" t="str">
        <f>IF(W14=W11+W12+W13,"","14≠11+12+13")</f>
        <v/>
      </c>
      <c r="X63" s="640" t="str">
        <f>IF(X14=X11+X12+X13,"","14≠11+12+13")</f>
        <v/>
      </c>
      <c r="Z63" s="640" t="str">
        <f>IF(Z14=Z11+Z12+Z13,"","14≠11+12+13")</f>
        <v/>
      </c>
      <c r="AA63" s="640" t="str">
        <f>IF(AA14=AA11+AA12+AA13,"","14≠11+12+13")</f>
        <v/>
      </c>
      <c r="AC63" s="640" t="str">
        <f>IF(AC14=AC11+AC12+AC13,"","14≠11+12+13")</f>
        <v/>
      </c>
      <c r="AD63" s="640" t="str">
        <f>IF(AD14=AD11+AD12+AD13,"","14≠11+12+13")</f>
        <v/>
      </c>
      <c r="AF63" s="640" t="str">
        <f>IF(AF14=AF11+AF12+AF13,"","14≠11+12+13")</f>
        <v/>
      </c>
      <c r="AG63" s="640" t="str">
        <f>IF(AG14=AG11+AG12+AG13,"","14≠11+12+13")</f>
        <v/>
      </c>
      <c r="AI63" s="640" t="str">
        <f>IF(AI14=AI11+AI12+AI13,"","14≠11+12+13")</f>
        <v/>
      </c>
      <c r="AJ63" s="640" t="str">
        <f>IF(AJ14=AJ11+AJ12+AJ13,"","14≠11+12+13")</f>
        <v/>
      </c>
      <c r="AL63" s="640" t="str">
        <f>IF(AL14=AL11+AL12+AL13,"","14≠11+12+13")</f>
        <v/>
      </c>
      <c r="AM63" s="640" t="str">
        <f>IF(AM14=AM11+AM12+AM13,"","14≠11+12+13")</f>
        <v/>
      </c>
      <c r="AO63" s="640" t="str">
        <f>IF(AO14=AO11+AO12+AO13,"","14≠11+12+13")</f>
        <v/>
      </c>
      <c r="AP63" s="640" t="str">
        <f>IF(AP14=AP11+AP12+AP13,"","14≠11+12+13")</f>
        <v/>
      </c>
      <c r="AR63" s="640" t="str">
        <f>IF(AR14=AR11+AR12+AR13,"","14≠11+12+13")</f>
        <v/>
      </c>
      <c r="AS63" s="640" t="str">
        <f>IF(AS14=AS11+AS12+AS13,"","14≠11+12+13")</f>
        <v/>
      </c>
    </row>
    <row r="64" spans="1:46" x14ac:dyDescent="0.2">
      <c r="C64" s="643"/>
      <c r="R64" s="549"/>
      <c r="AI64" s="642"/>
      <c r="AJ64" s="549"/>
      <c r="AK64" s="549"/>
      <c r="AL64" s="549"/>
      <c r="AM64" s="549"/>
      <c r="AN64" s="549"/>
      <c r="AO64" s="549"/>
      <c r="AP64" s="549"/>
      <c r="AQ64" s="549"/>
      <c r="AR64" s="549"/>
      <c r="AS64" s="643"/>
    </row>
  </sheetData>
  <mergeCells count="28">
    <mergeCell ref="AO5:AQ5"/>
    <mergeCell ref="B5:D5"/>
    <mergeCell ref="E5:G5"/>
    <mergeCell ref="H5:J5"/>
    <mergeCell ref="K5:M5"/>
    <mergeCell ref="N5:P5"/>
    <mergeCell ref="Q5:S5"/>
    <mergeCell ref="AR6:AT6"/>
    <mergeCell ref="AR5:AT5"/>
    <mergeCell ref="B6:D6"/>
    <mergeCell ref="E6:G6"/>
    <mergeCell ref="H6:J6"/>
    <mergeCell ref="K6:M6"/>
    <mergeCell ref="N6:P6"/>
    <mergeCell ref="Q6:S6"/>
    <mergeCell ref="T6:V6"/>
    <mergeCell ref="W6:Y6"/>
    <mergeCell ref="Z6:AB6"/>
    <mergeCell ref="T5:V5"/>
    <mergeCell ref="Z5:AB5"/>
    <mergeCell ref="AF5:AH5"/>
    <mergeCell ref="AI5:AK5"/>
    <mergeCell ref="AL5:AN5"/>
    <mergeCell ref="AC6:AE6"/>
    <mergeCell ref="AF6:AH6"/>
    <mergeCell ref="AI6:AK6"/>
    <mergeCell ref="AL6:AN6"/>
    <mergeCell ref="AO6:AQ6"/>
  </mergeCells>
  <hyperlinks>
    <hyperlink ref="B1" location="Innhold!A1" display="Tilbak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97"/>
  <sheetViews>
    <sheetView showGridLines="0" zoomScale="60" zoomScaleNormal="60" workbookViewId="0">
      <pane xSplit="1" ySplit="8" topLeftCell="B9" activePane="bottomRight" state="frozen"/>
      <selection activeCell="Q118" sqref="Q118"/>
      <selection pane="topRight" activeCell="Q118" sqref="Q118"/>
      <selection pane="bottomLeft" activeCell="Q118" sqref="Q118"/>
      <selection pane="bottomRight" activeCell="A4" sqref="A4"/>
    </sheetView>
  </sheetViews>
  <sheetFormatPr baseColWidth="10" defaultRowHeight="12.75" x14ac:dyDescent="0.2"/>
  <cols>
    <col min="1" max="1" width="104.85546875" style="443" customWidth="1"/>
    <col min="2" max="2" width="14.5703125" style="443" customWidth="1"/>
    <col min="3" max="3" width="15.28515625" style="443" customWidth="1"/>
    <col min="4" max="4" width="11" style="443" customWidth="1"/>
    <col min="5" max="5" width="14.5703125" style="443" customWidth="1"/>
    <col min="6" max="11" width="11.42578125" style="443"/>
    <col min="12" max="12" width="16.140625" style="443" customWidth="1"/>
    <col min="13" max="16" width="11.42578125" style="443"/>
    <col min="17" max="17" width="14.28515625" style="443" customWidth="1"/>
    <col min="18" max="18" width="13.5703125" style="443" customWidth="1"/>
    <col min="19" max="40" width="11.42578125" style="443"/>
    <col min="41" max="41" width="16.140625" style="443" customWidth="1"/>
    <col min="42" max="42" width="16.5703125" style="443" customWidth="1"/>
    <col min="43" max="43" width="11.42578125" style="443"/>
    <col min="44" max="44" width="18.140625" style="443" customWidth="1"/>
    <col min="45" max="45" width="13.42578125" style="443" customWidth="1"/>
    <col min="46" max="16384" width="11.42578125" style="443"/>
  </cols>
  <sheetData>
    <row r="1" spans="1:63" ht="20.25" x14ac:dyDescent="0.3">
      <c r="A1" s="440" t="s">
        <v>189</v>
      </c>
      <c r="B1" s="441" t="s">
        <v>56</v>
      </c>
      <c r="C1" s="442"/>
      <c r="D1" s="442"/>
      <c r="E1" s="442"/>
      <c r="F1" s="442"/>
      <c r="G1" s="442"/>
      <c r="H1" s="442"/>
      <c r="I1" s="442"/>
      <c r="J1" s="442"/>
      <c r="AU1" s="444"/>
    </row>
    <row r="2" spans="1:63" ht="20.25" x14ac:dyDescent="0.3">
      <c r="A2" s="440" t="s">
        <v>190</v>
      </c>
      <c r="AU2" s="444"/>
    </row>
    <row r="3" spans="1:63" ht="18.75" x14ac:dyDescent="0.3">
      <c r="A3" s="445" t="s">
        <v>191</v>
      </c>
      <c r="B3" s="446"/>
      <c r="C3" s="446"/>
      <c r="D3" s="446"/>
      <c r="E3" s="446"/>
      <c r="F3" s="446"/>
      <c r="G3" s="446"/>
      <c r="H3" s="446"/>
      <c r="I3" s="446"/>
      <c r="J3" s="446"/>
      <c r="Q3" s="647"/>
      <c r="R3" s="647"/>
      <c r="S3" s="647"/>
      <c r="AU3" s="447"/>
    </row>
    <row r="4" spans="1:63" ht="15.75" x14ac:dyDescent="0.25">
      <c r="A4" s="448" t="s">
        <v>421</v>
      </c>
      <c r="B4" s="449"/>
      <c r="C4" s="449"/>
      <c r="D4" s="450"/>
      <c r="E4" s="449"/>
      <c r="F4" s="449"/>
      <c r="G4" s="450"/>
      <c r="H4" s="451"/>
      <c r="I4" s="449"/>
      <c r="J4" s="450"/>
      <c r="K4" s="452"/>
      <c r="L4" s="452"/>
      <c r="M4" s="452"/>
      <c r="N4" s="453"/>
      <c r="O4" s="452"/>
      <c r="P4" s="454"/>
      <c r="Q4" s="648"/>
      <c r="R4" s="649"/>
      <c r="S4" s="650"/>
      <c r="T4" s="453"/>
      <c r="U4" s="452"/>
      <c r="V4" s="454"/>
      <c r="W4" s="453"/>
      <c r="X4" s="452"/>
      <c r="Y4" s="454"/>
      <c r="Z4" s="453"/>
      <c r="AA4" s="452"/>
      <c r="AB4" s="454"/>
      <c r="AC4" s="453"/>
      <c r="AD4" s="452"/>
      <c r="AE4" s="454"/>
      <c r="AF4" s="453"/>
      <c r="AG4" s="452"/>
      <c r="AH4" s="454"/>
      <c r="AI4" s="453"/>
      <c r="AJ4" s="452"/>
      <c r="AK4" s="454"/>
      <c r="AL4" s="453"/>
      <c r="AM4" s="452"/>
      <c r="AN4" s="454"/>
      <c r="AO4" s="453"/>
      <c r="AP4" s="452"/>
      <c r="AQ4" s="454"/>
      <c r="AR4" s="453"/>
      <c r="AS4" s="452"/>
      <c r="AT4" s="454"/>
      <c r="AU4" s="455"/>
      <c r="AV4" s="456"/>
      <c r="AW4" s="456"/>
      <c r="AX4" s="456"/>
      <c r="AY4" s="456"/>
      <c r="AZ4" s="456"/>
      <c r="BA4" s="456"/>
      <c r="BB4" s="456"/>
      <c r="BC4" s="456"/>
      <c r="BD4" s="456"/>
      <c r="BE4" s="456"/>
      <c r="BF4" s="456"/>
      <c r="BG4" s="456"/>
      <c r="BH4" s="456"/>
      <c r="BI4" s="456"/>
      <c r="BJ4" s="456"/>
      <c r="BK4" s="456"/>
    </row>
    <row r="5" spans="1:63" ht="18.75" x14ac:dyDescent="0.3">
      <c r="A5" s="457" t="s">
        <v>115</v>
      </c>
      <c r="B5" s="695" t="s">
        <v>192</v>
      </c>
      <c r="C5" s="696"/>
      <c r="D5" s="697"/>
      <c r="E5" s="695" t="s">
        <v>193</v>
      </c>
      <c r="F5" s="696"/>
      <c r="G5" s="697"/>
      <c r="H5" s="695" t="s">
        <v>194</v>
      </c>
      <c r="I5" s="696"/>
      <c r="J5" s="697"/>
      <c r="K5" s="695" t="s">
        <v>195</v>
      </c>
      <c r="L5" s="696"/>
      <c r="M5" s="697"/>
      <c r="N5" s="695" t="s">
        <v>196</v>
      </c>
      <c r="O5" s="696"/>
      <c r="P5" s="697"/>
      <c r="Q5" s="644" t="s">
        <v>196</v>
      </c>
      <c r="R5" s="645"/>
      <c r="S5" s="646"/>
      <c r="T5" s="695" t="s">
        <v>68</v>
      </c>
      <c r="U5" s="696"/>
      <c r="V5" s="697"/>
      <c r="W5" s="458"/>
      <c r="X5" s="459"/>
      <c r="Y5" s="460"/>
      <c r="Z5" s="695" t="s">
        <v>197</v>
      </c>
      <c r="AA5" s="696"/>
      <c r="AB5" s="697"/>
      <c r="AC5" s="458"/>
      <c r="AD5" s="459"/>
      <c r="AE5" s="460"/>
      <c r="AF5" s="695" t="s">
        <v>80</v>
      </c>
      <c r="AG5" s="696"/>
      <c r="AH5" s="697"/>
      <c r="AI5" s="695"/>
      <c r="AJ5" s="696"/>
      <c r="AK5" s="697"/>
      <c r="AL5" s="695" t="s">
        <v>81</v>
      </c>
      <c r="AM5" s="696"/>
      <c r="AN5" s="697"/>
      <c r="AO5" s="695" t="s">
        <v>2</v>
      </c>
      <c r="AP5" s="696"/>
      <c r="AQ5" s="697"/>
      <c r="AR5" s="695" t="s">
        <v>2</v>
      </c>
      <c r="AS5" s="696"/>
      <c r="AT5" s="697"/>
      <c r="AU5" s="461"/>
      <c r="AV5" s="462"/>
      <c r="AW5" s="698"/>
      <c r="AX5" s="698"/>
      <c r="AY5" s="698"/>
      <c r="AZ5" s="698"/>
      <c r="BA5" s="698"/>
      <c r="BB5" s="698"/>
      <c r="BC5" s="698"/>
      <c r="BD5" s="698"/>
      <c r="BE5" s="698"/>
      <c r="BF5" s="698"/>
      <c r="BG5" s="698"/>
      <c r="BH5" s="698"/>
      <c r="BI5" s="698"/>
      <c r="BJ5" s="698"/>
      <c r="BK5" s="698"/>
    </row>
    <row r="6" spans="1:63" ht="21.75" x14ac:dyDescent="0.3">
      <c r="A6" s="463"/>
      <c r="B6" s="699" t="s">
        <v>198</v>
      </c>
      <c r="C6" s="700"/>
      <c r="D6" s="701"/>
      <c r="E6" s="699" t="s">
        <v>199</v>
      </c>
      <c r="F6" s="700"/>
      <c r="G6" s="701"/>
      <c r="H6" s="699" t="s">
        <v>199</v>
      </c>
      <c r="I6" s="700"/>
      <c r="J6" s="701"/>
      <c r="K6" s="699" t="s">
        <v>200</v>
      </c>
      <c r="L6" s="700"/>
      <c r="M6" s="701"/>
      <c r="N6" s="699" t="s">
        <v>101</v>
      </c>
      <c r="O6" s="700"/>
      <c r="P6" s="701"/>
      <c r="Q6" s="699" t="s">
        <v>68</v>
      </c>
      <c r="R6" s="700"/>
      <c r="S6" s="701"/>
      <c r="T6" s="699" t="s">
        <v>201</v>
      </c>
      <c r="U6" s="700"/>
      <c r="V6" s="701"/>
      <c r="W6" s="699" t="s">
        <v>73</v>
      </c>
      <c r="X6" s="700"/>
      <c r="Y6" s="701"/>
      <c r="Z6" s="699" t="s">
        <v>198</v>
      </c>
      <c r="AA6" s="700"/>
      <c r="AB6" s="701"/>
      <c r="AC6" s="699" t="s">
        <v>79</v>
      </c>
      <c r="AD6" s="700"/>
      <c r="AE6" s="701"/>
      <c r="AF6" s="699" t="s">
        <v>202</v>
      </c>
      <c r="AG6" s="700"/>
      <c r="AH6" s="701"/>
      <c r="AI6" s="699" t="s">
        <v>75</v>
      </c>
      <c r="AJ6" s="700"/>
      <c r="AK6" s="701"/>
      <c r="AL6" s="699" t="s">
        <v>199</v>
      </c>
      <c r="AM6" s="700"/>
      <c r="AN6" s="701"/>
      <c r="AO6" s="699" t="s">
        <v>203</v>
      </c>
      <c r="AP6" s="700"/>
      <c r="AQ6" s="701"/>
      <c r="AR6" s="699" t="s">
        <v>204</v>
      </c>
      <c r="AS6" s="700"/>
      <c r="AT6" s="701"/>
      <c r="AU6" s="461"/>
      <c r="AV6" s="462"/>
      <c r="AW6" s="698"/>
      <c r="AX6" s="698"/>
      <c r="AY6" s="698"/>
      <c r="AZ6" s="698"/>
      <c r="BA6" s="698"/>
      <c r="BB6" s="698"/>
      <c r="BC6" s="698"/>
      <c r="BD6" s="698"/>
      <c r="BE6" s="698"/>
      <c r="BF6" s="698"/>
      <c r="BG6" s="698"/>
      <c r="BH6" s="698"/>
      <c r="BI6" s="698"/>
      <c r="BJ6" s="698"/>
      <c r="BK6" s="698"/>
    </row>
    <row r="7" spans="1:63" ht="18.75" x14ac:dyDescent="0.3">
      <c r="A7" s="463"/>
      <c r="B7" s="463"/>
      <c r="C7" s="463"/>
      <c r="D7" s="464" t="s">
        <v>90</v>
      </c>
      <c r="E7" s="463"/>
      <c r="F7" s="463"/>
      <c r="G7" s="464" t="s">
        <v>90</v>
      </c>
      <c r="H7" s="463"/>
      <c r="I7" s="463"/>
      <c r="J7" s="464" t="s">
        <v>90</v>
      </c>
      <c r="K7" s="463"/>
      <c r="L7" s="463"/>
      <c r="M7" s="464" t="s">
        <v>90</v>
      </c>
      <c r="N7" s="463"/>
      <c r="O7" s="463"/>
      <c r="P7" s="464" t="s">
        <v>90</v>
      </c>
      <c r="Q7" s="463"/>
      <c r="R7" s="463"/>
      <c r="S7" s="464" t="s">
        <v>90</v>
      </c>
      <c r="T7" s="463"/>
      <c r="U7" s="463"/>
      <c r="V7" s="464" t="s">
        <v>90</v>
      </c>
      <c r="W7" s="463"/>
      <c r="X7" s="463"/>
      <c r="Y7" s="464" t="s">
        <v>90</v>
      </c>
      <c r="Z7" s="463"/>
      <c r="AA7" s="463"/>
      <c r="AB7" s="464" t="s">
        <v>90</v>
      </c>
      <c r="AC7" s="463"/>
      <c r="AD7" s="463"/>
      <c r="AE7" s="464" t="s">
        <v>90</v>
      </c>
      <c r="AF7" s="463"/>
      <c r="AG7" s="463"/>
      <c r="AH7" s="464" t="s">
        <v>90</v>
      </c>
      <c r="AI7" s="463"/>
      <c r="AJ7" s="463"/>
      <c r="AK7" s="464" t="s">
        <v>90</v>
      </c>
      <c r="AL7" s="463"/>
      <c r="AM7" s="463"/>
      <c r="AN7" s="464" t="s">
        <v>90</v>
      </c>
      <c r="AO7" s="463"/>
      <c r="AP7" s="463"/>
      <c r="AQ7" s="464" t="s">
        <v>90</v>
      </c>
      <c r="AR7" s="463"/>
      <c r="AS7" s="463"/>
      <c r="AT7" s="464" t="s">
        <v>90</v>
      </c>
      <c r="AU7" s="461"/>
      <c r="AV7" s="462"/>
      <c r="AW7" s="462"/>
      <c r="AX7" s="462"/>
      <c r="AY7" s="462"/>
      <c r="AZ7" s="462"/>
      <c r="BA7" s="462"/>
      <c r="BB7" s="462"/>
      <c r="BC7" s="462"/>
      <c r="BD7" s="462"/>
      <c r="BE7" s="462"/>
      <c r="BF7" s="462"/>
      <c r="BG7" s="462"/>
      <c r="BH7" s="462"/>
      <c r="BI7" s="462"/>
      <c r="BJ7" s="462"/>
      <c r="BK7" s="462"/>
    </row>
    <row r="8" spans="1:63" ht="15.75" x14ac:dyDescent="0.25">
      <c r="A8" s="465" t="s">
        <v>205</v>
      </c>
      <c r="B8" s="466">
        <v>2016</v>
      </c>
      <c r="C8" s="466">
        <v>2017</v>
      </c>
      <c r="D8" s="467" t="s">
        <v>92</v>
      </c>
      <c r="E8" s="466">
        <v>2016</v>
      </c>
      <c r="F8" s="466">
        <v>2017</v>
      </c>
      <c r="G8" s="467" t="s">
        <v>92</v>
      </c>
      <c r="H8" s="466">
        <v>2016</v>
      </c>
      <c r="I8" s="466">
        <v>2017</v>
      </c>
      <c r="J8" s="467" t="s">
        <v>92</v>
      </c>
      <c r="K8" s="466">
        <v>2016</v>
      </c>
      <c r="L8" s="466">
        <v>2017</v>
      </c>
      <c r="M8" s="467" t="s">
        <v>92</v>
      </c>
      <c r="N8" s="466">
        <v>2016</v>
      </c>
      <c r="O8" s="466">
        <v>2017</v>
      </c>
      <c r="P8" s="467" t="s">
        <v>92</v>
      </c>
      <c r="Q8" s="466">
        <v>2016</v>
      </c>
      <c r="R8" s="466">
        <v>2017</v>
      </c>
      <c r="S8" s="467" t="s">
        <v>92</v>
      </c>
      <c r="T8" s="466">
        <v>2016</v>
      </c>
      <c r="U8" s="466">
        <v>2017</v>
      </c>
      <c r="V8" s="467" t="s">
        <v>92</v>
      </c>
      <c r="W8" s="466">
        <v>2016</v>
      </c>
      <c r="X8" s="466">
        <v>2017</v>
      </c>
      <c r="Y8" s="467" t="s">
        <v>92</v>
      </c>
      <c r="Z8" s="466">
        <v>2016</v>
      </c>
      <c r="AA8" s="466">
        <v>2017</v>
      </c>
      <c r="AB8" s="467" t="s">
        <v>92</v>
      </c>
      <c r="AC8" s="466">
        <v>2016</v>
      </c>
      <c r="AD8" s="466">
        <v>2017</v>
      </c>
      <c r="AE8" s="467" t="s">
        <v>92</v>
      </c>
      <c r="AF8" s="466">
        <v>2016</v>
      </c>
      <c r="AG8" s="466">
        <v>2017</v>
      </c>
      <c r="AH8" s="467" t="s">
        <v>92</v>
      </c>
      <c r="AI8" s="466">
        <v>2016</v>
      </c>
      <c r="AJ8" s="466">
        <v>2017</v>
      </c>
      <c r="AK8" s="467" t="s">
        <v>92</v>
      </c>
      <c r="AL8" s="466">
        <v>2016</v>
      </c>
      <c r="AM8" s="466">
        <v>2017</v>
      </c>
      <c r="AN8" s="467" t="s">
        <v>92</v>
      </c>
      <c r="AO8" s="466">
        <v>2016</v>
      </c>
      <c r="AP8" s="466">
        <v>2017</v>
      </c>
      <c r="AQ8" s="467" t="s">
        <v>92</v>
      </c>
      <c r="AR8" s="466">
        <v>2016</v>
      </c>
      <c r="AS8" s="466">
        <v>2017</v>
      </c>
      <c r="AT8" s="467" t="s">
        <v>92</v>
      </c>
      <c r="AU8" s="461"/>
      <c r="AV8" s="468"/>
      <c r="AW8" s="469"/>
      <c r="AX8" s="469"/>
      <c r="AY8" s="468"/>
      <c r="AZ8" s="469"/>
      <c r="BA8" s="469"/>
      <c r="BB8" s="468"/>
      <c r="BC8" s="469"/>
      <c r="BD8" s="469"/>
      <c r="BE8" s="468"/>
      <c r="BF8" s="469"/>
      <c r="BG8" s="469"/>
      <c r="BH8" s="468"/>
      <c r="BI8" s="469"/>
      <c r="BJ8" s="469"/>
      <c r="BK8" s="468"/>
    </row>
    <row r="9" spans="1:63" ht="18.75" x14ac:dyDescent="0.3">
      <c r="A9" s="470"/>
      <c r="B9" s="471"/>
      <c r="C9" s="472"/>
      <c r="D9" s="472"/>
      <c r="E9" s="471"/>
      <c r="F9" s="472"/>
      <c r="G9" s="472"/>
      <c r="H9" s="471"/>
      <c r="I9" s="472"/>
      <c r="J9" s="472"/>
      <c r="K9" s="473"/>
      <c r="L9" s="474"/>
      <c r="M9" s="472"/>
      <c r="N9" s="475"/>
      <c r="O9" s="476"/>
      <c r="P9" s="472"/>
      <c r="Q9" s="473"/>
      <c r="R9" s="474"/>
      <c r="S9" s="472"/>
      <c r="T9" s="473"/>
      <c r="U9" s="474"/>
      <c r="V9" s="472"/>
      <c r="W9" s="473"/>
      <c r="X9" s="474"/>
      <c r="Y9" s="472"/>
      <c r="Z9" s="473"/>
      <c r="AA9" s="474"/>
      <c r="AB9" s="472"/>
      <c r="AC9" s="473"/>
      <c r="AD9" s="474"/>
      <c r="AE9" s="472"/>
      <c r="AF9" s="473"/>
      <c r="AG9" s="474"/>
      <c r="AH9" s="472"/>
      <c r="AI9" s="473"/>
      <c r="AJ9" s="474"/>
      <c r="AK9" s="472"/>
      <c r="AL9" s="473"/>
      <c r="AM9" s="474"/>
      <c r="AN9" s="472"/>
      <c r="AO9" s="474"/>
      <c r="AP9" s="474"/>
      <c r="AQ9" s="472"/>
      <c r="AR9" s="474"/>
      <c r="AS9" s="474"/>
      <c r="AT9" s="472"/>
      <c r="AU9" s="461"/>
      <c r="AV9" s="461"/>
    </row>
    <row r="10" spans="1:63" ht="18.75" x14ac:dyDescent="0.3">
      <c r="A10" s="477" t="s">
        <v>206</v>
      </c>
      <c r="B10" s="478"/>
      <c r="C10" s="479"/>
      <c r="D10" s="479"/>
      <c r="E10" s="478"/>
      <c r="F10" s="479"/>
      <c r="G10" s="479"/>
      <c r="H10" s="478"/>
      <c r="I10" s="479"/>
      <c r="J10" s="479"/>
      <c r="K10" s="473"/>
      <c r="L10" s="474"/>
      <c r="M10" s="479"/>
      <c r="N10" s="475"/>
      <c r="O10" s="476"/>
      <c r="P10" s="479"/>
      <c r="Q10" s="473"/>
      <c r="R10" s="474"/>
      <c r="S10" s="479"/>
      <c r="T10" s="473"/>
      <c r="U10" s="474"/>
      <c r="V10" s="479"/>
      <c r="W10" s="473"/>
      <c r="X10" s="474"/>
      <c r="Y10" s="479"/>
      <c r="Z10" s="473"/>
      <c r="AA10" s="474"/>
      <c r="AB10" s="479"/>
      <c r="AC10" s="473"/>
      <c r="AD10" s="474"/>
      <c r="AE10" s="479"/>
      <c r="AF10" s="473"/>
      <c r="AG10" s="474"/>
      <c r="AH10" s="479"/>
      <c r="AI10" s="473"/>
      <c r="AJ10" s="474"/>
      <c r="AK10" s="479"/>
      <c r="AL10" s="473"/>
      <c r="AM10" s="474"/>
      <c r="AN10" s="479"/>
      <c r="AO10" s="474"/>
      <c r="AP10" s="474"/>
      <c r="AQ10" s="479"/>
      <c r="AR10" s="474"/>
      <c r="AS10" s="474"/>
      <c r="AT10" s="479"/>
      <c r="AU10" s="480"/>
      <c r="AV10" s="480"/>
      <c r="AW10" s="481"/>
      <c r="AX10" s="481"/>
      <c r="AY10" s="481"/>
      <c r="AZ10" s="481"/>
      <c r="BA10" s="481"/>
      <c r="BB10" s="481"/>
      <c r="BC10" s="481"/>
      <c r="BD10" s="481"/>
      <c r="BE10" s="481"/>
      <c r="BF10" s="481"/>
      <c r="BG10" s="481"/>
      <c r="BH10" s="481"/>
      <c r="BI10" s="481"/>
      <c r="BJ10" s="481"/>
      <c r="BK10" s="481"/>
    </row>
    <row r="11" spans="1:63" ht="18.75" x14ac:dyDescent="0.3">
      <c r="A11" s="482"/>
      <c r="B11" s="478"/>
      <c r="C11" s="479"/>
      <c r="D11" s="479"/>
      <c r="E11" s="478"/>
      <c r="F11" s="479"/>
      <c r="G11" s="479"/>
      <c r="H11" s="478"/>
      <c r="I11" s="479"/>
      <c r="J11" s="479"/>
      <c r="K11" s="473"/>
      <c r="L11" s="474"/>
      <c r="M11" s="479"/>
      <c r="N11" s="475"/>
      <c r="O11" s="476"/>
      <c r="P11" s="479"/>
      <c r="Q11" s="473"/>
      <c r="R11" s="474"/>
      <c r="S11" s="479"/>
      <c r="T11" s="473"/>
      <c r="U11" s="474"/>
      <c r="V11" s="479"/>
      <c r="W11" s="473"/>
      <c r="X11" s="474"/>
      <c r="Y11" s="479"/>
      <c r="Z11" s="473"/>
      <c r="AA11" s="474"/>
      <c r="AB11" s="479"/>
      <c r="AC11" s="473"/>
      <c r="AD11" s="474"/>
      <c r="AE11" s="479"/>
      <c r="AF11" s="473"/>
      <c r="AG11" s="474"/>
      <c r="AH11" s="479"/>
      <c r="AI11" s="473"/>
      <c r="AJ11" s="474"/>
      <c r="AK11" s="479"/>
      <c r="AL11" s="473"/>
      <c r="AM11" s="474"/>
      <c r="AN11" s="479"/>
      <c r="AO11" s="474"/>
      <c r="AP11" s="474"/>
      <c r="AQ11" s="479"/>
      <c r="AR11" s="474"/>
      <c r="AS11" s="474"/>
      <c r="AT11" s="479"/>
      <c r="AU11" s="480"/>
      <c r="AV11" s="480"/>
      <c r="AW11" s="481"/>
      <c r="AX11" s="481"/>
      <c r="AY11" s="481"/>
      <c r="AZ11" s="481"/>
      <c r="BA11" s="481"/>
      <c r="BB11" s="481"/>
      <c r="BC11" s="481"/>
      <c r="BD11" s="481"/>
      <c r="BE11" s="481"/>
      <c r="BF11" s="481"/>
      <c r="BG11" s="481"/>
      <c r="BH11" s="481"/>
      <c r="BI11" s="481"/>
      <c r="BJ11" s="481"/>
      <c r="BK11" s="481"/>
    </row>
    <row r="12" spans="1:63" ht="18.75" x14ac:dyDescent="0.3">
      <c r="A12" s="477" t="s">
        <v>207</v>
      </c>
      <c r="B12" s="483"/>
      <c r="C12" s="484"/>
      <c r="D12" s="484"/>
      <c r="E12" s="483"/>
      <c r="F12" s="484"/>
      <c r="G12" s="484"/>
      <c r="H12" s="483"/>
      <c r="I12" s="484"/>
      <c r="J12" s="484"/>
      <c r="K12" s="473"/>
      <c r="L12" s="474"/>
      <c r="M12" s="484"/>
      <c r="N12" s="475"/>
      <c r="O12" s="476"/>
      <c r="P12" s="484"/>
      <c r="Q12" s="473"/>
      <c r="R12" s="474"/>
      <c r="S12" s="484"/>
      <c r="T12" s="473"/>
      <c r="U12" s="474"/>
      <c r="V12" s="484"/>
      <c r="W12" s="473"/>
      <c r="X12" s="474"/>
      <c r="Y12" s="484"/>
      <c r="Z12" s="473"/>
      <c r="AA12" s="474"/>
      <c r="AB12" s="484"/>
      <c r="AC12" s="473"/>
      <c r="AD12" s="474"/>
      <c r="AE12" s="484"/>
      <c r="AF12" s="473"/>
      <c r="AG12" s="474"/>
      <c r="AH12" s="484"/>
      <c r="AI12" s="473"/>
      <c r="AJ12" s="474"/>
      <c r="AK12" s="484"/>
      <c r="AL12" s="473"/>
      <c r="AM12" s="474"/>
      <c r="AN12" s="484"/>
      <c r="AO12" s="474"/>
      <c r="AP12" s="474"/>
      <c r="AQ12" s="484"/>
      <c r="AR12" s="474"/>
      <c r="AS12" s="474"/>
      <c r="AT12" s="484"/>
      <c r="AU12" s="480"/>
      <c r="AV12" s="480"/>
      <c r="AW12" s="481"/>
      <c r="AX12" s="481"/>
      <c r="AY12" s="481"/>
      <c r="AZ12" s="481"/>
      <c r="BA12" s="481"/>
      <c r="BB12" s="481"/>
      <c r="BC12" s="481"/>
      <c r="BD12" s="481"/>
      <c r="BE12" s="481"/>
      <c r="BF12" s="481"/>
      <c r="BG12" s="481"/>
      <c r="BH12" s="481"/>
      <c r="BI12" s="481"/>
      <c r="BJ12" s="481"/>
      <c r="BK12" s="481"/>
    </row>
    <row r="13" spans="1:63" ht="18.75" x14ac:dyDescent="0.3">
      <c r="A13" s="477" t="s">
        <v>208</v>
      </c>
      <c r="B13" s="485"/>
      <c r="C13" s="486"/>
      <c r="D13" s="486"/>
      <c r="E13" s="485"/>
      <c r="F13" s="486"/>
      <c r="G13" s="486"/>
      <c r="H13" s="485"/>
      <c r="I13" s="486"/>
      <c r="J13" s="486"/>
      <c r="K13" s="487"/>
      <c r="L13" s="488"/>
      <c r="M13" s="486"/>
      <c r="N13" s="489"/>
      <c r="O13" s="490"/>
      <c r="P13" s="486"/>
      <c r="Q13" s="487"/>
      <c r="R13" s="488"/>
      <c r="S13" s="486"/>
      <c r="T13" s="487"/>
      <c r="U13" s="488"/>
      <c r="V13" s="486"/>
      <c r="W13" s="487"/>
      <c r="X13" s="488"/>
      <c r="Y13" s="486"/>
      <c r="Z13" s="487"/>
      <c r="AA13" s="488"/>
      <c r="AB13" s="486"/>
      <c r="AC13" s="487"/>
      <c r="AD13" s="488"/>
      <c r="AE13" s="486"/>
      <c r="AF13" s="487"/>
      <c r="AG13" s="488"/>
      <c r="AH13" s="486"/>
      <c r="AI13" s="487"/>
      <c r="AJ13" s="488"/>
      <c r="AK13" s="486"/>
      <c r="AL13" s="487"/>
      <c r="AM13" s="488"/>
      <c r="AN13" s="486"/>
      <c r="AO13" s="488"/>
      <c r="AP13" s="488"/>
      <c r="AQ13" s="486"/>
      <c r="AR13" s="488"/>
      <c r="AS13" s="488"/>
      <c r="AT13" s="486"/>
      <c r="AU13" s="491"/>
      <c r="AV13" s="491"/>
      <c r="AW13" s="492"/>
      <c r="AX13" s="492"/>
      <c r="AY13" s="492"/>
      <c r="AZ13" s="492"/>
      <c r="BA13" s="492"/>
      <c r="BB13" s="492"/>
      <c r="BC13" s="492"/>
      <c r="BD13" s="492"/>
      <c r="BE13" s="492"/>
      <c r="BF13" s="492"/>
      <c r="BG13" s="492"/>
      <c r="BH13" s="492"/>
      <c r="BI13" s="492"/>
      <c r="BJ13" s="492"/>
      <c r="BK13" s="492"/>
    </row>
    <row r="14" spans="1:63" ht="18.75" x14ac:dyDescent="0.3">
      <c r="A14" s="493" t="s">
        <v>209</v>
      </c>
      <c r="B14" s="494"/>
      <c r="C14" s="495"/>
      <c r="D14" s="496"/>
      <c r="E14" s="494"/>
      <c r="F14" s="495"/>
      <c r="G14" s="496"/>
      <c r="H14" s="494"/>
      <c r="I14" s="495"/>
      <c r="J14" s="496"/>
      <c r="K14" s="487"/>
      <c r="L14" s="488"/>
      <c r="M14" s="496"/>
      <c r="N14" s="489"/>
      <c r="O14" s="490"/>
      <c r="P14" s="496"/>
      <c r="Q14" s="487">
        <v>1001.49134675</v>
      </c>
      <c r="R14" s="488">
        <v>1001.44895075</v>
      </c>
      <c r="S14" s="496">
        <f t="shared" ref="S14:S76" si="0">IF(Q14=0, "    ---- ", IF(ABS(ROUND(100/Q14*R14-100,1))&lt;999,ROUND(100/Q14*R14-100,1),IF(ROUND(100/Q14*R14-100,1)&gt;999,999,-999)))</f>
        <v>0</v>
      </c>
      <c r="T14" s="487"/>
      <c r="U14" s="488"/>
      <c r="V14" s="496"/>
      <c r="W14" s="487"/>
      <c r="X14" s="488"/>
      <c r="Y14" s="496"/>
      <c r="Z14" s="487"/>
      <c r="AA14" s="488"/>
      <c r="AB14" s="496"/>
      <c r="AC14" s="487"/>
      <c r="AD14" s="488"/>
      <c r="AE14" s="496"/>
      <c r="AF14" s="487"/>
      <c r="AG14" s="488"/>
      <c r="AH14" s="496"/>
      <c r="AI14" s="487">
        <v>1.57</v>
      </c>
      <c r="AJ14" s="488">
        <v>1.6040000000000001</v>
      </c>
      <c r="AK14" s="496">
        <f t="shared" ref="AK14:AK76" si="1">IF(AI14=0, "    ---- ", IF(ABS(ROUND(100/AI14*AJ14-100,1))&lt;999,ROUND(100/AI14*AJ14-100,1),IF(ROUND(100/AI14*AJ14-100,1)&gt;999,999,-999)))</f>
        <v>2.2000000000000002</v>
      </c>
      <c r="AL14" s="487"/>
      <c r="AM14" s="488"/>
      <c r="AN14" s="496"/>
      <c r="AO14" s="496">
        <f>B14+E14+H14+K14+Q14+T14+W14+Z14+AF14+AI14+AL14</f>
        <v>1003.0613467500001</v>
      </c>
      <c r="AP14" s="496">
        <f>C14+F14+I14+L14+R14+U14+X14+AA14+AG14+AJ14+AM14</f>
        <v>1003.05295075</v>
      </c>
      <c r="AQ14" s="496">
        <f t="shared" ref="AQ14:AQ77" si="2">IF(AO14=0, "    ---- ", IF(ABS(ROUND(100/AO14*AP14-100,1))&lt;999,ROUND(100/AO14*AP14-100,1),IF(ROUND(100/AO14*AP14-100,1)&gt;999,999,-999)))</f>
        <v>0</v>
      </c>
      <c r="AR14" s="496">
        <f>B14+E14+H14+K14+N14+Q14+T14+W14+Z14+AC14+AF14+AI14+AL14</f>
        <v>1003.0613467500001</v>
      </c>
      <c r="AS14" s="496">
        <f>F14+I14+L14+O14+U14+X14+AA14+AD14+AJ14+AM14+AP14</f>
        <v>1004.6569507500001</v>
      </c>
      <c r="AT14" s="496">
        <f t="shared" ref="AT14:AT77" si="3">IF(AR14=0, "    ---- ", IF(ABS(ROUND(100/AR14*AS14-100,1))&lt;999,ROUND(100/AR14*AS14-100,1),IF(ROUND(100/AR14*AS14-100,1)&gt;999,999,-999)))</f>
        <v>0.2</v>
      </c>
      <c r="AU14" s="491"/>
      <c r="AV14" s="491"/>
      <c r="AW14" s="492"/>
      <c r="AX14" s="492"/>
      <c r="AY14" s="492"/>
      <c r="AZ14" s="492"/>
      <c r="BA14" s="492"/>
      <c r="BB14" s="492"/>
      <c r="BC14" s="492"/>
      <c r="BD14" s="492"/>
      <c r="BE14" s="492"/>
      <c r="BF14" s="492"/>
      <c r="BG14" s="492"/>
      <c r="BH14" s="492"/>
      <c r="BI14" s="492"/>
      <c r="BJ14" s="492"/>
      <c r="BK14" s="492"/>
    </row>
    <row r="15" spans="1:63" ht="18.75" x14ac:dyDescent="0.3">
      <c r="A15" s="493" t="s">
        <v>210</v>
      </c>
      <c r="B15" s="494"/>
      <c r="C15" s="495"/>
      <c r="D15" s="496"/>
      <c r="E15" s="494">
        <v>57.826000000000001</v>
      </c>
      <c r="F15" s="495">
        <v>50.591999999999999</v>
      </c>
      <c r="G15" s="496">
        <f t="shared" ref="G15:G77" si="4">IF(E15=0, "    ---- ", IF(ABS(ROUND(100/E15*F15-100,1))&lt;999,ROUND(100/E15*F15-100,1),IF(ROUND(100/E15*F15-100,1)&gt;999,999,-999)))</f>
        <v>-12.5</v>
      </c>
      <c r="H15" s="494"/>
      <c r="I15" s="495"/>
      <c r="J15" s="496"/>
      <c r="K15" s="487"/>
      <c r="L15" s="488"/>
      <c r="M15" s="496"/>
      <c r="N15" s="489"/>
      <c r="O15" s="490"/>
      <c r="P15" s="496"/>
      <c r="Q15" s="487">
        <v>5617.4945321200003</v>
      </c>
      <c r="R15" s="488">
        <v>6298.7054187200001</v>
      </c>
      <c r="S15" s="496">
        <f t="shared" si="0"/>
        <v>12.1</v>
      </c>
      <c r="T15" s="487"/>
      <c r="U15" s="488"/>
      <c r="V15" s="496"/>
      <c r="W15" s="487"/>
      <c r="X15" s="488"/>
      <c r="Y15" s="496"/>
      <c r="Z15" s="487">
        <v>884</v>
      </c>
      <c r="AA15" s="488">
        <v>951</v>
      </c>
      <c r="AB15" s="496">
        <f t="shared" ref="AB15:AB77" si="5">IF(Z15=0, "    ---- ", IF(ABS(ROUND(100/Z15*AA15-100,1))&lt;999,ROUND(100/Z15*AA15-100,1),IF(ROUND(100/Z15*AA15-100,1)&gt;999,999,-999)))</f>
        <v>7.6</v>
      </c>
      <c r="AC15" s="487"/>
      <c r="AD15" s="488"/>
      <c r="AE15" s="496"/>
      <c r="AF15" s="487"/>
      <c r="AG15" s="488"/>
      <c r="AH15" s="496"/>
      <c r="AI15" s="487">
        <v>764.41700000000003</v>
      </c>
      <c r="AJ15" s="488">
        <v>960.50099999999998</v>
      </c>
      <c r="AK15" s="496">
        <f t="shared" si="1"/>
        <v>25.7</v>
      </c>
      <c r="AL15" s="487">
        <v>13694</v>
      </c>
      <c r="AM15" s="488">
        <v>13138</v>
      </c>
      <c r="AN15" s="496">
        <f t="shared" ref="AN15:AN77" si="6">IF(AL15=0, "    ---- ", IF(ABS(ROUND(100/AL15*AM15-100,1))&lt;999,ROUND(100/AL15*AM15-100,1),IF(ROUND(100/AL15*AM15-100,1)&gt;999,999,-999)))</f>
        <v>-4.0999999999999996</v>
      </c>
      <c r="AO15" s="496">
        <f t="shared" ref="AO15:AP77" si="7">B15+E15+H15+K15+Q15+T15+W15+Z15+AF15+AI15+AL15</f>
        <v>21017.737532120002</v>
      </c>
      <c r="AP15" s="496">
        <f t="shared" si="7"/>
        <v>21398.798418719998</v>
      </c>
      <c r="AQ15" s="496">
        <f t="shared" si="2"/>
        <v>1.8</v>
      </c>
      <c r="AR15" s="496">
        <f>B15+E15+H15+K15+N15+Q15+T15+W15+Z15+AC15+AF15+AI15+AL15</f>
        <v>21017.737532120002</v>
      </c>
      <c r="AS15" s="496">
        <f t="shared" ref="AS15:AS35" si="8">F15+I15+L15+O15+U15+X15+AA15+AD15+AJ15+AM15+AP15</f>
        <v>36498.891418719999</v>
      </c>
      <c r="AT15" s="496">
        <f t="shared" si="3"/>
        <v>73.7</v>
      </c>
      <c r="AU15" s="491"/>
      <c r="AV15" s="491"/>
      <c r="AW15" s="492"/>
      <c r="AX15" s="492"/>
      <c r="AY15" s="492"/>
      <c r="AZ15" s="492"/>
      <c r="BA15" s="492"/>
      <c r="BB15" s="492"/>
      <c r="BC15" s="492"/>
      <c r="BD15" s="492"/>
      <c r="BE15" s="492"/>
      <c r="BF15" s="492"/>
      <c r="BG15" s="492"/>
      <c r="BH15" s="492"/>
      <c r="BI15" s="492"/>
      <c r="BJ15" s="492"/>
      <c r="BK15" s="492"/>
    </row>
    <row r="16" spans="1:63" ht="18.75" x14ac:dyDescent="0.3">
      <c r="A16" s="493" t="s">
        <v>211</v>
      </c>
      <c r="B16" s="494"/>
      <c r="C16" s="495"/>
      <c r="D16" s="496"/>
      <c r="E16" s="494">
        <v>5430.0039999999999</v>
      </c>
      <c r="F16" s="495">
        <v>3880.6620000000003</v>
      </c>
      <c r="G16" s="496">
        <f t="shared" si="4"/>
        <v>-28.5</v>
      </c>
      <c r="H16" s="494">
        <v>28.254999999999999</v>
      </c>
      <c r="I16" s="495">
        <v>28.356000000000002</v>
      </c>
      <c r="J16" s="496"/>
      <c r="K16" s="487"/>
      <c r="L16" s="488"/>
      <c r="M16" s="496"/>
      <c r="N16" s="489"/>
      <c r="O16" s="490"/>
      <c r="P16" s="496"/>
      <c r="Q16" s="487">
        <v>13224.770467809998</v>
      </c>
      <c r="R16" s="488">
        <v>14309.53858636</v>
      </c>
      <c r="S16" s="496">
        <f t="shared" si="0"/>
        <v>8.1999999999999993</v>
      </c>
      <c r="T16" s="487">
        <v>148.78200000000001</v>
      </c>
      <c r="U16" s="488">
        <v>206.053</v>
      </c>
      <c r="V16" s="496">
        <f t="shared" ref="V16:V76" si="9">IF(T16=0, "    ---- ", IF(ABS(ROUND(100/T16*U16-100,1))&lt;999,ROUND(100/T16*U16-100,1),IF(ROUND(100/T16*U16-100,1)&gt;999,999,-999)))</f>
        <v>38.5</v>
      </c>
      <c r="W16" s="487"/>
      <c r="X16" s="488"/>
      <c r="Y16" s="496"/>
      <c r="Z16" s="487">
        <v>3849</v>
      </c>
      <c r="AA16" s="488">
        <v>4284</v>
      </c>
      <c r="AB16" s="496">
        <f t="shared" si="5"/>
        <v>11.3</v>
      </c>
      <c r="AC16" s="487"/>
      <c r="AD16" s="488"/>
      <c r="AE16" s="496"/>
      <c r="AF16" s="487"/>
      <c r="AG16" s="488"/>
      <c r="AH16" s="496"/>
      <c r="AI16" s="487">
        <v>894.47299999999996</v>
      </c>
      <c r="AJ16" s="488">
        <v>1114.529</v>
      </c>
      <c r="AK16" s="496">
        <f t="shared" si="1"/>
        <v>24.6</v>
      </c>
      <c r="AL16" s="487">
        <v>2767</v>
      </c>
      <c r="AM16" s="488">
        <v>3622</v>
      </c>
      <c r="AN16" s="496">
        <f t="shared" si="6"/>
        <v>30.9</v>
      </c>
      <c r="AO16" s="496">
        <f>B16+E16+H16+K16+Q16+T16+W16+Z16+AF16+AI16+AL16</f>
        <v>26342.284467809994</v>
      </c>
      <c r="AP16" s="496">
        <f t="shared" si="7"/>
        <v>27445.138586360001</v>
      </c>
      <c r="AQ16" s="496">
        <f t="shared" si="2"/>
        <v>4.2</v>
      </c>
      <c r="AR16" s="496">
        <f t="shared" ref="AR16:AR79" si="10">B16+E16+H16+K16+N16+Q16+T16+W16+Z16+AC16+AF16+AI16+AL16</f>
        <v>26342.284467809994</v>
      </c>
      <c r="AS16" s="496">
        <f t="shared" si="8"/>
        <v>40580.738586359999</v>
      </c>
      <c r="AT16" s="496">
        <f t="shared" si="3"/>
        <v>54.1</v>
      </c>
      <c r="AU16" s="491"/>
      <c r="AV16" s="491"/>
      <c r="AW16" s="492"/>
      <c r="AX16" s="492"/>
      <c r="AY16" s="492"/>
      <c r="AZ16" s="492"/>
      <c r="BA16" s="492"/>
      <c r="BB16" s="492"/>
      <c r="BC16" s="492"/>
      <c r="BD16" s="492"/>
      <c r="BE16" s="492"/>
      <c r="BF16" s="492"/>
      <c r="BG16" s="492"/>
      <c r="BH16" s="492"/>
      <c r="BI16" s="492"/>
      <c r="BJ16" s="492"/>
      <c r="BK16" s="492"/>
    </row>
    <row r="17" spans="1:49" ht="18.75" x14ac:dyDescent="0.3">
      <c r="A17" s="493" t="s">
        <v>212</v>
      </c>
      <c r="B17" s="494"/>
      <c r="C17" s="495"/>
      <c r="D17" s="496"/>
      <c r="E17" s="494">
        <v>3566.4380000000001</v>
      </c>
      <c r="F17" s="495">
        <v>2031.356</v>
      </c>
      <c r="G17" s="496">
        <f t="shared" si="4"/>
        <v>-43</v>
      </c>
      <c r="H17" s="494"/>
      <c r="I17" s="495"/>
      <c r="J17" s="496"/>
      <c r="K17" s="487"/>
      <c r="L17" s="488"/>
      <c r="M17" s="496"/>
      <c r="N17" s="489"/>
      <c r="O17" s="490"/>
      <c r="P17" s="496"/>
      <c r="Q17" s="487">
        <v>6693.3859269099994</v>
      </c>
      <c r="R17" s="488">
        <v>6717.77505784</v>
      </c>
      <c r="S17" s="496">
        <f t="shared" si="0"/>
        <v>0.4</v>
      </c>
      <c r="T17" s="487">
        <v>148.78200000000001</v>
      </c>
      <c r="U17" s="488">
        <v>206.053</v>
      </c>
      <c r="V17" s="496">
        <f t="shared" si="9"/>
        <v>38.5</v>
      </c>
      <c r="W17" s="487"/>
      <c r="X17" s="488"/>
      <c r="Y17" s="496"/>
      <c r="Z17" s="487">
        <v>306</v>
      </c>
      <c r="AA17" s="488">
        <v>287</v>
      </c>
      <c r="AB17" s="496">
        <f t="shared" si="5"/>
        <v>-6.2</v>
      </c>
      <c r="AC17" s="487"/>
      <c r="AD17" s="488"/>
      <c r="AE17" s="496"/>
      <c r="AF17" s="487"/>
      <c r="AG17" s="488"/>
      <c r="AH17" s="496"/>
      <c r="AI17" s="487">
        <v>215.126</v>
      </c>
      <c r="AJ17" s="488">
        <v>140.38900000000001</v>
      </c>
      <c r="AK17" s="496">
        <f t="shared" si="1"/>
        <v>-34.700000000000003</v>
      </c>
      <c r="AL17" s="487"/>
      <c r="AM17" s="488"/>
      <c r="AN17" s="496"/>
      <c r="AO17" s="496">
        <f t="shared" si="7"/>
        <v>10929.731926909999</v>
      </c>
      <c r="AP17" s="496">
        <f t="shared" si="7"/>
        <v>9382.5730578399998</v>
      </c>
      <c r="AQ17" s="496">
        <f t="shared" si="2"/>
        <v>-14.2</v>
      </c>
      <c r="AR17" s="496">
        <f t="shared" si="10"/>
        <v>10929.731926909999</v>
      </c>
      <c r="AS17" s="496">
        <f t="shared" si="8"/>
        <v>12047.371057840001</v>
      </c>
      <c r="AT17" s="496">
        <f t="shared" si="3"/>
        <v>10.199999999999999</v>
      </c>
      <c r="AU17" s="491"/>
      <c r="AV17" s="491"/>
      <c r="AW17" s="492"/>
    </row>
    <row r="18" spans="1:49" ht="18.75" x14ac:dyDescent="0.3">
      <c r="A18" s="493" t="s">
        <v>213</v>
      </c>
      <c r="B18" s="494"/>
      <c r="C18" s="495"/>
      <c r="D18" s="496"/>
      <c r="E18" s="494">
        <v>3566.4380000000001</v>
      </c>
      <c r="F18" s="495">
        <v>2031.356</v>
      </c>
      <c r="G18" s="496">
        <f t="shared" si="4"/>
        <v>-43</v>
      </c>
      <c r="H18" s="494"/>
      <c r="I18" s="495"/>
      <c r="J18" s="496"/>
      <c r="K18" s="487"/>
      <c r="L18" s="488"/>
      <c r="M18" s="496"/>
      <c r="N18" s="489"/>
      <c r="O18" s="490"/>
      <c r="P18" s="496"/>
      <c r="Q18" s="487">
        <v>6693.3859269099994</v>
      </c>
      <c r="R18" s="488">
        <v>6717.77505784</v>
      </c>
      <c r="S18" s="496">
        <f t="shared" si="0"/>
        <v>0.4</v>
      </c>
      <c r="T18" s="487"/>
      <c r="U18" s="488"/>
      <c r="V18" s="496"/>
      <c r="W18" s="487"/>
      <c r="X18" s="488"/>
      <c r="Y18" s="496"/>
      <c r="Z18" s="487"/>
      <c r="AA18" s="488"/>
      <c r="AB18" s="496"/>
      <c r="AC18" s="487"/>
      <c r="AD18" s="488"/>
      <c r="AE18" s="496"/>
      <c r="AF18" s="487"/>
      <c r="AG18" s="488"/>
      <c r="AH18" s="496"/>
      <c r="AI18" s="487">
        <v>46.460817660000018</v>
      </c>
      <c r="AJ18" s="488">
        <v>27.970407290000015</v>
      </c>
      <c r="AK18" s="496">
        <f t="shared" si="1"/>
        <v>-39.799999999999997</v>
      </c>
      <c r="AL18" s="487"/>
      <c r="AM18" s="488"/>
      <c r="AN18" s="496"/>
      <c r="AO18" s="496">
        <f t="shared" si="7"/>
        <v>10306.284744569999</v>
      </c>
      <c r="AP18" s="496">
        <f t="shared" si="7"/>
        <v>8777.1014651300011</v>
      </c>
      <c r="AQ18" s="496">
        <f t="shared" si="2"/>
        <v>-14.8</v>
      </c>
      <c r="AR18" s="496">
        <f t="shared" si="10"/>
        <v>10306.284744569999</v>
      </c>
      <c r="AS18" s="496">
        <f t="shared" si="8"/>
        <v>10836.427872420001</v>
      </c>
      <c r="AT18" s="496">
        <f t="shared" si="3"/>
        <v>5.0999999999999996</v>
      </c>
      <c r="AU18" s="491"/>
      <c r="AV18" s="491"/>
      <c r="AW18" s="492"/>
    </row>
    <row r="19" spans="1:49" ht="18.75" x14ac:dyDescent="0.3">
      <c r="A19" s="493" t="s">
        <v>214</v>
      </c>
      <c r="B19" s="494"/>
      <c r="C19" s="495"/>
      <c r="D19" s="496"/>
      <c r="E19" s="494">
        <v>1863.566</v>
      </c>
      <c r="F19" s="495">
        <v>1849.306</v>
      </c>
      <c r="G19" s="496">
        <f t="shared" si="4"/>
        <v>-0.8</v>
      </c>
      <c r="H19" s="494"/>
      <c r="I19" s="495"/>
      <c r="J19" s="496"/>
      <c r="K19" s="487"/>
      <c r="L19" s="488"/>
      <c r="M19" s="496"/>
      <c r="N19" s="489"/>
      <c r="O19" s="490"/>
      <c r="P19" s="496"/>
      <c r="Q19" s="487">
        <v>6531.3845408999996</v>
      </c>
      <c r="R19" s="488">
        <v>7591.7635285200004</v>
      </c>
      <c r="S19" s="496">
        <f t="shared" si="0"/>
        <v>16.2</v>
      </c>
      <c r="T19" s="487"/>
      <c r="U19" s="488"/>
      <c r="V19" s="496"/>
      <c r="W19" s="487"/>
      <c r="X19" s="488"/>
      <c r="Y19" s="496"/>
      <c r="Z19" s="487">
        <v>3543</v>
      </c>
      <c r="AA19" s="488">
        <v>3997</v>
      </c>
      <c r="AB19" s="496">
        <f t="shared" si="5"/>
        <v>12.8</v>
      </c>
      <c r="AC19" s="487"/>
      <c r="AD19" s="488"/>
      <c r="AE19" s="496"/>
      <c r="AF19" s="487"/>
      <c r="AG19" s="488"/>
      <c r="AH19" s="496"/>
      <c r="AI19" s="487">
        <v>679.34699999999998</v>
      </c>
      <c r="AJ19" s="488">
        <v>974.14</v>
      </c>
      <c r="AK19" s="496">
        <f t="shared" si="1"/>
        <v>43.4</v>
      </c>
      <c r="AL19" s="487">
        <v>2767</v>
      </c>
      <c r="AM19" s="488">
        <v>3622</v>
      </c>
      <c r="AN19" s="496">
        <f t="shared" si="6"/>
        <v>30.9</v>
      </c>
      <c r="AO19" s="496">
        <f t="shared" si="7"/>
        <v>15384.297540899999</v>
      </c>
      <c r="AP19" s="496">
        <f t="shared" si="7"/>
        <v>18034.209528519998</v>
      </c>
      <c r="AQ19" s="496">
        <f t="shared" si="2"/>
        <v>17.2</v>
      </c>
      <c r="AR19" s="496">
        <f t="shared" si="10"/>
        <v>15384.297540899999</v>
      </c>
      <c r="AS19" s="496">
        <f t="shared" si="8"/>
        <v>28476.655528519997</v>
      </c>
      <c r="AT19" s="496">
        <f t="shared" si="3"/>
        <v>85.1</v>
      </c>
      <c r="AU19" s="491"/>
      <c r="AV19" s="491"/>
      <c r="AW19" s="492"/>
    </row>
    <row r="20" spans="1:49" ht="18.75" x14ac:dyDescent="0.3">
      <c r="A20" s="493" t="s">
        <v>215</v>
      </c>
      <c r="B20" s="494">
        <v>154.60400000000001</v>
      </c>
      <c r="C20" s="495">
        <v>236.07</v>
      </c>
      <c r="D20" s="496">
        <f t="shared" ref="D20:D77" si="11">IF(B20=0, "    ---- ", IF(ABS(ROUND(100/B20*C20-100,1))&lt;999,ROUND(100/B20*C20-100,1),IF(ROUND(100/B20*C20-100,1)&gt;999,999,-999)))</f>
        <v>52.7</v>
      </c>
      <c r="E20" s="494">
        <v>23227.174999999996</v>
      </c>
      <c r="F20" s="495">
        <v>26383.56</v>
      </c>
      <c r="G20" s="496">
        <f t="shared" si="4"/>
        <v>13.6</v>
      </c>
      <c r="H20" s="494">
        <v>172.011</v>
      </c>
      <c r="I20" s="495">
        <v>150.374</v>
      </c>
      <c r="J20" s="496">
        <f t="shared" ref="J20:J77" si="12">IF(H20=0, "    ---- ", IF(ABS(ROUND(100/H20*I20-100,1))&lt;999,ROUND(100/H20*I20-100,1),IF(ROUND(100/H20*I20-100,1)&gt;999,999,-999)))</f>
        <v>-12.6</v>
      </c>
      <c r="K20" s="487">
        <v>681.56899999999996</v>
      </c>
      <c r="L20" s="488">
        <v>848.7</v>
      </c>
      <c r="M20" s="496">
        <f t="shared" ref="M20:M76" si="13">IF(K20=0, "    ---- ", IF(ABS(ROUND(100/K20*L20-100,1))&lt;999,ROUND(100/K20*L20-100,1),IF(ROUND(100/K20*L20-100,1)&gt;999,999,-999)))</f>
        <v>24.5</v>
      </c>
      <c r="N20" s="489">
        <v>138</v>
      </c>
      <c r="O20" s="490">
        <v>140</v>
      </c>
      <c r="P20" s="496">
        <f t="shared" ref="P20:P77" si="14">IF(N20=0, "    ---- ", IF(ABS(ROUND(100/N20*O20-100,1))&lt;999,ROUND(100/N20*O20-100,1),IF(ROUND(100/N20*O20-100,1)&gt;999,999,-999)))</f>
        <v>1.4</v>
      </c>
      <c r="Q20" s="487">
        <v>10273.787497180001</v>
      </c>
      <c r="R20" s="488">
        <v>11306.25670573</v>
      </c>
      <c r="S20" s="496">
        <f t="shared" si="0"/>
        <v>10</v>
      </c>
      <c r="T20" s="487">
        <v>174.97799999999998</v>
      </c>
      <c r="U20" s="488">
        <v>345.31900000000002</v>
      </c>
      <c r="V20" s="496">
        <f t="shared" si="9"/>
        <v>97.3</v>
      </c>
      <c r="W20" s="487">
        <v>8157.99</v>
      </c>
      <c r="X20" s="488">
        <v>8984.23</v>
      </c>
      <c r="Y20" s="496">
        <f t="shared" ref="Y20:Y76" si="15">IF(W20=0, "    ---- ", IF(ABS(ROUND(100/W20*X20-100,1))&lt;999,ROUND(100/W20*X20-100,1),IF(ROUND(100/W20*X20-100,1)&gt;999,999,-999)))</f>
        <v>10.1</v>
      </c>
      <c r="Z20" s="487">
        <v>2071</v>
      </c>
      <c r="AA20" s="488">
        <v>3064</v>
      </c>
      <c r="AB20" s="496">
        <f t="shared" si="5"/>
        <v>47.9</v>
      </c>
      <c r="AC20" s="487">
        <v>20</v>
      </c>
      <c r="AD20" s="488">
        <v>39</v>
      </c>
      <c r="AE20" s="496">
        <f t="shared" ref="AE20:AE69" si="16">IF(AC20=0, "    ---- ", IF(ABS(ROUND(100/AC20*AD20-100,1))&lt;999,ROUND(100/AC20*AD20-100,1),IF(ROUND(100/AC20*AD20-100,1)&gt;999,999,-999)))</f>
        <v>95</v>
      </c>
      <c r="AF20" s="487">
        <v>224.11489953</v>
      </c>
      <c r="AG20" s="488"/>
      <c r="AH20" s="496">
        <f t="shared" ref="AH20:AH75" si="17">IF(AF20=0, "    ---- ", IF(ABS(ROUND(100/AF20*AG20-100,1))&lt;999,ROUND(100/AF20*AG20-100,1),IF(ROUND(100/AF20*AG20-100,1)&gt;999,999,-999)))</f>
        <v>-100</v>
      </c>
      <c r="AI20" s="487">
        <v>2934.0640000000003</v>
      </c>
      <c r="AJ20" s="488">
        <v>3516.8509999999997</v>
      </c>
      <c r="AK20" s="496">
        <f t="shared" si="1"/>
        <v>19.899999999999999</v>
      </c>
      <c r="AL20" s="487">
        <v>13639</v>
      </c>
      <c r="AM20" s="488">
        <v>15622</v>
      </c>
      <c r="AN20" s="496">
        <f t="shared" si="6"/>
        <v>14.5</v>
      </c>
      <c r="AO20" s="496">
        <f t="shared" si="7"/>
        <v>61710.293396709996</v>
      </c>
      <c r="AP20" s="496">
        <f t="shared" si="7"/>
        <v>70457.360705730011</v>
      </c>
      <c r="AQ20" s="496">
        <f t="shared" si="2"/>
        <v>14.2</v>
      </c>
      <c r="AR20" s="496">
        <f t="shared" si="10"/>
        <v>61868.293396709996</v>
      </c>
      <c r="AS20" s="496">
        <f t="shared" si="8"/>
        <v>129551.39470573002</v>
      </c>
      <c r="AT20" s="496">
        <f t="shared" si="3"/>
        <v>109.4</v>
      </c>
      <c r="AU20" s="491"/>
      <c r="AV20" s="491"/>
      <c r="AW20" s="492"/>
    </row>
    <row r="21" spans="1:49" ht="18.75" x14ac:dyDescent="0.3">
      <c r="A21" s="493" t="s">
        <v>216</v>
      </c>
      <c r="B21" s="494">
        <v>2.4060000000000001</v>
      </c>
      <c r="C21" s="495">
        <v>3.06</v>
      </c>
      <c r="D21" s="496">
        <f t="shared" si="11"/>
        <v>27.2</v>
      </c>
      <c r="E21" s="494">
        <v>947.51</v>
      </c>
      <c r="F21" s="495">
        <v>1274.8409999999999</v>
      </c>
      <c r="G21" s="496"/>
      <c r="H21" s="494">
        <v>19.98</v>
      </c>
      <c r="I21" s="495">
        <v>16.948</v>
      </c>
      <c r="J21" s="496"/>
      <c r="K21" s="487">
        <v>3.468</v>
      </c>
      <c r="L21" s="488">
        <v>8.1999999999999993</v>
      </c>
      <c r="M21" s="496"/>
      <c r="N21" s="489"/>
      <c r="O21" s="490"/>
      <c r="P21" s="496"/>
      <c r="Q21" s="487">
        <v>406.99185</v>
      </c>
      <c r="R21" s="488">
        <v>526.58957499999997</v>
      </c>
      <c r="S21" s="496"/>
      <c r="T21" s="487">
        <v>160.24199999999999</v>
      </c>
      <c r="U21" s="488">
        <v>303.80500000000001</v>
      </c>
      <c r="V21" s="496"/>
      <c r="W21" s="487">
        <v>8.5</v>
      </c>
      <c r="X21" s="488">
        <v>4.5999999999999996</v>
      </c>
      <c r="Y21" s="496"/>
      <c r="Z21" s="487">
        <v>826</v>
      </c>
      <c r="AA21" s="488">
        <v>1457</v>
      </c>
      <c r="AB21" s="496"/>
      <c r="AC21" s="487"/>
      <c r="AD21" s="488"/>
      <c r="AE21" s="496"/>
      <c r="AF21" s="487">
        <v>-1.00000003352761E-7</v>
      </c>
      <c r="AG21" s="488"/>
      <c r="AH21" s="496"/>
      <c r="AI21" s="487">
        <v>1.3149999999999999</v>
      </c>
      <c r="AJ21" s="488">
        <v>1.278</v>
      </c>
      <c r="AK21" s="496"/>
      <c r="AL21" s="487">
        <v>71</v>
      </c>
      <c r="AM21" s="488">
        <v>75</v>
      </c>
      <c r="AN21" s="496"/>
      <c r="AO21" s="496"/>
      <c r="AP21" s="496"/>
      <c r="AQ21" s="496"/>
      <c r="AR21" s="496">
        <f t="shared" si="10"/>
        <v>2447.4128499000003</v>
      </c>
      <c r="AS21" s="496">
        <f t="shared" si="8"/>
        <v>3141.672</v>
      </c>
      <c r="AT21" s="496"/>
      <c r="AU21" s="491"/>
      <c r="AV21" s="491"/>
      <c r="AW21" s="492"/>
    </row>
    <row r="22" spans="1:49" ht="18.75" x14ac:dyDescent="0.3">
      <c r="A22" s="493" t="s">
        <v>217</v>
      </c>
      <c r="B22" s="494">
        <v>152.19800000000001</v>
      </c>
      <c r="C22" s="495">
        <v>233.01</v>
      </c>
      <c r="D22" s="496">
        <f t="shared" si="11"/>
        <v>53.1</v>
      </c>
      <c r="E22" s="494">
        <v>22252.794999999998</v>
      </c>
      <c r="F22" s="495">
        <v>25079.267</v>
      </c>
      <c r="G22" s="496">
        <f t="shared" si="4"/>
        <v>12.7</v>
      </c>
      <c r="H22" s="494">
        <v>133.535</v>
      </c>
      <c r="I22" s="495">
        <v>115.589</v>
      </c>
      <c r="J22" s="496">
        <f t="shared" si="12"/>
        <v>-13.4</v>
      </c>
      <c r="K22" s="487">
        <v>582.84299999999996</v>
      </c>
      <c r="L22" s="488">
        <v>743.8</v>
      </c>
      <c r="M22" s="496">
        <f t="shared" si="13"/>
        <v>27.6</v>
      </c>
      <c r="N22" s="489"/>
      <c r="O22" s="490"/>
      <c r="P22" s="496"/>
      <c r="Q22" s="487">
        <v>7588.8222950600002</v>
      </c>
      <c r="R22" s="488">
        <v>9034.93243841</v>
      </c>
      <c r="S22" s="496">
        <f t="shared" si="0"/>
        <v>19.100000000000001</v>
      </c>
      <c r="T22" s="487"/>
      <c r="U22" s="488"/>
      <c r="V22" s="496"/>
      <c r="W22" s="487">
        <v>8148.46</v>
      </c>
      <c r="X22" s="488">
        <v>8979.2999999999993</v>
      </c>
      <c r="Y22" s="496">
        <f t="shared" si="15"/>
        <v>10.199999999999999</v>
      </c>
      <c r="Z22" s="487">
        <v>1261</v>
      </c>
      <c r="AA22" s="488">
        <v>1610</v>
      </c>
      <c r="AB22" s="496">
        <f t="shared" si="5"/>
        <v>27.7</v>
      </c>
      <c r="AC22" s="487"/>
      <c r="AD22" s="488"/>
      <c r="AE22" s="496"/>
      <c r="AF22" s="487">
        <v>223.45485061000005</v>
      </c>
      <c r="AG22" s="488"/>
      <c r="AH22" s="496">
        <f t="shared" si="17"/>
        <v>-100</v>
      </c>
      <c r="AI22" s="487">
        <v>2578.6680000000001</v>
      </c>
      <c r="AJ22" s="488">
        <v>3367.857</v>
      </c>
      <c r="AK22" s="496">
        <f t="shared" si="1"/>
        <v>30.6</v>
      </c>
      <c r="AL22" s="487">
        <v>11956</v>
      </c>
      <c r="AM22" s="488">
        <v>14588</v>
      </c>
      <c r="AN22" s="496">
        <f t="shared" si="6"/>
        <v>22</v>
      </c>
      <c r="AO22" s="496">
        <f t="shared" si="7"/>
        <v>54877.776145670003</v>
      </c>
      <c r="AP22" s="496">
        <f t="shared" si="7"/>
        <v>63751.755438410008</v>
      </c>
      <c r="AQ22" s="496">
        <f t="shared" si="2"/>
        <v>16.2</v>
      </c>
      <c r="AR22" s="496">
        <f t="shared" si="10"/>
        <v>54877.776145670003</v>
      </c>
      <c r="AS22" s="496">
        <f t="shared" si="8"/>
        <v>118235.56843841</v>
      </c>
      <c r="AT22" s="496">
        <f t="shared" si="3"/>
        <v>115.5</v>
      </c>
      <c r="AU22" s="491"/>
      <c r="AV22" s="491"/>
      <c r="AW22" s="492"/>
    </row>
    <row r="23" spans="1:49" ht="18.75" x14ac:dyDescent="0.3">
      <c r="A23" s="493" t="s">
        <v>218</v>
      </c>
      <c r="B23" s="494"/>
      <c r="C23" s="495"/>
      <c r="D23" s="496"/>
      <c r="E23" s="494">
        <v>4.6769999999999996</v>
      </c>
      <c r="F23" s="495">
        <v>41.981999999999999</v>
      </c>
      <c r="G23" s="496">
        <f t="shared" si="4"/>
        <v>797.6</v>
      </c>
      <c r="H23" s="494"/>
      <c r="I23" s="495"/>
      <c r="J23" s="496"/>
      <c r="K23" s="487"/>
      <c r="L23" s="488"/>
      <c r="M23" s="496"/>
      <c r="N23" s="489"/>
      <c r="O23" s="490"/>
      <c r="P23" s="496"/>
      <c r="Q23" s="487">
        <v>1222.93356369</v>
      </c>
      <c r="R23" s="488">
        <v>1142.0592833599999</v>
      </c>
      <c r="S23" s="496">
        <f t="shared" si="0"/>
        <v>-6.6</v>
      </c>
      <c r="T23" s="487">
        <v>14.736000000000001</v>
      </c>
      <c r="U23" s="488">
        <v>41.395000000000003</v>
      </c>
      <c r="V23" s="496">
        <f t="shared" si="9"/>
        <v>180.9</v>
      </c>
      <c r="W23" s="487">
        <v>1.03</v>
      </c>
      <c r="X23" s="488">
        <v>0.33</v>
      </c>
      <c r="Y23" s="496">
        <f t="shared" si="15"/>
        <v>-68</v>
      </c>
      <c r="Z23" s="487"/>
      <c r="AA23" s="488"/>
      <c r="AB23" s="496"/>
      <c r="AC23" s="487"/>
      <c r="AD23" s="488"/>
      <c r="AE23" s="496"/>
      <c r="AF23" s="487">
        <v>0.66004901999999999</v>
      </c>
      <c r="AG23" s="488"/>
      <c r="AH23" s="496">
        <f t="shared" si="17"/>
        <v>-100</v>
      </c>
      <c r="AI23" s="487"/>
      <c r="AJ23" s="488"/>
      <c r="AK23" s="496"/>
      <c r="AL23" s="487"/>
      <c r="AM23" s="488"/>
      <c r="AN23" s="496"/>
      <c r="AO23" s="496">
        <f t="shared" si="7"/>
        <v>1244.0366127100001</v>
      </c>
      <c r="AP23" s="496">
        <f t="shared" si="7"/>
        <v>1225.7662833599998</v>
      </c>
      <c r="AQ23" s="496">
        <f t="shared" si="2"/>
        <v>-1.5</v>
      </c>
      <c r="AR23" s="496">
        <f t="shared" si="10"/>
        <v>1244.0366127100001</v>
      </c>
      <c r="AS23" s="496">
        <f t="shared" si="8"/>
        <v>1309.4732833599999</v>
      </c>
      <c r="AT23" s="496">
        <f t="shared" si="3"/>
        <v>5.3</v>
      </c>
      <c r="AU23" s="491"/>
      <c r="AV23" s="491"/>
      <c r="AW23" s="492"/>
    </row>
    <row r="24" spans="1:49" ht="18.75" x14ac:dyDescent="0.3">
      <c r="A24" s="493" t="s">
        <v>219</v>
      </c>
      <c r="B24" s="494"/>
      <c r="C24" s="495"/>
      <c r="D24" s="496"/>
      <c r="E24" s="494"/>
      <c r="F24" s="495"/>
      <c r="G24" s="496"/>
      <c r="H24" s="494"/>
      <c r="I24" s="495"/>
      <c r="J24" s="496"/>
      <c r="K24" s="487"/>
      <c r="L24" s="488"/>
      <c r="M24" s="496"/>
      <c r="N24" s="489"/>
      <c r="O24" s="490"/>
      <c r="P24" s="496"/>
      <c r="Q24" s="487">
        <v>905.40057279999996</v>
      </c>
      <c r="R24" s="488">
        <v>601.28937840000003</v>
      </c>
      <c r="S24" s="496">
        <f t="shared" si="0"/>
        <v>-33.6</v>
      </c>
      <c r="T24" s="487"/>
      <c r="U24" s="488"/>
      <c r="V24" s="496"/>
      <c r="W24" s="487"/>
      <c r="X24" s="488"/>
      <c r="Y24" s="496"/>
      <c r="Z24" s="487">
        <v>-16</v>
      </c>
      <c r="AA24" s="488">
        <v>-3</v>
      </c>
      <c r="AB24" s="496">
        <f t="shared" si="5"/>
        <v>-81.3</v>
      </c>
      <c r="AC24" s="487"/>
      <c r="AD24" s="488"/>
      <c r="AE24" s="496"/>
      <c r="AF24" s="487"/>
      <c r="AG24" s="488"/>
      <c r="AH24" s="496"/>
      <c r="AI24" s="487"/>
      <c r="AJ24" s="488"/>
      <c r="AK24" s="496"/>
      <c r="AL24" s="487">
        <v>1095</v>
      </c>
      <c r="AM24" s="488">
        <v>959</v>
      </c>
      <c r="AN24" s="496">
        <f t="shared" si="6"/>
        <v>-12.4</v>
      </c>
      <c r="AO24" s="496">
        <f t="shared" si="7"/>
        <v>1984.4005728</v>
      </c>
      <c r="AP24" s="496">
        <f t="shared" si="7"/>
        <v>1557.2893784</v>
      </c>
      <c r="AQ24" s="496">
        <f t="shared" si="2"/>
        <v>-21.5</v>
      </c>
      <c r="AR24" s="496">
        <f t="shared" si="10"/>
        <v>1984.4005728</v>
      </c>
      <c r="AS24" s="496">
        <f t="shared" si="8"/>
        <v>2513.2893783999998</v>
      </c>
      <c r="AT24" s="496">
        <f t="shared" si="3"/>
        <v>26.7</v>
      </c>
      <c r="AU24" s="491"/>
      <c r="AV24" s="491"/>
      <c r="AW24" s="492"/>
    </row>
    <row r="25" spans="1:49" ht="18.75" x14ac:dyDescent="0.3">
      <c r="A25" s="493" t="s">
        <v>220</v>
      </c>
      <c r="B25" s="494"/>
      <c r="C25" s="495"/>
      <c r="D25" s="496"/>
      <c r="E25" s="494">
        <v>22.193000000000001</v>
      </c>
      <c r="F25" s="495">
        <v>-12.53</v>
      </c>
      <c r="G25" s="496">
        <f t="shared" si="4"/>
        <v>-156.5</v>
      </c>
      <c r="H25" s="494">
        <v>18.495999999999999</v>
      </c>
      <c r="I25" s="495">
        <v>17.427</v>
      </c>
      <c r="J25" s="496">
        <f t="shared" si="12"/>
        <v>-5.8</v>
      </c>
      <c r="K25" s="487">
        <v>95.257999999999996</v>
      </c>
      <c r="L25" s="488">
        <v>96.7</v>
      </c>
      <c r="M25" s="496">
        <f t="shared" si="13"/>
        <v>1.5</v>
      </c>
      <c r="N25" s="489">
        <v>138</v>
      </c>
      <c r="O25" s="490">
        <v>140</v>
      </c>
      <c r="P25" s="496">
        <f t="shared" si="14"/>
        <v>1.4</v>
      </c>
      <c r="Q25" s="487">
        <v>149.63921563</v>
      </c>
      <c r="R25" s="488">
        <v>1.38603056</v>
      </c>
      <c r="S25" s="496">
        <f t="shared" si="0"/>
        <v>-99.1</v>
      </c>
      <c r="T25" s="487"/>
      <c r="U25" s="488"/>
      <c r="V25" s="496"/>
      <c r="W25" s="487"/>
      <c r="X25" s="488"/>
      <c r="Y25" s="496"/>
      <c r="Z25" s="487"/>
      <c r="AA25" s="488"/>
      <c r="AB25" s="496"/>
      <c r="AC25" s="487">
        <v>20</v>
      </c>
      <c r="AD25" s="488">
        <v>39</v>
      </c>
      <c r="AE25" s="496">
        <f t="shared" si="16"/>
        <v>95</v>
      </c>
      <c r="AF25" s="487"/>
      <c r="AG25" s="488"/>
      <c r="AH25" s="496"/>
      <c r="AI25" s="487">
        <v>354.08100000000002</v>
      </c>
      <c r="AJ25" s="488">
        <v>147.71600000000001</v>
      </c>
      <c r="AK25" s="496">
        <f t="shared" si="1"/>
        <v>-58.3</v>
      </c>
      <c r="AL25" s="487">
        <v>517</v>
      </c>
      <c r="AM25" s="488"/>
      <c r="AN25" s="496">
        <f t="shared" si="6"/>
        <v>-100</v>
      </c>
      <c r="AO25" s="496">
        <f t="shared" si="7"/>
        <v>1156.6672156300001</v>
      </c>
      <c r="AP25" s="496">
        <f t="shared" si="7"/>
        <v>250.69903056000001</v>
      </c>
      <c r="AQ25" s="496">
        <f t="shared" si="2"/>
        <v>-78.3</v>
      </c>
      <c r="AR25" s="496">
        <f t="shared" si="10"/>
        <v>1314.6672156300001</v>
      </c>
      <c r="AS25" s="496">
        <f t="shared" si="8"/>
        <v>679.01203055999997</v>
      </c>
      <c r="AT25" s="496">
        <f t="shared" si="3"/>
        <v>-48.4</v>
      </c>
      <c r="AU25" s="491"/>
      <c r="AV25" s="491"/>
      <c r="AW25" s="492"/>
    </row>
    <row r="26" spans="1:49" ht="18.75" x14ac:dyDescent="0.3">
      <c r="A26" s="493" t="s">
        <v>221</v>
      </c>
      <c r="B26" s="494"/>
      <c r="C26" s="495"/>
      <c r="D26" s="496"/>
      <c r="E26" s="494"/>
      <c r="F26" s="495">
        <v>0</v>
      </c>
      <c r="G26" s="496"/>
      <c r="H26" s="494"/>
      <c r="I26" s="495"/>
      <c r="J26" s="496"/>
      <c r="K26" s="487"/>
      <c r="L26" s="488"/>
      <c r="M26" s="496"/>
      <c r="N26" s="489"/>
      <c r="O26" s="490"/>
      <c r="P26" s="496"/>
      <c r="Q26" s="487"/>
      <c r="R26" s="488"/>
      <c r="S26" s="496"/>
      <c r="T26" s="487"/>
      <c r="U26" s="488"/>
      <c r="V26" s="496"/>
      <c r="W26" s="487"/>
      <c r="X26" s="488"/>
      <c r="Y26" s="496"/>
      <c r="Z26" s="487"/>
      <c r="AA26" s="488"/>
      <c r="AB26" s="496"/>
      <c r="AC26" s="487"/>
      <c r="AD26" s="488"/>
      <c r="AE26" s="496"/>
      <c r="AF26" s="487">
        <v>2.5431509600000006</v>
      </c>
      <c r="AG26" s="488"/>
      <c r="AH26" s="496"/>
      <c r="AI26" s="487"/>
      <c r="AJ26" s="488"/>
      <c r="AK26" s="496"/>
      <c r="AL26" s="487"/>
      <c r="AM26" s="488"/>
      <c r="AN26" s="496"/>
      <c r="AO26" s="496"/>
      <c r="AP26" s="496"/>
      <c r="AQ26" s="496"/>
      <c r="AR26" s="496">
        <f t="shared" si="10"/>
        <v>2.5431509600000006</v>
      </c>
      <c r="AS26" s="496">
        <f t="shared" si="8"/>
        <v>0</v>
      </c>
      <c r="AT26" s="496"/>
      <c r="AU26" s="491"/>
      <c r="AV26" s="491"/>
      <c r="AW26" s="492"/>
    </row>
    <row r="27" spans="1:49" ht="18.75" x14ac:dyDescent="0.3">
      <c r="A27" s="497" t="s">
        <v>222</v>
      </c>
      <c r="B27" s="494">
        <v>154.60400000000001</v>
      </c>
      <c r="C27" s="495">
        <v>236.07</v>
      </c>
      <c r="D27" s="496">
        <f t="shared" si="11"/>
        <v>52.7</v>
      </c>
      <c r="E27" s="494">
        <v>28715.004999999997</v>
      </c>
      <c r="F27" s="495">
        <v>30314.814000000002</v>
      </c>
      <c r="G27" s="496">
        <f t="shared" si="4"/>
        <v>5.6</v>
      </c>
      <c r="H27" s="494">
        <v>200.26599999999999</v>
      </c>
      <c r="I27" s="495">
        <v>178.73</v>
      </c>
      <c r="J27" s="496">
        <f t="shared" si="12"/>
        <v>-10.8</v>
      </c>
      <c r="K27" s="487">
        <v>681.56899999999996</v>
      </c>
      <c r="L27" s="488">
        <v>848.7</v>
      </c>
      <c r="M27" s="496">
        <f t="shared" si="13"/>
        <v>24.5</v>
      </c>
      <c r="N27" s="489">
        <v>138</v>
      </c>
      <c r="O27" s="490">
        <v>140</v>
      </c>
      <c r="P27" s="496">
        <f t="shared" si="14"/>
        <v>1.4</v>
      </c>
      <c r="Q27" s="487">
        <v>30117.543843859999</v>
      </c>
      <c r="R27" s="488">
        <v>32915.94966156</v>
      </c>
      <c r="S27" s="496">
        <f t="shared" si="0"/>
        <v>9.3000000000000007</v>
      </c>
      <c r="T27" s="487">
        <v>323.76</v>
      </c>
      <c r="U27" s="488">
        <v>551.37099999999998</v>
      </c>
      <c r="V27" s="496">
        <f t="shared" si="9"/>
        <v>70.3</v>
      </c>
      <c r="W27" s="487">
        <v>8157.99</v>
      </c>
      <c r="X27" s="488">
        <v>8984.23</v>
      </c>
      <c r="Y27" s="496">
        <f t="shared" si="15"/>
        <v>10.1</v>
      </c>
      <c r="Z27" s="487">
        <v>6804</v>
      </c>
      <c r="AA27" s="488">
        <v>8299</v>
      </c>
      <c r="AB27" s="496">
        <f t="shared" si="5"/>
        <v>22</v>
      </c>
      <c r="AC27" s="487">
        <v>20</v>
      </c>
      <c r="AD27" s="488">
        <v>39</v>
      </c>
      <c r="AE27" s="496">
        <f t="shared" si="16"/>
        <v>95</v>
      </c>
      <c r="AF27" s="487">
        <v>226.65805049000005</v>
      </c>
      <c r="AG27" s="488"/>
      <c r="AH27" s="496">
        <f t="shared" si="17"/>
        <v>-100</v>
      </c>
      <c r="AI27" s="487">
        <v>4594.5240000000003</v>
      </c>
      <c r="AJ27" s="488">
        <v>5593.4849999999997</v>
      </c>
      <c r="AK27" s="496">
        <f t="shared" si="1"/>
        <v>21.7</v>
      </c>
      <c r="AL27" s="487">
        <v>30100</v>
      </c>
      <c r="AM27" s="488">
        <v>32382</v>
      </c>
      <c r="AN27" s="496">
        <f t="shared" si="6"/>
        <v>7.6</v>
      </c>
      <c r="AO27" s="496">
        <f t="shared" si="7"/>
        <v>110075.91989435001</v>
      </c>
      <c r="AP27" s="496">
        <f t="shared" si="7"/>
        <v>120304.34966156</v>
      </c>
      <c r="AQ27" s="496">
        <f t="shared" si="2"/>
        <v>9.3000000000000007</v>
      </c>
      <c r="AR27" s="496">
        <f t="shared" si="10"/>
        <v>110233.91989435001</v>
      </c>
      <c r="AS27" s="496">
        <f t="shared" si="8"/>
        <v>207635.67966155999</v>
      </c>
      <c r="AT27" s="496">
        <f t="shared" si="3"/>
        <v>88.4</v>
      </c>
      <c r="AU27" s="491"/>
      <c r="AV27" s="491"/>
      <c r="AW27" s="492"/>
    </row>
    <row r="28" spans="1:49" ht="18.75" x14ac:dyDescent="0.3">
      <c r="A28" s="493" t="s">
        <v>223</v>
      </c>
      <c r="B28" s="494">
        <v>158.84299999999999</v>
      </c>
      <c r="C28" s="495">
        <v>162.91400000000002</v>
      </c>
      <c r="D28" s="496">
        <f t="shared" si="11"/>
        <v>2.6</v>
      </c>
      <c r="E28" s="494">
        <v>762.40699999999993</v>
      </c>
      <c r="F28" s="495">
        <v>829.52600000000007</v>
      </c>
      <c r="G28" s="496">
        <f t="shared" si="4"/>
        <v>8.8000000000000007</v>
      </c>
      <c r="H28" s="494">
        <v>296.41899999999998</v>
      </c>
      <c r="I28" s="495">
        <v>323.74099999999999</v>
      </c>
      <c r="J28" s="496">
        <f t="shared" si="12"/>
        <v>9.1999999999999993</v>
      </c>
      <c r="K28" s="487">
        <v>323.30900000000003</v>
      </c>
      <c r="L28" s="488">
        <v>226.4</v>
      </c>
      <c r="M28" s="496">
        <f t="shared" si="13"/>
        <v>-30</v>
      </c>
      <c r="N28" s="489">
        <v>2</v>
      </c>
      <c r="O28" s="490"/>
      <c r="P28" s="496">
        <f t="shared" si="14"/>
        <v>-100</v>
      </c>
      <c r="Q28" s="487">
        <v>8644.1815521499993</v>
      </c>
      <c r="R28" s="488">
        <v>4888.9806054799992</v>
      </c>
      <c r="S28" s="496">
        <f t="shared" si="0"/>
        <v>-43.4</v>
      </c>
      <c r="T28" s="487">
        <v>26.995999999999999</v>
      </c>
      <c r="U28" s="488">
        <v>38.880000000000003</v>
      </c>
      <c r="V28" s="496">
        <f t="shared" si="9"/>
        <v>44</v>
      </c>
      <c r="W28" s="487">
        <v>594</v>
      </c>
      <c r="X28" s="488">
        <v>1293</v>
      </c>
      <c r="Y28" s="496">
        <f t="shared" si="15"/>
        <v>117.7</v>
      </c>
      <c r="Z28" s="487">
        <v>1209</v>
      </c>
      <c r="AA28" s="488">
        <v>959</v>
      </c>
      <c r="AB28" s="496">
        <f t="shared" si="5"/>
        <v>-20.7</v>
      </c>
      <c r="AC28" s="487">
        <v>5</v>
      </c>
      <c r="AD28" s="488"/>
      <c r="AE28" s="496">
        <f t="shared" si="16"/>
        <v>-100</v>
      </c>
      <c r="AF28" s="487">
        <v>204.38969107000003</v>
      </c>
      <c r="AG28" s="488"/>
      <c r="AH28" s="496">
        <f t="shared" si="17"/>
        <v>-100</v>
      </c>
      <c r="AI28" s="487">
        <v>664.79</v>
      </c>
      <c r="AJ28" s="488">
        <v>675.73900000000003</v>
      </c>
      <c r="AK28" s="496">
        <f t="shared" si="1"/>
        <v>1.6</v>
      </c>
      <c r="AL28" s="487">
        <v>3015.7000000000003</v>
      </c>
      <c r="AM28" s="488">
        <v>2222</v>
      </c>
      <c r="AN28" s="496">
        <f t="shared" si="6"/>
        <v>-26.3</v>
      </c>
      <c r="AO28" s="496">
        <f t="shared" si="7"/>
        <v>15900.035243219998</v>
      </c>
      <c r="AP28" s="496">
        <f t="shared" si="7"/>
        <v>11620.180605479998</v>
      </c>
      <c r="AQ28" s="496">
        <f t="shared" si="2"/>
        <v>-26.9</v>
      </c>
      <c r="AR28" s="496">
        <f t="shared" si="10"/>
        <v>15907.035243219998</v>
      </c>
      <c r="AS28" s="496">
        <f t="shared" si="8"/>
        <v>18188.466605479996</v>
      </c>
      <c r="AT28" s="496">
        <f t="shared" si="3"/>
        <v>14.3</v>
      </c>
      <c r="AU28" s="491"/>
      <c r="AV28" s="491"/>
      <c r="AW28" s="492"/>
    </row>
    <row r="29" spans="1:49" ht="18.75" x14ac:dyDescent="0.3">
      <c r="A29" s="493" t="s">
        <v>224</v>
      </c>
      <c r="B29" s="494">
        <v>313.447</v>
      </c>
      <c r="C29" s="495">
        <v>398.98399999999998</v>
      </c>
      <c r="D29" s="496">
        <f t="shared" si="11"/>
        <v>27.3</v>
      </c>
      <c r="E29" s="494">
        <v>29477.411999999997</v>
      </c>
      <c r="F29" s="495">
        <v>31144.340000000004</v>
      </c>
      <c r="G29" s="496">
        <f t="shared" si="4"/>
        <v>5.7</v>
      </c>
      <c r="H29" s="494">
        <v>496.68499999999995</v>
      </c>
      <c r="I29" s="495">
        <v>502.471</v>
      </c>
      <c r="J29" s="496">
        <f t="shared" si="12"/>
        <v>1.2</v>
      </c>
      <c r="K29" s="494">
        <v>1004.8779999999999</v>
      </c>
      <c r="L29" s="495">
        <v>1075.1000000000001</v>
      </c>
      <c r="M29" s="496">
        <f t="shared" si="13"/>
        <v>7</v>
      </c>
      <c r="N29" s="494">
        <v>140</v>
      </c>
      <c r="O29" s="495">
        <v>140</v>
      </c>
      <c r="P29" s="496">
        <f t="shared" si="14"/>
        <v>0</v>
      </c>
      <c r="Q29" s="494">
        <v>38761.725396009999</v>
      </c>
      <c r="R29" s="495">
        <v>37804.930267039999</v>
      </c>
      <c r="S29" s="496">
        <f t="shared" si="0"/>
        <v>-2.5</v>
      </c>
      <c r="T29" s="494">
        <v>350.75599999999997</v>
      </c>
      <c r="U29" s="495">
        <v>590.25099999999998</v>
      </c>
      <c r="V29" s="496">
        <f t="shared" si="9"/>
        <v>68.3</v>
      </c>
      <c r="W29" s="494">
        <v>8751.99</v>
      </c>
      <c r="X29" s="495">
        <v>10277.23</v>
      </c>
      <c r="Y29" s="496">
        <f t="shared" si="15"/>
        <v>17.399999999999999</v>
      </c>
      <c r="Z29" s="494">
        <v>8013</v>
      </c>
      <c r="AA29" s="495">
        <v>9258</v>
      </c>
      <c r="AB29" s="496">
        <f t="shared" si="5"/>
        <v>15.5</v>
      </c>
      <c r="AC29" s="494">
        <v>25</v>
      </c>
      <c r="AD29" s="495">
        <v>39</v>
      </c>
      <c r="AE29" s="496">
        <f t="shared" si="16"/>
        <v>56</v>
      </c>
      <c r="AF29" s="494">
        <v>431.04774156000008</v>
      </c>
      <c r="AG29" s="495"/>
      <c r="AH29" s="496">
        <f t="shared" si="17"/>
        <v>-100</v>
      </c>
      <c r="AI29" s="494">
        <v>5259.3140000000003</v>
      </c>
      <c r="AJ29" s="495">
        <v>6269.2240000000002</v>
      </c>
      <c r="AK29" s="496">
        <f t="shared" si="1"/>
        <v>19.2</v>
      </c>
      <c r="AL29" s="494">
        <v>33115.699999999997</v>
      </c>
      <c r="AM29" s="495">
        <v>34604.5</v>
      </c>
      <c r="AN29" s="496">
        <f t="shared" si="6"/>
        <v>4.5</v>
      </c>
      <c r="AO29" s="496">
        <f t="shared" si="7"/>
        <v>125975.95513757</v>
      </c>
      <c r="AP29" s="496">
        <f t="shared" si="7"/>
        <v>131925.03026704001</v>
      </c>
      <c r="AQ29" s="496">
        <f t="shared" si="2"/>
        <v>4.7</v>
      </c>
      <c r="AR29" s="496">
        <f t="shared" si="10"/>
        <v>126140.95513757</v>
      </c>
      <c r="AS29" s="496">
        <f t="shared" si="8"/>
        <v>225825.14626704002</v>
      </c>
      <c r="AT29" s="496">
        <f t="shared" si="3"/>
        <v>79</v>
      </c>
      <c r="AU29" s="491"/>
      <c r="AV29" s="491"/>
      <c r="AW29" s="498"/>
    </row>
    <row r="30" spans="1:49" ht="18.75" x14ac:dyDescent="0.3">
      <c r="A30" s="493"/>
      <c r="B30" s="473"/>
      <c r="C30" s="474"/>
      <c r="D30" s="496"/>
      <c r="E30" s="473"/>
      <c r="F30" s="474"/>
      <c r="G30" s="496"/>
      <c r="H30" s="473"/>
      <c r="I30" s="474"/>
      <c r="J30" s="496"/>
      <c r="K30" s="499"/>
      <c r="L30" s="500"/>
      <c r="M30" s="496"/>
      <c r="N30" s="473"/>
      <c r="O30" s="474"/>
      <c r="P30" s="496"/>
      <c r="Q30" s="473"/>
      <c r="R30" s="474"/>
      <c r="S30" s="496"/>
      <c r="T30" s="473"/>
      <c r="U30" s="474"/>
      <c r="V30" s="496"/>
      <c r="W30" s="473"/>
      <c r="X30" s="474"/>
      <c r="Y30" s="496"/>
      <c r="Z30" s="473"/>
      <c r="AA30" s="474"/>
      <c r="AB30" s="496"/>
      <c r="AC30" s="473"/>
      <c r="AD30" s="474"/>
      <c r="AE30" s="496"/>
      <c r="AF30" s="473"/>
      <c r="AG30" s="474"/>
      <c r="AH30" s="496"/>
      <c r="AI30" s="473"/>
      <c r="AJ30" s="474"/>
      <c r="AK30" s="496"/>
      <c r="AL30" s="473"/>
      <c r="AM30" s="474"/>
      <c r="AN30" s="496"/>
      <c r="AO30" s="496"/>
      <c r="AP30" s="496"/>
      <c r="AQ30" s="496"/>
      <c r="AR30" s="496"/>
      <c r="AS30" s="496"/>
      <c r="AT30" s="496"/>
      <c r="AU30" s="480"/>
      <c r="AV30" s="480"/>
      <c r="AW30" s="481"/>
    </row>
    <row r="31" spans="1:49" ht="18.75" x14ac:dyDescent="0.3">
      <c r="A31" s="477" t="s">
        <v>225</v>
      </c>
      <c r="B31" s="499"/>
      <c r="C31" s="500"/>
      <c r="D31" s="496"/>
      <c r="E31" s="499"/>
      <c r="F31" s="500"/>
      <c r="G31" s="496"/>
      <c r="H31" s="499"/>
      <c r="I31" s="500"/>
      <c r="J31" s="496"/>
      <c r="K31" s="499"/>
      <c r="L31" s="500"/>
      <c r="M31" s="496"/>
      <c r="N31" s="499"/>
      <c r="O31" s="500"/>
      <c r="P31" s="496"/>
      <c r="Q31" s="499"/>
      <c r="R31" s="500"/>
      <c r="S31" s="496"/>
      <c r="T31" s="499"/>
      <c r="U31" s="500"/>
      <c r="V31" s="496"/>
      <c r="W31" s="499"/>
      <c r="X31" s="500"/>
      <c r="Y31" s="496"/>
      <c r="Z31" s="499"/>
      <c r="AA31" s="500"/>
      <c r="AB31" s="496"/>
      <c r="AC31" s="499"/>
      <c r="AD31" s="500"/>
      <c r="AE31" s="496"/>
      <c r="AF31" s="499"/>
      <c r="AG31" s="500"/>
      <c r="AH31" s="496"/>
      <c r="AI31" s="499"/>
      <c r="AJ31" s="500"/>
      <c r="AK31" s="496"/>
      <c r="AL31" s="499"/>
      <c r="AM31" s="500"/>
      <c r="AN31" s="496"/>
      <c r="AO31" s="496"/>
      <c r="AP31" s="496"/>
      <c r="AQ31" s="496"/>
      <c r="AR31" s="496"/>
      <c r="AS31" s="496"/>
      <c r="AT31" s="496"/>
      <c r="AU31" s="480"/>
      <c r="AV31" s="480"/>
      <c r="AW31" s="481"/>
    </row>
    <row r="32" spans="1:49" ht="18.75" x14ac:dyDescent="0.3">
      <c r="A32" s="477" t="s">
        <v>226</v>
      </c>
      <c r="B32" s="499"/>
      <c r="C32" s="500"/>
      <c r="D32" s="496"/>
      <c r="E32" s="499"/>
      <c r="F32" s="500"/>
      <c r="G32" s="496"/>
      <c r="H32" s="499"/>
      <c r="I32" s="500"/>
      <c r="J32" s="496"/>
      <c r="K32" s="499"/>
      <c r="L32" s="500"/>
      <c r="M32" s="496"/>
      <c r="N32" s="499"/>
      <c r="O32" s="500"/>
      <c r="P32" s="496"/>
      <c r="Q32" s="499"/>
      <c r="R32" s="500"/>
      <c r="S32" s="496"/>
      <c r="T32" s="499"/>
      <c r="U32" s="500"/>
      <c r="V32" s="496"/>
      <c r="W32" s="499"/>
      <c r="X32" s="500"/>
      <c r="Y32" s="496"/>
      <c r="Z32" s="499"/>
      <c r="AA32" s="500"/>
      <c r="AB32" s="496"/>
      <c r="AC32" s="499"/>
      <c r="AD32" s="500"/>
      <c r="AE32" s="496"/>
      <c r="AF32" s="499"/>
      <c r="AG32" s="500"/>
      <c r="AH32" s="496"/>
      <c r="AI32" s="499"/>
      <c r="AJ32" s="500"/>
      <c r="AK32" s="496"/>
      <c r="AL32" s="499"/>
      <c r="AM32" s="500"/>
      <c r="AN32" s="496"/>
      <c r="AO32" s="496"/>
      <c r="AP32" s="496"/>
      <c r="AQ32" s="496"/>
      <c r="AR32" s="496"/>
      <c r="AS32" s="496"/>
      <c r="AT32" s="496"/>
      <c r="AU32" s="480"/>
      <c r="AV32" s="480"/>
      <c r="AW32" s="481"/>
    </row>
    <row r="33" spans="1:49" ht="18.75" x14ac:dyDescent="0.3">
      <c r="A33" s="493" t="s">
        <v>227</v>
      </c>
      <c r="B33" s="499"/>
      <c r="C33" s="500"/>
      <c r="D33" s="496"/>
      <c r="E33" s="499">
        <v>15.327</v>
      </c>
      <c r="F33" s="500">
        <v>33.473999999999997</v>
      </c>
      <c r="G33" s="496">
        <f t="shared" si="4"/>
        <v>118.4</v>
      </c>
      <c r="H33" s="499"/>
      <c r="I33" s="500"/>
      <c r="J33" s="496"/>
      <c r="K33" s="499"/>
      <c r="L33" s="500"/>
      <c r="M33" s="496"/>
      <c r="N33" s="499"/>
      <c r="O33" s="500"/>
      <c r="P33" s="496"/>
      <c r="Q33" s="499"/>
      <c r="R33" s="500"/>
      <c r="S33" s="496"/>
      <c r="T33" s="499"/>
      <c r="U33" s="500"/>
      <c r="V33" s="496"/>
      <c r="W33" s="499"/>
      <c r="X33" s="500"/>
      <c r="Y33" s="496"/>
      <c r="Z33" s="499"/>
      <c r="AA33" s="500"/>
      <c r="AB33" s="496"/>
      <c r="AC33" s="499"/>
      <c r="AD33" s="500"/>
      <c r="AE33" s="496"/>
      <c r="AF33" s="499"/>
      <c r="AG33" s="500"/>
      <c r="AH33" s="496"/>
      <c r="AI33" s="499">
        <v>1.0149999999999999</v>
      </c>
      <c r="AJ33" s="500">
        <v>0.98099999999999998</v>
      </c>
      <c r="AK33" s="496">
        <f t="shared" si="1"/>
        <v>-3.3</v>
      </c>
      <c r="AL33" s="499"/>
      <c r="AM33" s="500"/>
      <c r="AN33" s="496"/>
      <c r="AO33" s="496">
        <f t="shared" si="7"/>
        <v>16.341999999999999</v>
      </c>
      <c r="AP33" s="496">
        <f t="shared" si="7"/>
        <v>34.454999999999998</v>
      </c>
      <c r="AQ33" s="496">
        <f t="shared" si="2"/>
        <v>110.8</v>
      </c>
      <c r="AR33" s="496">
        <f t="shared" si="10"/>
        <v>16.341999999999999</v>
      </c>
      <c r="AS33" s="496">
        <f t="shared" si="8"/>
        <v>68.91</v>
      </c>
      <c r="AT33" s="496">
        <f t="shared" si="3"/>
        <v>321.7</v>
      </c>
      <c r="AU33" s="480"/>
      <c r="AV33" s="480"/>
      <c r="AW33" s="501"/>
    </row>
    <row r="34" spans="1:49" ht="18.75" x14ac:dyDescent="0.3">
      <c r="A34" s="493" t="s">
        <v>228</v>
      </c>
      <c r="B34" s="499"/>
      <c r="C34" s="500"/>
      <c r="D34" s="496"/>
      <c r="E34" s="499">
        <v>20515.152999999998</v>
      </c>
      <c r="F34" s="500">
        <v>21135.629000000001</v>
      </c>
      <c r="G34" s="496">
        <f t="shared" si="4"/>
        <v>3</v>
      </c>
      <c r="H34" s="499"/>
      <c r="I34" s="500"/>
      <c r="J34" s="496"/>
      <c r="K34" s="499"/>
      <c r="L34" s="500"/>
      <c r="M34" s="496"/>
      <c r="N34" s="499"/>
      <c r="O34" s="500"/>
      <c r="P34" s="496"/>
      <c r="Q34" s="499">
        <v>52987.143974480001</v>
      </c>
      <c r="R34" s="500">
        <v>56808.279629080003</v>
      </c>
      <c r="S34" s="496">
        <f t="shared" si="0"/>
        <v>7.2</v>
      </c>
      <c r="T34" s="499">
        <v>179.13300000000001</v>
      </c>
      <c r="U34" s="500">
        <v>189.69</v>
      </c>
      <c r="V34" s="496">
        <f t="shared" si="9"/>
        <v>5.9</v>
      </c>
      <c r="W34" s="499">
        <v>7582.68565218</v>
      </c>
      <c r="X34" s="500">
        <v>5203.7934827399995</v>
      </c>
      <c r="Y34" s="496">
        <f t="shared" si="15"/>
        <v>-31.4</v>
      </c>
      <c r="Z34" s="499">
        <v>11842</v>
      </c>
      <c r="AA34" s="500">
        <v>13124</v>
      </c>
      <c r="AB34" s="496">
        <f t="shared" si="5"/>
        <v>10.8</v>
      </c>
      <c r="AC34" s="499"/>
      <c r="AD34" s="500"/>
      <c r="AE34" s="496"/>
      <c r="AF34" s="499"/>
      <c r="AG34" s="500"/>
      <c r="AH34" s="496"/>
      <c r="AI34" s="499">
        <v>3544.5859999999998</v>
      </c>
      <c r="AJ34" s="500">
        <v>3578.5259999999998</v>
      </c>
      <c r="AK34" s="496">
        <f t="shared" si="1"/>
        <v>1</v>
      </c>
      <c r="AL34" s="499">
        <v>20528</v>
      </c>
      <c r="AM34" s="500">
        <v>21849</v>
      </c>
      <c r="AN34" s="496">
        <f t="shared" si="6"/>
        <v>6.4</v>
      </c>
      <c r="AO34" s="496">
        <f t="shared" si="7"/>
        <v>117178.70162666</v>
      </c>
      <c r="AP34" s="496">
        <f t="shared" si="7"/>
        <v>121888.91811182001</v>
      </c>
      <c r="AQ34" s="496">
        <f t="shared" si="2"/>
        <v>4</v>
      </c>
      <c r="AR34" s="496">
        <f t="shared" si="10"/>
        <v>117178.70162666</v>
      </c>
      <c r="AS34" s="496">
        <f t="shared" si="8"/>
        <v>186969.55659456001</v>
      </c>
      <c r="AT34" s="496">
        <f t="shared" si="3"/>
        <v>59.6</v>
      </c>
      <c r="AU34" s="480"/>
      <c r="AV34" s="480"/>
      <c r="AW34" s="501"/>
    </row>
    <row r="35" spans="1:49" ht="18.75" x14ac:dyDescent="0.3">
      <c r="A35" s="493" t="s">
        <v>229</v>
      </c>
      <c r="B35" s="499"/>
      <c r="C35" s="500"/>
      <c r="D35" s="496"/>
      <c r="E35" s="499">
        <v>105991.673</v>
      </c>
      <c r="F35" s="500">
        <v>112434.46</v>
      </c>
      <c r="G35" s="496">
        <f t="shared" si="4"/>
        <v>6.1</v>
      </c>
      <c r="H35" s="499">
        <v>95.504999999999995</v>
      </c>
      <c r="I35" s="500">
        <v>135.92500000000001</v>
      </c>
      <c r="J35" s="496">
        <f t="shared" si="12"/>
        <v>42.3</v>
      </c>
      <c r="K35" s="499">
        <v>3033.308</v>
      </c>
      <c r="L35" s="500">
        <v>4249.4000000000005</v>
      </c>
      <c r="M35" s="496">
        <f t="shared" si="13"/>
        <v>40.1</v>
      </c>
      <c r="N35" s="499"/>
      <c r="O35" s="500"/>
      <c r="P35" s="496"/>
      <c r="Q35" s="499">
        <v>165144.55870486997</v>
      </c>
      <c r="R35" s="500">
        <v>181483.63088595003</v>
      </c>
      <c r="S35" s="496">
        <f t="shared" si="0"/>
        <v>9.9</v>
      </c>
      <c r="T35" s="499">
        <v>728.62699999999995</v>
      </c>
      <c r="U35" s="500">
        <v>775.37199999999996</v>
      </c>
      <c r="V35" s="496">
        <f t="shared" si="9"/>
        <v>6.4</v>
      </c>
      <c r="W35" s="499">
        <v>22698.238055289898</v>
      </c>
      <c r="X35" s="500">
        <v>27882.990487039999</v>
      </c>
      <c r="Y35" s="496">
        <f t="shared" si="15"/>
        <v>22.8</v>
      </c>
      <c r="Z35" s="499">
        <v>18528</v>
      </c>
      <c r="AA35" s="500">
        <v>20029</v>
      </c>
      <c r="AB35" s="496">
        <f t="shared" si="5"/>
        <v>8.1</v>
      </c>
      <c r="AC35" s="499"/>
      <c r="AD35" s="500"/>
      <c r="AE35" s="496"/>
      <c r="AF35" s="499">
        <v>1746.9717468100002</v>
      </c>
      <c r="AG35" s="500"/>
      <c r="AH35" s="496">
        <f t="shared" si="17"/>
        <v>-100</v>
      </c>
      <c r="AI35" s="499">
        <v>6891.7380000000003</v>
      </c>
      <c r="AJ35" s="500">
        <v>7824.4949999999999</v>
      </c>
      <c r="AK35" s="496">
        <f t="shared" si="1"/>
        <v>13.5</v>
      </c>
      <c r="AL35" s="499">
        <v>100044.4</v>
      </c>
      <c r="AM35" s="500">
        <v>120911</v>
      </c>
      <c r="AN35" s="496">
        <f t="shared" si="6"/>
        <v>20.9</v>
      </c>
      <c r="AO35" s="496">
        <f t="shared" si="7"/>
        <v>424903.01950696984</v>
      </c>
      <c r="AP35" s="496">
        <f t="shared" si="7"/>
        <v>475726.27337299002</v>
      </c>
      <c r="AQ35" s="496">
        <f t="shared" si="2"/>
        <v>12</v>
      </c>
      <c r="AR35" s="496">
        <f t="shared" si="10"/>
        <v>424903.01950696984</v>
      </c>
      <c r="AS35" s="496">
        <f t="shared" si="8"/>
        <v>769968.9158600301</v>
      </c>
      <c r="AT35" s="496">
        <f t="shared" si="3"/>
        <v>81.2</v>
      </c>
      <c r="AU35" s="480"/>
      <c r="AV35" s="480"/>
      <c r="AW35" s="501"/>
    </row>
    <row r="36" spans="1:49" ht="18.75" x14ac:dyDescent="0.3">
      <c r="A36" s="493" t="s">
        <v>230</v>
      </c>
      <c r="B36" s="499"/>
      <c r="C36" s="500"/>
      <c r="D36" s="496"/>
      <c r="E36" s="499">
        <v>81846.717999999993</v>
      </c>
      <c r="F36" s="500">
        <v>77084.793000000005</v>
      </c>
      <c r="G36" s="496">
        <f t="shared" si="4"/>
        <v>-5.8</v>
      </c>
      <c r="H36" s="499">
        <v>95.504999999999995</v>
      </c>
      <c r="I36" s="500">
        <v>135.92500000000001</v>
      </c>
      <c r="J36" s="496">
        <f t="shared" si="12"/>
        <v>42.3</v>
      </c>
      <c r="K36" s="499">
        <v>56.154000000000003</v>
      </c>
      <c r="L36" s="500">
        <v>29.6</v>
      </c>
      <c r="M36" s="496">
        <f t="shared" si="13"/>
        <v>-47.3</v>
      </c>
      <c r="N36" s="499"/>
      <c r="O36" s="500"/>
      <c r="P36" s="496"/>
      <c r="Q36" s="499">
        <v>26387.366017689998</v>
      </c>
      <c r="R36" s="500">
        <v>25870.109030529999</v>
      </c>
      <c r="S36" s="496">
        <f t="shared" si="0"/>
        <v>-2</v>
      </c>
      <c r="T36" s="499">
        <v>103.26600000000001</v>
      </c>
      <c r="U36" s="500">
        <v>81.793000000000006</v>
      </c>
      <c r="V36" s="496">
        <f t="shared" si="9"/>
        <v>-20.8</v>
      </c>
      <c r="W36" s="499">
        <v>1048.45778387</v>
      </c>
      <c r="X36" s="500">
        <v>817.21656446999998</v>
      </c>
      <c r="Y36" s="496">
        <f t="shared" si="15"/>
        <v>-22.1</v>
      </c>
      <c r="Z36" s="499">
        <v>2911</v>
      </c>
      <c r="AA36" s="500">
        <v>1842</v>
      </c>
      <c r="AB36" s="496">
        <f t="shared" si="5"/>
        <v>-36.700000000000003</v>
      </c>
      <c r="AC36" s="499"/>
      <c r="AD36" s="500"/>
      <c r="AE36" s="496"/>
      <c r="AF36" s="499"/>
      <c r="AG36" s="500"/>
      <c r="AH36" s="496"/>
      <c r="AI36" s="499">
        <v>2040.415</v>
      </c>
      <c r="AJ36" s="500">
        <v>1412.87</v>
      </c>
      <c r="AK36" s="496">
        <f t="shared" si="1"/>
        <v>-30.8</v>
      </c>
      <c r="AL36" s="499">
        <v>15619.5</v>
      </c>
      <c r="AM36" s="500">
        <v>15615</v>
      </c>
      <c r="AN36" s="496">
        <f t="shared" si="6"/>
        <v>0</v>
      </c>
      <c r="AO36" s="496">
        <f>B36+E36+H36+K36+Q36+T36+W36+Z36+AF36+AI36+AL36</f>
        <v>130108.38180156</v>
      </c>
      <c r="AP36" s="496">
        <f>C36+F36+I36+L36+R36+U36+X36+AA36+AG36+AJ36+AM36</f>
        <v>122889.30659500002</v>
      </c>
      <c r="AQ36" s="496">
        <f t="shared" si="2"/>
        <v>-5.5</v>
      </c>
      <c r="AR36" s="496">
        <f t="shared" si="10"/>
        <v>130108.38180156</v>
      </c>
      <c r="AS36" s="496">
        <f>F36+I36+L36+O36+U36+X36+AA36+AD36+AJ36+AM36+AP36</f>
        <v>219908.50415947003</v>
      </c>
      <c r="AT36" s="496">
        <f t="shared" si="3"/>
        <v>69</v>
      </c>
      <c r="AU36" s="480"/>
      <c r="AV36" s="480"/>
      <c r="AW36" s="501"/>
    </row>
    <row r="37" spans="1:49" ht="18.75" x14ac:dyDescent="0.3">
      <c r="A37" s="493" t="s">
        <v>213</v>
      </c>
      <c r="B37" s="499"/>
      <c r="C37" s="500"/>
      <c r="D37" s="495"/>
      <c r="E37" s="499">
        <v>81846.717999999993</v>
      </c>
      <c r="F37" s="500">
        <v>77084.793000000005</v>
      </c>
      <c r="G37" s="495">
        <f t="shared" si="4"/>
        <v>-5.8</v>
      </c>
      <c r="H37" s="499"/>
      <c r="I37" s="500"/>
      <c r="J37" s="495"/>
      <c r="K37" s="499">
        <v>56.154000000000003</v>
      </c>
      <c r="L37" s="500">
        <v>29.6</v>
      </c>
      <c r="M37" s="495">
        <f t="shared" si="13"/>
        <v>-47.3</v>
      </c>
      <c r="N37" s="499"/>
      <c r="O37" s="500"/>
      <c r="P37" s="495"/>
      <c r="Q37" s="499">
        <v>26387.366017689998</v>
      </c>
      <c r="R37" s="500">
        <v>25870.109030529999</v>
      </c>
      <c r="S37" s="495">
        <f t="shared" si="0"/>
        <v>-2</v>
      </c>
      <c r="T37" s="499"/>
      <c r="U37" s="500"/>
      <c r="V37" s="495"/>
      <c r="W37" s="499">
        <v>1048.45778387</v>
      </c>
      <c r="X37" s="500">
        <v>817.21656446999998</v>
      </c>
      <c r="Y37" s="495">
        <f t="shared" si="15"/>
        <v>-22.1</v>
      </c>
      <c r="Z37" s="499"/>
      <c r="AA37" s="500"/>
      <c r="AB37" s="495"/>
      <c r="AC37" s="499"/>
      <c r="AD37" s="500"/>
      <c r="AE37" s="495"/>
      <c r="AF37" s="499"/>
      <c r="AG37" s="500"/>
      <c r="AH37" s="495"/>
      <c r="AI37" s="499">
        <v>280.86177849999984</v>
      </c>
      <c r="AJ37" s="500">
        <v>180.96228113999928</v>
      </c>
      <c r="AK37" s="495">
        <f t="shared" si="1"/>
        <v>-35.6</v>
      </c>
      <c r="AL37" s="499">
        <v>15619.5</v>
      </c>
      <c r="AM37" s="500">
        <v>15615</v>
      </c>
      <c r="AN37" s="495">
        <f t="shared" si="6"/>
        <v>0</v>
      </c>
      <c r="AO37" s="496">
        <f t="shared" si="7"/>
        <v>125239.05758005999</v>
      </c>
      <c r="AP37" s="496">
        <f t="shared" si="7"/>
        <v>119597.68087614002</v>
      </c>
      <c r="AQ37" s="495">
        <f t="shared" si="2"/>
        <v>-4.5</v>
      </c>
      <c r="AR37" s="496">
        <f t="shared" si="10"/>
        <v>125239.05758005999</v>
      </c>
      <c r="AS37" s="496">
        <f t="shared" ref="AS37:AS55" si="18">F37+I37+L37+O37+U37+X37+AA37+AD37+AJ37+AM37+AP37</f>
        <v>213325.25272175003</v>
      </c>
      <c r="AT37" s="495">
        <f t="shared" si="3"/>
        <v>70.3</v>
      </c>
      <c r="AU37" s="480"/>
      <c r="AV37" s="480"/>
      <c r="AW37" s="501"/>
    </row>
    <row r="38" spans="1:49" ht="18.75" x14ac:dyDescent="0.3">
      <c r="A38" s="493" t="s">
        <v>231</v>
      </c>
      <c r="B38" s="499"/>
      <c r="C38" s="500"/>
      <c r="D38" s="496"/>
      <c r="E38" s="499">
        <v>24144.955000000002</v>
      </c>
      <c r="F38" s="500">
        <v>35349.667000000001</v>
      </c>
      <c r="G38" s="496">
        <f t="shared" si="4"/>
        <v>46.4</v>
      </c>
      <c r="H38" s="499"/>
      <c r="I38" s="500"/>
      <c r="J38" s="496"/>
      <c r="K38" s="499">
        <v>2977.154</v>
      </c>
      <c r="L38" s="500">
        <v>4219.8</v>
      </c>
      <c r="M38" s="496">
        <f t="shared" si="13"/>
        <v>41.7</v>
      </c>
      <c r="N38" s="499"/>
      <c r="O38" s="500"/>
      <c r="P38" s="496"/>
      <c r="Q38" s="499">
        <v>138757.19268717998</v>
      </c>
      <c r="R38" s="500">
        <v>155613.52185542003</v>
      </c>
      <c r="S38" s="496">
        <f t="shared" si="0"/>
        <v>12.1</v>
      </c>
      <c r="T38" s="499">
        <v>625.36099999999999</v>
      </c>
      <c r="U38" s="500">
        <v>693.57899999999995</v>
      </c>
      <c r="V38" s="496">
        <f t="shared" si="9"/>
        <v>10.9</v>
      </c>
      <c r="W38" s="499">
        <v>21649.780271419899</v>
      </c>
      <c r="X38" s="500">
        <v>27065.773922569999</v>
      </c>
      <c r="Y38" s="496">
        <f t="shared" si="15"/>
        <v>25</v>
      </c>
      <c r="Z38" s="499">
        <v>15617</v>
      </c>
      <c r="AA38" s="500">
        <v>18187</v>
      </c>
      <c r="AB38" s="496">
        <f t="shared" si="5"/>
        <v>16.5</v>
      </c>
      <c r="AC38" s="499"/>
      <c r="AD38" s="500"/>
      <c r="AE38" s="496"/>
      <c r="AF38" s="499">
        <v>1746.9717468100002</v>
      </c>
      <c r="AG38" s="500"/>
      <c r="AH38" s="496">
        <f t="shared" si="17"/>
        <v>-100</v>
      </c>
      <c r="AI38" s="499">
        <v>4851.3230000000003</v>
      </c>
      <c r="AJ38" s="500">
        <v>6411.625</v>
      </c>
      <c r="AK38" s="496">
        <f t="shared" si="1"/>
        <v>32.200000000000003</v>
      </c>
      <c r="AL38" s="499">
        <v>84424.9</v>
      </c>
      <c r="AM38" s="500">
        <v>105296</v>
      </c>
      <c r="AN38" s="496">
        <f t="shared" si="6"/>
        <v>24.7</v>
      </c>
      <c r="AO38" s="496">
        <f t="shared" si="7"/>
        <v>294794.6377054099</v>
      </c>
      <c r="AP38" s="496">
        <f t="shared" si="7"/>
        <v>352836.96677798999</v>
      </c>
      <c r="AQ38" s="496">
        <f t="shared" si="2"/>
        <v>19.7</v>
      </c>
      <c r="AR38" s="496">
        <f t="shared" si="10"/>
        <v>294794.6377054099</v>
      </c>
      <c r="AS38" s="496">
        <f t="shared" si="18"/>
        <v>550060.41170056001</v>
      </c>
      <c r="AT38" s="496">
        <f t="shared" si="3"/>
        <v>86.6</v>
      </c>
      <c r="AU38" s="480"/>
      <c r="AV38" s="480"/>
      <c r="AW38" s="501"/>
    </row>
    <row r="39" spans="1:49" ht="18.75" x14ac:dyDescent="0.3">
      <c r="A39" s="493" t="s">
        <v>232</v>
      </c>
      <c r="B39" s="499">
        <v>910.11699999999996</v>
      </c>
      <c r="C39" s="500">
        <v>981.72799999999995</v>
      </c>
      <c r="D39" s="496">
        <f t="shared" si="11"/>
        <v>7.9</v>
      </c>
      <c r="E39" s="499">
        <v>85251.453000000009</v>
      </c>
      <c r="F39" s="500">
        <v>76427.091</v>
      </c>
      <c r="G39" s="496">
        <f t="shared" si="4"/>
        <v>-10.4</v>
      </c>
      <c r="H39" s="499">
        <v>581.40900000000011</v>
      </c>
      <c r="I39" s="500">
        <v>720.81899999999996</v>
      </c>
      <c r="J39" s="496">
        <f t="shared" si="12"/>
        <v>24</v>
      </c>
      <c r="K39" s="499">
        <v>2108.471</v>
      </c>
      <c r="L39" s="500">
        <v>1454.537</v>
      </c>
      <c r="M39" s="496">
        <f t="shared" si="13"/>
        <v>-31</v>
      </c>
      <c r="N39" s="499"/>
      <c r="O39" s="500"/>
      <c r="P39" s="496"/>
      <c r="Q39" s="499">
        <v>226073.05727838998</v>
      </c>
      <c r="R39" s="500">
        <v>237937.28160435002</v>
      </c>
      <c r="S39" s="496">
        <f t="shared" si="0"/>
        <v>5.2</v>
      </c>
      <c r="T39" s="499">
        <v>601.50699999999995</v>
      </c>
      <c r="U39" s="500">
        <v>634.40099999999995</v>
      </c>
      <c r="V39" s="496">
        <f t="shared" si="9"/>
        <v>5.5</v>
      </c>
      <c r="W39" s="499">
        <v>18577.811312059999</v>
      </c>
      <c r="X39" s="500">
        <v>17069.640372420003</v>
      </c>
      <c r="Y39" s="496">
        <f t="shared" si="15"/>
        <v>-8.1</v>
      </c>
      <c r="Z39" s="499">
        <v>41059</v>
      </c>
      <c r="AA39" s="500">
        <v>45018</v>
      </c>
      <c r="AB39" s="496">
        <f t="shared" si="5"/>
        <v>9.6</v>
      </c>
      <c r="AC39" s="499"/>
      <c r="AD39" s="500"/>
      <c r="AE39" s="496"/>
      <c r="AF39" s="499">
        <v>6832.8815072699999</v>
      </c>
      <c r="AG39" s="500"/>
      <c r="AH39" s="496">
        <f t="shared" si="17"/>
        <v>-100</v>
      </c>
      <c r="AI39" s="499">
        <v>9731.616</v>
      </c>
      <c r="AJ39" s="500">
        <v>10261.82</v>
      </c>
      <c r="AK39" s="496">
        <f t="shared" si="1"/>
        <v>5.4</v>
      </c>
      <c r="AL39" s="499">
        <v>62483.6</v>
      </c>
      <c r="AM39" s="500">
        <v>44070</v>
      </c>
      <c r="AN39" s="496">
        <f t="shared" si="6"/>
        <v>-29.5</v>
      </c>
      <c r="AO39" s="496">
        <f t="shared" si="7"/>
        <v>454210.9230977199</v>
      </c>
      <c r="AP39" s="496">
        <f t="shared" si="7"/>
        <v>434575.31797677005</v>
      </c>
      <c r="AQ39" s="496">
        <f t="shared" si="2"/>
        <v>-4.3</v>
      </c>
      <c r="AR39" s="496">
        <f t="shared" si="10"/>
        <v>454210.9230977199</v>
      </c>
      <c r="AS39" s="496">
        <f t="shared" si="18"/>
        <v>630231.62634919002</v>
      </c>
      <c r="AT39" s="496">
        <f t="shared" si="3"/>
        <v>38.799999999999997</v>
      </c>
      <c r="AU39" s="480"/>
      <c r="AV39" s="480"/>
      <c r="AW39" s="501"/>
    </row>
    <row r="40" spans="1:49" ht="18.75" x14ac:dyDescent="0.3">
      <c r="A40" s="493" t="s">
        <v>233</v>
      </c>
      <c r="B40" s="499">
        <v>19.911999999999999</v>
      </c>
      <c r="C40" s="500">
        <v>23.847999999999999</v>
      </c>
      <c r="D40" s="496">
        <f t="shared" si="11"/>
        <v>19.8</v>
      </c>
      <c r="E40" s="499">
        <v>11746.627</v>
      </c>
      <c r="F40" s="500">
        <v>15909.77</v>
      </c>
      <c r="G40" s="496">
        <f t="shared" si="4"/>
        <v>35.4</v>
      </c>
      <c r="H40" s="499">
        <v>67.534000000000006</v>
      </c>
      <c r="I40" s="500">
        <v>83.203999999999994</v>
      </c>
      <c r="J40" s="496">
        <f t="shared" si="12"/>
        <v>23.2</v>
      </c>
      <c r="K40" s="499">
        <v>161.96700000000001</v>
      </c>
      <c r="L40" s="500">
        <v>740.7</v>
      </c>
      <c r="M40" s="496">
        <f t="shared" si="13"/>
        <v>357.3</v>
      </c>
      <c r="N40" s="499"/>
      <c r="O40" s="500"/>
      <c r="P40" s="496"/>
      <c r="Q40" s="499">
        <v>84305.946611110005</v>
      </c>
      <c r="R40" s="500">
        <v>100550.71199318</v>
      </c>
      <c r="S40" s="496">
        <f t="shared" si="0"/>
        <v>19.3</v>
      </c>
      <c r="T40" s="499">
        <v>595.149</v>
      </c>
      <c r="U40" s="500">
        <v>619.79700000000003</v>
      </c>
      <c r="V40" s="496">
        <f t="shared" si="9"/>
        <v>4.0999999999999996</v>
      </c>
      <c r="W40" s="499">
        <v>4660.1033228400001</v>
      </c>
      <c r="X40" s="500">
        <v>5250.97056901</v>
      </c>
      <c r="Y40" s="496">
        <f t="shared" si="15"/>
        <v>12.7</v>
      </c>
      <c r="Z40" s="499">
        <v>21379</v>
      </c>
      <c r="AA40" s="500">
        <v>24752</v>
      </c>
      <c r="AB40" s="496">
        <f t="shared" si="5"/>
        <v>15.8</v>
      </c>
      <c r="AC40" s="499"/>
      <c r="AD40" s="500"/>
      <c r="AE40" s="496"/>
      <c r="AF40" s="499">
        <v>1177.3089292299999</v>
      </c>
      <c r="AG40" s="500"/>
      <c r="AH40" s="496">
        <f t="shared" si="17"/>
        <v>-100</v>
      </c>
      <c r="AI40" s="499">
        <v>2594.0549999999998</v>
      </c>
      <c r="AJ40" s="500">
        <v>2923.703</v>
      </c>
      <c r="AK40" s="496">
        <f t="shared" si="1"/>
        <v>12.7</v>
      </c>
      <c r="AL40" s="499">
        <v>10164</v>
      </c>
      <c r="AM40" s="500">
        <v>11317</v>
      </c>
      <c r="AN40" s="496">
        <f t="shared" si="6"/>
        <v>11.3</v>
      </c>
      <c r="AO40" s="496">
        <f t="shared" si="7"/>
        <v>136871.60286318001</v>
      </c>
      <c r="AP40" s="496">
        <f t="shared" si="7"/>
        <v>162171.70456219002</v>
      </c>
      <c r="AQ40" s="496">
        <f t="shared" si="2"/>
        <v>18.5</v>
      </c>
      <c r="AR40" s="496">
        <f t="shared" si="10"/>
        <v>136871.60286318001</v>
      </c>
      <c r="AS40" s="496">
        <f t="shared" si="18"/>
        <v>223768.84913120003</v>
      </c>
      <c r="AT40" s="496">
        <f t="shared" si="3"/>
        <v>63.5</v>
      </c>
      <c r="AU40" s="480"/>
      <c r="AV40" s="480"/>
      <c r="AW40" s="501"/>
    </row>
    <row r="41" spans="1:49" ht="18.75" x14ac:dyDescent="0.3">
      <c r="A41" s="493" t="s">
        <v>234</v>
      </c>
      <c r="B41" s="499">
        <v>892.47699999999998</v>
      </c>
      <c r="C41" s="500">
        <v>904.92</v>
      </c>
      <c r="D41" s="496">
        <f t="shared" si="11"/>
        <v>1.4</v>
      </c>
      <c r="E41" s="499">
        <v>64779.78</v>
      </c>
      <c r="F41" s="500">
        <v>55726.521999999997</v>
      </c>
      <c r="G41" s="496">
        <f t="shared" si="4"/>
        <v>-14</v>
      </c>
      <c r="H41" s="499">
        <v>451.35700000000003</v>
      </c>
      <c r="I41" s="500">
        <v>554.07799999999997</v>
      </c>
      <c r="J41" s="496">
        <f t="shared" si="12"/>
        <v>22.8</v>
      </c>
      <c r="K41" s="499">
        <v>1426.9749999999999</v>
      </c>
      <c r="L41" s="500">
        <v>646.5</v>
      </c>
      <c r="M41" s="496">
        <f t="shared" si="13"/>
        <v>-54.7</v>
      </c>
      <c r="N41" s="499"/>
      <c r="O41" s="500"/>
      <c r="P41" s="496"/>
      <c r="Q41" s="499">
        <v>116491.15711185</v>
      </c>
      <c r="R41" s="500">
        <v>122436.09897699</v>
      </c>
      <c r="S41" s="496">
        <f t="shared" si="0"/>
        <v>5.0999999999999996</v>
      </c>
      <c r="T41" s="499"/>
      <c r="U41" s="500"/>
      <c r="V41" s="496"/>
      <c r="W41" s="499">
        <v>12627.08324623</v>
      </c>
      <c r="X41" s="500">
        <v>11299.752418010001</v>
      </c>
      <c r="Y41" s="496">
        <f t="shared" si="15"/>
        <v>-10.5</v>
      </c>
      <c r="Z41" s="499">
        <v>18510</v>
      </c>
      <c r="AA41" s="500">
        <v>18208</v>
      </c>
      <c r="AB41" s="496">
        <f t="shared" si="5"/>
        <v>-1.6</v>
      </c>
      <c r="AC41" s="499"/>
      <c r="AD41" s="500"/>
      <c r="AE41" s="496"/>
      <c r="AF41" s="499">
        <v>5222.56837473</v>
      </c>
      <c r="AG41" s="500"/>
      <c r="AH41" s="496">
        <f t="shared" si="17"/>
        <v>-100</v>
      </c>
      <c r="AI41" s="499">
        <v>7088.1490000000003</v>
      </c>
      <c r="AJ41" s="500">
        <v>7244.1809999999996</v>
      </c>
      <c r="AK41" s="496">
        <f t="shared" si="1"/>
        <v>2.2000000000000002</v>
      </c>
      <c r="AL41" s="499">
        <v>49332.6</v>
      </c>
      <c r="AM41" s="500">
        <v>32384</v>
      </c>
      <c r="AN41" s="496">
        <f t="shared" si="6"/>
        <v>-34.4</v>
      </c>
      <c r="AO41" s="496">
        <f t="shared" si="7"/>
        <v>276822.14673281001</v>
      </c>
      <c r="AP41" s="496">
        <f t="shared" si="7"/>
        <v>249404.05239500001</v>
      </c>
      <c r="AQ41" s="496">
        <f t="shared" si="2"/>
        <v>-9.9</v>
      </c>
      <c r="AR41" s="496">
        <f t="shared" si="10"/>
        <v>276822.14673281001</v>
      </c>
      <c r="AS41" s="496">
        <f t="shared" si="18"/>
        <v>375467.08581301</v>
      </c>
      <c r="AT41" s="496">
        <f t="shared" si="3"/>
        <v>35.6</v>
      </c>
      <c r="AU41" s="480"/>
      <c r="AV41" s="480"/>
      <c r="AW41" s="501"/>
    </row>
    <row r="42" spans="1:49" ht="18.75" x14ac:dyDescent="0.3">
      <c r="A42" s="493" t="s">
        <v>235</v>
      </c>
      <c r="B42" s="499"/>
      <c r="C42" s="500"/>
      <c r="D42" s="496"/>
      <c r="E42" s="499">
        <v>5413.652</v>
      </c>
      <c r="F42" s="500">
        <v>3591.67</v>
      </c>
      <c r="G42" s="496">
        <f t="shared" si="4"/>
        <v>-33.700000000000003</v>
      </c>
      <c r="H42" s="499"/>
      <c r="I42" s="500"/>
      <c r="J42" s="496"/>
      <c r="K42" s="499">
        <v>7.3390000000000004</v>
      </c>
      <c r="L42" s="500">
        <v>1.2370000000000001</v>
      </c>
      <c r="M42" s="496">
        <f t="shared" si="13"/>
        <v>-83.1</v>
      </c>
      <c r="N42" s="499"/>
      <c r="O42" s="500"/>
      <c r="P42" s="496"/>
      <c r="Q42" s="499">
        <v>10576.419623739999</v>
      </c>
      <c r="R42" s="500">
        <v>10285.800617360001</v>
      </c>
      <c r="S42" s="496">
        <f t="shared" si="0"/>
        <v>-2.7</v>
      </c>
      <c r="T42" s="499">
        <v>6.3579999999999997</v>
      </c>
      <c r="U42" s="500">
        <v>14.603999999999999</v>
      </c>
      <c r="V42" s="496">
        <f t="shared" si="9"/>
        <v>129.69999999999999</v>
      </c>
      <c r="W42" s="499"/>
      <c r="X42" s="500"/>
      <c r="Y42" s="496"/>
      <c r="Z42" s="499">
        <v>207</v>
      </c>
      <c r="AA42" s="500">
        <v>54</v>
      </c>
      <c r="AB42" s="496">
        <f t="shared" si="5"/>
        <v>-73.900000000000006</v>
      </c>
      <c r="AC42" s="499"/>
      <c r="AD42" s="500"/>
      <c r="AE42" s="496"/>
      <c r="AF42" s="499">
        <v>5.4363553200000005</v>
      </c>
      <c r="AG42" s="500"/>
      <c r="AH42" s="496">
        <f t="shared" si="17"/>
        <v>-100</v>
      </c>
      <c r="AI42" s="499"/>
      <c r="AJ42" s="500"/>
      <c r="AK42" s="496"/>
      <c r="AL42" s="499"/>
      <c r="AM42" s="500"/>
      <c r="AN42" s="496"/>
      <c r="AO42" s="496">
        <f t="shared" si="7"/>
        <v>16216.204979059999</v>
      </c>
      <c r="AP42" s="496">
        <f t="shared" si="7"/>
        <v>13947.311617359999</v>
      </c>
      <c r="AQ42" s="496">
        <f t="shared" si="2"/>
        <v>-14</v>
      </c>
      <c r="AR42" s="496">
        <f t="shared" si="10"/>
        <v>16216.204979059999</v>
      </c>
      <c r="AS42" s="496">
        <f t="shared" si="18"/>
        <v>17608.822617359998</v>
      </c>
      <c r="AT42" s="496">
        <f t="shared" si="3"/>
        <v>8.6</v>
      </c>
      <c r="AU42" s="480"/>
      <c r="AV42" s="480"/>
      <c r="AW42" s="501"/>
    </row>
    <row r="43" spans="1:49" ht="18.75" x14ac:dyDescent="0.3">
      <c r="A43" s="493" t="s">
        <v>236</v>
      </c>
      <c r="B43" s="499">
        <v>2.1509999999999998</v>
      </c>
      <c r="C43" s="500">
        <v>1.0760000000000001</v>
      </c>
      <c r="D43" s="496">
        <f t="shared" si="11"/>
        <v>-50</v>
      </c>
      <c r="E43" s="499">
        <v>353.51</v>
      </c>
      <c r="F43" s="500">
        <v>211.55699999999999</v>
      </c>
      <c r="G43" s="496">
        <f t="shared" si="4"/>
        <v>-40.200000000000003</v>
      </c>
      <c r="H43" s="499"/>
      <c r="I43" s="500"/>
      <c r="J43" s="496"/>
      <c r="K43" s="499"/>
      <c r="L43" s="500"/>
      <c r="M43" s="496"/>
      <c r="N43" s="499"/>
      <c r="O43" s="500"/>
      <c r="P43" s="496"/>
      <c r="Q43" s="499">
        <v>1903.47594144</v>
      </c>
      <c r="R43" s="500">
        <v>1164.7737033199999</v>
      </c>
      <c r="S43" s="496">
        <f t="shared" si="0"/>
        <v>-38.799999999999997</v>
      </c>
      <c r="T43" s="499"/>
      <c r="U43" s="500"/>
      <c r="V43" s="496"/>
      <c r="W43" s="499">
        <v>290.48906608999999</v>
      </c>
      <c r="X43" s="500">
        <v>171.92192478999999</v>
      </c>
      <c r="Y43" s="496">
        <f t="shared" si="15"/>
        <v>-40.799999999999997</v>
      </c>
      <c r="Z43" s="499">
        <v>6</v>
      </c>
      <c r="AA43" s="500">
        <v>65</v>
      </c>
      <c r="AB43" s="496">
        <f t="shared" si="5"/>
        <v>983.3</v>
      </c>
      <c r="AC43" s="499"/>
      <c r="AD43" s="500"/>
      <c r="AE43" s="496"/>
      <c r="AF43" s="499"/>
      <c r="AG43" s="500"/>
      <c r="AH43" s="496"/>
      <c r="AI43" s="499">
        <v>10.369</v>
      </c>
      <c r="AJ43" s="500">
        <v>23.800999999999998</v>
      </c>
      <c r="AK43" s="496">
        <f t="shared" si="1"/>
        <v>129.5</v>
      </c>
      <c r="AL43" s="499">
        <v>553</v>
      </c>
      <c r="AM43" s="500">
        <v>369</v>
      </c>
      <c r="AN43" s="496">
        <f t="shared" si="6"/>
        <v>-33.299999999999997</v>
      </c>
      <c r="AO43" s="496">
        <f t="shared" si="7"/>
        <v>3118.9950075300003</v>
      </c>
      <c r="AP43" s="496">
        <f t="shared" si="7"/>
        <v>2007.1296281099999</v>
      </c>
      <c r="AQ43" s="496">
        <f t="shared" si="2"/>
        <v>-35.6</v>
      </c>
      <c r="AR43" s="496">
        <f t="shared" si="10"/>
        <v>3118.9950075300003</v>
      </c>
      <c r="AS43" s="496">
        <f t="shared" si="18"/>
        <v>2848.4095528999997</v>
      </c>
      <c r="AT43" s="496">
        <f t="shared" si="3"/>
        <v>-8.6999999999999993</v>
      </c>
      <c r="AU43" s="480"/>
      <c r="AV43" s="480"/>
      <c r="AW43" s="501"/>
    </row>
    <row r="44" spans="1:49" ht="18.75" x14ac:dyDescent="0.3">
      <c r="A44" s="493" t="s">
        <v>237</v>
      </c>
      <c r="B44" s="499">
        <v>-4.423</v>
      </c>
      <c r="C44" s="500">
        <v>51.884</v>
      </c>
      <c r="D44" s="496">
        <f t="shared" si="11"/>
        <v>-999</v>
      </c>
      <c r="E44" s="499">
        <v>2957.884</v>
      </c>
      <c r="F44" s="500">
        <v>987.572</v>
      </c>
      <c r="G44" s="496">
        <f t="shared" si="4"/>
        <v>-66.599999999999994</v>
      </c>
      <c r="H44" s="499">
        <v>62.518000000000001</v>
      </c>
      <c r="I44" s="500">
        <v>83.537000000000006</v>
      </c>
      <c r="J44" s="496">
        <f t="shared" si="12"/>
        <v>33.6</v>
      </c>
      <c r="K44" s="499">
        <v>512.19000000000005</v>
      </c>
      <c r="L44" s="500">
        <v>66.099999999999994</v>
      </c>
      <c r="M44" s="496">
        <f t="shared" si="13"/>
        <v>-87.1</v>
      </c>
      <c r="N44" s="499"/>
      <c r="O44" s="500"/>
      <c r="P44" s="496"/>
      <c r="Q44" s="499">
        <v>12796.057990249999</v>
      </c>
      <c r="R44" s="500">
        <v>3499.8963134999999</v>
      </c>
      <c r="S44" s="496">
        <f t="shared" si="0"/>
        <v>-72.599999999999994</v>
      </c>
      <c r="T44" s="499"/>
      <c r="U44" s="500"/>
      <c r="V44" s="496"/>
      <c r="W44" s="499">
        <v>1000.1356769</v>
      </c>
      <c r="X44" s="500">
        <v>346.99546061000001</v>
      </c>
      <c r="Y44" s="496">
        <f t="shared" si="15"/>
        <v>-65.3</v>
      </c>
      <c r="Z44" s="499">
        <v>957</v>
      </c>
      <c r="AA44" s="500">
        <v>1939</v>
      </c>
      <c r="AB44" s="496">
        <f t="shared" si="5"/>
        <v>102.6</v>
      </c>
      <c r="AC44" s="499"/>
      <c r="AD44" s="500"/>
      <c r="AE44" s="496"/>
      <c r="AF44" s="499">
        <v>427.56784799000002</v>
      </c>
      <c r="AG44" s="500"/>
      <c r="AH44" s="496">
        <f t="shared" si="17"/>
        <v>-100</v>
      </c>
      <c r="AI44" s="499">
        <v>39.042999999999999</v>
      </c>
      <c r="AJ44" s="500">
        <v>70.135000000000005</v>
      </c>
      <c r="AK44" s="496">
        <f t="shared" si="1"/>
        <v>79.599999999999994</v>
      </c>
      <c r="AL44" s="499">
        <v>2434</v>
      </c>
      <c r="AM44" s="500"/>
      <c r="AN44" s="496">
        <f t="shared" si="6"/>
        <v>-100</v>
      </c>
      <c r="AO44" s="496">
        <f t="shared" si="7"/>
        <v>21181.973515140002</v>
      </c>
      <c r="AP44" s="496">
        <f t="shared" si="7"/>
        <v>7045.1197741100004</v>
      </c>
      <c r="AQ44" s="496">
        <f t="shared" si="2"/>
        <v>-66.7</v>
      </c>
      <c r="AR44" s="496">
        <f t="shared" si="10"/>
        <v>21181.973515140002</v>
      </c>
      <c r="AS44" s="496">
        <f t="shared" si="18"/>
        <v>10538.459234720001</v>
      </c>
      <c r="AT44" s="496">
        <f t="shared" si="3"/>
        <v>-50.2</v>
      </c>
      <c r="AU44" s="480"/>
      <c r="AV44" s="480"/>
      <c r="AW44" s="501"/>
    </row>
    <row r="45" spans="1:49" ht="18.75" x14ac:dyDescent="0.3">
      <c r="A45" s="497" t="s">
        <v>238</v>
      </c>
      <c r="B45" s="499">
        <v>910.11699999999996</v>
      </c>
      <c r="C45" s="500">
        <v>981.72799999999995</v>
      </c>
      <c r="D45" s="496">
        <f t="shared" si="11"/>
        <v>7.9</v>
      </c>
      <c r="E45" s="499">
        <v>211773.606</v>
      </c>
      <c r="F45" s="500">
        <v>210030.65399999998</v>
      </c>
      <c r="G45" s="496"/>
      <c r="H45" s="499">
        <v>676.9140000000001</v>
      </c>
      <c r="I45" s="500">
        <v>856.74400000000003</v>
      </c>
      <c r="J45" s="496">
        <f t="shared" si="12"/>
        <v>26.6</v>
      </c>
      <c r="K45" s="499">
        <v>5141.7790000000005</v>
      </c>
      <c r="L45" s="500">
        <v>5703.9370000000008</v>
      </c>
      <c r="M45" s="496">
        <f t="shared" si="13"/>
        <v>10.9</v>
      </c>
      <c r="N45" s="499"/>
      <c r="O45" s="500"/>
      <c r="P45" s="496"/>
      <c r="Q45" s="499">
        <v>444204.75995773997</v>
      </c>
      <c r="R45" s="500">
        <v>476229.19211938005</v>
      </c>
      <c r="S45" s="496">
        <f t="shared" si="0"/>
        <v>7.2</v>
      </c>
      <c r="T45" s="499">
        <v>1509.2669999999998</v>
      </c>
      <c r="U45" s="500">
        <v>1599.463</v>
      </c>
      <c r="V45" s="496">
        <f t="shared" si="9"/>
        <v>6</v>
      </c>
      <c r="W45" s="499">
        <v>48858.7</v>
      </c>
      <c r="X45" s="500">
        <v>50156.424344170002</v>
      </c>
      <c r="Y45" s="496">
        <f t="shared" si="15"/>
        <v>2.7</v>
      </c>
      <c r="Z45" s="499">
        <v>71429</v>
      </c>
      <c r="AA45" s="500">
        <v>78171</v>
      </c>
      <c r="AB45" s="496">
        <f t="shared" si="5"/>
        <v>9.4</v>
      </c>
      <c r="AC45" s="499"/>
      <c r="AD45" s="500"/>
      <c r="AE45" s="496"/>
      <c r="AF45" s="499">
        <v>8579.8532540800006</v>
      </c>
      <c r="AG45" s="500"/>
      <c r="AH45" s="496">
        <f t="shared" si="17"/>
        <v>-100</v>
      </c>
      <c r="AI45" s="499">
        <v>20168.955000000002</v>
      </c>
      <c r="AJ45" s="500">
        <v>21665.822</v>
      </c>
      <c r="AK45" s="496">
        <f t="shared" si="1"/>
        <v>7.4</v>
      </c>
      <c r="AL45" s="499">
        <v>183056</v>
      </c>
      <c r="AM45" s="500">
        <v>186830</v>
      </c>
      <c r="AN45" s="496">
        <f t="shared" si="6"/>
        <v>2.1</v>
      </c>
      <c r="AO45" s="496">
        <f t="shared" si="7"/>
        <v>996308.95121181989</v>
      </c>
      <c r="AP45" s="496">
        <f t="shared" si="7"/>
        <v>1032224.9644635501</v>
      </c>
      <c r="AQ45" s="496">
        <f t="shared" si="2"/>
        <v>3.6</v>
      </c>
      <c r="AR45" s="496">
        <f t="shared" si="10"/>
        <v>996308.95121181989</v>
      </c>
      <c r="AS45" s="496">
        <f t="shared" si="18"/>
        <v>1587239.0088077202</v>
      </c>
      <c r="AT45" s="496">
        <f t="shared" si="3"/>
        <v>59.3</v>
      </c>
      <c r="AU45" s="480"/>
      <c r="AV45" s="480"/>
      <c r="AW45" s="501"/>
    </row>
    <row r="46" spans="1:49" ht="18.75" x14ac:dyDescent="0.3">
      <c r="A46" s="477" t="s">
        <v>384</v>
      </c>
      <c r="B46" s="499">
        <v>104.636</v>
      </c>
      <c r="C46" s="500">
        <v>110.919</v>
      </c>
      <c r="D46" s="496">
        <f t="shared" si="11"/>
        <v>6</v>
      </c>
      <c r="E46" s="499"/>
      <c r="F46" s="500"/>
      <c r="G46" s="496"/>
      <c r="H46" s="499">
        <v>82.64</v>
      </c>
      <c r="I46" s="500">
        <v>100.21299999999999</v>
      </c>
      <c r="J46" s="496">
        <f t="shared" si="12"/>
        <v>21.3</v>
      </c>
      <c r="K46" s="499">
        <v>17.05</v>
      </c>
      <c r="L46" s="500">
        <v>28.6</v>
      </c>
      <c r="M46" s="496">
        <f t="shared" si="13"/>
        <v>67.7</v>
      </c>
      <c r="N46" s="499"/>
      <c r="O46" s="500"/>
      <c r="P46" s="496"/>
      <c r="Q46" s="499"/>
      <c r="R46" s="500"/>
      <c r="S46" s="496"/>
      <c r="T46" s="499"/>
      <c r="U46" s="500"/>
      <c r="V46" s="496"/>
      <c r="W46" s="499">
        <v>85.36</v>
      </c>
      <c r="X46" s="500">
        <v>89.03</v>
      </c>
      <c r="Y46" s="496">
        <f t="shared" si="15"/>
        <v>4.3</v>
      </c>
      <c r="Z46" s="499"/>
      <c r="AA46" s="500"/>
      <c r="AB46" s="496"/>
      <c r="AC46" s="499"/>
      <c r="AD46" s="500"/>
      <c r="AE46" s="496"/>
      <c r="AF46" s="499">
        <v>28.064532199999999</v>
      </c>
      <c r="AG46" s="500"/>
      <c r="AH46" s="496">
        <f t="shared" si="17"/>
        <v>-100</v>
      </c>
      <c r="AI46" s="499">
        <v>386.00299999999999</v>
      </c>
      <c r="AJ46" s="500">
        <v>425.45800000000003</v>
      </c>
      <c r="AK46" s="496">
        <f t="shared" si="1"/>
        <v>10.199999999999999</v>
      </c>
      <c r="AL46" s="499"/>
      <c r="AM46" s="500">
        <v>68</v>
      </c>
      <c r="AN46" s="496" t="str">
        <f t="shared" si="6"/>
        <v xml:space="preserve">    ---- </v>
      </c>
      <c r="AO46" s="496">
        <f t="shared" si="7"/>
        <v>703.7535322</v>
      </c>
      <c r="AP46" s="496">
        <f t="shared" si="7"/>
        <v>822.22</v>
      </c>
      <c r="AQ46" s="496">
        <f t="shared" si="2"/>
        <v>16.8</v>
      </c>
      <c r="AR46" s="496">
        <f t="shared" si="10"/>
        <v>703.7535322</v>
      </c>
      <c r="AS46" s="496">
        <f t="shared" si="18"/>
        <v>1533.5210000000002</v>
      </c>
      <c r="AT46" s="496">
        <f t="shared" si="3"/>
        <v>117.9</v>
      </c>
      <c r="AU46" s="480"/>
      <c r="AV46" s="480"/>
      <c r="AW46" s="501"/>
    </row>
    <row r="47" spans="1:49" ht="18.75" x14ac:dyDescent="0.3">
      <c r="A47" s="477" t="s">
        <v>239</v>
      </c>
      <c r="B47" s="499"/>
      <c r="C47" s="500"/>
      <c r="D47" s="496"/>
      <c r="E47" s="499"/>
      <c r="F47" s="500"/>
      <c r="G47" s="496"/>
      <c r="H47" s="499"/>
      <c r="I47" s="500"/>
      <c r="J47" s="496"/>
      <c r="K47" s="499"/>
      <c r="L47" s="500"/>
      <c r="M47" s="496"/>
      <c r="N47" s="499"/>
      <c r="O47" s="500"/>
      <c r="P47" s="496"/>
      <c r="Q47" s="499"/>
      <c r="R47" s="500"/>
      <c r="S47" s="496"/>
      <c r="T47" s="499"/>
      <c r="U47" s="500"/>
      <c r="V47" s="496"/>
      <c r="W47" s="499"/>
      <c r="X47" s="500"/>
      <c r="Y47" s="496"/>
      <c r="Z47" s="499"/>
      <c r="AA47" s="500"/>
      <c r="AB47" s="496"/>
      <c r="AC47" s="499"/>
      <c r="AD47" s="500"/>
      <c r="AE47" s="496"/>
      <c r="AF47" s="499"/>
      <c r="AG47" s="500"/>
      <c r="AH47" s="496"/>
      <c r="AI47" s="499"/>
      <c r="AJ47" s="500"/>
      <c r="AK47" s="496"/>
      <c r="AL47" s="499"/>
      <c r="AM47" s="500"/>
      <c r="AN47" s="496"/>
      <c r="AO47" s="496"/>
      <c r="AP47" s="496"/>
      <c r="AQ47" s="496"/>
      <c r="AR47" s="496"/>
      <c r="AS47" s="496"/>
      <c r="AT47" s="496"/>
      <c r="AU47" s="480"/>
      <c r="AV47" s="480"/>
      <c r="AW47" s="501"/>
    </row>
    <row r="48" spans="1:49" ht="18.75" x14ac:dyDescent="0.3">
      <c r="A48" s="493" t="s">
        <v>240</v>
      </c>
      <c r="B48" s="499"/>
      <c r="C48" s="500"/>
      <c r="D48" s="496"/>
      <c r="E48" s="499"/>
      <c r="F48" s="500"/>
      <c r="G48" s="496"/>
      <c r="H48" s="499"/>
      <c r="I48" s="500"/>
      <c r="J48" s="496"/>
      <c r="K48" s="499"/>
      <c r="L48" s="500"/>
      <c r="M48" s="496"/>
      <c r="N48" s="499"/>
      <c r="O48" s="500"/>
      <c r="P48" s="496"/>
      <c r="Q48" s="499"/>
      <c r="R48" s="500"/>
      <c r="S48" s="496"/>
      <c r="T48" s="499"/>
      <c r="U48" s="500"/>
      <c r="V48" s="496"/>
      <c r="W48" s="499"/>
      <c r="X48" s="500"/>
      <c r="Y48" s="496"/>
      <c r="Z48" s="499"/>
      <c r="AA48" s="500"/>
      <c r="AB48" s="496"/>
      <c r="AC48" s="499"/>
      <c r="AD48" s="500"/>
      <c r="AE48" s="496"/>
      <c r="AF48" s="499"/>
      <c r="AG48" s="500"/>
      <c r="AH48" s="496"/>
      <c r="AI48" s="499"/>
      <c r="AJ48" s="500"/>
      <c r="AK48" s="496"/>
      <c r="AL48" s="499"/>
      <c r="AM48" s="500"/>
      <c r="AN48" s="496"/>
      <c r="AO48" s="496"/>
      <c r="AP48" s="496"/>
      <c r="AQ48" s="496"/>
      <c r="AR48" s="496"/>
      <c r="AS48" s="496"/>
      <c r="AT48" s="496"/>
      <c r="AU48" s="480"/>
      <c r="AV48" s="480"/>
      <c r="AW48" s="501"/>
    </row>
    <row r="49" spans="1:49" ht="18.75" x14ac:dyDescent="0.3">
      <c r="A49" s="493" t="s">
        <v>241</v>
      </c>
      <c r="B49" s="499"/>
      <c r="C49" s="500"/>
      <c r="D49" s="496"/>
      <c r="E49" s="499"/>
      <c r="F49" s="500"/>
      <c r="G49" s="496"/>
      <c r="H49" s="499"/>
      <c r="I49" s="500"/>
      <c r="J49" s="496"/>
      <c r="K49" s="499"/>
      <c r="L49" s="500"/>
      <c r="M49" s="496"/>
      <c r="N49" s="499"/>
      <c r="O49" s="500"/>
      <c r="P49" s="496"/>
      <c r="Q49" s="499">
        <v>260.03066388000002</v>
      </c>
      <c r="R49" s="500">
        <v>277.80190687999999</v>
      </c>
      <c r="S49" s="496">
        <f t="shared" si="0"/>
        <v>6.8</v>
      </c>
      <c r="T49" s="499"/>
      <c r="U49" s="500"/>
      <c r="V49" s="496"/>
      <c r="W49" s="499"/>
      <c r="X49" s="500"/>
      <c r="Y49" s="496"/>
      <c r="Z49" s="499"/>
      <c r="AA49" s="500"/>
      <c r="AB49" s="496"/>
      <c r="AC49" s="499"/>
      <c r="AD49" s="500"/>
      <c r="AE49" s="496"/>
      <c r="AF49" s="499"/>
      <c r="AG49" s="500"/>
      <c r="AH49" s="496"/>
      <c r="AI49" s="499"/>
      <c r="AJ49" s="500"/>
      <c r="AK49" s="496"/>
      <c r="AL49" s="499">
        <v>2643.1</v>
      </c>
      <c r="AM49" s="500">
        <v>3278</v>
      </c>
      <c r="AN49" s="496">
        <f t="shared" si="6"/>
        <v>24</v>
      </c>
      <c r="AO49" s="496">
        <f t="shared" si="7"/>
        <v>2903.1306638799997</v>
      </c>
      <c r="AP49" s="496">
        <f t="shared" si="7"/>
        <v>3555.8019068799999</v>
      </c>
      <c r="AQ49" s="496">
        <f t="shared" si="2"/>
        <v>22.5</v>
      </c>
      <c r="AR49" s="496">
        <f t="shared" si="10"/>
        <v>2903.1306638799997</v>
      </c>
      <c r="AS49" s="496">
        <f t="shared" si="18"/>
        <v>6833.8019068800004</v>
      </c>
      <c r="AT49" s="496">
        <f t="shared" si="3"/>
        <v>135.4</v>
      </c>
      <c r="AU49" s="480"/>
      <c r="AV49" s="480"/>
      <c r="AW49" s="501"/>
    </row>
    <row r="50" spans="1:49" ht="18.75" x14ac:dyDescent="0.3">
      <c r="A50" s="493" t="s">
        <v>242</v>
      </c>
      <c r="B50" s="499"/>
      <c r="C50" s="500"/>
      <c r="D50" s="496"/>
      <c r="E50" s="499"/>
      <c r="F50" s="500"/>
      <c r="G50" s="496"/>
      <c r="H50" s="499"/>
      <c r="I50" s="500"/>
      <c r="J50" s="496"/>
      <c r="K50" s="499"/>
      <c r="L50" s="500"/>
      <c r="M50" s="496"/>
      <c r="N50" s="499"/>
      <c r="O50" s="500"/>
      <c r="P50" s="496"/>
      <c r="Q50" s="499">
        <v>693.70529238999984</v>
      </c>
      <c r="R50" s="500">
        <v>784.01551219999999</v>
      </c>
      <c r="S50" s="496">
        <f t="shared" si="0"/>
        <v>13</v>
      </c>
      <c r="T50" s="499"/>
      <c r="U50" s="500"/>
      <c r="V50" s="496"/>
      <c r="W50" s="499"/>
      <c r="X50" s="500"/>
      <c r="Y50" s="496"/>
      <c r="Z50" s="499"/>
      <c r="AA50" s="500"/>
      <c r="AB50" s="496"/>
      <c r="AC50" s="499"/>
      <c r="AD50" s="500"/>
      <c r="AE50" s="496"/>
      <c r="AF50" s="499"/>
      <c r="AG50" s="500"/>
      <c r="AH50" s="496"/>
      <c r="AI50" s="499"/>
      <c r="AJ50" s="500"/>
      <c r="AK50" s="496"/>
      <c r="AL50" s="499"/>
      <c r="AM50" s="500">
        <v>1125</v>
      </c>
      <c r="AN50" s="496" t="str">
        <f t="shared" si="6"/>
        <v xml:space="preserve">    ---- </v>
      </c>
      <c r="AO50" s="496">
        <f t="shared" si="7"/>
        <v>693.70529238999984</v>
      </c>
      <c r="AP50" s="496">
        <f t="shared" si="7"/>
        <v>1909.0155122000001</v>
      </c>
      <c r="AQ50" s="496">
        <f t="shared" si="2"/>
        <v>175.2</v>
      </c>
      <c r="AR50" s="496">
        <f t="shared" si="10"/>
        <v>693.70529238999984</v>
      </c>
      <c r="AS50" s="496">
        <f t="shared" si="18"/>
        <v>3034.0155122000001</v>
      </c>
      <c r="AT50" s="496">
        <f t="shared" si="3"/>
        <v>337.4</v>
      </c>
      <c r="AU50" s="480"/>
      <c r="AV50" s="480"/>
      <c r="AW50" s="501"/>
    </row>
    <row r="51" spans="1:49" ht="18.75" x14ac:dyDescent="0.3">
      <c r="A51" s="493" t="s">
        <v>243</v>
      </c>
      <c r="B51" s="499"/>
      <c r="C51" s="500"/>
      <c r="D51" s="496"/>
      <c r="E51" s="499"/>
      <c r="F51" s="500"/>
      <c r="G51" s="496"/>
      <c r="H51" s="499"/>
      <c r="I51" s="500"/>
      <c r="J51" s="496"/>
      <c r="K51" s="499"/>
      <c r="L51" s="500"/>
      <c r="M51" s="496"/>
      <c r="N51" s="499"/>
      <c r="O51" s="500"/>
      <c r="P51" s="496"/>
      <c r="Q51" s="499">
        <v>140.11259684999999</v>
      </c>
      <c r="R51" s="500">
        <v>111.65853041</v>
      </c>
      <c r="S51" s="496">
        <f t="shared" si="0"/>
        <v>-20.3</v>
      </c>
      <c r="T51" s="499"/>
      <c r="U51" s="500"/>
      <c r="V51" s="496"/>
      <c r="W51" s="499"/>
      <c r="X51" s="500"/>
      <c r="Y51" s="496"/>
      <c r="Z51" s="499"/>
      <c r="AA51" s="500"/>
      <c r="AB51" s="496"/>
      <c r="AC51" s="499"/>
      <c r="AD51" s="500"/>
      <c r="AE51" s="496"/>
      <c r="AF51" s="499"/>
      <c r="AG51" s="500"/>
      <c r="AH51" s="496"/>
      <c r="AI51" s="499"/>
      <c r="AJ51" s="500"/>
      <c r="AK51" s="496"/>
      <c r="AL51" s="499"/>
      <c r="AM51" s="500"/>
      <c r="AN51" s="496"/>
      <c r="AO51" s="496">
        <f t="shared" si="7"/>
        <v>140.11259684999999</v>
      </c>
      <c r="AP51" s="496">
        <f t="shared" si="7"/>
        <v>111.65853041</v>
      </c>
      <c r="AQ51" s="496">
        <f t="shared" si="2"/>
        <v>-20.3</v>
      </c>
      <c r="AR51" s="496">
        <f t="shared" si="10"/>
        <v>140.11259684999999</v>
      </c>
      <c r="AS51" s="496">
        <f t="shared" si="18"/>
        <v>111.65853041</v>
      </c>
      <c r="AT51" s="496">
        <f t="shared" si="3"/>
        <v>-20.3</v>
      </c>
      <c r="AU51" s="480"/>
      <c r="AV51" s="480"/>
      <c r="AW51" s="501"/>
    </row>
    <row r="52" spans="1:49" ht="18.75" x14ac:dyDescent="0.3">
      <c r="A52" s="493" t="s">
        <v>213</v>
      </c>
      <c r="B52" s="494"/>
      <c r="C52" s="495"/>
      <c r="D52" s="496"/>
      <c r="E52" s="494"/>
      <c r="F52" s="495"/>
      <c r="G52" s="496"/>
      <c r="H52" s="494"/>
      <c r="I52" s="495"/>
      <c r="J52" s="496"/>
      <c r="K52" s="494"/>
      <c r="L52" s="495"/>
      <c r="M52" s="496"/>
      <c r="N52" s="494"/>
      <c r="O52" s="495"/>
      <c r="P52" s="496"/>
      <c r="Q52" s="494"/>
      <c r="R52" s="495">
        <v>111.65853041</v>
      </c>
      <c r="S52" s="496" t="str">
        <f t="shared" si="0"/>
        <v xml:space="preserve">    ---- </v>
      </c>
      <c r="T52" s="494"/>
      <c r="U52" s="495"/>
      <c r="V52" s="496"/>
      <c r="W52" s="494"/>
      <c r="X52" s="495"/>
      <c r="Y52" s="496"/>
      <c r="Z52" s="494"/>
      <c r="AA52" s="495"/>
      <c r="AB52" s="496"/>
      <c r="AC52" s="494"/>
      <c r="AD52" s="495"/>
      <c r="AE52" s="496"/>
      <c r="AF52" s="494"/>
      <c r="AG52" s="495"/>
      <c r="AH52" s="496"/>
      <c r="AI52" s="494"/>
      <c r="AJ52" s="495"/>
      <c r="AK52" s="496"/>
      <c r="AL52" s="494"/>
      <c r="AM52" s="495"/>
      <c r="AN52" s="496"/>
      <c r="AO52" s="496">
        <f t="shared" si="7"/>
        <v>0</v>
      </c>
      <c r="AP52" s="496">
        <f t="shared" si="7"/>
        <v>111.65853041</v>
      </c>
      <c r="AQ52" s="496" t="str">
        <f t="shared" si="2"/>
        <v xml:space="preserve">    ---- </v>
      </c>
      <c r="AR52" s="496">
        <f t="shared" si="10"/>
        <v>0</v>
      </c>
      <c r="AS52" s="496">
        <f t="shared" si="18"/>
        <v>111.65853041</v>
      </c>
      <c r="AT52" s="496" t="str">
        <f t="shared" si="3"/>
        <v xml:space="preserve">    ---- </v>
      </c>
      <c r="AU52" s="491"/>
      <c r="AV52" s="491"/>
      <c r="AW52" s="498"/>
    </row>
    <row r="53" spans="1:49" ht="18.75" x14ac:dyDescent="0.3">
      <c r="A53" s="493" t="s">
        <v>244</v>
      </c>
      <c r="B53" s="499"/>
      <c r="C53" s="500"/>
      <c r="D53" s="496"/>
      <c r="E53" s="499"/>
      <c r="F53" s="500"/>
      <c r="G53" s="496"/>
      <c r="H53" s="499"/>
      <c r="I53" s="500"/>
      <c r="J53" s="496"/>
      <c r="K53" s="499"/>
      <c r="L53" s="500"/>
      <c r="M53" s="496"/>
      <c r="N53" s="499"/>
      <c r="O53" s="500"/>
      <c r="P53" s="496"/>
      <c r="Q53" s="499">
        <v>553.59269553999991</v>
      </c>
      <c r="R53" s="500">
        <v>672.35698178999996</v>
      </c>
      <c r="S53" s="496">
        <f t="shared" si="0"/>
        <v>21.5</v>
      </c>
      <c r="T53" s="499"/>
      <c r="U53" s="500"/>
      <c r="V53" s="496"/>
      <c r="W53" s="499"/>
      <c r="X53" s="500"/>
      <c r="Y53" s="496"/>
      <c r="Z53" s="499"/>
      <c r="AA53" s="500"/>
      <c r="AB53" s="496"/>
      <c r="AC53" s="499"/>
      <c r="AD53" s="500"/>
      <c r="AE53" s="496"/>
      <c r="AF53" s="499"/>
      <c r="AG53" s="500"/>
      <c r="AH53" s="496"/>
      <c r="AI53" s="499"/>
      <c r="AJ53" s="500"/>
      <c r="AK53" s="496"/>
      <c r="AL53" s="499"/>
      <c r="AM53" s="500">
        <v>1125</v>
      </c>
      <c r="AN53" s="496" t="str">
        <f t="shared" si="6"/>
        <v xml:space="preserve">    ---- </v>
      </c>
      <c r="AO53" s="496">
        <f t="shared" si="7"/>
        <v>553.59269553999991</v>
      </c>
      <c r="AP53" s="496">
        <f t="shared" si="7"/>
        <v>1797.35698179</v>
      </c>
      <c r="AQ53" s="496">
        <f t="shared" si="2"/>
        <v>224.7</v>
      </c>
      <c r="AR53" s="496">
        <f t="shared" si="10"/>
        <v>553.59269553999991</v>
      </c>
      <c r="AS53" s="496">
        <f t="shared" si="18"/>
        <v>2922.3569817899997</v>
      </c>
      <c r="AT53" s="496">
        <f t="shared" si="3"/>
        <v>427.9</v>
      </c>
      <c r="AU53" s="480"/>
      <c r="AV53" s="480"/>
      <c r="AW53" s="501"/>
    </row>
    <row r="54" spans="1:49" ht="18.75" x14ac:dyDescent="0.3">
      <c r="A54" s="493" t="s">
        <v>245</v>
      </c>
      <c r="B54" s="499">
        <v>12599.531000000001</v>
      </c>
      <c r="C54" s="500">
        <v>15516.241</v>
      </c>
      <c r="D54" s="496">
        <f t="shared" si="11"/>
        <v>23.1</v>
      </c>
      <c r="E54" s="499">
        <v>52892.824999999997</v>
      </c>
      <c r="F54" s="500">
        <v>67680.359000000011</v>
      </c>
      <c r="G54" s="496">
        <f t="shared" si="4"/>
        <v>28</v>
      </c>
      <c r="H54" s="499">
        <v>2394.875</v>
      </c>
      <c r="I54" s="500">
        <v>2925.2689999999998</v>
      </c>
      <c r="J54" s="496">
        <f t="shared" si="12"/>
        <v>22.1</v>
      </c>
      <c r="K54" s="499">
        <v>16013.493</v>
      </c>
      <c r="L54" s="500">
        <v>20522.599999999999</v>
      </c>
      <c r="M54" s="496">
        <f t="shared" si="13"/>
        <v>28.2</v>
      </c>
      <c r="N54" s="499"/>
      <c r="O54" s="500"/>
      <c r="P54" s="496"/>
      <c r="Q54" s="499">
        <v>1151.1614637199998</v>
      </c>
      <c r="R54" s="500">
        <v>1231.1899732100001</v>
      </c>
      <c r="S54" s="496">
        <f t="shared" si="0"/>
        <v>7</v>
      </c>
      <c r="T54" s="499">
        <v>1361.8420000000001</v>
      </c>
      <c r="U54" s="500">
        <v>2183.0149999999999</v>
      </c>
      <c r="V54" s="496">
        <f t="shared" si="9"/>
        <v>60.3</v>
      </c>
      <c r="W54" s="499">
        <v>42006.53</v>
      </c>
      <c r="X54" s="500">
        <v>52390.619999999995</v>
      </c>
      <c r="Y54" s="496">
        <f t="shared" si="15"/>
        <v>24.7</v>
      </c>
      <c r="Z54" s="499"/>
      <c r="AA54" s="500"/>
      <c r="AB54" s="496"/>
      <c r="AC54" s="499">
        <v>1571</v>
      </c>
      <c r="AD54" s="500">
        <v>1904</v>
      </c>
      <c r="AE54" s="496">
        <f t="shared" si="16"/>
        <v>21.2</v>
      </c>
      <c r="AF54" s="499">
        <v>539.16758709999976</v>
      </c>
      <c r="AG54" s="500"/>
      <c r="AH54" s="496">
        <f t="shared" si="17"/>
        <v>-100</v>
      </c>
      <c r="AI54" s="499">
        <v>16805.651999999998</v>
      </c>
      <c r="AJ54" s="500">
        <v>21802.566999999999</v>
      </c>
      <c r="AK54" s="496">
        <f t="shared" si="1"/>
        <v>29.7</v>
      </c>
      <c r="AL54" s="499">
        <v>55564.4</v>
      </c>
      <c r="AM54" s="500">
        <v>66828</v>
      </c>
      <c r="AN54" s="496">
        <f t="shared" si="6"/>
        <v>20.3</v>
      </c>
      <c r="AO54" s="496">
        <f t="shared" si="7"/>
        <v>201329.47705081999</v>
      </c>
      <c r="AP54" s="496">
        <f t="shared" si="7"/>
        <v>251079.86097321002</v>
      </c>
      <c r="AQ54" s="496">
        <f t="shared" si="2"/>
        <v>24.7</v>
      </c>
      <c r="AR54" s="496">
        <f t="shared" si="10"/>
        <v>202900.47705081999</v>
      </c>
      <c r="AS54" s="496">
        <f t="shared" si="18"/>
        <v>487316.29097321001</v>
      </c>
      <c r="AT54" s="496">
        <f t="shared" si="3"/>
        <v>140.19999999999999</v>
      </c>
      <c r="AU54" s="480"/>
      <c r="AV54" s="480"/>
      <c r="AW54" s="501"/>
    </row>
    <row r="55" spans="1:49" ht="18.75" x14ac:dyDescent="0.3">
      <c r="A55" s="493" t="s">
        <v>246</v>
      </c>
      <c r="B55" s="499">
        <v>7188.4160000000002</v>
      </c>
      <c r="C55" s="500">
        <v>9195.6689999999999</v>
      </c>
      <c r="D55" s="496">
        <f t="shared" si="11"/>
        <v>27.9</v>
      </c>
      <c r="E55" s="499">
        <v>27078.832999999999</v>
      </c>
      <c r="F55" s="500">
        <v>36171.338000000003</v>
      </c>
      <c r="G55" s="496">
        <f t="shared" si="4"/>
        <v>33.6</v>
      </c>
      <c r="H55" s="499">
        <v>1467.92</v>
      </c>
      <c r="I55" s="500">
        <v>1896.3459999999998</v>
      </c>
      <c r="J55" s="496">
        <f t="shared" si="12"/>
        <v>29.2</v>
      </c>
      <c r="K55" s="499">
        <v>14430.08</v>
      </c>
      <c r="L55" s="500">
        <v>18254.5</v>
      </c>
      <c r="M55" s="496">
        <f t="shared" si="13"/>
        <v>26.5</v>
      </c>
      <c r="N55" s="499"/>
      <c r="O55" s="500"/>
      <c r="P55" s="496"/>
      <c r="Q55" s="499">
        <v>460.99406398000002</v>
      </c>
      <c r="R55" s="500">
        <v>579.04001096000002</v>
      </c>
      <c r="S55" s="496">
        <f t="shared" si="0"/>
        <v>25.6</v>
      </c>
      <c r="T55" s="499">
        <v>1358.4880000000001</v>
      </c>
      <c r="U55" s="500">
        <v>2166.8040000000001</v>
      </c>
      <c r="V55" s="496">
        <f t="shared" si="9"/>
        <v>59.5</v>
      </c>
      <c r="W55" s="499">
        <v>41936.51</v>
      </c>
      <c r="X55" s="500">
        <v>52406.2</v>
      </c>
      <c r="Y55" s="496">
        <f t="shared" si="15"/>
        <v>25</v>
      </c>
      <c r="Z55" s="499"/>
      <c r="AA55" s="500"/>
      <c r="AB55" s="496"/>
      <c r="AC55" s="499">
        <v>1571</v>
      </c>
      <c r="AD55" s="500">
        <v>1904</v>
      </c>
      <c r="AE55" s="496">
        <f t="shared" si="16"/>
        <v>21.2</v>
      </c>
      <c r="AF55" s="499">
        <v>255.65374857999996</v>
      </c>
      <c r="AG55" s="500"/>
      <c r="AH55" s="496">
        <f t="shared" si="17"/>
        <v>-100</v>
      </c>
      <c r="AI55" s="499">
        <v>9268.2369999999992</v>
      </c>
      <c r="AJ55" s="500">
        <v>12525.384</v>
      </c>
      <c r="AK55" s="496">
        <f t="shared" si="1"/>
        <v>35.1</v>
      </c>
      <c r="AL55" s="499">
        <v>33942.5</v>
      </c>
      <c r="AM55" s="500">
        <v>43117</v>
      </c>
      <c r="AN55" s="496">
        <f t="shared" si="6"/>
        <v>27</v>
      </c>
      <c r="AO55" s="496">
        <f t="shared" si="7"/>
        <v>137387.63181255999</v>
      </c>
      <c r="AP55" s="496">
        <f t="shared" si="7"/>
        <v>176312.28101096</v>
      </c>
      <c r="AQ55" s="496">
        <f t="shared" si="2"/>
        <v>28.3</v>
      </c>
      <c r="AR55" s="496">
        <f t="shared" si="10"/>
        <v>138958.63181255999</v>
      </c>
      <c r="AS55" s="496">
        <f t="shared" si="18"/>
        <v>344753.85301095998</v>
      </c>
      <c r="AT55" s="496">
        <f t="shared" si="3"/>
        <v>148.1</v>
      </c>
      <c r="AU55" s="480"/>
      <c r="AV55" s="480"/>
      <c r="AW55" s="501"/>
    </row>
    <row r="56" spans="1:49" ht="18.75" x14ac:dyDescent="0.3">
      <c r="A56" s="493" t="s">
        <v>247</v>
      </c>
      <c r="B56" s="499">
        <v>5359.21</v>
      </c>
      <c r="C56" s="500">
        <v>6258.2809999999999</v>
      </c>
      <c r="D56" s="496">
        <f t="shared" si="11"/>
        <v>16.8</v>
      </c>
      <c r="E56" s="499">
        <v>24118.616999999998</v>
      </c>
      <c r="F56" s="500">
        <v>29910.267</v>
      </c>
      <c r="G56" s="496">
        <f t="shared" si="4"/>
        <v>24</v>
      </c>
      <c r="H56" s="499"/>
      <c r="I56" s="500"/>
      <c r="J56" s="496"/>
      <c r="K56" s="499">
        <v>1546.298</v>
      </c>
      <c r="L56" s="500">
        <v>2218</v>
      </c>
      <c r="M56" s="496">
        <f t="shared" si="13"/>
        <v>43.4</v>
      </c>
      <c r="N56" s="499"/>
      <c r="O56" s="500"/>
      <c r="P56" s="496"/>
      <c r="Q56" s="499">
        <v>622.49188314000003</v>
      </c>
      <c r="R56" s="500">
        <v>595.32950208</v>
      </c>
      <c r="S56" s="496">
        <f t="shared" si="0"/>
        <v>-4.4000000000000004</v>
      </c>
      <c r="T56" s="499"/>
      <c r="U56" s="500"/>
      <c r="V56" s="496"/>
      <c r="W56" s="499"/>
      <c r="X56" s="500"/>
      <c r="Y56" s="496"/>
      <c r="Z56" s="499"/>
      <c r="AA56" s="500"/>
      <c r="AB56" s="496"/>
      <c r="AC56" s="499"/>
      <c r="AD56" s="500"/>
      <c r="AE56" s="496"/>
      <c r="AF56" s="499">
        <v>258.34925563999997</v>
      </c>
      <c r="AG56" s="500"/>
      <c r="AH56" s="496">
        <f t="shared" si="17"/>
        <v>-100</v>
      </c>
      <c r="AI56" s="499">
        <v>7505.4</v>
      </c>
      <c r="AJ56" s="500">
        <v>9169.8389999999999</v>
      </c>
      <c r="AK56" s="496">
        <f t="shared" si="1"/>
        <v>22.2</v>
      </c>
      <c r="AL56" s="499">
        <v>21275.5</v>
      </c>
      <c r="AM56" s="500">
        <v>23458</v>
      </c>
      <c r="AN56" s="496">
        <f t="shared" si="6"/>
        <v>10.3</v>
      </c>
      <c r="AO56" s="496">
        <f>B56+E56+H56+K56+Q56+T56+W56+Z56+AF56+AI56+AL56</f>
        <v>60685.866138779995</v>
      </c>
      <c r="AP56" s="496">
        <f>C56+F56+I56+L56+R56+U56+X56+AA56+AG56+AJ56+AM56</f>
        <v>71609.716502080002</v>
      </c>
      <c r="AQ56" s="496">
        <f t="shared" si="2"/>
        <v>18</v>
      </c>
      <c r="AR56" s="496">
        <f t="shared" si="10"/>
        <v>60685.866138779995</v>
      </c>
      <c r="AS56" s="496">
        <f>F56+I56+L56+O56+U56+X56+AA56+AD56+AJ56+AM56+AP56</f>
        <v>136365.82250208</v>
      </c>
      <c r="AT56" s="496">
        <f t="shared" si="3"/>
        <v>124.7</v>
      </c>
      <c r="AU56" s="480"/>
      <c r="AV56" s="480"/>
      <c r="AW56" s="501"/>
    </row>
    <row r="57" spans="1:49" ht="18.75" x14ac:dyDescent="0.3">
      <c r="A57" s="493" t="s">
        <v>248</v>
      </c>
      <c r="B57" s="499"/>
      <c r="C57" s="500"/>
      <c r="D57" s="496"/>
      <c r="E57" s="499">
        <v>1695.375</v>
      </c>
      <c r="F57" s="500">
        <v>1598.7539999999999</v>
      </c>
      <c r="G57" s="496">
        <f t="shared" si="4"/>
        <v>-5.7</v>
      </c>
      <c r="H57" s="499"/>
      <c r="I57" s="500"/>
      <c r="J57" s="496"/>
      <c r="K57" s="499">
        <v>29.073</v>
      </c>
      <c r="L57" s="500">
        <v>37.799999999999997</v>
      </c>
      <c r="M57" s="496">
        <f t="shared" si="13"/>
        <v>30</v>
      </c>
      <c r="N57" s="499"/>
      <c r="O57" s="500"/>
      <c r="P57" s="496"/>
      <c r="Q57" s="499">
        <v>64.314904009999992</v>
      </c>
      <c r="R57" s="500">
        <v>51.404872759999996</v>
      </c>
      <c r="S57" s="496">
        <f t="shared" si="0"/>
        <v>-20.100000000000001</v>
      </c>
      <c r="T57" s="499">
        <v>3.3540000000000001</v>
      </c>
      <c r="U57" s="500">
        <v>16.210999999999999</v>
      </c>
      <c r="V57" s="496">
        <f t="shared" si="9"/>
        <v>383.3</v>
      </c>
      <c r="W57" s="499"/>
      <c r="X57" s="500"/>
      <c r="Y57" s="496"/>
      <c r="Z57" s="499"/>
      <c r="AA57" s="500"/>
      <c r="AB57" s="496"/>
      <c r="AC57" s="499"/>
      <c r="AD57" s="500"/>
      <c r="AE57" s="496"/>
      <c r="AF57" s="499">
        <v>0.33145192000000001</v>
      </c>
      <c r="AG57" s="500"/>
      <c r="AH57" s="496">
        <f t="shared" si="17"/>
        <v>-100</v>
      </c>
      <c r="AI57" s="499"/>
      <c r="AJ57" s="500"/>
      <c r="AK57" s="496"/>
      <c r="AL57" s="499"/>
      <c r="AM57" s="500"/>
      <c r="AN57" s="496"/>
      <c r="AO57" s="496">
        <f t="shared" si="7"/>
        <v>1792.4483559300002</v>
      </c>
      <c r="AP57" s="496">
        <f t="shared" si="7"/>
        <v>1704.1698727599999</v>
      </c>
      <c r="AQ57" s="496">
        <f t="shared" si="2"/>
        <v>-4.9000000000000004</v>
      </c>
      <c r="AR57" s="496">
        <f t="shared" si="10"/>
        <v>1792.4483559300002</v>
      </c>
      <c r="AS57" s="496">
        <f t="shared" ref="AS57:AS62" si="19">F57+I57+L57+O57+U57+X57+AA57+AD57+AJ57+AM57+AP57</f>
        <v>3356.93487276</v>
      </c>
      <c r="AT57" s="496">
        <f t="shared" si="3"/>
        <v>87.3</v>
      </c>
      <c r="AU57" s="480"/>
      <c r="AV57" s="480"/>
      <c r="AW57" s="501"/>
    </row>
    <row r="58" spans="1:49" ht="18.75" x14ac:dyDescent="0.3">
      <c r="A58" s="493" t="s">
        <v>249</v>
      </c>
      <c r="B58" s="499"/>
      <c r="C58" s="500"/>
      <c r="D58" s="496"/>
      <c r="E58" s="499"/>
      <c r="F58" s="500"/>
      <c r="G58" s="496"/>
      <c r="H58" s="499"/>
      <c r="I58" s="500"/>
      <c r="J58" s="496"/>
      <c r="K58" s="499"/>
      <c r="L58" s="500"/>
      <c r="M58" s="496"/>
      <c r="N58" s="499"/>
      <c r="O58" s="500"/>
      <c r="P58" s="496"/>
      <c r="Q58" s="499">
        <v>3.2046546</v>
      </c>
      <c r="R58" s="500">
        <v>4.5686979400000007</v>
      </c>
      <c r="S58" s="496">
        <f t="shared" si="0"/>
        <v>42.6</v>
      </c>
      <c r="T58" s="499"/>
      <c r="U58" s="500"/>
      <c r="V58" s="496"/>
      <c r="W58" s="499"/>
      <c r="X58" s="500"/>
      <c r="Y58" s="496"/>
      <c r="Z58" s="499"/>
      <c r="AA58" s="500"/>
      <c r="AB58" s="496"/>
      <c r="AC58" s="499"/>
      <c r="AD58" s="500"/>
      <c r="AE58" s="496"/>
      <c r="AF58" s="499"/>
      <c r="AG58" s="500"/>
      <c r="AH58" s="496"/>
      <c r="AI58" s="499"/>
      <c r="AJ58" s="500">
        <v>55.784999999999997</v>
      </c>
      <c r="AK58" s="496" t="str">
        <f t="shared" si="1"/>
        <v xml:space="preserve">    ---- </v>
      </c>
      <c r="AL58" s="499">
        <v>176.6</v>
      </c>
      <c r="AM58" s="500">
        <v>253</v>
      </c>
      <c r="AN58" s="496">
        <f t="shared" si="6"/>
        <v>43.3</v>
      </c>
      <c r="AO58" s="496">
        <f t="shared" si="7"/>
        <v>179.80465459999999</v>
      </c>
      <c r="AP58" s="496">
        <f t="shared" si="7"/>
        <v>313.35369794000002</v>
      </c>
      <c r="AQ58" s="496">
        <f t="shared" si="2"/>
        <v>74.3</v>
      </c>
      <c r="AR58" s="496">
        <f t="shared" si="10"/>
        <v>179.80465459999999</v>
      </c>
      <c r="AS58" s="496">
        <f t="shared" si="19"/>
        <v>622.13869793999993</v>
      </c>
      <c r="AT58" s="496">
        <f t="shared" si="3"/>
        <v>246</v>
      </c>
      <c r="AU58" s="480"/>
      <c r="AV58" s="480"/>
      <c r="AW58" s="501"/>
    </row>
    <row r="59" spans="1:49" ht="18.75" x14ac:dyDescent="0.3">
      <c r="A59" s="493" t="s">
        <v>250</v>
      </c>
      <c r="B59" s="499">
        <v>51.905000000000001</v>
      </c>
      <c r="C59" s="500">
        <v>62.290999999999997</v>
      </c>
      <c r="D59" s="496">
        <f t="shared" si="11"/>
        <v>20</v>
      </c>
      <c r="E59" s="499"/>
      <c r="F59" s="500"/>
      <c r="G59" s="496"/>
      <c r="H59" s="499">
        <v>926.95500000000004</v>
      </c>
      <c r="I59" s="500">
        <v>1028.923</v>
      </c>
      <c r="J59" s="496">
        <f t="shared" si="12"/>
        <v>11</v>
      </c>
      <c r="K59" s="499">
        <v>8.0419999999999998</v>
      </c>
      <c r="L59" s="500">
        <v>12.3</v>
      </c>
      <c r="M59" s="496">
        <f t="shared" si="13"/>
        <v>52.9</v>
      </c>
      <c r="N59" s="499"/>
      <c r="O59" s="500"/>
      <c r="P59" s="496"/>
      <c r="Q59" s="499">
        <v>0.15595798999999999</v>
      </c>
      <c r="R59" s="500">
        <v>0.84688946999999992</v>
      </c>
      <c r="S59" s="496">
        <f t="shared" si="0"/>
        <v>443</v>
      </c>
      <c r="T59" s="499"/>
      <c r="U59" s="500"/>
      <c r="V59" s="496"/>
      <c r="W59" s="499">
        <v>70.02</v>
      </c>
      <c r="X59" s="500">
        <v>-15.58</v>
      </c>
      <c r="Y59" s="496">
        <f t="shared" si="15"/>
        <v>-122.3</v>
      </c>
      <c r="Z59" s="499"/>
      <c r="AA59" s="500"/>
      <c r="AB59" s="496"/>
      <c r="AC59" s="499"/>
      <c r="AD59" s="500"/>
      <c r="AE59" s="496"/>
      <c r="AF59" s="499">
        <v>24.833130960000002</v>
      </c>
      <c r="AG59" s="500"/>
      <c r="AH59" s="496">
        <f t="shared" si="17"/>
        <v>-100</v>
      </c>
      <c r="AI59" s="499">
        <v>32.015000000000001</v>
      </c>
      <c r="AJ59" s="500">
        <v>51.558999999999997</v>
      </c>
      <c r="AK59" s="496">
        <f t="shared" si="1"/>
        <v>61</v>
      </c>
      <c r="AL59" s="499">
        <v>169.8</v>
      </c>
      <c r="AM59" s="500"/>
      <c r="AN59" s="496">
        <f t="shared" si="6"/>
        <v>-100</v>
      </c>
      <c r="AO59" s="496">
        <f t="shared" si="7"/>
        <v>1283.7260889500003</v>
      </c>
      <c r="AP59" s="496">
        <f t="shared" si="7"/>
        <v>1140.3398894699999</v>
      </c>
      <c r="AQ59" s="496">
        <f t="shared" si="2"/>
        <v>-11.2</v>
      </c>
      <c r="AR59" s="496">
        <f t="shared" si="10"/>
        <v>1283.7260889500003</v>
      </c>
      <c r="AS59" s="496">
        <f t="shared" si="19"/>
        <v>2217.5418894699997</v>
      </c>
      <c r="AT59" s="496">
        <f t="shared" si="3"/>
        <v>72.7</v>
      </c>
      <c r="AU59" s="480"/>
      <c r="AV59" s="480"/>
      <c r="AW59" s="501"/>
    </row>
    <row r="60" spans="1:49" ht="18.75" x14ac:dyDescent="0.3">
      <c r="A60" s="497" t="s">
        <v>251</v>
      </c>
      <c r="B60" s="499">
        <v>12599.531000000001</v>
      </c>
      <c r="C60" s="500">
        <v>15516.241</v>
      </c>
      <c r="D60" s="496">
        <f t="shared" si="11"/>
        <v>23.1</v>
      </c>
      <c r="E60" s="499">
        <v>52892.824999999997</v>
      </c>
      <c r="F60" s="500">
        <v>67680.359000000011</v>
      </c>
      <c r="G60" s="496">
        <f t="shared" si="4"/>
        <v>28</v>
      </c>
      <c r="H60" s="499">
        <v>2394.875</v>
      </c>
      <c r="I60" s="500">
        <v>2925.2689999999998</v>
      </c>
      <c r="J60" s="496">
        <f t="shared" si="12"/>
        <v>22.1</v>
      </c>
      <c r="K60" s="499">
        <v>16013.493</v>
      </c>
      <c r="L60" s="500">
        <v>20522.599999999999</v>
      </c>
      <c r="M60" s="496">
        <f t="shared" si="13"/>
        <v>28.2</v>
      </c>
      <c r="N60" s="499"/>
      <c r="O60" s="500"/>
      <c r="P60" s="496"/>
      <c r="Q60" s="499">
        <v>2104.8974199899994</v>
      </c>
      <c r="R60" s="500">
        <v>2293.0073922900001</v>
      </c>
      <c r="S60" s="496">
        <f t="shared" si="0"/>
        <v>8.9</v>
      </c>
      <c r="T60" s="499">
        <v>1361.8420000000001</v>
      </c>
      <c r="U60" s="500">
        <v>2183.0149999999999</v>
      </c>
      <c r="V60" s="496">
        <f t="shared" si="9"/>
        <v>60.3</v>
      </c>
      <c r="W60" s="499">
        <v>42006.53</v>
      </c>
      <c r="X60" s="500">
        <v>52390.619999999995</v>
      </c>
      <c r="Y60" s="496">
        <f t="shared" si="15"/>
        <v>24.7</v>
      </c>
      <c r="Z60" s="499"/>
      <c r="AA60" s="500"/>
      <c r="AB60" s="496"/>
      <c r="AC60" s="499">
        <v>1571</v>
      </c>
      <c r="AD60" s="500">
        <v>1904</v>
      </c>
      <c r="AE60" s="496">
        <f t="shared" si="16"/>
        <v>21.2</v>
      </c>
      <c r="AF60" s="499">
        <v>539.16758709999976</v>
      </c>
      <c r="AG60" s="500"/>
      <c r="AH60" s="496">
        <f t="shared" si="17"/>
        <v>-100</v>
      </c>
      <c r="AI60" s="499">
        <v>16805.651999999998</v>
      </c>
      <c r="AJ60" s="500">
        <v>21802.566999999999</v>
      </c>
      <c r="AK60" s="496">
        <f t="shared" si="1"/>
        <v>29.7</v>
      </c>
      <c r="AL60" s="499">
        <v>58207.5</v>
      </c>
      <c r="AM60" s="500">
        <v>71231</v>
      </c>
      <c r="AN60" s="496">
        <f t="shared" si="6"/>
        <v>22.4</v>
      </c>
      <c r="AO60" s="496">
        <f t="shared" si="7"/>
        <v>204926.31300709001</v>
      </c>
      <c r="AP60" s="496">
        <f t="shared" si="7"/>
        <v>256544.67839229002</v>
      </c>
      <c r="AQ60" s="496">
        <f t="shared" si="2"/>
        <v>25.2</v>
      </c>
      <c r="AR60" s="496">
        <f t="shared" si="10"/>
        <v>206497.31300709001</v>
      </c>
      <c r="AS60" s="496">
        <f t="shared" si="19"/>
        <v>497184.10839229007</v>
      </c>
      <c r="AT60" s="496">
        <f t="shared" si="3"/>
        <v>140.80000000000001</v>
      </c>
      <c r="AU60" s="480"/>
      <c r="AV60" s="480"/>
      <c r="AW60" s="501"/>
    </row>
    <row r="61" spans="1:49" ht="18.75" x14ac:dyDescent="0.3">
      <c r="A61" s="477" t="s">
        <v>385</v>
      </c>
      <c r="B61" s="499"/>
      <c r="C61" s="500"/>
      <c r="D61" s="495"/>
      <c r="E61" s="499"/>
      <c r="F61" s="500"/>
      <c r="G61" s="495"/>
      <c r="H61" s="499"/>
      <c r="I61" s="500"/>
      <c r="J61" s="495"/>
      <c r="K61" s="499"/>
      <c r="L61" s="500"/>
      <c r="M61" s="495"/>
      <c r="N61" s="499"/>
      <c r="O61" s="500"/>
      <c r="P61" s="495"/>
      <c r="Q61" s="499"/>
      <c r="R61" s="500"/>
      <c r="S61" s="495"/>
      <c r="T61" s="499"/>
      <c r="U61" s="500"/>
      <c r="V61" s="495"/>
      <c r="W61" s="499"/>
      <c r="X61" s="500"/>
      <c r="Y61" s="495"/>
      <c r="Z61" s="499"/>
      <c r="AA61" s="500"/>
      <c r="AB61" s="495"/>
      <c r="AC61" s="499"/>
      <c r="AD61" s="500"/>
      <c r="AE61" s="495"/>
      <c r="AF61" s="499">
        <v>0.77905791000000002</v>
      </c>
      <c r="AG61" s="500"/>
      <c r="AH61" s="495">
        <f t="shared" si="17"/>
        <v>-100</v>
      </c>
      <c r="AI61" s="499"/>
      <c r="AJ61" s="500"/>
      <c r="AK61" s="495"/>
      <c r="AL61" s="499"/>
      <c r="AM61" s="500"/>
      <c r="AN61" s="495"/>
      <c r="AO61" s="496">
        <f t="shared" si="7"/>
        <v>0.77905791000000002</v>
      </c>
      <c r="AP61" s="496">
        <f t="shared" si="7"/>
        <v>0</v>
      </c>
      <c r="AQ61" s="495">
        <f t="shared" si="2"/>
        <v>-100</v>
      </c>
      <c r="AR61" s="496">
        <f t="shared" si="10"/>
        <v>0.77905791000000002</v>
      </c>
      <c r="AS61" s="496">
        <f t="shared" si="19"/>
        <v>0</v>
      </c>
      <c r="AT61" s="495">
        <f t="shared" si="3"/>
        <v>-100</v>
      </c>
      <c r="AU61" s="480"/>
      <c r="AV61" s="480"/>
      <c r="AW61" s="501"/>
    </row>
    <row r="62" spans="1:49" ht="18.75" x14ac:dyDescent="0.3">
      <c r="A62" s="493" t="s">
        <v>252</v>
      </c>
      <c r="B62" s="499">
        <v>13614.284000000001</v>
      </c>
      <c r="C62" s="500">
        <v>16608.887999999999</v>
      </c>
      <c r="D62" s="496">
        <f t="shared" si="11"/>
        <v>22</v>
      </c>
      <c r="E62" s="499">
        <v>264666.43099999998</v>
      </c>
      <c r="F62" s="500">
        <v>277711.01299999998</v>
      </c>
      <c r="G62" s="496">
        <f t="shared" si="4"/>
        <v>4.9000000000000004</v>
      </c>
      <c r="H62" s="499">
        <v>3154.4290000000001</v>
      </c>
      <c r="I62" s="500">
        <v>3882.2260000000001</v>
      </c>
      <c r="J62" s="496">
        <f t="shared" si="12"/>
        <v>23.1</v>
      </c>
      <c r="K62" s="499">
        <v>21172.322</v>
      </c>
      <c r="L62" s="500">
        <v>26255.3</v>
      </c>
      <c r="M62" s="496">
        <f t="shared" si="13"/>
        <v>24</v>
      </c>
      <c r="N62" s="499"/>
      <c r="O62" s="500"/>
      <c r="P62" s="496"/>
      <c r="Q62" s="499">
        <v>446309.65737772995</v>
      </c>
      <c r="R62" s="500">
        <v>478522.19951167004</v>
      </c>
      <c r="S62" s="496">
        <f t="shared" si="0"/>
        <v>7.2</v>
      </c>
      <c r="T62" s="499">
        <v>2871.1089999999999</v>
      </c>
      <c r="U62" s="500">
        <v>3782.4780000000001</v>
      </c>
      <c r="V62" s="496">
        <f t="shared" si="9"/>
        <v>31.7</v>
      </c>
      <c r="W62" s="499">
        <v>90950.625021499902</v>
      </c>
      <c r="X62" s="500">
        <v>102636.07434416999</v>
      </c>
      <c r="Y62" s="496">
        <f t="shared" si="15"/>
        <v>12.8</v>
      </c>
      <c r="Z62" s="499">
        <v>71429</v>
      </c>
      <c r="AA62" s="500">
        <v>78171</v>
      </c>
      <c r="AB62" s="496">
        <f t="shared" si="5"/>
        <v>9.4</v>
      </c>
      <c r="AC62" s="499">
        <v>1571</v>
      </c>
      <c r="AD62" s="500">
        <v>1904</v>
      </c>
      <c r="AE62" s="496">
        <f t="shared" si="16"/>
        <v>21.2</v>
      </c>
      <c r="AF62" s="499">
        <v>9147.8644312899996</v>
      </c>
      <c r="AG62" s="500"/>
      <c r="AH62" s="496">
        <f t="shared" si="17"/>
        <v>-100</v>
      </c>
      <c r="AI62" s="499">
        <v>37360.61</v>
      </c>
      <c r="AJ62" s="500">
        <v>43893.846999999994</v>
      </c>
      <c r="AK62" s="496">
        <f t="shared" si="1"/>
        <v>17.5</v>
      </c>
      <c r="AL62" s="499">
        <v>241263.5</v>
      </c>
      <c r="AM62" s="500">
        <v>258128.5</v>
      </c>
      <c r="AN62" s="496">
        <f t="shared" si="6"/>
        <v>7</v>
      </c>
      <c r="AO62" s="496">
        <f t="shared" si="7"/>
        <v>1201939.8318305197</v>
      </c>
      <c r="AP62" s="496">
        <f t="shared" si="7"/>
        <v>1289591.5258558397</v>
      </c>
      <c r="AQ62" s="496">
        <f t="shared" si="2"/>
        <v>7.3</v>
      </c>
      <c r="AR62" s="496">
        <f t="shared" si="10"/>
        <v>1203510.8318305197</v>
      </c>
      <c r="AS62" s="496">
        <f t="shared" si="19"/>
        <v>2085955.9642000096</v>
      </c>
      <c r="AT62" s="496">
        <f t="shared" si="3"/>
        <v>73.3</v>
      </c>
      <c r="AU62" s="480"/>
      <c r="AV62" s="502"/>
      <c r="AW62" s="501"/>
    </row>
    <row r="63" spans="1:49" ht="18.75" x14ac:dyDescent="0.3">
      <c r="A63" s="477"/>
      <c r="B63" s="483"/>
      <c r="C63" s="484"/>
      <c r="D63" s="496"/>
      <c r="E63" s="483"/>
      <c r="F63" s="484"/>
      <c r="G63" s="496"/>
      <c r="H63" s="483"/>
      <c r="I63" s="484"/>
      <c r="J63" s="496"/>
      <c r="K63" s="483"/>
      <c r="L63" s="484"/>
      <c r="M63" s="496"/>
      <c r="N63" s="483"/>
      <c r="O63" s="484"/>
      <c r="P63" s="496"/>
      <c r="Q63" s="483"/>
      <c r="R63" s="484"/>
      <c r="S63" s="496"/>
      <c r="T63" s="483"/>
      <c r="U63" s="484"/>
      <c r="V63" s="496"/>
      <c r="W63" s="483"/>
      <c r="X63" s="484"/>
      <c r="Y63" s="496"/>
      <c r="Z63" s="483"/>
      <c r="AA63" s="484"/>
      <c r="AB63" s="496"/>
      <c r="AC63" s="483"/>
      <c r="AD63" s="484"/>
      <c r="AE63" s="496"/>
      <c r="AF63" s="483"/>
      <c r="AG63" s="484"/>
      <c r="AH63" s="496"/>
      <c r="AI63" s="483"/>
      <c r="AJ63" s="484"/>
      <c r="AK63" s="496"/>
      <c r="AL63" s="483"/>
      <c r="AM63" s="484"/>
      <c r="AN63" s="496"/>
      <c r="AO63" s="496"/>
      <c r="AP63" s="496"/>
      <c r="AQ63" s="496"/>
      <c r="AR63" s="496"/>
      <c r="AS63" s="496"/>
      <c r="AT63" s="496"/>
      <c r="AU63" s="503"/>
      <c r="AV63" s="503"/>
      <c r="AW63" s="504"/>
    </row>
    <row r="64" spans="1:49" s="505" customFormat="1" ht="18.75" x14ac:dyDescent="0.3">
      <c r="A64" s="477" t="s">
        <v>253</v>
      </c>
      <c r="B64" s="483">
        <v>13927.731000000002</v>
      </c>
      <c r="C64" s="483">
        <v>17007.871999999999</v>
      </c>
      <c r="D64" s="479">
        <f t="shared" si="11"/>
        <v>22.1</v>
      </c>
      <c r="E64" s="483">
        <v>294143.84299999999</v>
      </c>
      <c r="F64" s="484">
        <v>308855.353</v>
      </c>
      <c r="G64" s="479">
        <f t="shared" si="4"/>
        <v>5</v>
      </c>
      <c r="H64" s="483">
        <v>3651.114</v>
      </c>
      <c r="I64" s="484">
        <v>4384.6959999999999</v>
      </c>
      <c r="J64" s="479">
        <f t="shared" si="12"/>
        <v>20.100000000000001</v>
      </c>
      <c r="K64" s="483">
        <v>22177.200000000001</v>
      </c>
      <c r="L64" s="483">
        <v>27330.399999999998</v>
      </c>
      <c r="M64" s="479">
        <f t="shared" si="13"/>
        <v>23.2</v>
      </c>
      <c r="N64" s="483">
        <v>140</v>
      </c>
      <c r="O64" s="483">
        <v>140</v>
      </c>
      <c r="P64" s="479">
        <f t="shared" si="14"/>
        <v>0</v>
      </c>
      <c r="Q64" s="483">
        <v>485071.38277373993</v>
      </c>
      <c r="R64" s="484">
        <v>516327.12977871002</v>
      </c>
      <c r="S64" s="479">
        <f t="shared" si="0"/>
        <v>6.4</v>
      </c>
      <c r="T64" s="483">
        <v>3221.8649999999998</v>
      </c>
      <c r="U64" s="484">
        <v>4372.7290000000003</v>
      </c>
      <c r="V64" s="479">
        <f t="shared" si="9"/>
        <v>35.700000000000003</v>
      </c>
      <c r="W64" s="483">
        <v>99702.615021499907</v>
      </c>
      <c r="X64" s="483">
        <v>112913.30434416998</v>
      </c>
      <c r="Y64" s="479">
        <f t="shared" si="15"/>
        <v>13.3</v>
      </c>
      <c r="Z64" s="483">
        <v>79442</v>
      </c>
      <c r="AA64" s="483">
        <v>87429</v>
      </c>
      <c r="AB64" s="479">
        <f t="shared" si="5"/>
        <v>10.1</v>
      </c>
      <c r="AC64" s="483">
        <v>1596</v>
      </c>
      <c r="AD64" s="483">
        <v>1943</v>
      </c>
      <c r="AE64" s="479">
        <f t="shared" si="16"/>
        <v>21.7</v>
      </c>
      <c r="AF64" s="483">
        <v>9578.9121728499995</v>
      </c>
      <c r="AG64" s="483">
        <v>0</v>
      </c>
      <c r="AH64" s="479">
        <f t="shared" si="17"/>
        <v>-100</v>
      </c>
      <c r="AI64" s="483">
        <v>42619.923999999999</v>
      </c>
      <c r="AJ64" s="483">
        <v>50163.070999999996</v>
      </c>
      <c r="AK64" s="479">
        <f t="shared" si="1"/>
        <v>17.7</v>
      </c>
      <c r="AL64" s="483">
        <v>274379.2</v>
      </c>
      <c r="AM64" s="484">
        <v>292733</v>
      </c>
      <c r="AN64" s="479">
        <f t="shared" si="6"/>
        <v>6.7</v>
      </c>
      <c r="AO64" s="479">
        <f>B64+E64+H64+K64+Q64+T64+W64+Z64+AF64+AI64+AL64</f>
        <v>1327915.7869680899</v>
      </c>
      <c r="AP64" s="479">
        <f>C64+F64+I64+L64+R64+U64+X64+AA64+AG64+AJ64+AM64</f>
        <v>1421516.55512288</v>
      </c>
      <c r="AQ64" s="479">
        <f t="shared" si="2"/>
        <v>7</v>
      </c>
      <c r="AR64" s="479">
        <f t="shared" si="10"/>
        <v>1329651.7869680899</v>
      </c>
      <c r="AS64" s="479">
        <f>F64+I64+L64+O64+U64+X64+AA64+AD64+AJ64+AM64+AP64</f>
        <v>2311781.1084670499</v>
      </c>
      <c r="AT64" s="479">
        <f t="shared" si="3"/>
        <v>73.900000000000006</v>
      </c>
      <c r="AU64" s="503"/>
      <c r="AV64" s="503"/>
      <c r="AW64" s="504"/>
    </row>
    <row r="65" spans="1:49" ht="18.75" x14ac:dyDescent="0.3">
      <c r="A65" s="506"/>
      <c r="B65" s="499"/>
      <c r="C65" s="500"/>
      <c r="D65" s="496"/>
      <c r="E65" s="499"/>
      <c r="F65" s="500"/>
      <c r="G65" s="496"/>
      <c r="H65" s="499"/>
      <c r="I65" s="500"/>
      <c r="J65" s="496"/>
      <c r="K65" s="499"/>
      <c r="L65" s="500"/>
      <c r="M65" s="496"/>
      <c r="N65" s="499"/>
      <c r="O65" s="500"/>
      <c r="P65" s="496"/>
      <c r="Q65" s="499"/>
      <c r="R65" s="500"/>
      <c r="S65" s="496"/>
      <c r="T65" s="499"/>
      <c r="U65" s="500"/>
      <c r="V65" s="496"/>
      <c r="W65" s="499"/>
      <c r="X65" s="500"/>
      <c r="Y65" s="496"/>
      <c r="Z65" s="499"/>
      <c r="AA65" s="500"/>
      <c r="AB65" s="496"/>
      <c r="AC65" s="499"/>
      <c r="AD65" s="500"/>
      <c r="AE65" s="496"/>
      <c r="AF65" s="499"/>
      <c r="AG65" s="500"/>
      <c r="AH65" s="496"/>
      <c r="AI65" s="499"/>
      <c r="AJ65" s="500"/>
      <c r="AK65" s="496"/>
      <c r="AL65" s="499"/>
      <c r="AM65" s="500"/>
      <c r="AN65" s="496"/>
      <c r="AO65" s="496"/>
      <c r="AP65" s="496"/>
      <c r="AQ65" s="496"/>
      <c r="AR65" s="496"/>
      <c r="AS65" s="496"/>
      <c r="AT65" s="496"/>
      <c r="AU65" s="480"/>
      <c r="AV65" s="480"/>
      <c r="AW65" s="501"/>
    </row>
    <row r="66" spans="1:49" s="505" customFormat="1" ht="18.75" x14ac:dyDescent="0.3">
      <c r="A66" s="477" t="s">
        <v>254</v>
      </c>
      <c r="B66" s="483"/>
      <c r="C66" s="484"/>
      <c r="D66" s="479"/>
      <c r="E66" s="483"/>
      <c r="F66" s="484"/>
      <c r="G66" s="479"/>
      <c r="H66" s="483"/>
      <c r="I66" s="484"/>
      <c r="J66" s="479"/>
      <c r="K66" s="483"/>
      <c r="L66" s="484"/>
      <c r="M66" s="479"/>
      <c r="N66" s="483"/>
      <c r="O66" s="484"/>
      <c r="P66" s="479"/>
      <c r="Q66" s="483"/>
      <c r="R66" s="484"/>
      <c r="S66" s="479"/>
      <c r="T66" s="483"/>
      <c r="U66" s="484"/>
      <c r="V66" s="479"/>
      <c r="W66" s="483"/>
      <c r="X66" s="484"/>
      <c r="Y66" s="479"/>
      <c r="Z66" s="483"/>
      <c r="AA66" s="484"/>
      <c r="AB66" s="479"/>
      <c r="AC66" s="483"/>
      <c r="AD66" s="484"/>
      <c r="AE66" s="479"/>
      <c r="AF66" s="483"/>
      <c r="AG66" s="484"/>
      <c r="AH66" s="479"/>
      <c r="AI66" s="483"/>
      <c r="AJ66" s="484"/>
      <c r="AK66" s="479"/>
      <c r="AL66" s="483"/>
      <c r="AM66" s="484"/>
      <c r="AN66" s="479"/>
      <c r="AO66" s="479"/>
      <c r="AP66" s="479"/>
      <c r="AQ66" s="479"/>
      <c r="AR66" s="479"/>
      <c r="AS66" s="479"/>
      <c r="AT66" s="479"/>
      <c r="AU66" s="503"/>
      <c r="AV66" s="503"/>
      <c r="AW66" s="504"/>
    </row>
    <row r="67" spans="1:49" ht="18.75" x14ac:dyDescent="0.3">
      <c r="A67" s="477"/>
      <c r="B67" s="499"/>
      <c r="C67" s="500"/>
      <c r="D67" s="496"/>
      <c r="E67" s="499"/>
      <c r="F67" s="500"/>
      <c r="G67" s="496"/>
      <c r="H67" s="499"/>
      <c r="I67" s="500"/>
      <c r="J67" s="496"/>
      <c r="K67" s="499"/>
      <c r="L67" s="500"/>
      <c r="M67" s="496"/>
      <c r="N67" s="499"/>
      <c r="O67" s="500"/>
      <c r="P67" s="496"/>
      <c r="Q67" s="499"/>
      <c r="R67" s="500"/>
      <c r="S67" s="496"/>
      <c r="T67" s="499"/>
      <c r="U67" s="500"/>
      <c r="V67" s="496"/>
      <c r="W67" s="499"/>
      <c r="X67" s="500"/>
      <c r="Y67" s="496"/>
      <c r="Z67" s="499"/>
      <c r="AA67" s="500"/>
      <c r="AB67" s="496"/>
      <c r="AC67" s="499"/>
      <c r="AD67" s="500"/>
      <c r="AE67" s="496"/>
      <c r="AF67" s="499"/>
      <c r="AG67" s="500"/>
      <c r="AH67" s="496"/>
      <c r="AI67" s="499"/>
      <c r="AJ67" s="500"/>
      <c r="AK67" s="496"/>
      <c r="AL67" s="499"/>
      <c r="AM67" s="500"/>
      <c r="AN67" s="496"/>
      <c r="AO67" s="496"/>
      <c r="AP67" s="496"/>
      <c r="AQ67" s="496"/>
      <c r="AR67" s="496"/>
      <c r="AS67" s="496"/>
      <c r="AT67" s="496"/>
      <c r="AU67" s="480"/>
      <c r="AV67" s="480"/>
      <c r="AW67" s="501"/>
    </row>
    <row r="68" spans="1:49" ht="18.75" x14ac:dyDescent="0.3">
      <c r="A68" s="493" t="s">
        <v>255</v>
      </c>
      <c r="B68" s="499">
        <v>141.16</v>
      </c>
      <c r="C68" s="500">
        <v>141.16</v>
      </c>
      <c r="D68" s="496">
        <f t="shared" si="11"/>
        <v>0</v>
      </c>
      <c r="E68" s="499">
        <v>7765.924</v>
      </c>
      <c r="F68" s="500">
        <v>7765.924</v>
      </c>
      <c r="G68" s="496">
        <f t="shared" si="4"/>
        <v>0</v>
      </c>
      <c r="H68" s="499">
        <v>175</v>
      </c>
      <c r="I68" s="500">
        <v>175</v>
      </c>
      <c r="J68" s="496">
        <f t="shared" si="12"/>
        <v>0</v>
      </c>
      <c r="K68" s="499">
        <v>119.646</v>
      </c>
      <c r="L68" s="500">
        <v>119.74</v>
      </c>
      <c r="M68" s="496">
        <f t="shared" si="13"/>
        <v>0.1</v>
      </c>
      <c r="N68" s="499">
        <v>5</v>
      </c>
      <c r="O68" s="500">
        <v>5</v>
      </c>
      <c r="P68" s="496">
        <f t="shared" si="14"/>
        <v>0</v>
      </c>
      <c r="Q68" s="499">
        <v>10423.6994</v>
      </c>
      <c r="R68" s="500">
        <v>11770.564155</v>
      </c>
      <c r="S68" s="496">
        <f t="shared" si="0"/>
        <v>12.9</v>
      </c>
      <c r="T68" s="499">
        <v>501.25</v>
      </c>
      <c r="U68" s="500">
        <v>741.25</v>
      </c>
      <c r="V68" s="496">
        <f t="shared" si="9"/>
        <v>47.9</v>
      </c>
      <c r="W68" s="499">
        <v>1126.96</v>
      </c>
      <c r="X68" s="500">
        <v>1126.76</v>
      </c>
      <c r="Y68" s="496">
        <f t="shared" si="15"/>
        <v>0</v>
      </c>
      <c r="Z68" s="499">
        <v>1430</v>
      </c>
      <c r="AA68" s="500">
        <v>1430</v>
      </c>
      <c r="AB68" s="496">
        <f t="shared" si="5"/>
        <v>0</v>
      </c>
      <c r="AC68" s="499">
        <v>49</v>
      </c>
      <c r="AD68" s="500">
        <v>49</v>
      </c>
      <c r="AE68" s="496">
        <f t="shared" si="16"/>
        <v>0</v>
      </c>
      <c r="AF68" s="499">
        <v>419.73989618000007</v>
      </c>
      <c r="AG68" s="500"/>
      <c r="AH68" s="496">
        <f t="shared" si="17"/>
        <v>-100</v>
      </c>
      <c r="AI68" s="499">
        <v>2491.1880000000001</v>
      </c>
      <c r="AJ68" s="500">
        <v>2491.1880000000001</v>
      </c>
      <c r="AK68" s="496">
        <f t="shared" si="1"/>
        <v>0</v>
      </c>
      <c r="AL68" s="499">
        <v>13251</v>
      </c>
      <c r="AM68" s="500">
        <v>13251</v>
      </c>
      <c r="AN68" s="496">
        <f t="shared" si="6"/>
        <v>0</v>
      </c>
      <c r="AO68" s="496">
        <f t="shared" si="7"/>
        <v>37845.567296180001</v>
      </c>
      <c r="AP68" s="496">
        <f t="shared" si="7"/>
        <v>39012.586154999997</v>
      </c>
      <c r="AQ68" s="496">
        <f t="shared" si="2"/>
        <v>3.1</v>
      </c>
      <c r="AR68" s="496">
        <f t="shared" si="10"/>
        <v>37899.567296180001</v>
      </c>
      <c r="AS68" s="496">
        <f t="shared" ref="AS68:AS91" si="20">F68+I68+L68+O68+U68+X68+AA68+AD68+AJ68+AM68+AP68</f>
        <v>66167.448154999991</v>
      </c>
      <c r="AT68" s="496">
        <f t="shared" si="3"/>
        <v>74.599999999999994</v>
      </c>
      <c r="AU68" s="480"/>
      <c r="AV68" s="480"/>
      <c r="AW68" s="501"/>
    </row>
    <row r="69" spans="1:49" ht="18.75" x14ac:dyDescent="0.3">
      <c r="A69" s="493" t="s">
        <v>256</v>
      </c>
      <c r="B69" s="499">
        <v>173.36699999999999</v>
      </c>
      <c r="C69" s="500">
        <v>264.82799999999997</v>
      </c>
      <c r="D69" s="496">
        <f t="shared" si="11"/>
        <v>52.8</v>
      </c>
      <c r="E69" s="499">
        <v>14024.34</v>
      </c>
      <c r="F69" s="500">
        <v>15876.273999999999</v>
      </c>
      <c r="G69" s="496">
        <f t="shared" si="4"/>
        <v>13.2</v>
      </c>
      <c r="H69" s="499">
        <v>100.755</v>
      </c>
      <c r="I69" s="500">
        <v>128.672</v>
      </c>
      <c r="J69" s="496">
        <f t="shared" si="12"/>
        <v>27.7</v>
      </c>
      <c r="K69" s="499">
        <v>487.55700000000002</v>
      </c>
      <c r="L69" s="500">
        <v>574.29999999999995</v>
      </c>
      <c r="M69" s="496">
        <f t="shared" si="13"/>
        <v>17.8</v>
      </c>
      <c r="N69" s="499">
        <v>47</v>
      </c>
      <c r="O69" s="500">
        <v>57</v>
      </c>
      <c r="P69" s="496">
        <f t="shared" si="14"/>
        <v>21.3</v>
      </c>
      <c r="Q69" s="499">
        <v>14578.678533209999</v>
      </c>
      <c r="R69" s="500">
        <v>16950.11895661</v>
      </c>
      <c r="S69" s="496">
        <f t="shared" si="0"/>
        <v>16.3</v>
      </c>
      <c r="T69" s="499">
        <v>-173.15600000000001</v>
      </c>
      <c r="U69" s="500">
        <v>-210.18700000000001</v>
      </c>
      <c r="V69" s="496">
        <f t="shared" si="9"/>
        <v>21.4</v>
      </c>
      <c r="W69" s="499">
        <v>4679.05</v>
      </c>
      <c r="X69" s="500">
        <v>5712.82</v>
      </c>
      <c r="Y69" s="496">
        <f t="shared" si="15"/>
        <v>22.1</v>
      </c>
      <c r="Z69" s="499">
        <v>5300</v>
      </c>
      <c r="AA69" s="500">
        <v>6034</v>
      </c>
      <c r="AB69" s="496">
        <f t="shared" si="5"/>
        <v>13.8</v>
      </c>
      <c r="AC69" s="499">
        <v>-25</v>
      </c>
      <c r="AD69" s="500">
        <v>-14</v>
      </c>
      <c r="AE69" s="496">
        <f t="shared" si="16"/>
        <v>-44</v>
      </c>
      <c r="AF69" s="499">
        <v>-5.5416940599999949</v>
      </c>
      <c r="AG69" s="500"/>
      <c r="AH69" s="496">
        <f t="shared" si="17"/>
        <v>-100</v>
      </c>
      <c r="AI69" s="499">
        <v>1323.934</v>
      </c>
      <c r="AJ69" s="500">
        <v>1329.461</v>
      </c>
      <c r="AK69" s="496">
        <f>IF(AI69=0, "    ---- ", IF(ABS(ROUND(100/AI69*AJ69-100,1))&lt;999,ROUND(100/AI69*AJ69-100,1),IF(ROUND(100/AI69*AJ69-100,1)&gt;999,999,-999)))</f>
        <v>0.4</v>
      </c>
      <c r="AL69" s="499">
        <v>10646</v>
      </c>
      <c r="AM69" s="500">
        <v>11960</v>
      </c>
      <c r="AN69" s="496">
        <f t="shared" si="6"/>
        <v>12.3</v>
      </c>
      <c r="AO69" s="496">
        <f t="shared" si="7"/>
        <v>51134.983839150002</v>
      </c>
      <c r="AP69" s="496">
        <f t="shared" si="7"/>
        <v>58620.286956610005</v>
      </c>
      <c r="AQ69" s="496">
        <f t="shared" si="2"/>
        <v>14.6</v>
      </c>
      <c r="AR69" s="496">
        <f t="shared" si="10"/>
        <v>51156.983839150002</v>
      </c>
      <c r="AS69" s="496">
        <f t="shared" si="20"/>
        <v>100068.62695661001</v>
      </c>
      <c r="AT69" s="496">
        <f t="shared" si="3"/>
        <v>95.6</v>
      </c>
      <c r="AU69" s="480"/>
      <c r="AV69" s="480"/>
      <c r="AW69" s="501"/>
    </row>
    <row r="70" spans="1:49" ht="18.75" x14ac:dyDescent="0.3">
      <c r="A70" s="493" t="s">
        <v>257</v>
      </c>
      <c r="B70" s="499">
        <v>3.4529999999999998</v>
      </c>
      <c r="C70" s="500">
        <v>3.4529999999999998</v>
      </c>
      <c r="D70" s="496">
        <f t="shared" si="11"/>
        <v>0</v>
      </c>
      <c r="E70" s="499">
        <v>319.24599999999998</v>
      </c>
      <c r="F70" s="500">
        <v>406.78399999999999</v>
      </c>
      <c r="G70" s="496">
        <f t="shared" si="4"/>
        <v>27.4</v>
      </c>
      <c r="H70" s="499">
        <v>35.170999999999999</v>
      </c>
      <c r="I70" s="500">
        <v>47</v>
      </c>
      <c r="J70" s="496">
        <f t="shared" si="12"/>
        <v>33.6</v>
      </c>
      <c r="K70" s="499"/>
      <c r="L70" s="500"/>
      <c r="M70" s="496"/>
      <c r="N70" s="499"/>
      <c r="O70" s="500"/>
      <c r="P70" s="496"/>
      <c r="Q70" s="499">
        <v>3363.8486469999998</v>
      </c>
      <c r="R70" s="500">
        <v>3906.7875840000002</v>
      </c>
      <c r="S70" s="496">
        <f t="shared" si="0"/>
        <v>16.100000000000001</v>
      </c>
      <c r="T70" s="499">
        <v>4.0640000000000001</v>
      </c>
      <c r="U70" s="500">
        <v>0</v>
      </c>
      <c r="V70" s="496">
        <f t="shared" si="9"/>
        <v>-100</v>
      </c>
      <c r="W70" s="499">
        <v>125.19</v>
      </c>
      <c r="X70" s="500">
        <v>102.28</v>
      </c>
      <c r="Y70" s="496">
        <f t="shared" si="15"/>
        <v>-18.3</v>
      </c>
      <c r="Z70" s="499"/>
      <c r="AA70" s="500"/>
      <c r="AB70" s="496"/>
      <c r="AC70" s="499"/>
      <c r="AD70" s="500"/>
      <c r="AE70" s="496"/>
      <c r="AF70" s="499"/>
      <c r="AG70" s="500"/>
      <c r="AH70" s="496"/>
      <c r="AI70" s="499">
        <v>67.730999999999995</v>
      </c>
      <c r="AJ70" s="500">
        <v>36.554000000000002</v>
      </c>
      <c r="AK70" s="496">
        <f t="shared" si="1"/>
        <v>-46</v>
      </c>
      <c r="AL70" s="499">
        <v>136.30000000000001</v>
      </c>
      <c r="AM70" s="500">
        <v>144</v>
      </c>
      <c r="AN70" s="496">
        <f t="shared" si="6"/>
        <v>5.6</v>
      </c>
      <c r="AO70" s="496">
        <f t="shared" si="7"/>
        <v>4055.0036469999995</v>
      </c>
      <c r="AP70" s="496">
        <f t="shared" si="7"/>
        <v>4646.8585839999996</v>
      </c>
      <c r="AQ70" s="496">
        <f t="shared" si="2"/>
        <v>14.6</v>
      </c>
      <c r="AR70" s="496">
        <f t="shared" si="10"/>
        <v>4055.0036469999995</v>
      </c>
      <c r="AS70" s="496">
        <f t="shared" si="20"/>
        <v>5383.476584</v>
      </c>
      <c r="AT70" s="496">
        <f t="shared" si="3"/>
        <v>32.799999999999997</v>
      </c>
      <c r="AU70" s="480"/>
      <c r="AV70" s="480"/>
      <c r="AW70" s="501"/>
    </row>
    <row r="71" spans="1:49" ht="18.75" x14ac:dyDescent="0.3">
      <c r="A71" s="493" t="s">
        <v>258</v>
      </c>
      <c r="B71" s="499"/>
      <c r="C71" s="500"/>
      <c r="D71" s="496"/>
      <c r="E71" s="499">
        <v>5500</v>
      </c>
      <c r="F71" s="500">
        <v>5500</v>
      </c>
      <c r="G71" s="496">
        <f t="shared" si="4"/>
        <v>0</v>
      </c>
      <c r="H71" s="499"/>
      <c r="I71" s="500"/>
      <c r="J71" s="496"/>
      <c r="K71" s="499">
        <v>300</v>
      </c>
      <c r="L71" s="500">
        <v>299.5</v>
      </c>
      <c r="M71" s="496">
        <f t="shared" si="13"/>
        <v>-0.2</v>
      </c>
      <c r="N71" s="499"/>
      <c r="O71" s="500"/>
      <c r="P71" s="496"/>
      <c r="Q71" s="499">
        <v>8199.3387294700005</v>
      </c>
      <c r="R71" s="500">
        <v>8002.1378217399997</v>
      </c>
      <c r="S71" s="496">
        <f t="shared" si="0"/>
        <v>-2.4</v>
      </c>
      <c r="T71" s="499"/>
      <c r="U71" s="500"/>
      <c r="V71" s="496"/>
      <c r="W71" s="499">
        <v>2830</v>
      </c>
      <c r="X71" s="500">
        <v>2830</v>
      </c>
      <c r="Y71" s="496">
        <f t="shared" si="15"/>
        <v>0</v>
      </c>
      <c r="Z71" s="499">
        <v>1240</v>
      </c>
      <c r="AA71" s="500">
        <v>1240</v>
      </c>
      <c r="AB71" s="496">
        <f t="shared" si="5"/>
        <v>0</v>
      </c>
      <c r="AC71" s="499"/>
      <c r="AD71" s="500"/>
      <c r="AE71" s="496"/>
      <c r="AF71" s="499"/>
      <c r="AG71" s="500"/>
      <c r="AH71" s="496"/>
      <c r="AI71" s="499"/>
      <c r="AJ71" s="500">
        <v>1000</v>
      </c>
      <c r="AK71" s="496" t="str">
        <f t="shared" si="1"/>
        <v xml:space="preserve">    ---- </v>
      </c>
      <c r="AL71" s="499">
        <v>6645</v>
      </c>
      <c r="AM71" s="500">
        <v>7405</v>
      </c>
      <c r="AN71" s="496">
        <f t="shared" si="6"/>
        <v>11.4</v>
      </c>
      <c r="AO71" s="496">
        <f t="shared" si="7"/>
        <v>24714.338729470001</v>
      </c>
      <c r="AP71" s="496">
        <f t="shared" si="7"/>
        <v>26276.637821739998</v>
      </c>
      <c r="AQ71" s="496">
        <f t="shared" si="2"/>
        <v>6.3</v>
      </c>
      <c r="AR71" s="496">
        <f t="shared" si="10"/>
        <v>24714.338729470001</v>
      </c>
      <c r="AS71" s="496">
        <f t="shared" si="20"/>
        <v>44551.137821739998</v>
      </c>
      <c r="AT71" s="496">
        <f t="shared" si="3"/>
        <v>80.3</v>
      </c>
      <c r="AU71" s="480"/>
      <c r="AV71" s="481"/>
      <c r="AW71" s="501"/>
    </row>
    <row r="72" spans="1:49" ht="18.75" x14ac:dyDescent="0.3">
      <c r="A72" s="493" t="s">
        <v>259</v>
      </c>
      <c r="B72" s="499"/>
      <c r="C72" s="500"/>
      <c r="D72" s="496"/>
      <c r="E72" s="499"/>
      <c r="F72" s="500"/>
      <c r="G72" s="496"/>
      <c r="H72" s="499"/>
      <c r="I72" s="500"/>
      <c r="J72" s="496"/>
      <c r="K72" s="499"/>
      <c r="L72" s="500"/>
      <c r="M72" s="496"/>
      <c r="N72" s="499"/>
      <c r="O72" s="500"/>
      <c r="P72" s="496"/>
      <c r="Q72" s="499"/>
      <c r="R72" s="500"/>
      <c r="S72" s="496"/>
      <c r="T72" s="499"/>
      <c r="U72" s="500"/>
      <c r="V72" s="496"/>
      <c r="W72" s="499"/>
      <c r="X72" s="500"/>
      <c r="Y72" s="496"/>
      <c r="Z72" s="499"/>
      <c r="AA72" s="500"/>
      <c r="AB72" s="496"/>
      <c r="AC72" s="499"/>
      <c r="AD72" s="500"/>
      <c r="AE72" s="496"/>
      <c r="AF72" s="499"/>
      <c r="AG72" s="500"/>
      <c r="AH72" s="496"/>
      <c r="AI72" s="499"/>
      <c r="AJ72" s="500"/>
      <c r="AK72" s="496"/>
      <c r="AL72" s="499"/>
      <c r="AM72" s="500"/>
      <c r="AN72" s="496"/>
      <c r="AO72" s="496"/>
      <c r="AP72" s="496"/>
      <c r="AQ72" s="496"/>
      <c r="AR72" s="496"/>
      <c r="AS72" s="496"/>
      <c r="AT72" s="496"/>
      <c r="AU72" s="480"/>
      <c r="AV72" s="480"/>
      <c r="AW72" s="501"/>
    </row>
    <row r="73" spans="1:49" ht="18.75" x14ac:dyDescent="0.3">
      <c r="A73" s="493" t="s">
        <v>260</v>
      </c>
      <c r="B73" s="499">
        <v>800.94200000000001</v>
      </c>
      <c r="C73" s="500">
        <v>865.41000000000008</v>
      </c>
      <c r="D73" s="496">
        <f t="shared" si="11"/>
        <v>8</v>
      </c>
      <c r="E73" s="499">
        <v>199919.33800000002</v>
      </c>
      <c r="F73" s="500">
        <v>197963.51300000001</v>
      </c>
      <c r="G73" s="496">
        <f t="shared" si="4"/>
        <v>-1</v>
      </c>
      <c r="H73" s="499">
        <v>893.66499999999996</v>
      </c>
      <c r="I73" s="500">
        <v>1044.058</v>
      </c>
      <c r="J73" s="496">
        <f t="shared" si="12"/>
        <v>16.8</v>
      </c>
      <c r="K73" s="499">
        <v>4972.2119999999995</v>
      </c>
      <c r="L73" s="500">
        <v>5502.1</v>
      </c>
      <c r="M73" s="496">
        <f t="shared" si="13"/>
        <v>10.7</v>
      </c>
      <c r="N73" s="499">
        <v>61</v>
      </c>
      <c r="O73" s="500">
        <v>72</v>
      </c>
      <c r="P73" s="496">
        <f t="shared" si="14"/>
        <v>18</v>
      </c>
      <c r="Q73" s="499">
        <v>368440.28970388003</v>
      </c>
      <c r="R73" s="500">
        <v>390712.70437231002</v>
      </c>
      <c r="S73" s="496">
        <f t="shared" si="0"/>
        <v>6</v>
      </c>
      <c r="T73" s="499">
        <v>1385.604</v>
      </c>
      <c r="U73" s="500">
        <v>1461.6880000000001</v>
      </c>
      <c r="V73" s="496">
        <f t="shared" si="9"/>
        <v>5.5</v>
      </c>
      <c r="W73" s="499">
        <v>45380.705021499794</v>
      </c>
      <c r="X73" s="500">
        <v>45958.09</v>
      </c>
      <c r="Y73" s="496">
        <f t="shared" si="15"/>
        <v>1.3</v>
      </c>
      <c r="Z73" s="499">
        <v>56140</v>
      </c>
      <c r="AA73" s="500">
        <v>58581</v>
      </c>
      <c r="AB73" s="496">
        <f t="shared" si="5"/>
        <v>4.3</v>
      </c>
      <c r="AC73" s="499"/>
      <c r="AD73" s="500"/>
      <c r="AE73" s="496"/>
      <c r="AF73" s="499">
        <v>8254.6379190200005</v>
      </c>
      <c r="AG73" s="500"/>
      <c r="AH73" s="496">
        <f t="shared" si="17"/>
        <v>-100</v>
      </c>
      <c r="AI73" s="499">
        <v>17678.453999999998</v>
      </c>
      <c r="AJ73" s="500">
        <v>18884.760999999999</v>
      </c>
      <c r="AK73" s="496">
        <f t="shared" si="1"/>
        <v>6.8</v>
      </c>
      <c r="AL73" s="499">
        <v>166897</v>
      </c>
      <c r="AM73" s="500">
        <v>169649</v>
      </c>
      <c r="AN73" s="496">
        <f t="shared" si="6"/>
        <v>1.6</v>
      </c>
      <c r="AO73" s="496">
        <f t="shared" si="7"/>
        <v>870762.84764439997</v>
      </c>
      <c r="AP73" s="496">
        <f t="shared" si="7"/>
        <v>890622.32437230996</v>
      </c>
      <c r="AQ73" s="496">
        <f t="shared" si="2"/>
        <v>2.2999999999999998</v>
      </c>
      <c r="AR73" s="496">
        <f t="shared" si="10"/>
        <v>870823.84764439997</v>
      </c>
      <c r="AS73" s="496">
        <f t="shared" si="20"/>
        <v>1389738.5343723099</v>
      </c>
      <c r="AT73" s="496">
        <f t="shared" si="3"/>
        <v>59.6</v>
      </c>
      <c r="AU73" s="480"/>
      <c r="AV73" s="480"/>
      <c r="AW73" s="501"/>
    </row>
    <row r="74" spans="1:49" ht="18.75" x14ac:dyDescent="0.3">
      <c r="A74" s="493" t="s">
        <v>261</v>
      </c>
      <c r="B74" s="499">
        <v>14.391</v>
      </c>
      <c r="C74" s="500">
        <v>14.696</v>
      </c>
      <c r="D74" s="496">
        <f t="shared" si="11"/>
        <v>2.1</v>
      </c>
      <c r="E74" s="499">
        <v>6036.1260000000002</v>
      </c>
      <c r="F74" s="500">
        <v>6573.9040000000005</v>
      </c>
      <c r="G74" s="496">
        <f t="shared" si="4"/>
        <v>8.9</v>
      </c>
      <c r="H74" s="499">
        <v>0.24</v>
      </c>
      <c r="I74" s="500">
        <v>1.587</v>
      </c>
      <c r="J74" s="496">
        <f>IF(H74=0, "    ---- ", IF(ABS(ROUND(100/H74*I74-100,1))&lt;999,ROUND(100/H74*I74-100,1),IF(ROUND(100/H74*I74-100,1)&gt;999,999,-999)))</f>
        <v>561.29999999999995</v>
      </c>
      <c r="K74" s="499">
        <v>142.88300000000001</v>
      </c>
      <c r="L74" s="500">
        <v>165.3</v>
      </c>
      <c r="M74" s="496">
        <f t="shared" si="13"/>
        <v>15.7</v>
      </c>
      <c r="N74" s="499"/>
      <c r="O74" s="500"/>
      <c r="P74" s="496"/>
      <c r="Q74" s="499">
        <v>20258.436636999999</v>
      </c>
      <c r="R74" s="500">
        <v>24291.524097000001</v>
      </c>
      <c r="S74" s="496">
        <f t="shared" si="0"/>
        <v>19.899999999999999</v>
      </c>
      <c r="T74" s="499">
        <v>37.454000000000001</v>
      </c>
      <c r="U74" s="500">
        <v>46.45</v>
      </c>
      <c r="V74" s="496">
        <f t="shared" si="9"/>
        <v>24</v>
      </c>
      <c r="W74" s="499">
        <v>1172.0999999999999</v>
      </c>
      <c r="X74" s="500">
        <v>1303.71</v>
      </c>
      <c r="Y74" s="496">
        <f t="shared" si="15"/>
        <v>11.2</v>
      </c>
      <c r="Z74" s="499">
        <v>2093</v>
      </c>
      <c r="AA74" s="500">
        <v>4068</v>
      </c>
      <c r="AB74" s="496">
        <f t="shared" si="5"/>
        <v>94.4</v>
      </c>
      <c r="AC74" s="499"/>
      <c r="AD74" s="500"/>
      <c r="AE74" s="496"/>
      <c r="AF74" s="499">
        <v>127.22173923</v>
      </c>
      <c r="AG74" s="500"/>
      <c r="AH74" s="496">
        <f t="shared" si="17"/>
        <v>-100</v>
      </c>
      <c r="AI74" s="499">
        <v>539.62400000000002</v>
      </c>
      <c r="AJ74" s="500">
        <v>605.97900000000004</v>
      </c>
      <c r="AK74" s="496">
        <f t="shared" si="1"/>
        <v>12.3</v>
      </c>
      <c r="AL74" s="499">
        <v>5197.8</v>
      </c>
      <c r="AM74" s="500">
        <v>6736</v>
      </c>
      <c r="AN74" s="496">
        <f t="shared" si="6"/>
        <v>29.6</v>
      </c>
      <c r="AO74" s="496">
        <f t="shared" si="7"/>
        <v>35619.276376230002</v>
      </c>
      <c r="AP74" s="496">
        <f t="shared" si="7"/>
        <v>43807.150096999998</v>
      </c>
      <c r="AQ74" s="496">
        <f t="shared" si="2"/>
        <v>23</v>
      </c>
      <c r="AR74" s="496">
        <f t="shared" si="10"/>
        <v>35619.276376230002</v>
      </c>
      <c r="AS74" s="496">
        <f t="shared" si="20"/>
        <v>63308.080096999998</v>
      </c>
      <c r="AT74" s="496">
        <f t="shared" si="3"/>
        <v>77.7</v>
      </c>
      <c r="AU74" s="480"/>
      <c r="AV74" s="480"/>
      <c r="AW74" s="501"/>
    </row>
    <row r="75" spans="1:49" ht="18.75" x14ac:dyDescent="0.3">
      <c r="A75" s="493" t="s">
        <v>262</v>
      </c>
      <c r="B75" s="499">
        <v>28.446999999999999</v>
      </c>
      <c r="C75" s="500">
        <v>34.515000000000001</v>
      </c>
      <c r="D75" s="496">
        <f t="shared" si="11"/>
        <v>21.3</v>
      </c>
      <c r="E75" s="499">
        <v>2454.4769999999999</v>
      </c>
      <c r="F75" s="500">
        <v>3452.8429999999998</v>
      </c>
      <c r="G75" s="496">
        <f t="shared" si="4"/>
        <v>40.700000000000003</v>
      </c>
      <c r="H75" s="499"/>
      <c r="I75" s="500"/>
      <c r="J75" s="496"/>
      <c r="K75" s="499">
        <v>1.32</v>
      </c>
      <c r="L75" s="500">
        <v>39.299999999999997</v>
      </c>
      <c r="M75" s="496">
        <f t="shared" si="13"/>
        <v>999</v>
      </c>
      <c r="N75" s="499"/>
      <c r="O75" s="500"/>
      <c r="P75" s="496"/>
      <c r="Q75" s="499">
        <v>23990.960118999999</v>
      </c>
      <c r="R75" s="500">
        <v>35417.039918000002</v>
      </c>
      <c r="S75" s="496">
        <f t="shared" si="0"/>
        <v>47.6</v>
      </c>
      <c r="T75" s="499">
        <v>67.284000000000006</v>
      </c>
      <c r="U75" s="500">
        <v>78.111000000000004</v>
      </c>
      <c r="V75" s="496">
        <f t="shared" si="9"/>
        <v>16.100000000000001</v>
      </c>
      <c r="W75" s="499">
        <v>837.21</v>
      </c>
      <c r="X75" s="500">
        <v>1383.99</v>
      </c>
      <c r="Y75" s="496">
        <f t="shared" si="15"/>
        <v>65.3</v>
      </c>
      <c r="Z75" s="499">
        <v>8985</v>
      </c>
      <c r="AA75" s="500">
        <v>11021</v>
      </c>
      <c r="AB75" s="496">
        <f t="shared" si="5"/>
        <v>22.7</v>
      </c>
      <c r="AC75" s="499"/>
      <c r="AD75" s="500"/>
      <c r="AE75" s="496"/>
      <c r="AF75" s="499">
        <v>231.01741529</v>
      </c>
      <c r="AG75" s="500"/>
      <c r="AH75" s="496">
        <f t="shared" si="17"/>
        <v>-100</v>
      </c>
      <c r="AI75" s="499">
        <v>1662.2539999999999</v>
      </c>
      <c r="AJ75" s="500">
        <v>2172.5500000000002</v>
      </c>
      <c r="AK75" s="496">
        <f t="shared" si="1"/>
        <v>30.7</v>
      </c>
      <c r="AL75" s="499">
        <v>5244</v>
      </c>
      <c r="AM75" s="500">
        <v>2158</v>
      </c>
      <c r="AN75" s="496">
        <f t="shared" si="6"/>
        <v>-58.8</v>
      </c>
      <c r="AO75" s="496">
        <f t="shared" si="7"/>
        <v>43501.969534289994</v>
      </c>
      <c r="AP75" s="496">
        <f t="shared" si="7"/>
        <v>55757.348918000003</v>
      </c>
      <c r="AQ75" s="496">
        <f t="shared" si="2"/>
        <v>28.2</v>
      </c>
      <c r="AR75" s="496">
        <f t="shared" si="10"/>
        <v>43501.969534289994</v>
      </c>
      <c r="AS75" s="496">
        <f t="shared" si="20"/>
        <v>76063.142917999998</v>
      </c>
      <c r="AT75" s="496">
        <f t="shared" si="3"/>
        <v>74.8</v>
      </c>
      <c r="AU75" s="480"/>
      <c r="AV75" s="480"/>
      <c r="AW75" s="501"/>
    </row>
    <row r="76" spans="1:49" ht="18.75" x14ac:dyDescent="0.3">
      <c r="A76" s="493" t="s">
        <v>422</v>
      </c>
      <c r="B76" s="499">
        <v>17.114000000000001</v>
      </c>
      <c r="C76" s="500">
        <v>16.385000000000002</v>
      </c>
      <c r="D76" s="496">
        <f t="shared" si="11"/>
        <v>-4.3</v>
      </c>
      <c r="E76" s="499">
        <v>1403.2950000000001</v>
      </c>
      <c r="F76" s="500">
        <v>0</v>
      </c>
      <c r="G76" s="496">
        <f t="shared" si="4"/>
        <v>-100</v>
      </c>
      <c r="H76" s="499"/>
      <c r="I76" s="500"/>
      <c r="J76" s="496"/>
      <c r="K76" s="499">
        <v>0.45900000000000002</v>
      </c>
      <c r="L76" s="500">
        <v>1</v>
      </c>
      <c r="M76" s="496">
        <f t="shared" si="13"/>
        <v>117.9</v>
      </c>
      <c r="N76" s="499"/>
      <c r="O76" s="500"/>
      <c r="P76" s="496"/>
      <c r="Q76" s="499">
        <v>15343.513548000001</v>
      </c>
      <c r="R76" s="500">
        <v>15642.648593</v>
      </c>
      <c r="S76" s="496">
        <f t="shared" si="0"/>
        <v>1.9</v>
      </c>
      <c r="T76" s="499">
        <v>12.763999999999999</v>
      </c>
      <c r="U76" s="500">
        <v>20.7</v>
      </c>
      <c r="V76" s="496">
        <f t="shared" si="9"/>
        <v>62.2</v>
      </c>
      <c r="W76" s="499">
        <v>674.75</v>
      </c>
      <c r="X76" s="500">
        <v>681.19</v>
      </c>
      <c r="Y76" s="496">
        <f t="shared" si="15"/>
        <v>1</v>
      </c>
      <c r="Z76" s="499">
        <v>2132</v>
      </c>
      <c r="AA76" s="500">
        <v>2042</v>
      </c>
      <c r="AB76" s="496">
        <f t="shared" si="5"/>
        <v>-4.2</v>
      </c>
      <c r="AC76" s="499"/>
      <c r="AD76" s="500"/>
      <c r="AE76" s="496"/>
      <c r="AF76" s="499"/>
      <c r="AG76" s="500"/>
      <c r="AH76" s="496"/>
      <c r="AI76" s="499">
        <v>331.25299999999999</v>
      </c>
      <c r="AJ76" s="500">
        <v>339.44499999999999</v>
      </c>
      <c r="AK76" s="496">
        <f t="shared" si="1"/>
        <v>2.5</v>
      </c>
      <c r="AL76" s="499">
        <v>2422</v>
      </c>
      <c r="AM76" s="500">
        <v>2424</v>
      </c>
      <c r="AN76" s="496">
        <f t="shared" si="6"/>
        <v>0.1</v>
      </c>
      <c r="AO76" s="496">
        <f t="shared" si="7"/>
        <v>22337.148548000001</v>
      </c>
      <c r="AP76" s="496">
        <f t="shared" si="7"/>
        <v>21167.368592999999</v>
      </c>
      <c r="AQ76" s="496">
        <f t="shared" si="2"/>
        <v>-5.2</v>
      </c>
      <c r="AR76" s="496">
        <f t="shared" si="10"/>
        <v>22337.148548000001</v>
      </c>
      <c r="AS76" s="496">
        <f t="shared" si="20"/>
        <v>26675.703592999998</v>
      </c>
      <c r="AT76" s="496">
        <f t="shared" si="3"/>
        <v>19.399999999999999</v>
      </c>
      <c r="AU76" s="480"/>
      <c r="AV76" s="480"/>
      <c r="AW76" s="501"/>
    </row>
    <row r="77" spans="1:49" ht="18.75" x14ac:dyDescent="0.3">
      <c r="A77" s="493" t="s">
        <v>423</v>
      </c>
      <c r="B77" s="499">
        <v>49.222999999999999</v>
      </c>
      <c r="C77" s="500">
        <v>50.286999999999999</v>
      </c>
      <c r="D77" s="496">
        <f t="shared" si="11"/>
        <v>2.2000000000000002</v>
      </c>
      <c r="E77" s="499">
        <v>241.01499999999999</v>
      </c>
      <c r="F77" s="500">
        <v>1027.385</v>
      </c>
      <c r="G77" s="496">
        <f t="shared" si="4"/>
        <v>326.3</v>
      </c>
      <c r="H77" s="499">
        <v>18.704000000000001</v>
      </c>
      <c r="I77" s="500">
        <v>22.242999999999999</v>
      </c>
      <c r="J77" s="496">
        <f t="shared" si="12"/>
        <v>18.899999999999999</v>
      </c>
      <c r="K77" s="499"/>
      <c r="L77" s="500"/>
      <c r="M77" s="496"/>
      <c r="N77" s="499">
        <v>23</v>
      </c>
      <c r="O77" s="500"/>
      <c r="P77" s="496">
        <f t="shared" si="14"/>
        <v>-100</v>
      </c>
      <c r="Q77" s="499"/>
      <c r="R77" s="500"/>
      <c r="S77" s="496"/>
      <c r="T77" s="499"/>
      <c r="U77" s="500"/>
      <c r="V77" s="496"/>
      <c r="W77" s="499"/>
      <c r="X77" s="500"/>
      <c r="Y77" s="496"/>
      <c r="Z77" s="499">
        <v>464</v>
      </c>
      <c r="AA77" s="500">
        <v>486</v>
      </c>
      <c r="AB77" s="496">
        <f t="shared" si="5"/>
        <v>4.7</v>
      </c>
      <c r="AC77" s="499"/>
      <c r="AD77" s="500"/>
      <c r="AE77" s="496"/>
      <c r="AF77" s="499"/>
      <c r="AG77" s="500"/>
      <c r="AH77" s="496"/>
      <c r="AI77" s="499">
        <v>0</v>
      </c>
      <c r="AJ77" s="500"/>
      <c r="AK77" s="496"/>
      <c r="AL77" s="499">
        <v>1482</v>
      </c>
      <c r="AM77" s="500">
        <v>644</v>
      </c>
      <c r="AN77" s="496">
        <f t="shared" si="6"/>
        <v>-56.5</v>
      </c>
      <c r="AO77" s="496">
        <f t="shared" si="7"/>
        <v>2254.942</v>
      </c>
      <c r="AP77" s="496"/>
      <c r="AQ77" s="496">
        <f t="shared" si="2"/>
        <v>-100</v>
      </c>
      <c r="AR77" s="496">
        <f t="shared" si="10"/>
        <v>2277.942</v>
      </c>
      <c r="AS77" s="496">
        <f t="shared" si="20"/>
        <v>2179.6279999999997</v>
      </c>
      <c r="AT77" s="496">
        <f t="shared" si="3"/>
        <v>-4.3</v>
      </c>
      <c r="AU77" s="480"/>
      <c r="AV77" s="480"/>
      <c r="AW77" s="501"/>
    </row>
    <row r="78" spans="1:49" ht="18.75" x14ac:dyDescent="0.3">
      <c r="A78" s="493" t="s">
        <v>263</v>
      </c>
      <c r="B78" s="499"/>
      <c r="C78" s="500"/>
      <c r="D78" s="496"/>
      <c r="E78" s="499"/>
      <c r="F78" s="500">
        <v>212.49199999999999</v>
      </c>
      <c r="G78" s="496" t="str">
        <f t="shared" ref="G78:G91" si="21">IF(E78=0, "    ---- ", IF(ABS(ROUND(100/E78*F78-100,1))&lt;999,ROUND(100/E78*F78-100,1),IF(ROUND(100/E78*F78-100,1)&gt;999,999,-999)))</f>
        <v xml:space="preserve">    ---- </v>
      </c>
      <c r="H78" s="499"/>
      <c r="I78" s="500"/>
      <c r="J78" s="496"/>
      <c r="K78" s="499">
        <v>30.11</v>
      </c>
      <c r="L78" s="500">
        <v>19</v>
      </c>
      <c r="M78" s="496">
        <f t="shared" ref="M78:M91" si="22">IF(K78=0, "    ---- ", IF(ABS(ROUND(100/K78*L78-100,1))&lt;999,ROUND(100/K78*L78-100,1),IF(ROUND(100/K78*L78-100,1)&gt;999,999,-999)))</f>
        <v>-36.9</v>
      </c>
      <c r="N78" s="499"/>
      <c r="O78" s="500"/>
      <c r="P78" s="496"/>
      <c r="Q78" s="499">
        <v>3992.6236319999998</v>
      </c>
      <c r="R78" s="500">
        <v>1598.9305999999999</v>
      </c>
      <c r="S78" s="496">
        <f t="shared" ref="S78:S91" si="23">IF(Q78=0, "    ---- ", IF(ABS(ROUND(100/Q78*R78-100,1))&lt;999,ROUND(100/Q78*R78-100,1),IF(ROUND(100/Q78*R78-100,1)&gt;999,999,-999)))</f>
        <v>-60</v>
      </c>
      <c r="T78" s="499">
        <v>8.4760000000000009</v>
      </c>
      <c r="U78" s="500">
        <v>5.9039999999999999</v>
      </c>
      <c r="V78" s="496">
        <f t="shared" ref="V78:V91" si="24">IF(T78=0, "    ---- ", IF(ABS(ROUND(100/T78*U78-100,1))&lt;999,ROUND(100/T78*U78-100,1),IF(ROUND(100/T78*U78-100,1)&gt;999,999,-999)))</f>
        <v>-30.3</v>
      </c>
      <c r="W78" s="499"/>
      <c r="X78" s="500"/>
      <c r="Y78" s="496"/>
      <c r="Z78" s="499">
        <v>742</v>
      </c>
      <c r="AA78" s="500">
        <v>1374</v>
      </c>
      <c r="AB78" s="496">
        <f t="shared" ref="AB78:AB91" si="25">IF(Z78=0, "    ---- ", IF(ABS(ROUND(100/Z78*AA78-100,1))&lt;999,ROUND(100/Z78*AA78-100,1),IF(ROUND(100/Z78*AA78-100,1)&gt;999,999,-999)))</f>
        <v>85.2</v>
      </c>
      <c r="AC78" s="499"/>
      <c r="AD78" s="500"/>
      <c r="AE78" s="496"/>
      <c r="AF78" s="499"/>
      <c r="AG78" s="500"/>
      <c r="AH78" s="496"/>
      <c r="AI78" s="499">
        <v>111.7044930000002</v>
      </c>
      <c r="AJ78" s="500">
        <v>96.176598000000197</v>
      </c>
      <c r="AK78" s="496">
        <f t="shared" ref="AK78:AK91" si="26">IF(AI78=0, "    ---- ", IF(ABS(ROUND(100/AI78*AJ78-100,1))&lt;999,ROUND(100/AI78*AJ78-100,1),IF(ROUND(100/AI78*AJ78-100,1)&gt;999,999,-999)))</f>
        <v>-13.9</v>
      </c>
      <c r="AL78" s="499">
        <v>676</v>
      </c>
      <c r="AM78" s="500">
        <v>2642</v>
      </c>
      <c r="AN78" s="496">
        <f t="shared" ref="AN78:AN91" si="27">IF(AL78=0, "    ---- ", IF(ABS(ROUND(100/AL78*AM78-100,1))&lt;999,ROUND(100/AL78*AM78-100,1),IF(ROUND(100/AL78*AM78-100,1)&gt;999,999,-999)))</f>
        <v>290.8</v>
      </c>
      <c r="AO78" s="496">
        <f t="shared" ref="AO78:AP89" si="28">B78+E78+H78+K78+Q78+T78+W78+Z78+AF78+AI78+AL78</f>
        <v>5560.9141250000002</v>
      </c>
      <c r="AP78" s="496">
        <f t="shared" si="28"/>
        <v>5948.5031980000003</v>
      </c>
      <c r="AQ78" s="496">
        <f t="shared" ref="AQ78:AQ91" si="29">IF(AO78=0, "    ---- ", IF(ABS(ROUND(100/AO78*AP78-100,1))&lt;999,ROUND(100/AO78*AP78-100,1),IF(ROUND(100/AO78*AP78-100,1)&gt;999,999,-999)))</f>
        <v>7</v>
      </c>
      <c r="AR78" s="496">
        <f t="shared" si="10"/>
        <v>5560.9141250000002</v>
      </c>
      <c r="AS78" s="496">
        <f t="shared" si="20"/>
        <v>10298.075796000001</v>
      </c>
      <c r="AT78" s="496">
        <f t="shared" ref="AT78:AT91" si="30">IF(AR78=0, "    ---- ", IF(ABS(ROUND(100/AR78*AS78-100,1))&lt;999,ROUND(100/AR78*AS78-100,1),IF(ROUND(100/AR78*AS78-100,1)&gt;999,999,-999)))</f>
        <v>85.2</v>
      </c>
      <c r="AU78" s="480"/>
      <c r="AV78" s="480"/>
      <c r="AW78" s="501"/>
    </row>
    <row r="79" spans="1:49" ht="18.75" x14ac:dyDescent="0.3">
      <c r="A79" s="497" t="s">
        <v>264</v>
      </c>
      <c r="B79" s="499">
        <v>910.11700000000008</v>
      </c>
      <c r="C79" s="500">
        <v>981.72799999999995</v>
      </c>
      <c r="D79" s="496">
        <f t="shared" ref="D79:D91" si="31">IF(B79=0, "    ---- ", IF(ABS(ROUND(100/B79*C79-100,1))&lt;999,ROUND(100/B79*C79-100,1),IF(ROUND(100/B79*C79-100,1)&gt;999,999,-999)))</f>
        <v>7.9</v>
      </c>
      <c r="E79" s="499">
        <v>210054.25100000005</v>
      </c>
      <c r="F79" s="500">
        <v>209230.13700000002</v>
      </c>
      <c r="G79" s="496">
        <f t="shared" si="21"/>
        <v>-0.4</v>
      </c>
      <c r="H79" s="499">
        <v>912.60899999999992</v>
      </c>
      <c r="I79" s="500">
        <v>1067.8879999999999</v>
      </c>
      <c r="J79" s="496">
        <f t="shared" ref="J79:J91" si="32">IF(H79=0, "    ---- ", IF(ABS(ROUND(100/H79*I79-100,1))&lt;999,ROUND(100/H79*I79-100,1),IF(ROUND(100/H79*I79-100,1)&gt;999,999,-999)))</f>
        <v>17</v>
      </c>
      <c r="K79" s="499">
        <v>5146.9839999999986</v>
      </c>
      <c r="L79" s="500">
        <v>5726.7</v>
      </c>
      <c r="M79" s="496">
        <f t="shared" si="22"/>
        <v>11.3</v>
      </c>
      <c r="N79" s="499">
        <v>84</v>
      </c>
      <c r="O79" s="500">
        <v>72</v>
      </c>
      <c r="P79" s="496">
        <f t="shared" ref="P79:P91" si="33">IF(N79=0, "    ---- ", IF(ABS(ROUND(100/N79*O79-100,1))&lt;999,ROUND(100/N79*O79-100,1),IF(ROUND(100/N79*O79-100,1)&gt;999,999,-999)))</f>
        <v>-14.3</v>
      </c>
      <c r="Q79" s="499">
        <v>432025.82363988005</v>
      </c>
      <c r="R79" s="500">
        <v>467662.84758031007</v>
      </c>
      <c r="S79" s="496">
        <f t="shared" si="23"/>
        <v>8.1999999999999993</v>
      </c>
      <c r="T79" s="499">
        <v>1511.5820000000001</v>
      </c>
      <c r="U79" s="500">
        <v>1612.8530000000001</v>
      </c>
      <c r="V79" s="496">
        <f t="shared" si="24"/>
        <v>6.7</v>
      </c>
      <c r="W79" s="499">
        <v>48064.765021499901</v>
      </c>
      <c r="X79" s="500">
        <v>49326.979999999996</v>
      </c>
      <c r="Y79" s="496">
        <f t="shared" ref="Y79:Y91" si="34">IF(W79=0, "    ---- ", IF(ABS(ROUND(100/W79*X79-100,1))&lt;999,ROUND(100/W79*X79-100,1),IF(ROUND(100/W79*X79-100,1)&gt;999,999,-999)))</f>
        <v>2.6</v>
      </c>
      <c r="Z79" s="499">
        <v>70556</v>
      </c>
      <c r="AA79" s="500">
        <v>77572</v>
      </c>
      <c r="AB79" s="496">
        <f t="shared" si="25"/>
        <v>9.9</v>
      </c>
      <c r="AC79" s="499"/>
      <c r="AD79" s="500"/>
      <c r="AE79" s="496"/>
      <c r="AF79" s="499">
        <v>8612.8770735400012</v>
      </c>
      <c r="AG79" s="500"/>
      <c r="AH79" s="496">
        <f t="shared" ref="AH79:AH91" si="35">IF(AF79=0, "    ---- ", IF(ABS(ROUND(100/AF79*AG79-100,1))&lt;999,ROUND(100/AF79*AG79-100,1),IF(ROUND(100/AF79*AG79-100,1)&gt;999,999,-999)))</f>
        <v>-100</v>
      </c>
      <c r="AI79" s="499">
        <v>20323.289493</v>
      </c>
      <c r="AJ79" s="500">
        <v>22098.911597999999</v>
      </c>
      <c r="AK79" s="496">
        <f t="shared" si="26"/>
        <v>8.6999999999999993</v>
      </c>
      <c r="AL79" s="499">
        <v>181918.8</v>
      </c>
      <c r="AM79" s="500">
        <v>184253</v>
      </c>
      <c r="AN79" s="496">
        <f t="shared" si="27"/>
        <v>1.3</v>
      </c>
      <c r="AO79" s="496">
        <f>B79+E79+H79+K79+Q79+T79+W79+Z79+AF79+AI79+AL79</f>
        <v>980037.09822792001</v>
      </c>
      <c r="AP79" s="496">
        <f t="shared" si="28"/>
        <v>1019533.0451783101</v>
      </c>
      <c r="AQ79" s="496">
        <f t="shared" si="29"/>
        <v>4</v>
      </c>
      <c r="AR79" s="496">
        <f t="shared" si="10"/>
        <v>980121.09822792001</v>
      </c>
      <c r="AS79" s="496">
        <f t="shared" si="20"/>
        <v>1570493.51477631</v>
      </c>
      <c r="AT79" s="496">
        <f t="shared" si="30"/>
        <v>60.2</v>
      </c>
      <c r="AU79" s="480"/>
      <c r="AV79" s="480"/>
      <c r="AW79" s="501"/>
    </row>
    <row r="80" spans="1:49" ht="18.75" x14ac:dyDescent="0.3">
      <c r="A80" s="493" t="s">
        <v>265</v>
      </c>
      <c r="B80" s="499"/>
      <c r="C80" s="500"/>
      <c r="D80" s="496"/>
      <c r="E80" s="499"/>
      <c r="F80" s="500"/>
      <c r="G80" s="496"/>
      <c r="H80" s="499"/>
      <c r="I80" s="500"/>
      <c r="J80" s="496"/>
      <c r="K80" s="499"/>
      <c r="L80" s="500"/>
      <c r="M80" s="496"/>
      <c r="N80" s="499"/>
      <c r="O80" s="500"/>
      <c r="P80" s="496"/>
      <c r="Q80" s="499"/>
      <c r="R80" s="500"/>
      <c r="S80" s="496"/>
      <c r="T80" s="499"/>
      <c r="U80" s="500"/>
      <c r="V80" s="496"/>
      <c r="W80" s="499"/>
      <c r="X80" s="500"/>
      <c r="Y80" s="496"/>
      <c r="Z80" s="499"/>
      <c r="AA80" s="500"/>
      <c r="AB80" s="496"/>
      <c r="AC80" s="499"/>
      <c r="AD80" s="500"/>
      <c r="AE80" s="496"/>
      <c r="AF80" s="499"/>
      <c r="AG80" s="500"/>
      <c r="AH80" s="496"/>
      <c r="AI80" s="499"/>
      <c r="AJ80" s="500"/>
      <c r="AK80" s="496"/>
      <c r="AL80" s="499"/>
      <c r="AM80" s="500"/>
      <c r="AN80" s="496"/>
      <c r="AO80" s="496"/>
      <c r="AP80" s="496"/>
      <c r="AQ80" s="496"/>
      <c r="AR80" s="496"/>
      <c r="AS80" s="496"/>
      <c r="AT80" s="496"/>
      <c r="AU80" s="480"/>
      <c r="AV80" s="480"/>
      <c r="AW80" s="501"/>
    </row>
    <row r="81" spans="1:74" ht="18.75" x14ac:dyDescent="0.3">
      <c r="A81" s="493" t="s">
        <v>266</v>
      </c>
      <c r="B81" s="499">
        <v>12498.489</v>
      </c>
      <c r="C81" s="500">
        <v>15431.614</v>
      </c>
      <c r="D81" s="496">
        <f t="shared" si="31"/>
        <v>23.5</v>
      </c>
      <c r="E81" s="499">
        <v>52228.535000000003</v>
      </c>
      <c r="F81" s="500">
        <v>66960.414999999994</v>
      </c>
      <c r="G81" s="496">
        <f t="shared" si="21"/>
        <v>28.2</v>
      </c>
      <c r="H81" s="499">
        <v>2394.875</v>
      </c>
      <c r="I81" s="500">
        <v>2925.2689999999998</v>
      </c>
      <c r="J81" s="496">
        <f t="shared" si="32"/>
        <v>22.1</v>
      </c>
      <c r="K81" s="499">
        <v>15714.099</v>
      </c>
      <c r="L81" s="500">
        <v>20184.5</v>
      </c>
      <c r="M81" s="496">
        <f t="shared" si="22"/>
        <v>28.4</v>
      </c>
      <c r="N81" s="499"/>
      <c r="O81" s="500"/>
      <c r="P81" s="496"/>
      <c r="Q81" s="499">
        <v>1738.7670021500001</v>
      </c>
      <c r="R81" s="500">
        <v>1822.35388515</v>
      </c>
      <c r="S81" s="496">
        <f t="shared" si="23"/>
        <v>4.8</v>
      </c>
      <c r="T81" s="499">
        <v>1353.5550000000001</v>
      </c>
      <c r="U81" s="500">
        <v>2174.0369999999998</v>
      </c>
      <c r="V81" s="496">
        <f t="shared" si="24"/>
        <v>60.6</v>
      </c>
      <c r="W81" s="499">
        <v>42006.581099999996</v>
      </c>
      <c r="X81" s="500">
        <v>52390.62</v>
      </c>
      <c r="Y81" s="496">
        <f t="shared" si="34"/>
        <v>24.7</v>
      </c>
      <c r="Z81" s="499"/>
      <c r="AA81" s="500"/>
      <c r="AB81" s="496"/>
      <c r="AC81" s="499">
        <v>1571</v>
      </c>
      <c r="AD81" s="500">
        <v>1904</v>
      </c>
      <c r="AE81" s="496">
        <f t="shared" ref="AE81:AE91" si="36">IF(AC81=0, "    ---- ", IF(ABS(ROUND(100/AC81*AD81-100,1))&lt;999,ROUND(100/AC81*AD81-100,1),IF(ROUND(100/AC81*AD81-100,1)&gt;999,999,-999)))</f>
        <v>21.2</v>
      </c>
      <c r="AF81" s="499">
        <v>515.69420324999999</v>
      </c>
      <c r="AG81" s="500"/>
      <c r="AH81" s="496">
        <f t="shared" si="35"/>
        <v>-100</v>
      </c>
      <c r="AI81" s="499">
        <v>16553.573</v>
      </c>
      <c r="AJ81" s="500">
        <v>21393.569</v>
      </c>
      <c r="AK81" s="496">
        <f t="shared" si="26"/>
        <v>29.2</v>
      </c>
      <c r="AL81" s="499">
        <v>58094.400000000001</v>
      </c>
      <c r="AM81" s="500">
        <v>71312</v>
      </c>
      <c r="AN81" s="496">
        <f t="shared" si="27"/>
        <v>22.8</v>
      </c>
      <c r="AO81" s="496">
        <f>B81+E81+H81+K81+Q81+T81+W81+Z81+AF81+AI81+AL81</f>
        <v>203098.56830539997</v>
      </c>
      <c r="AP81" s="496">
        <f t="shared" si="28"/>
        <v>254594.37788515</v>
      </c>
      <c r="AQ81" s="496">
        <f t="shared" si="29"/>
        <v>25.4</v>
      </c>
      <c r="AR81" s="496">
        <f t="shared" ref="AR81:AR91" si="37">B81+E81+H81+K81+N81+Q81+T81+W81+Z81+AC81+AF81+AI81+AL81</f>
        <v>204669.56830539997</v>
      </c>
      <c r="AS81" s="496">
        <f t="shared" si="20"/>
        <v>493838.78788514994</v>
      </c>
      <c r="AT81" s="496">
        <f t="shared" si="30"/>
        <v>141.30000000000001</v>
      </c>
      <c r="AU81" s="480"/>
      <c r="AV81" s="480"/>
      <c r="AW81" s="501"/>
    </row>
    <row r="82" spans="1:74" ht="18.75" x14ac:dyDescent="0.3">
      <c r="A82" s="493" t="s">
        <v>424</v>
      </c>
      <c r="B82" s="499"/>
      <c r="C82" s="500"/>
      <c r="D82" s="496"/>
      <c r="E82" s="499"/>
      <c r="F82" s="500"/>
      <c r="G82" s="496"/>
      <c r="H82" s="499"/>
      <c r="I82" s="500"/>
      <c r="J82" s="496"/>
      <c r="K82" s="499"/>
      <c r="L82" s="500"/>
      <c r="M82" s="496"/>
      <c r="N82" s="499"/>
      <c r="O82" s="500"/>
      <c r="P82" s="496"/>
      <c r="Q82" s="499">
        <v>114.136776</v>
      </c>
      <c r="R82" s="500">
        <v>134.53005400000001</v>
      </c>
      <c r="S82" s="496">
        <f t="shared" si="23"/>
        <v>17.899999999999999</v>
      </c>
      <c r="T82" s="499"/>
      <c r="U82" s="500"/>
      <c r="V82" s="496"/>
      <c r="W82" s="499"/>
      <c r="X82" s="500"/>
      <c r="Y82" s="496"/>
      <c r="Z82" s="499"/>
      <c r="AA82" s="500"/>
      <c r="AB82" s="496"/>
      <c r="AC82" s="499"/>
      <c r="AD82" s="500"/>
      <c r="AE82" s="496"/>
      <c r="AF82" s="499"/>
      <c r="AG82" s="500"/>
      <c r="AH82" s="496"/>
      <c r="AI82" s="499"/>
      <c r="AJ82" s="500"/>
      <c r="AK82" s="496"/>
      <c r="AL82" s="499"/>
      <c r="AM82" s="500"/>
      <c r="AN82" s="496"/>
      <c r="AO82" s="496">
        <f>B82+E82+H82+K82+Q82+T82+W82+Z82+AF82+AI82+AL82</f>
        <v>114.136776</v>
      </c>
      <c r="AP82" s="496">
        <f t="shared" si="28"/>
        <v>134.53005400000001</v>
      </c>
      <c r="AQ82" s="496">
        <f t="shared" si="29"/>
        <v>17.899999999999999</v>
      </c>
      <c r="AR82" s="496">
        <f t="shared" si="37"/>
        <v>114.136776</v>
      </c>
      <c r="AS82" s="496">
        <f t="shared" si="20"/>
        <v>134.53005400000001</v>
      </c>
      <c r="AT82" s="496">
        <f t="shared" si="30"/>
        <v>17.899999999999999</v>
      </c>
      <c r="AU82" s="480"/>
      <c r="AV82" s="480"/>
      <c r="AW82" s="501"/>
    </row>
    <row r="83" spans="1:74" ht="18.75" x14ac:dyDescent="0.3">
      <c r="A83" s="493" t="s">
        <v>425</v>
      </c>
      <c r="B83" s="507">
        <v>101.042</v>
      </c>
      <c r="C83" s="496">
        <v>84.626999999999995</v>
      </c>
      <c r="D83" s="496">
        <f t="shared" si="31"/>
        <v>-16.2</v>
      </c>
      <c r="E83" s="507">
        <v>664.29</v>
      </c>
      <c r="F83" s="496">
        <v>719.94399999999996</v>
      </c>
      <c r="G83" s="496">
        <f t="shared" si="21"/>
        <v>8.4</v>
      </c>
      <c r="H83" s="507"/>
      <c r="I83" s="496"/>
      <c r="J83" s="496"/>
      <c r="K83" s="507">
        <v>299.39400000000001</v>
      </c>
      <c r="L83" s="496">
        <v>338.1</v>
      </c>
      <c r="M83" s="496">
        <f t="shared" si="22"/>
        <v>12.9</v>
      </c>
      <c r="N83" s="507"/>
      <c r="O83" s="496"/>
      <c r="P83" s="496"/>
      <c r="Q83" s="507">
        <v>240.45331300000001</v>
      </c>
      <c r="R83" s="496">
        <v>287.777378</v>
      </c>
      <c r="S83" s="496">
        <f t="shared" si="23"/>
        <v>19.7</v>
      </c>
      <c r="T83" s="507">
        <v>8.2870000000000008</v>
      </c>
      <c r="U83" s="496">
        <v>8.9779999999999998</v>
      </c>
      <c r="V83" s="496">
        <f t="shared" si="24"/>
        <v>8.3000000000000007</v>
      </c>
      <c r="W83" s="507"/>
      <c r="X83" s="496"/>
      <c r="Y83" s="496"/>
      <c r="Z83" s="507"/>
      <c r="AA83" s="496"/>
      <c r="AB83" s="496"/>
      <c r="AC83" s="507"/>
      <c r="AD83" s="496"/>
      <c r="AE83" s="496"/>
      <c r="AF83" s="507"/>
      <c r="AG83" s="496"/>
      <c r="AH83" s="496"/>
      <c r="AI83" s="507">
        <v>375.31200000000001</v>
      </c>
      <c r="AJ83" s="496">
        <v>408.99799999999999</v>
      </c>
      <c r="AK83" s="496">
        <f t="shared" si="26"/>
        <v>9</v>
      </c>
      <c r="AL83" s="507"/>
      <c r="AM83" s="496"/>
      <c r="AN83" s="496"/>
      <c r="AO83" s="496">
        <f>B83+E83+H83+K83+Q83+T83+W83+Z83+AF83+AI83+AL83</f>
        <v>1688.7783130000003</v>
      </c>
      <c r="AP83" s="496">
        <f t="shared" si="28"/>
        <v>1848.4243779999999</v>
      </c>
      <c r="AQ83" s="496">
        <f t="shared" si="29"/>
        <v>9.5</v>
      </c>
      <c r="AR83" s="496">
        <f t="shared" si="37"/>
        <v>1688.7783130000003</v>
      </c>
      <c r="AS83" s="496">
        <f t="shared" si="20"/>
        <v>3324.4443780000001</v>
      </c>
      <c r="AT83" s="496">
        <f t="shared" si="30"/>
        <v>96.9</v>
      </c>
      <c r="AU83" s="480"/>
      <c r="AV83" s="480"/>
      <c r="AW83" s="501"/>
    </row>
    <row r="84" spans="1:74" ht="18.75" x14ac:dyDescent="0.3">
      <c r="A84" s="493" t="s">
        <v>263</v>
      </c>
      <c r="B84" s="499"/>
      <c r="C84" s="500"/>
      <c r="D84" s="496"/>
      <c r="E84" s="499"/>
      <c r="F84" s="500"/>
      <c r="G84" s="496"/>
      <c r="H84" s="499"/>
      <c r="I84" s="500"/>
      <c r="J84" s="496"/>
      <c r="K84" s="499"/>
      <c r="L84" s="500"/>
      <c r="M84" s="496"/>
      <c r="N84" s="499"/>
      <c r="O84" s="500"/>
      <c r="P84" s="496"/>
      <c r="Q84" s="499">
        <v>26.861871000000001</v>
      </c>
      <c r="R84" s="500">
        <v>44.17794</v>
      </c>
      <c r="S84" s="496">
        <f t="shared" si="23"/>
        <v>64.5</v>
      </c>
      <c r="T84" s="499"/>
      <c r="U84" s="500"/>
      <c r="V84" s="496"/>
      <c r="W84" s="499"/>
      <c r="X84" s="500"/>
      <c r="Y84" s="496"/>
      <c r="Z84" s="499"/>
      <c r="AA84" s="500"/>
      <c r="AB84" s="496"/>
      <c r="AC84" s="499"/>
      <c r="AD84" s="500"/>
      <c r="AE84" s="496"/>
      <c r="AF84" s="499"/>
      <c r="AG84" s="500"/>
      <c r="AH84" s="496"/>
      <c r="AI84" s="499"/>
      <c r="AJ84" s="500"/>
      <c r="AK84" s="496"/>
      <c r="AL84" s="499"/>
      <c r="AM84" s="500"/>
      <c r="AN84" s="496"/>
      <c r="AO84" s="496">
        <f>B84+E84+H84+K84+Q84+T84+W84+Z84+AF84+AI84+AL84</f>
        <v>26.861871000000001</v>
      </c>
      <c r="AP84" s="496">
        <f t="shared" si="28"/>
        <v>44.17794</v>
      </c>
      <c r="AQ84" s="496">
        <f t="shared" si="29"/>
        <v>64.5</v>
      </c>
      <c r="AR84" s="496">
        <f t="shared" si="37"/>
        <v>26.861871000000001</v>
      </c>
      <c r="AS84" s="496">
        <f t="shared" si="20"/>
        <v>44.17794</v>
      </c>
      <c r="AT84" s="496">
        <f t="shared" si="30"/>
        <v>64.5</v>
      </c>
      <c r="AU84" s="480"/>
      <c r="AV84" s="480"/>
      <c r="AW84" s="501"/>
    </row>
    <row r="85" spans="1:74" ht="18.75" x14ac:dyDescent="0.3">
      <c r="A85" s="497" t="s">
        <v>267</v>
      </c>
      <c r="B85" s="499">
        <v>12599.530999999999</v>
      </c>
      <c r="C85" s="500">
        <v>15516.241</v>
      </c>
      <c r="D85" s="496">
        <f t="shared" si="31"/>
        <v>23.1</v>
      </c>
      <c r="E85" s="499">
        <v>52892.825000000004</v>
      </c>
      <c r="F85" s="500">
        <v>67680.358999999997</v>
      </c>
      <c r="G85" s="496">
        <f t="shared" si="21"/>
        <v>28</v>
      </c>
      <c r="H85" s="499">
        <v>2394.875</v>
      </c>
      <c r="I85" s="500">
        <v>2925.2689999999998</v>
      </c>
      <c r="J85" s="496">
        <f t="shared" si="32"/>
        <v>22.1</v>
      </c>
      <c r="K85" s="499">
        <v>16013.493</v>
      </c>
      <c r="L85" s="500">
        <v>20522.7</v>
      </c>
      <c r="M85" s="496">
        <f t="shared" si="22"/>
        <v>28.2</v>
      </c>
      <c r="N85" s="499"/>
      <c r="O85" s="500"/>
      <c r="P85" s="496"/>
      <c r="Q85" s="499">
        <v>2120.2189621500002</v>
      </c>
      <c r="R85" s="500">
        <v>2288.8392571500003</v>
      </c>
      <c r="S85" s="496">
        <f t="shared" si="23"/>
        <v>8</v>
      </c>
      <c r="T85" s="499">
        <v>1361.8420000000001</v>
      </c>
      <c r="U85" s="500">
        <v>2183.0149999999999</v>
      </c>
      <c r="V85" s="496">
        <f t="shared" si="24"/>
        <v>60.3</v>
      </c>
      <c r="W85" s="499">
        <v>42006.581100000003</v>
      </c>
      <c r="X85" s="500">
        <v>52390.62</v>
      </c>
      <c r="Y85" s="496">
        <f t="shared" si="34"/>
        <v>24.7</v>
      </c>
      <c r="Z85" s="499"/>
      <c r="AA85" s="500"/>
      <c r="AB85" s="496"/>
      <c r="AC85" s="499">
        <v>1571</v>
      </c>
      <c r="AD85" s="500">
        <v>1904</v>
      </c>
      <c r="AE85" s="496">
        <f t="shared" si="36"/>
        <v>21.2</v>
      </c>
      <c r="AF85" s="499">
        <v>515.69420324999999</v>
      </c>
      <c r="AG85" s="500"/>
      <c r="AH85" s="496">
        <f t="shared" si="35"/>
        <v>-100</v>
      </c>
      <c r="AI85" s="499">
        <v>16928.885000000002</v>
      </c>
      <c r="AJ85" s="500">
        <v>21802.566999999999</v>
      </c>
      <c r="AK85" s="496">
        <f t="shared" si="26"/>
        <v>28.8</v>
      </c>
      <c r="AL85" s="499">
        <v>58094.400000000001</v>
      </c>
      <c r="AM85" s="500">
        <v>71312</v>
      </c>
      <c r="AN85" s="496">
        <f t="shared" si="27"/>
        <v>22.8</v>
      </c>
      <c r="AO85" s="496">
        <f t="shared" si="28"/>
        <v>204928.34526540001</v>
      </c>
      <c r="AP85" s="496">
        <f t="shared" si="28"/>
        <v>256621.61025714999</v>
      </c>
      <c r="AQ85" s="496">
        <f t="shared" si="29"/>
        <v>25.2</v>
      </c>
      <c r="AR85" s="496">
        <f t="shared" si="37"/>
        <v>206499.34526540001</v>
      </c>
      <c r="AS85" s="496">
        <f t="shared" si="20"/>
        <v>497342.14025714999</v>
      </c>
      <c r="AT85" s="496">
        <f t="shared" si="30"/>
        <v>140.80000000000001</v>
      </c>
      <c r="AU85" s="480"/>
      <c r="AV85" s="480"/>
      <c r="AW85" s="501"/>
    </row>
    <row r="86" spans="1:74" ht="18.75" x14ac:dyDescent="0.3">
      <c r="A86" s="493" t="s">
        <v>268</v>
      </c>
      <c r="B86" s="499">
        <v>27.413</v>
      </c>
      <c r="C86" s="500">
        <v>22.07</v>
      </c>
      <c r="D86" s="496">
        <f t="shared" si="31"/>
        <v>-19.5</v>
      </c>
      <c r="E86" s="499">
        <v>898.50300000000004</v>
      </c>
      <c r="F86" s="500">
        <v>824.79499999999996</v>
      </c>
      <c r="G86" s="496">
        <f t="shared" si="21"/>
        <v>-8.1999999999999993</v>
      </c>
      <c r="H86" s="499">
        <v>54.741</v>
      </c>
      <c r="I86" s="500">
        <v>66.772999999999996</v>
      </c>
      <c r="J86" s="496">
        <f t="shared" si="32"/>
        <v>22</v>
      </c>
      <c r="K86" s="499">
        <v>30.451000000000001</v>
      </c>
      <c r="L86" s="500">
        <v>16.5</v>
      </c>
      <c r="M86" s="496">
        <f t="shared" si="22"/>
        <v>-45.8</v>
      </c>
      <c r="N86" s="499">
        <v>1</v>
      </c>
      <c r="O86" s="500">
        <v>1</v>
      </c>
      <c r="P86" s="496">
        <f t="shared" si="33"/>
        <v>0</v>
      </c>
      <c r="Q86" s="499">
        <v>662.60305119000009</v>
      </c>
      <c r="R86" s="500">
        <v>485.51940683999999</v>
      </c>
      <c r="S86" s="496">
        <f t="shared" si="23"/>
        <v>-26.7</v>
      </c>
      <c r="T86" s="499">
        <v>7.0419999999999998</v>
      </c>
      <c r="U86" s="500">
        <v>6.4630000000000001</v>
      </c>
      <c r="V86" s="496">
        <f t="shared" si="24"/>
        <v>-8.1999999999999993</v>
      </c>
      <c r="W86" s="499">
        <v>349.56</v>
      </c>
      <c r="X86" s="500">
        <v>432.75</v>
      </c>
      <c r="Y86" s="496">
        <f t="shared" si="34"/>
        <v>23.8</v>
      </c>
      <c r="Z86" s="499"/>
      <c r="AA86" s="500"/>
      <c r="AB86" s="496"/>
      <c r="AC86" s="499"/>
      <c r="AD86" s="500"/>
      <c r="AE86" s="496"/>
      <c r="AF86" s="499">
        <v>16.22373438</v>
      </c>
      <c r="AG86" s="500"/>
      <c r="AH86" s="496">
        <f t="shared" si="35"/>
        <v>-100</v>
      </c>
      <c r="AI86" s="499">
        <v>789.60400000000004</v>
      </c>
      <c r="AJ86" s="500">
        <v>701.63300000000004</v>
      </c>
      <c r="AK86" s="496">
        <f t="shared" si="26"/>
        <v>-11.1</v>
      </c>
      <c r="AL86" s="499">
        <v>123</v>
      </c>
      <c r="AM86" s="500">
        <v>58</v>
      </c>
      <c r="AN86" s="496">
        <f t="shared" si="27"/>
        <v>-52.8</v>
      </c>
      <c r="AO86" s="496">
        <f t="shared" si="28"/>
        <v>2959.1407855699999</v>
      </c>
      <c r="AP86" s="496">
        <f t="shared" si="28"/>
        <v>2614.50340684</v>
      </c>
      <c r="AQ86" s="496">
        <f t="shared" si="29"/>
        <v>-11.6</v>
      </c>
      <c r="AR86" s="496">
        <f t="shared" si="37"/>
        <v>2960.1407855699999</v>
      </c>
      <c r="AS86" s="496">
        <f t="shared" si="20"/>
        <v>4722.4174068399998</v>
      </c>
      <c r="AT86" s="496">
        <f t="shared" si="30"/>
        <v>59.5</v>
      </c>
      <c r="AU86" s="480"/>
      <c r="AV86" s="480"/>
      <c r="AW86" s="501"/>
    </row>
    <row r="87" spans="1:74" ht="18.75" x14ac:dyDescent="0.3">
      <c r="A87" s="493" t="s">
        <v>269</v>
      </c>
      <c r="B87" s="499"/>
      <c r="C87" s="500"/>
      <c r="D87" s="496"/>
      <c r="E87" s="499"/>
      <c r="F87" s="500"/>
      <c r="G87" s="496"/>
      <c r="H87" s="499"/>
      <c r="I87" s="500"/>
      <c r="J87" s="496"/>
      <c r="K87" s="499"/>
      <c r="L87" s="500"/>
      <c r="M87" s="496"/>
      <c r="N87" s="499"/>
      <c r="O87" s="500"/>
      <c r="P87" s="496"/>
      <c r="Q87" s="499"/>
      <c r="R87" s="500"/>
      <c r="S87" s="496"/>
      <c r="T87" s="499"/>
      <c r="U87" s="500"/>
      <c r="V87" s="496"/>
      <c r="W87" s="499"/>
      <c r="X87" s="500"/>
      <c r="Y87" s="496"/>
      <c r="Z87" s="499"/>
      <c r="AA87" s="500"/>
      <c r="AB87" s="496"/>
      <c r="AC87" s="499"/>
      <c r="AD87" s="500"/>
      <c r="AE87" s="496"/>
      <c r="AF87" s="499">
        <v>2.5431509600000002</v>
      </c>
      <c r="AG87" s="500"/>
      <c r="AH87" s="496">
        <f t="shared" si="35"/>
        <v>-100</v>
      </c>
      <c r="AI87" s="499">
        <v>237.29300000000001</v>
      </c>
      <c r="AJ87" s="500">
        <v>259.80799999999999</v>
      </c>
      <c r="AK87" s="496">
        <f t="shared" si="26"/>
        <v>9.5</v>
      </c>
      <c r="AL87" s="499"/>
      <c r="AM87" s="500"/>
      <c r="AN87" s="496"/>
      <c r="AO87" s="496">
        <f t="shared" si="28"/>
        <v>239.83615096</v>
      </c>
      <c r="AP87" s="496">
        <f t="shared" si="28"/>
        <v>259.80799999999999</v>
      </c>
      <c r="AQ87" s="496">
        <f t="shared" si="29"/>
        <v>8.3000000000000007</v>
      </c>
      <c r="AR87" s="496">
        <f t="shared" si="37"/>
        <v>239.83615096</v>
      </c>
      <c r="AS87" s="496">
        <f t="shared" si="20"/>
        <v>519.61599999999999</v>
      </c>
      <c r="AT87" s="496">
        <f t="shared" si="30"/>
        <v>116.7</v>
      </c>
      <c r="AU87" s="480"/>
      <c r="AV87" s="480"/>
      <c r="AW87" s="501"/>
    </row>
    <row r="88" spans="1:74" ht="18.75" x14ac:dyDescent="0.3">
      <c r="A88" s="493" t="s">
        <v>270</v>
      </c>
      <c r="B88" s="499">
        <v>65.015000000000001</v>
      </c>
      <c r="C88" s="500">
        <v>60.262</v>
      </c>
      <c r="D88" s="496">
        <f t="shared" si="31"/>
        <v>-7.3</v>
      </c>
      <c r="E88" s="499">
        <v>2738.4029999999998</v>
      </c>
      <c r="F88" s="500">
        <v>1770.3579999999999</v>
      </c>
      <c r="G88" s="496">
        <f t="shared" si="21"/>
        <v>-35.4</v>
      </c>
      <c r="H88" s="499"/>
      <c r="I88" s="500"/>
      <c r="J88" s="496"/>
      <c r="K88" s="499">
        <v>67.239000000000004</v>
      </c>
      <c r="L88" s="500">
        <v>56</v>
      </c>
      <c r="M88" s="496">
        <f t="shared" si="22"/>
        <v>-16.7</v>
      </c>
      <c r="N88" s="499">
        <v>2</v>
      </c>
      <c r="O88" s="500">
        <v>4</v>
      </c>
      <c r="P88" s="496">
        <f t="shared" si="33"/>
        <v>100</v>
      </c>
      <c r="Q88" s="499">
        <v>16984.296850719998</v>
      </c>
      <c r="R88" s="500">
        <v>9055.7387736100009</v>
      </c>
      <c r="S88" s="496">
        <f t="shared" si="23"/>
        <v>-46.7</v>
      </c>
      <c r="T88" s="499">
        <v>6.0309999999999997</v>
      </c>
      <c r="U88" s="500">
        <v>30.222000000000001</v>
      </c>
      <c r="V88" s="496">
        <f t="shared" si="24"/>
        <v>401.1</v>
      </c>
      <c r="W88" s="499">
        <v>602.58000000000004</v>
      </c>
      <c r="X88" s="500">
        <v>1041.99</v>
      </c>
      <c r="Y88" s="496">
        <f t="shared" si="34"/>
        <v>72.900000000000006</v>
      </c>
      <c r="Z88" s="499">
        <v>823</v>
      </c>
      <c r="AA88" s="500">
        <v>1153</v>
      </c>
      <c r="AB88" s="496">
        <f t="shared" si="25"/>
        <v>40.1</v>
      </c>
      <c r="AC88" s="499">
        <v>1</v>
      </c>
      <c r="AD88" s="500">
        <v>4</v>
      </c>
      <c r="AE88" s="496">
        <f t="shared" si="36"/>
        <v>300</v>
      </c>
      <c r="AF88" s="499">
        <v>13.530041189999995</v>
      </c>
      <c r="AG88" s="500"/>
      <c r="AH88" s="496">
        <f t="shared" si="35"/>
        <v>-100</v>
      </c>
      <c r="AI88" s="499">
        <v>418.05599999999998</v>
      </c>
      <c r="AJ88" s="500">
        <v>369.82499999999999</v>
      </c>
      <c r="AK88" s="496">
        <f t="shared" si="26"/>
        <v>-11.5</v>
      </c>
      <c r="AL88" s="499">
        <v>3484</v>
      </c>
      <c r="AM88" s="500">
        <v>4312</v>
      </c>
      <c r="AN88" s="496">
        <f t="shared" si="27"/>
        <v>23.8</v>
      </c>
      <c r="AO88" s="496">
        <f t="shared" si="28"/>
        <v>25202.150891909998</v>
      </c>
      <c r="AP88" s="496">
        <f t="shared" si="28"/>
        <v>17849.395773610002</v>
      </c>
      <c r="AQ88" s="496">
        <f t="shared" si="29"/>
        <v>-29.2</v>
      </c>
      <c r="AR88" s="496">
        <f t="shared" si="37"/>
        <v>25205.150891909998</v>
      </c>
      <c r="AS88" s="496">
        <f t="shared" si="20"/>
        <v>26590.790773610002</v>
      </c>
      <c r="AT88" s="496">
        <f t="shared" si="30"/>
        <v>5.5</v>
      </c>
      <c r="AU88" s="480"/>
      <c r="AV88" s="480"/>
      <c r="AW88" s="501"/>
    </row>
    <row r="89" spans="1:74" ht="18.75" x14ac:dyDescent="0.3">
      <c r="A89" s="493" t="s">
        <v>271</v>
      </c>
      <c r="B89" s="499">
        <v>11.127000000000001</v>
      </c>
      <c r="C89" s="500">
        <v>21.582999999999998</v>
      </c>
      <c r="D89" s="496">
        <f t="shared" si="31"/>
        <v>94</v>
      </c>
      <c r="E89" s="499">
        <v>269.59699999999998</v>
      </c>
      <c r="F89" s="500">
        <v>207.506</v>
      </c>
      <c r="G89" s="496">
        <f t="shared" si="21"/>
        <v>-23</v>
      </c>
      <c r="H89" s="499">
        <v>13.132999999999999</v>
      </c>
      <c r="I89" s="500">
        <v>21.094999999999999</v>
      </c>
      <c r="J89" s="496">
        <f t="shared" si="32"/>
        <v>60.6</v>
      </c>
      <c r="K89" s="499">
        <v>11.831</v>
      </c>
      <c r="L89" s="500">
        <v>15</v>
      </c>
      <c r="M89" s="496">
        <f t="shared" si="22"/>
        <v>26.8</v>
      </c>
      <c r="N89" s="499">
        <v>1</v>
      </c>
      <c r="O89" s="500">
        <v>1</v>
      </c>
      <c r="P89" s="496">
        <f t="shared" si="33"/>
        <v>0</v>
      </c>
      <c r="Q89" s="499">
        <v>76.723607189999996</v>
      </c>
      <c r="R89" s="500">
        <v>111.36382837000001</v>
      </c>
      <c r="S89" s="496">
        <f t="shared" si="23"/>
        <v>45.1</v>
      </c>
      <c r="T89" s="499">
        <v>7.274</v>
      </c>
      <c r="U89" s="500">
        <v>9.1129999999999995</v>
      </c>
      <c r="V89" s="496">
        <f t="shared" si="24"/>
        <v>25.3</v>
      </c>
      <c r="W89" s="499">
        <v>43.12</v>
      </c>
      <c r="X89" s="500">
        <v>51.38</v>
      </c>
      <c r="Y89" s="496">
        <f t="shared" si="34"/>
        <v>19.2</v>
      </c>
      <c r="Z89" s="499">
        <v>93</v>
      </c>
      <c r="AA89" s="500"/>
      <c r="AB89" s="496">
        <f t="shared" si="25"/>
        <v>-100</v>
      </c>
      <c r="AC89" s="499"/>
      <c r="AD89" s="500"/>
      <c r="AE89" s="496"/>
      <c r="AF89" s="499">
        <v>3.8457674100000001</v>
      </c>
      <c r="AG89" s="500"/>
      <c r="AH89" s="496">
        <f t="shared" si="35"/>
        <v>-100</v>
      </c>
      <c r="AI89" s="499">
        <v>107.67400000000001</v>
      </c>
      <c r="AJ89" s="500">
        <v>109.67700000000001</v>
      </c>
      <c r="AK89" s="496">
        <f t="shared" si="26"/>
        <v>1.9</v>
      </c>
      <c r="AL89" s="499">
        <v>217</v>
      </c>
      <c r="AM89" s="500">
        <v>182</v>
      </c>
      <c r="AN89" s="496">
        <f t="shared" si="27"/>
        <v>-16.100000000000001</v>
      </c>
      <c r="AO89" s="496">
        <f t="shared" si="28"/>
        <v>854.32537460000003</v>
      </c>
      <c r="AP89" s="496">
        <f t="shared" si="28"/>
        <v>728.71782837000001</v>
      </c>
      <c r="AQ89" s="496">
        <f t="shared" si="29"/>
        <v>-14.7</v>
      </c>
      <c r="AR89" s="496">
        <f t="shared" si="37"/>
        <v>855.32537460000003</v>
      </c>
      <c r="AS89" s="496">
        <f t="shared" si="20"/>
        <v>1325.48882837</v>
      </c>
      <c r="AT89" s="496">
        <f t="shared" si="30"/>
        <v>55</v>
      </c>
      <c r="AU89" s="480"/>
      <c r="AV89" s="480"/>
      <c r="AW89" s="501"/>
    </row>
    <row r="90" spans="1:74" ht="18.75" x14ac:dyDescent="0.3">
      <c r="A90" s="493"/>
      <c r="B90" s="499"/>
      <c r="C90" s="500"/>
      <c r="D90" s="496"/>
      <c r="E90" s="499"/>
      <c r="F90" s="500"/>
      <c r="G90" s="496"/>
      <c r="H90" s="499"/>
      <c r="I90" s="500"/>
      <c r="J90" s="496"/>
      <c r="K90" s="499"/>
      <c r="L90" s="500"/>
      <c r="M90" s="496"/>
      <c r="N90" s="499"/>
      <c r="O90" s="500"/>
      <c r="P90" s="496"/>
      <c r="Q90" s="499"/>
      <c r="R90" s="500"/>
      <c r="S90" s="496"/>
      <c r="T90" s="499"/>
      <c r="U90" s="500"/>
      <c r="V90" s="496"/>
      <c r="W90" s="499"/>
      <c r="X90" s="500"/>
      <c r="Y90" s="496"/>
      <c r="Z90" s="499"/>
      <c r="AA90" s="500"/>
      <c r="AB90" s="496"/>
      <c r="AC90" s="499"/>
      <c r="AD90" s="500"/>
      <c r="AE90" s="496"/>
      <c r="AF90" s="499"/>
      <c r="AG90" s="500"/>
      <c r="AH90" s="496"/>
      <c r="AI90" s="499"/>
      <c r="AJ90" s="500"/>
      <c r="AK90" s="496"/>
      <c r="AL90" s="499"/>
      <c r="AM90" s="500"/>
      <c r="AN90" s="496"/>
      <c r="AO90" s="496"/>
      <c r="AP90" s="496"/>
      <c r="AQ90" s="496"/>
      <c r="AR90" s="496"/>
      <c r="AS90" s="496"/>
      <c r="AT90" s="496"/>
      <c r="AU90" s="480"/>
      <c r="AV90" s="480"/>
      <c r="AW90" s="501"/>
    </row>
    <row r="91" spans="1:74" s="505" customFormat="1" ht="18.75" x14ac:dyDescent="0.3">
      <c r="A91" s="508" t="s">
        <v>272</v>
      </c>
      <c r="B91" s="509">
        <v>13927.73</v>
      </c>
      <c r="C91" s="510">
        <v>17007.871999999996</v>
      </c>
      <c r="D91" s="511">
        <f t="shared" si="31"/>
        <v>22.1</v>
      </c>
      <c r="E91" s="509">
        <v>294143.84300000005</v>
      </c>
      <c r="F91" s="510">
        <v>308855.353</v>
      </c>
      <c r="G91" s="511">
        <f t="shared" si="21"/>
        <v>5</v>
      </c>
      <c r="H91" s="509">
        <v>3651.1129999999998</v>
      </c>
      <c r="I91" s="510">
        <v>4384.6970000000001</v>
      </c>
      <c r="J91" s="511">
        <f t="shared" si="32"/>
        <v>20.100000000000001</v>
      </c>
      <c r="K91" s="509">
        <v>22177.201000000001</v>
      </c>
      <c r="L91" s="510">
        <v>27330.440000000002</v>
      </c>
      <c r="M91" s="511">
        <f t="shared" si="22"/>
        <v>23.2</v>
      </c>
      <c r="N91" s="509">
        <v>140</v>
      </c>
      <c r="O91" s="510">
        <v>140</v>
      </c>
      <c r="P91" s="511">
        <f t="shared" si="33"/>
        <v>0</v>
      </c>
      <c r="Q91" s="509">
        <v>485071.38277381007</v>
      </c>
      <c r="R91" s="510">
        <v>516327.12977963005</v>
      </c>
      <c r="S91" s="511">
        <f t="shared" si="23"/>
        <v>6.4</v>
      </c>
      <c r="T91" s="509">
        <v>3221.8649999999998</v>
      </c>
      <c r="U91" s="510">
        <v>4372.7290000000003</v>
      </c>
      <c r="V91" s="511">
        <f t="shared" si="24"/>
        <v>35.700000000000003</v>
      </c>
      <c r="W91" s="509">
        <v>99702.616121499901</v>
      </c>
      <c r="X91" s="510">
        <v>112913.3</v>
      </c>
      <c r="Y91" s="511">
        <f t="shared" si="34"/>
        <v>13.3</v>
      </c>
      <c r="Z91" s="509">
        <v>79442</v>
      </c>
      <c r="AA91" s="510">
        <v>87429</v>
      </c>
      <c r="AB91" s="511">
        <f t="shared" si="25"/>
        <v>10.1</v>
      </c>
      <c r="AC91" s="509">
        <v>1596</v>
      </c>
      <c r="AD91" s="510">
        <v>1943</v>
      </c>
      <c r="AE91" s="511">
        <f t="shared" si="36"/>
        <v>21.7</v>
      </c>
      <c r="AF91" s="509">
        <v>9578.9121728500013</v>
      </c>
      <c r="AG91" s="510">
        <v>0</v>
      </c>
      <c r="AH91" s="511">
        <f t="shared" si="35"/>
        <v>-100</v>
      </c>
      <c r="AI91" s="509">
        <v>42619.923492999995</v>
      </c>
      <c r="AJ91" s="510">
        <v>50163.070597999998</v>
      </c>
      <c r="AK91" s="511">
        <f t="shared" si="26"/>
        <v>17.7</v>
      </c>
      <c r="AL91" s="509">
        <v>274379.2</v>
      </c>
      <c r="AM91" s="510">
        <v>292733</v>
      </c>
      <c r="AN91" s="511">
        <f t="shared" si="27"/>
        <v>6.7</v>
      </c>
      <c r="AO91" s="511">
        <f>B91+E91+H91+K91+Q91+T91+W91+Z91+AF91+AI91+AL91</f>
        <v>1327915.7865611601</v>
      </c>
      <c r="AP91" s="511">
        <f>C91+F91+I91+L91+R91+U91+X91+AA91+AG91+AJ91+AM91</f>
        <v>1421516.5913776301</v>
      </c>
      <c r="AQ91" s="511">
        <f t="shared" si="29"/>
        <v>7</v>
      </c>
      <c r="AR91" s="511">
        <f t="shared" si="37"/>
        <v>1329651.7865611601</v>
      </c>
      <c r="AS91" s="511">
        <f t="shared" si="20"/>
        <v>2311781.1809756299</v>
      </c>
      <c r="AT91" s="511">
        <f t="shared" si="30"/>
        <v>73.900000000000006</v>
      </c>
      <c r="AU91" s="503"/>
      <c r="AV91" s="503"/>
      <c r="AW91" s="504"/>
    </row>
    <row r="92" spans="1:74" ht="18.75" x14ac:dyDescent="0.3">
      <c r="A92" s="512"/>
      <c r="B92" s="512"/>
      <c r="Q92" s="512"/>
      <c r="X92" s="513"/>
      <c r="Y92" s="513"/>
      <c r="Z92" s="513"/>
      <c r="AA92" s="513"/>
      <c r="AB92" s="513"/>
      <c r="AC92" s="513"/>
      <c r="AD92" s="513"/>
      <c r="AE92" s="513"/>
      <c r="AF92" s="513"/>
      <c r="AG92" s="513"/>
      <c r="AH92" s="513"/>
      <c r="AI92" s="512"/>
      <c r="AL92" s="512"/>
    </row>
    <row r="93" spans="1:74" ht="18.75" x14ac:dyDescent="0.3">
      <c r="A93" s="512" t="s">
        <v>274</v>
      </c>
      <c r="Q93" s="512"/>
      <c r="X93" s="513"/>
      <c r="Y93" s="513"/>
      <c r="Z93" s="513"/>
      <c r="AA93" s="513"/>
      <c r="AB93" s="513"/>
      <c r="AC93" s="513"/>
      <c r="AD93" s="513"/>
      <c r="AE93" s="513"/>
      <c r="AF93" s="513"/>
      <c r="AG93" s="513"/>
      <c r="AH93" s="513"/>
      <c r="AI93" s="512"/>
      <c r="AL93" s="512"/>
    </row>
    <row r="94" spans="1:74" ht="18.75" x14ac:dyDescent="0.3">
      <c r="A94" s="512" t="s">
        <v>275</v>
      </c>
      <c r="B94" s="514"/>
      <c r="C94" s="514"/>
      <c r="D94" s="514"/>
      <c r="E94" s="514"/>
      <c r="F94" s="514"/>
      <c r="G94" s="514"/>
      <c r="H94" s="514"/>
      <c r="I94" s="514"/>
      <c r="J94" s="514"/>
      <c r="K94" s="514"/>
      <c r="L94" s="514"/>
      <c r="M94" s="514"/>
      <c r="N94" s="514"/>
      <c r="O94" s="514"/>
      <c r="P94" s="514"/>
      <c r="Q94" s="514"/>
      <c r="R94" s="514"/>
      <c r="S94" s="514"/>
      <c r="T94" s="514"/>
      <c r="U94" s="514"/>
      <c r="V94" s="514"/>
      <c r="W94" s="514"/>
      <c r="X94" s="514"/>
      <c r="Y94" s="515"/>
      <c r="Z94" s="515"/>
      <c r="AA94" s="515"/>
      <c r="AB94" s="515"/>
      <c r="AC94" s="515"/>
      <c r="AD94" s="515"/>
      <c r="AE94" s="515"/>
      <c r="AF94" s="515"/>
      <c r="AG94" s="515"/>
      <c r="AH94" s="515"/>
      <c r="AI94" s="514"/>
      <c r="AJ94" s="514"/>
      <c r="AK94" s="514"/>
      <c r="AL94" s="514"/>
      <c r="AM94" s="514"/>
      <c r="AN94" s="514"/>
      <c r="AO94" s="514"/>
      <c r="AP94" s="514"/>
      <c r="AQ94" s="514"/>
      <c r="AR94" s="514"/>
      <c r="AS94" s="514"/>
      <c r="AT94" s="514"/>
      <c r="AU94" s="516"/>
      <c r="AV94" s="516"/>
      <c r="AW94" s="514"/>
      <c r="AX94" s="514"/>
      <c r="AY94" s="514"/>
      <c r="AZ94" s="514"/>
      <c r="BA94" s="514"/>
      <c r="BB94" s="514"/>
      <c r="BC94" s="514"/>
      <c r="BD94" s="514"/>
      <c r="BE94" s="514"/>
      <c r="BF94" s="514"/>
      <c r="BG94" s="514"/>
      <c r="BH94" s="514"/>
      <c r="BI94" s="514"/>
      <c r="BJ94" s="514"/>
      <c r="BK94" s="514"/>
      <c r="BL94" s="514"/>
      <c r="BM94" s="514"/>
      <c r="BN94" s="514"/>
      <c r="BO94" s="514"/>
      <c r="BP94" s="514"/>
      <c r="BQ94" s="514"/>
      <c r="BR94" s="514"/>
      <c r="BS94" s="514"/>
      <c r="BT94" s="514"/>
      <c r="BU94" s="514"/>
      <c r="BV94" s="514"/>
    </row>
    <row r="95" spans="1:74" ht="18.75" x14ac:dyDescent="0.3">
      <c r="A95" s="514"/>
      <c r="B95" s="514"/>
      <c r="C95" s="514"/>
      <c r="D95" s="514"/>
      <c r="E95" s="514"/>
      <c r="F95" s="514"/>
      <c r="G95" s="514"/>
      <c r="H95" s="514"/>
      <c r="I95" s="514"/>
      <c r="J95" s="514"/>
      <c r="K95" s="514"/>
      <c r="L95" s="514"/>
      <c r="M95" s="514"/>
      <c r="N95" s="514"/>
      <c r="O95" s="514"/>
      <c r="P95" s="514"/>
      <c r="Q95" s="514"/>
      <c r="R95" s="514"/>
      <c r="S95" s="514"/>
      <c r="T95" s="514"/>
      <c r="U95" s="514"/>
      <c r="V95" s="514"/>
      <c r="W95" s="514"/>
      <c r="X95" s="514"/>
      <c r="Y95" s="514"/>
      <c r="Z95" s="514"/>
      <c r="AA95" s="514"/>
      <c r="AB95" s="514"/>
      <c r="AC95" s="514"/>
      <c r="AD95" s="514"/>
      <c r="AE95" s="514"/>
      <c r="AF95" s="514"/>
      <c r="AG95" s="514"/>
      <c r="AH95" s="514"/>
      <c r="AI95" s="514"/>
      <c r="AJ95" s="514"/>
      <c r="AK95" s="514"/>
      <c r="AL95" s="514"/>
      <c r="AM95" s="514"/>
      <c r="AN95" s="514"/>
      <c r="AO95" s="514"/>
      <c r="AP95" s="514"/>
      <c r="AQ95" s="514"/>
      <c r="AR95" s="514"/>
      <c r="AS95" s="514"/>
      <c r="AT95" s="514"/>
      <c r="AU95" s="516"/>
      <c r="AV95" s="516"/>
      <c r="AW95" s="514"/>
      <c r="AX95" s="514"/>
      <c r="AY95" s="514"/>
      <c r="AZ95" s="514"/>
      <c r="BA95" s="514"/>
      <c r="BB95" s="514"/>
      <c r="BC95" s="514"/>
      <c r="BD95" s="514"/>
      <c r="BE95" s="514"/>
      <c r="BF95" s="514"/>
      <c r="BG95" s="514"/>
      <c r="BH95" s="514"/>
      <c r="BI95" s="514"/>
      <c r="BJ95" s="514"/>
      <c r="BK95" s="514"/>
      <c r="BL95" s="514"/>
      <c r="BM95" s="514"/>
      <c r="BN95" s="514"/>
      <c r="BO95" s="514"/>
      <c r="BP95" s="514"/>
      <c r="BQ95" s="514"/>
      <c r="BR95" s="514"/>
      <c r="BS95" s="514"/>
      <c r="BT95" s="514"/>
      <c r="BU95" s="514"/>
      <c r="BV95" s="514"/>
    </row>
    <row r="96" spans="1:74" ht="18.75" x14ac:dyDescent="0.3">
      <c r="A96" s="517"/>
      <c r="B96" s="518" t="str">
        <f>IF(ROUND(B35,1)=ROUND(B36+B38,1),"","35≠36+38")</f>
        <v/>
      </c>
      <c r="C96" s="518" t="str">
        <f>IF(C35=C36+C38,"","35≠36+38")</f>
        <v/>
      </c>
      <c r="D96" s="517"/>
      <c r="E96" s="518" t="str">
        <f t="shared" ref="E96:F96" si="38">IF(E35=E36+E38,"","35≠36+38")</f>
        <v/>
      </c>
      <c r="F96" s="518" t="str">
        <f t="shared" si="38"/>
        <v/>
      </c>
      <c r="G96" s="517"/>
      <c r="H96" s="518" t="str">
        <f t="shared" ref="H96:I96" si="39">IF(H35=H36+H38,"","35≠36+38")</f>
        <v/>
      </c>
      <c r="I96" s="518" t="str">
        <f t="shared" si="39"/>
        <v/>
      </c>
      <c r="J96" s="517"/>
      <c r="K96" s="518" t="str">
        <f t="shared" ref="K96:L96" si="40">IF(K35=K36+K38,"","35≠36+38")</f>
        <v/>
      </c>
      <c r="L96" s="518" t="str">
        <f t="shared" si="40"/>
        <v/>
      </c>
      <c r="M96" s="517"/>
      <c r="N96" s="518" t="str">
        <f t="shared" ref="N96:O96" si="41">IF(N35=N36+N38,"","35≠36+38")</f>
        <v/>
      </c>
      <c r="O96" s="518" t="str">
        <f t="shared" si="41"/>
        <v/>
      </c>
      <c r="P96" s="517"/>
      <c r="Q96" s="518" t="str">
        <f t="shared" ref="Q96:R96" si="42">IF(Q35=Q36+Q38,"","35≠36+38")</f>
        <v/>
      </c>
      <c r="R96" s="518" t="str">
        <f t="shared" si="42"/>
        <v/>
      </c>
      <c r="S96" s="517"/>
      <c r="T96" s="518" t="str">
        <f t="shared" ref="T96:U96" si="43">IF(T35=T36+T38,"","35≠36+38")</f>
        <v/>
      </c>
      <c r="U96" s="518" t="str">
        <f t="shared" si="43"/>
        <v/>
      </c>
      <c r="V96" s="517"/>
      <c r="W96" s="518" t="str">
        <f t="shared" ref="W96:X96" si="44">IF(W35=W36+W38,"","35≠36+38")</f>
        <v/>
      </c>
      <c r="X96" s="518" t="str">
        <f t="shared" si="44"/>
        <v/>
      </c>
      <c r="Y96" s="517"/>
      <c r="Z96" s="518" t="str">
        <f t="shared" ref="Z96:AA96" si="45">IF(Z35=Z36+Z38,"","35≠36+38")</f>
        <v/>
      </c>
      <c r="AA96" s="518" t="str">
        <f t="shared" si="45"/>
        <v/>
      </c>
      <c r="AB96" s="517"/>
      <c r="AC96" s="518" t="str">
        <f t="shared" ref="AC96:AD96" si="46">IF(AC35=AC36+AC38,"","35≠36+38")</f>
        <v/>
      </c>
      <c r="AD96" s="518" t="str">
        <f t="shared" si="46"/>
        <v/>
      </c>
      <c r="AE96" s="517"/>
      <c r="AF96" s="518" t="str">
        <f t="shared" ref="AF96:AG96" si="47">IF(AF35=AF36+AF38,"","35≠36+38")</f>
        <v/>
      </c>
      <c r="AG96" s="518" t="str">
        <f t="shared" si="47"/>
        <v/>
      </c>
      <c r="AH96" s="517"/>
      <c r="AI96" s="518" t="str">
        <f t="shared" ref="AI96:AJ96" si="48">IF(AI35=AI36+AI38,"","35≠36+38")</f>
        <v/>
      </c>
      <c r="AJ96" s="518" t="str">
        <f t="shared" si="48"/>
        <v/>
      </c>
      <c r="AK96" s="517"/>
      <c r="AL96" s="518" t="str">
        <f t="shared" ref="AL96:AM96" si="49">IF(AL35=AL36+AL38,"","35≠36+38")</f>
        <v/>
      </c>
      <c r="AM96" s="518" t="str">
        <f t="shared" si="49"/>
        <v/>
      </c>
      <c r="AN96" s="517"/>
      <c r="AO96" s="518" t="str">
        <f t="shared" ref="AO96:AP96" si="50">IF(AO35=AO36+AO38,"","35≠36+38")</f>
        <v/>
      </c>
      <c r="AP96" s="518" t="str">
        <f t="shared" si="50"/>
        <v/>
      </c>
      <c r="AQ96" s="517"/>
      <c r="AR96" s="518" t="str">
        <f t="shared" ref="AR96:AS96" si="51">IF(AR35=AR36+AR38,"","35≠36+38")</f>
        <v/>
      </c>
      <c r="AS96" s="518" t="str">
        <f t="shared" si="51"/>
        <v/>
      </c>
      <c r="AT96" s="517"/>
      <c r="AU96" s="514"/>
      <c r="AV96" s="516"/>
      <c r="AW96" s="514"/>
      <c r="AX96" s="514"/>
      <c r="AY96" s="514"/>
      <c r="AZ96" s="514"/>
      <c r="BA96" s="514"/>
      <c r="BB96" s="514"/>
      <c r="BC96" s="514"/>
      <c r="BD96" s="514"/>
      <c r="BE96" s="514"/>
      <c r="BF96" s="514"/>
      <c r="BG96" s="514"/>
      <c r="BH96" s="514"/>
      <c r="BI96" s="514"/>
      <c r="BJ96" s="514"/>
      <c r="BK96" s="514"/>
      <c r="BL96" s="514"/>
      <c r="BM96" s="514"/>
      <c r="BN96" s="514"/>
      <c r="BO96" s="514"/>
      <c r="BP96" s="514"/>
      <c r="BQ96" s="514"/>
      <c r="BR96" s="514"/>
      <c r="BS96" s="514"/>
      <c r="BT96" s="514"/>
      <c r="BU96" s="514"/>
      <c r="BV96" s="514"/>
    </row>
    <row r="97" spans="1:74" ht="18.75" x14ac:dyDescent="0.3">
      <c r="A97" s="514"/>
      <c r="B97" s="514"/>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514"/>
      <c r="BE97" s="514"/>
      <c r="BF97" s="514"/>
      <c r="BG97" s="514"/>
      <c r="BH97" s="514"/>
      <c r="BI97" s="514"/>
      <c r="BJ97" s="514"/>
      <c r="BK97" s="514"/>
      <c r="BL97" s="514"/>
      <c r="BM97" s="514"/>
      <c r="BN97" s="514"/>
      <c r="BO97" s="514"/>
      <c r="BP97" s="514"/>
      <c r="BQ97" s="514"/>
      <c r="BR97" s="514"/>
      <c r="BS97" s="514"/>
      <c r="BT97" s="514"/>
      <c r="BU97" s="514"/>
      <c r="BV97" s="514"/>
    </row>
  </sheetData>
  <mergeCells count="37">
    <mergeCell ref="BI6:BK6"/>
    <mergeCell ref="AI6:AK6"/>
    <mergeCell ref="AL6:AN6"/>
    <mergeCell ref="AO6:AQ6"/>
    <mergeCell ref="AR6:AT6"/>
    <mergeCell ref="AW6:AY6"/>
    <mergeCell ref="AZ6:BB6"/>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6:D6"/>
    <mergeCell ref="E6:G6"/>
    <mergeCell ref="H6:J6"/>
    <mergeCell ref="K6:M6"/>
    <mergeCell ref="N6:P6"/>
    <mergeCell ref="H5:J5"/>
    <mergeCell ref="K5:M5"/>
    <mergeCell ref="N5:P5"/>
    <mergeCell ref="T5:V5"/>
    <mergeCell ref="BI5:BK5"/>
    <mergeCell ref="Z5:AB5"/>
    <mergeCell ref="AF5:AH5"/>
    <mergeCell ref="AI5:AK5"/>
    <mergeCell ref="AL5:AN5"/>
    <mergeCell ref="AO5:AQ5"/>
    <mergeCell ref="AR5:AT5"/>
  </mergeCells>
  <hyperlinks>
    <hyperlink ref="B1" location="Innhold!A1" display="Tilbak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showGridLines="0" zoomScale="60" zoomScaleNormal="6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RowHeight="12.75" x14ac:dyDescent="0.2"/>
  <cols>
    <col min="1" max="1" width="45.140625" style="519" customWidth="1"/>
    <col min="2" max="34" width="11.42578125" style="519"/>
    <col min="35" max="35" width="11.7109375" style="519" customWidth="1"/>
    <col min="36" max="16384" width="11.42578125" style="519"/>
  </cols>
  <sheetData>
    <row r="1" spans="1:54" ht="20.25" x14ac:dyDescent="0.3">
      <c r="A1" s="440" t="s">
        <v>189</v>
      </c>
      <c r="B1" s="441" t="s">
        <v>56</v>
      </c>
      <c r="AL1" s="444"/>
    </row>
    <row r="2" spans="1:54" ht="20.25" x14ac:dyDescent="0.3">
      <c r="A2" s="440" t="s">
        <v>290</v>
      </c>
      <c r="AL2" s="444"/>
    </row>
    <row r="3" spans="1:54" ht="18.75" x14ac:dyDescent="0.3">
      <c r="A3" s="520" t="s">
        <v>382</v>
      </c>
      <c r="AL3" s="447"/>
    </row>
    <row r="4" spans="1:54" ht="18.75" x14ac:dyDescent="0.3">
      <c r="A4" s="448" t="s">
        <v>421</v>
      </c>
      <c r="B4" s="453"/>
      <c r="C4" s="452"/>
      <c r="D4" s="454"/>
      <c r="E4" s="453"/>
      <c r="F4" s="452"/>
      <c r="G4" s="454"/>
      <c r="H4" s="452"/>
      <c r="I4" s="452"/>
      <c r="J4" s="454"/>
      <c r="K4" s="453"/>
      <c r="L4" s="452"/>
      <c r="M4" s="454"/>
      <c r="N4" s="453"/>
      <c r="O4" s="452"/>
      <c r="P4" s="454"/>
      <c r="Q4" s="453"/>
      <c r="R4" s="452"/>
      <c r="S4" s="454"/>
      <c r="T4" s="453"/>
      <c r="U4" s="452"/>
      <c r="V4" s="454"/>
      <c r="W4" s="453"/>
      <c r="X4" s="452"/>
      <c r="Y4" s="454"/>
      <c r="Z4" s="453"/>
      <c r="AA4" s="452"/>
      <c r="AB4" s="454"/>
      <c r="AC4" s="453"/>
      <c r="AD4" s="452"/>
      <c r="AE4" s="454"/>
      <c r="AF4" s="453"/>
      <c r="AG4" s="452"/>
      <c r="AH4" s="454"/>
      <c r="AI4" s="453"/>
      <c r="AJ4" s="521"/>
      <c r="AK4" s="454"/>
      <c r="AL4" s="455"/>
      <c r="AM4" s="456"/>
      <c r="AN4" s="456"/>
      <c r="AO4" s="456"/>
      <c r="AP4" s="456"/>
      <c r="AQ4" s="456"/>
      <c r="AR4" s="456"/>
      <c r="AS4" s="456"/>
      <c r="AT4" s="456"/>
      <c r="AU4" s="456"/>
      <c r="AV4" s="456"/>
      <c r="AW4" s="456"/>
      <c r="AX4" s="456"/>
      <c r="AY4" s="456"/>
      <c r="AZ4" s="456"/>
      <c r="BA4" s="456"/>
      <c r="BB4" s="456"/>
    </row>
    <row r="5" spans="1:54" ht="18.75" x14ac:dyDescent="0.3">
      <c r="A5" s="457"/>
      <c r="B5" s="695" t="s">
        <v>192</v>
      </c>
      <c r="C5" s="696"/>
      <c r="D5" s="697"/>
      <c r="E5" s="695" t="s">
        <v>193</v>
      </c>
      <c r="F5" s="696"/>
      <c r="G5" s="697"/>
      <c r="H5" s="696" t="s">
        <v>194</v>
      </c>
      <c r="I5" s="696"/>
      <c r="J5" s="697"/>
      <c r="K5" s="695" t="s">
        <v>195</v>
      </c>
      <c r="L5" s="696"/>
      <c r="M5" s="697"/>
      <c r="N5" s="458" t="s">
        <v>196</v>
      </c>
      <c r="O5" s="459"/>
      <c r="P5" s="460"/>
      <c r="Q5" s="695" t="s">
        <v>68</v>
      </c>
      <c r="R5" s="696"/>
      <c r="S5" s="697"/>
      <c r="T5" s="458"/>
      <c r="U5" s="459"/>
      <c r="V5" s="460"/>
      <c r="W5" s="695" t="s">
        <v>197</v>
      </c>
      <c r="X5" s="696"/>
      <c r="Y5" s="697"/>
      <c r="Z5" s="695" t="s">
        <v>80</v>
      </c>
      <c r="AA5" s="696"/>
      <c r="AB5" s="697"/>
      <c r="AC5" s="695"/>
      <c r="AD5" s="696"/>
      <c r="AE5" s="697"/>
      <c r="AF5" s="695" t="s">
        <v>81</v>
      </c>
      <c r="AG5" s="696"/>
      <c r="AH5" s="697"/>
      <c r="AI5" s="695" t="s">
        <v>332</v>
      </c>
      <c r="AJ5" s="696"/>
      <c r="AK5" s="697"/>
      <c r="AL5" s="461"/>
      <c r="AM5" s="462"/>
      <c r="AN5" s="698"/>
      <c r="AO5" s="698"/>
      <c r="AP5" s="698"/>
      <c r="AQ5" s="698"/>
      <c r="AR5" s="698"/>
      <c r="AS5" s="698"/>
      <c r="AT5" s="698"/>
      <c r="AU5" s="698"/>
      <c r="AV5" s="698"/>
      <c r="AW5" s="698"/>
      <c r="AX5" s="698"/>
      <c r="AY5" s="698"/>
      <c r="AZ5" s="698"/>
      <c r="BA5" s="698"/>
      <c r="BB5" s="698"/>
    </row>
    <row r="6" spans="1:54" ht="18.75" x14ac:dyDescent="0.3">
      <c r="A6" s="463"/>
      <c r="B6" s="699" t="s">
        <v>198</v>
      </c>
      <c r="C6" s="700"/>
      <c r="D6" s="701"/>
      <c r="E6" s="699" t="s">
        <v>199</v>
      </c>
      <c r="F6" s="700"/>
      <c r="G6" s="701"/>
      <c r="H6" s="700" t="s">
        <v>199</v>
      </c>
      <c r="I6" s="700"/>
      <c r="J6" s="701"/>
      <c r="K6" s="699" t="s">
        <v>200</v>
      </c>
      <c r="L6" s="700"/>
      <c r="M6" s="701"/>
      <c r="N6" s="699" t="s">
        <v>68</v>
      </c>
      <c r="O6" s="700"/>
      <c r="P6" s="701"/>
      <c r="Q6" s="699" t="s">
        <v>201</v>
      </c>
      <c r="R6" s="700"/>
      <c r="S6" s="701"/>
      <c r="T6" s="699" t="s">
        <v>73</v>
      </c>
      <c r="U6" s="700"/>
      <c r="V6" s="701"/>
      <c r="W6" s="699" t="s">
        <v>198</v>
      </c>
      <c r="X6" s="700"/>
      <c r="Y6" s="701"/>
      <c r="Z6" s="699" t="s">
        <v>202</v>
      </c>
      <c r="AA6" s="700"/>
      <c r="AB6" s="701"/>
      <c r="AC6" s="699" t="s">
        <v>75</v>
      </c>
      <c r="AD6" s="700"/>
      <c r="AE6" s="701"/>
      <c r="AF6" s="699" t="s">
        <v>199</v>
      </c>
      <c r="AG6" s="700"/>
      <c r="AH6" s="701"/>
      <c r="AI6" s="699" t="s">
        <v>333</v>
      </c>
      <c r="AJ6" s="700"/>
      <c r="AK6" s="701"/>
      <c r="AL6" s="461"/>
      <c r="AM6" s="462"/>
      <c r="AN6" s="698"/>
      <c r="AO6" s="698"/>
      <c r="AP6" s="698"/>
      <c r="AQ6" s="698"/>
      <c r="AR6" s="698"/>
      <c r="AS6" s="698"/>
      <c r="AT6" s="698"/>
      <c r="AU6" s="698"/>
      <c r="AV6" s="698"/>
      <c r="AW6" s="698"/>
      <c r="AX6" s="698"/>
      <c r="AY6" s="698"/>
      <c r="AZ6" s="698"/>
      <c r="BA6" s="698"/>
      <c r="BB6" s="698"/>
    </row>
    <row r="7" spans="1:54" ht="18.75" x14ac:dyDescent="0.3">
      <c r="A7" s="463"/>
      <c r="B7" s="522"/>
      <c r="C7" s="522"/>
      <c r="D7" s="464" t="s">
        <v>90</v>
      </c>
      <c r="E7" s="522"/>
      <c r="F7" s="522"/>
      <c r="G7" s="464" t="s">
        <v>90</v>
      </c>
      <c r="H7" s="522"/>
      <c r="I7" s="522"/>
      <c r="J7" s="464" t="s">
        <v>90</v>
      </c>
      <c r="K7" s="522"/>
      <c r="L7" s="522"/>
      <c r="M7" s="464" t="s">
        <v>90</v>
      </c>
      <c r="N7" s="522"/>
      <c r="O7" s="522"/>
      <c r="P7" s="464" t="s">
        <v>90</v>
      </c>
      <c r="Q7" s="522"/>
      <c r="R7" s="522"/>
      <c r="S7" s="464" t="s">
        <v>90</v>
      </c>
      <c r="T7" s="522"/>
      <c r="U7" s="522"/>
      <c r="V7" s="464" t="s">
        <v>90</v>
      </c>
      <c r="W7" s="522"/>
      <c r="X7" s="522"/>
      <c r="Y7" s="464" t="s">
        <v>90</v>
      </c>
      <c r="Z7" s="522"/>
      <c r="AA7" s="522"/>
      <c r="AB7" s="464" t="s">
        <v>90</v>
      </c>
      <c r="AC7" s="522"/>
      <c r="AD7" s="522"/>
      <c r="AE7" s="464" t="s">
        <v>90</v>
      </c>
      <c r="AF7" s="522"/>
      <c r="AG7" s="522"/>
      <c r="AH7" s="464" t="s">
        <v>90</v>
      </c>
      <c r="AI7" s="522"/>
      <c r="AJ7" s="522"/>
      <c r="AK7" s="464" t="s">
        <v>90</v>
      </c>
      <c r="AL7" s="461"/>
      <c r="AM7" s="462"/>
      <c r="AN7" s="462"/>
      <c r="AO7" s="462"/>
      <c r="AP7" s="462"/>
      <c r="AQ7" s="462"/>
      <c r="AR7" s="462"/>
      <c r="AS7" s="462"/>
      <c r="AT7" s="462"/>
      <c r="AU7" s="462"/>
      <c r="AV7" s="462"/>
      <c r="AW7" s="462"/>
      <c r="AX7" s="462"/>
      <c r="AY7" s="462"/>
      <c r="AZ7" s="462"/>
      <c r="BA7" s="462"/>
      <c r="BB7" s="462"/>
    </row>
    <row r="8" spans="1:54" ht="15.75" x14ac:dyDescent="0.25">
      <c r="A8" s="465" t="s">
        <v>335</v>
      </c>
      <c r="B8" s="523">
        <v>2016</v>
      </c>
      <c r="C8" s="523">
        <v>2017</v>
      </c>
      <c r="D8" s="467" t="s">
        <v>92</v>
      </c>
      <c r="E8" s="523">
        <v>2016</v>
      </c>
      <c r="F8" s="523">
        <v>2017</v>
      </c>
      <c r="G8" s="467" t="s">
        <v>92</v>
      </c>
      <c r="H8" s="523">
        <v>2016</v>
      </c>
      <c r="I8" s="523">
        <v>2017</v>
      </c>
      <c r="J8" s="467" t="s">
        <v>92</v>
      </c>
      <c r="K8" s="523">
        <v>2016</v>
      </c>
      <c r="L8" s="523">
        <v>2017</v>
      </c>
      <c r="M8" s="467" t="s">
        <v>92</v>
      </c>
      <c r="N8" s="523">
        <v>2016</v>
      </c>
      <c r="O8" s="523">
        <v>2017</v>
      </c>
      <c r="P8" s="467" t="s">
        <v>92</v>
      </c>
      <c r="Q8" s="523">
        <v>2016</v>
      </c>
      <c r="R8" s="523">
        <v>2017</v>
      </c>
      <c r="S8" s="467" t="s">
        <v>92</v>
      </c>
      <c r="T8" s="523">
        <v>2016</v>
      </c>
      <c r="U8" s="523">
        <v>2017</v>
      </c>
      <c r="V8" s="467" t="s">
        <v>92</v>
      </c>
      <c r="W8" s="523">
        <v>2016</v>
      </c>
      <c r="X8" s="523">
        <v>2017</v>
      </c>
      <c r="Y8" s="467" t="s">
        <v>92</v>
      </c>
      <c r="Z8" s="523">
        <v>2016</v>
      </c>
      <c r="AA8" s="523">
        <v>2017</v>
      </c>
      <c r="AB8" s="467" t="s">
        <v>92</v>
      </c>
      <c r="AC8" s="523">
        <v>2016</v>
      </c>
      <c r="AD8" s="523">
        <v>2017</v>
      </c>
      <c r="AE8" s="467" t="s">
        <v>92</v>
      </c>
      <c r="AF8" s="523">
        <v>2016</v>
      </c>
      <c r="AG8" s="523">
        <v>2017</v>
      </c>
      <c r="AH8" s="467" t="s">
        <v>92</v>
      </c>
      <c r="AI8" s="523">
        <v>2016</v>
      </c>
      <c r="AJ8" s="523">
        <v>2017</v>
      </c>
      <c r="AK8" s="467" t="s">
        <v>92</v>
      </c>
      <c r="AL8" s="461"/>
      <c r="AM8" s="468"/>
      <c r="AN8" s="469"/>
      <c r="AO8" s="469"/>
      <c r="AP8" s="468"/>
      <c r="AQ8" s="469"/>
      <c r="AR8" s="469"/>
      <c r="AS8" s="468"/>
      <c r="AT8" s="469"/>
      <c r="AU8" s="469"/>
      <c r="AV8" s="468"/>
      <c r="AW8" s="469"/>
      <c r="AX8" s="469"/>
      <c r="AY8" s="468"/>
      <c r="AZ8" s="469"/>
      <c r="BA8" s="469"/>
      <c r="BB8" s="468"/>
    </row>
    <row r="9" spans="1:54" ht="18.75" x14ac:dyDescent="0.3">
      <c r="A9" s="524"/>
      <c r="B9" s="525"/>
      <c r="C9" s="526"/>
      <c r="D9" s="526"/>
      <c r="E9" s="525"/>
      <c r="F9" s="526"/>
      <c r="G9" s="526"/>
      <c r="H9" s="527"/>
      <c r="I9" s="526"/>
      <c r="J9" s="526"/>
      <c r="K9" s="528"/>
      <c r="L9" s="529"/>
      <c r="M9" s="526"/>
      <c r="N9" s="530"/>
      <c r="O9" s="526"/>
      <c r="P9" s="526"/>
      <c r="Q9" s="528"/>
      <c r="R9" s="529"/>
      <c r="S9" s="526"/>
      <c r="T9" s="528"/>
      <c r="U9" s="529"/>
      <c r="V9" s="526"/>
      <c r="W9" s="525"/>
      <c r="X9" s="526"/>
      <c r="Y9" s="526"/>
      <c r="Z9" s="525"/>
      <c r="AA9" s="526"/>
      <c r="AB9" s="526"/>
      <c r="AC9" s="525"/>
      <c r="AD9" s="526"/>
      <c r="AE9" s="526"/>
      <c r="AF9" s="530"/>
      <c r="AG9" s="526"/>
      <c r="AH9" s="526"/>
      <c r="AI9" s="526"/>
      <c r="AJ9" s="526"/>
      <c r="AK9" s="526"/>
      <c r="AL9" s="531"/>
      <c r="AM9" s="531"/>
      <c r="AN9" s="532"/>
      <c r="AO9" s="532"/>
      <c r="AP9" s="532"/>
      <c r="AQ9" s="532"/>
      <c r="AR9" s="532"/>
      <c r="AS9" s="532"/>
      <c r="AT9" s="532"/>
      <c r="AU9" s="532"/>
      <c r="AV9" s="532"/>
      <c r="AW9" s="532"/>
      <c r="AX9" s="532"/>
      <c r="AY9" s="532"/>
      <c r="AZ9" s="532"/>
      <c r="BA9" s="532"/>
      <c r="BB9" s="532"/>
    </row>
    <row r="10" spans="1:54" ht="18.75" x14ac:dyDescent="0.3">
      <c r="A10" s="493" t="s">
        <v>383</v>
      </c>
      <c r="B10" s="525"/>
      <c r="C10" s="533"/>
      <c r="D10" s="526"/>
      <c r="E10" s="525"/>
      <c r="F10" s="526"/>
      <c r="G10" s="526"/>
      <c r="H10" s="527"/>
      <c r="I10" s="526"/>
      <c r="J10" s="526"/>
      <c r="K10" s="528"/>
      <c r="L10" s="529"/>
      <c r="M10" s="526"/>
      <c r="N10" s="525"/>
      <c r="O10" s="526"/>
      <c r="P10" s="526"/>
      <c r="Q10" s="528"/>
      <c r="R10" s="529"/>
      <c r="S10" s="526"/>
      <c r="T10" s="528"/>
      <c r="U10" s="529"/>
      <c r="V10" s="526"/>
      <c r="W10" s="528"/>
      <c r="X10" s="529"/>
      <c r="Y10" s="526"/>
      <c r="Z10" s="528"/>
      <c r="AA10" s="529"/>
      <c r="AB10" s="526"/>
      <c r="AC10" s="528"/>
      <c r="AD10" s="529"/>
      <c r="AE10" s="526"/>
      <c r="AF10" s="528"/>
      <c r="AG10" s="529"/>
      <c r="AH10" s="526"/>
      <c r="AI10" s="496"/>
      <c r="AJ10" s="496"/>
      <c r="AK10" s="526"/>
      <c r="AL10" s="534"/>
      <c r="AM10" s="534"/>
      <c r="AN10" s="535"/>
      <c r="AO10" s="535"/>
      <c r="AP10" s="535"/>
      <c r="AQ10" s="535"/>
      <c r="AR10" s="535"/>
      <c r="AS10" s="535"/>
      <c r="AT10" s="535"/>
      <c r="AU10" s="535"/>
      <c r="AV10" s="535"/>
      <c r="AW10" s="535"/>
      <c r="AX10" s="535"/>
      <c r="AY10" s="535"/>
      <c r="AZ10" s="535"/>
      <c r="BA10" s="535"/>
      <c r="BB10" s="535"/>
    </row>
    <row r="11" spans="1:54" ht="22.5" x14ac:dyDescent="0.3">
      <c r="A11" s="493" t="s">
        <v>392</v>
      </c>
      <c r="B11" s="525">
        <v>0.69</v>
      </c>
      <c r="C11" s="533">
        <v>1.08</v>
      </c>
      <c r="D11" s="496">
        <f>IF(B11=0, "    ---- ", IF(ABS(ROUND(100/B11*C11-100,1))&lt;999,ROUND(100/B11*C11-100,1),IF(ROUND(100/B11*C11-100,1)&gt;999,999,-999)))</f>
        <v>56.5</v>
      </c>
      <c r="E11" s="525">
        <v>1.9104000000000001</v>
      </c>
      <c r="F11" s="526">
        <v>2.16</v>
      </c>
      <c r="G11" s="496">
        <f>IF(E11=0, "    ---- ", IF(ABS(ROUND(100/E11*F11-100,1))&lt;999,ROUND(100/E11*F11-100,1),IF(ROUND(100/E11*F11-100,1)&gt;999,999,-999)))</f>
        <v>13.1</v>
      </c>
      <c r="H11" s="527"/>
      <c r="I11" s="526"/>
      <c r="J11" s="496"/>
      <c r="K11" s="528">
        <v>2.0299999999999998</v>
      </c>
      <c r="L11" s="529">
        <v>1.974</v>
      </c>
      <c r="M11" s="496">
        <f>IF(K11=0, "    ---- ", IF(ABS(ROUND(100/K11*L11-100,1))&lt;999,ROUND(100/K11*L11-100,1),IF(ROUND(100/K11*L11-100,1)&gt;999,999,-999)))</f>
        <v>-2.8</v>
      </c>
      <c r="N11" s="525">
        <v>2.2200000000000002</v>
      </c>
      <c r="O11" s="526">
        <v>1.54</v>
      </c>
      <c r="P11" s="496">
        <f>IF(N11=0, "    ---- ", IF(ABS(ROUND(100/N11*O11-100,1))&lt;999,ROUND(100/N11*O11-100,1),IF(ROUND(100/N11*O11-100,1)&gt;999,999,-999)))</f>
        <v>-30.6</v>
      </c>
      <c r="Q11" s="528">
        <v>2.2000000000000002</v>
      </c>
      <c r="R11" s="529">
        <v>1.77</v>
      </c>
      <c r="S11" s="496">
        <f>IF(Q11=0, "    ---- ", IF(ABS(ROUND(100/Q11*R11-100,1))&lt;999,ROUND(100/Q11*R11-100,1),IF(ROUND(100/Q11*R11-100,1)&gt;999,999,-999)))</f>
        <v>-19.5</v>
      </c>
      <c r="T11" s="528">
        <v>2.5</v>
      </c>
      <c r="U11" s="529">
        <v>2</v>
      </c>
      <c r="V11" s="496">
        <f>IF(T11=0, "    ---- ", IF(ABS(ROUND(100/T11*U11-100,1))&lt;999,ROUND(100/T11*U11-100,1),IF(ROUND(100/T11*U11-100,1)&gt;999,999,-999)))</f>
        <v>-20</v>
      </c>
      <c r="W11" s="528">
        <v>2.41</v>
      </c>
      <c r="X11" s="529"/>
      <c r="Y11" s="496">
        <f>IF(W11=0, "    ---- ", IF(ABS(ROUND(100/W11*X11-100,1))&lt;999,ROUND(100/W11*X11-100,1),IF(ROUND(100/W11*X11-100,1)&gt;999,999,-999)))</f>
        <v>-100</v>
      </c>
      <c r="Z11" s="528">
        <v>1.87</v>
      </c>
      <c r="AA11" s="529"/>
      <c r="AB11" s="496">
        <f>IF(Z11=0, "    ---- ", IF(ABS(ROUND(100/Z11*AA11-100,1))&lt;999,ROUND(100/Z11*AA11-100,1),IF(ROUND(100/Z11*AA11-100,1)&gt;999,999,-999)))</f>
        <v>-100</v>
      </c>
      <c r="AC11" s="528">
        <v>2.0069870396602001</v>
      </c>
      <c r="AD11" s="529">
        <v>1.9317078538207699</v>
      </c>
      <c r="AE11" s="496">
        <f>IF(AC11=0, "    ---- ", IF(ABS(ROUND(100/AC11*AD11-100,1))&lt;999,ROUND(100/AC11*AD11-100,1),IF(ROUND(100/AC11*AD11-100,1)&gt;999,999,-999)))</f>
        <v>-3.8</v>
      </c>
      <c r="AF11" s="528">
        <v>2.5499999999999998</v>
      </c>
      <c r="AG11" s="529">
        <v>3.18</v>
      </c>
      <c r="AH11" s="496">
        <f>IF(AF11=0, "    ---- ", IF(ABS(ROUND(100/AF11*AG11-100,1))&lt;999,ROUND(100/AF11*AG11-100,1),IF(ROUND(100/AF11*AG11-100,1)&gt;999,999,-999)))</f>
        <v>24.7</v>
      </c>
      <c r="AI11" s="496">
        <f>B11+E11+H11+K11+N11+Q11+T11+W11+Z11+AC11+AF11</f>
        <v>20.387387039660201</v>
      </c>
      <c r="AJ11" s="496">
        <f>C11+F11+I11+L11+O11+R11+U11+X11+AA11+AD11+AG11</f>
        <v>15.635707853820771</v>
      </c>
      <c r="AK11" s="496">
        <f>IF(AI11=0, "    ---- ", IF(ABS(ROUND(100/AI11*AJ11-100,1))&lt;999,ROUND(100/AI11*AJ11-100,1),IF(ROUND(100/AI11*AJ11-100,1)&gt;999,999,-999)))</f>
        <v>-23.3</v>
      </c>
      <c r="AL11" s="534"/>
      <c r="AM11" s="534"/>
      <c r="AN11" s="535"/>
      <c r="AO11" s="535"/>
      <c r="AP11" s="535"/>
      <c r="AQ11" s="535"/>
      <c r="AR11" s="535"/>
      <c r="AS11" s="535"/>
      <c r="AT11" s="535"/>
      <c r="AU11" s="535"/>
      <c r="AV11" s="535"/>
      <c r="AW11" s="535"/>
      <c r="AX11" s="535"/>
      <c r="AY11" s="535"/>
      <c r="AZ11" s="535"/>
      <c r="BA11" s="535"/>
      <c r="BB11" s="535"/>
    </row>
    <row r="12" spans="1:54" ht="18.75" x14ac:dyDescent="0.3">
      <c r="A12" s="493" t="s">
        <v>393</v>
      </c>
      <c r="B12" s="525">
        <v>2.52</v>
      </c>
      <c r="C12" s="533">
        <v>2.3199999999999998</v>
      </c>
      <c r="D12" s="496">
        <f>IF(B12=0, "    ---- ", IF(ABS(ROUND(100/B12*C12-100,1))&lt;999,ROUND(100/B12*C12-100,1),IF(ROUND(100/B12*C12-100,1)&gt;999,999,-999)))</f>
        <v>-7.9</v>
      </c>
      <c r="E12" s="525">
        <v>1.9669000000000001</v>
      </c>
      <c r="F12" s="526">
        <v>2.63</v>
      </c>
      <c r="G12" s="496">
        <f>IF(E12=0, "    ---- ", IF(ABS(ROUND(100/E12*F12-100,1))&lt;999,ROUND(100/E12*F12-100,1),IF(ROUND(100/E12*F12-100,1)&gt;999,999,-999)))</f>
        <v>33.700000000000003</v>
      </c>
      <c r="H12" s="527"/>
      <c r="I12" s="526"/>
      <c r="J12" s="496"/>
      <c r="K12" s="528">
        <v>2.15</v>
      </c>
      <c r="L12" s="529">
        <v>2.1930000000000001</v>
      </c>
      <c r="M12" s="496">
        <f>IF(K12=0, "    ---- ", IF(ABS(ROUND(100/K12*L12-100,1))&lt;999,ROUND(100/K12*L12-100,1),IF(ROUND(100/K12*L12-100,1)&gt;999,999,-999)))</f>
        <v>2</v>
      </c>
      <c r="N12" s="525">
        <v>2.68</v>
      </c>
      <c r="O12" s="526">
        <v>2.99</v>
      </c>
      <c r="P12" s="496">
        <f>IF(N12=0, "    ---- ", IF(ABS(ROUND(100/N12*O12-100,1))&lt;999,ROUND(100/N12*O12-100,1),IF(ROUND(100/N12*O12-100,1)&gt;999,999,-999)))</f>
        <v>11.6</v>
      </c>
      <c r="Q12" s="528">
        <v>2.8</v>
      </c>
      <c r="R12" s="529">
        <v>2.42</v>
      </c>
      <c r="S12" s="496">
        <f>IF(Q12=0, "    ---- ", IF(ABS(ROUND(100/Q12*R12-100,1))&lt;999,ROUND(100/Q12*R12-100,1),IF(ROUND(100/Q12*R12-100,1)&gt;999,999,-999)))</f>
        <v>-13.6</v>
      </c>
      <c r="T12" s="528">
        <v>2.4</v>
      </c>
      <c r="U12" s="529">
        <v>2.7</v>
      </c>
      <c r="V12" s="496">
        <f>IF(T12=0, "    ---- ", IF(ABS(ROUND(100/T12*U12-100,1))&lt;999,ROUND(100/T12*U12-100,1),IF(ROUND(100/T12*U12-100,1)&gt;999,999,-999)))</f>
        <v>12.5</v>
      </c>
      <c r="W12" s="528">
        <v>1.57</v>
      </c>
      <c r="X12" s="529">
        <v>5.23</v>
      </c>
      <c r="Y12" s="496">
        <f>IF(W12=0, "    ---- ", IF(ABS(ROUND(100/W12*X12-100,1))&lt;999,ROUND(100/W12*X12-100,1),IF(ROUND(100/W12*X12-100,1)&gt;999,999,-999)))</f>
        <v>233.1</v>
      </c>
      <c r="Z12" s="528">
        <v>3.73</v>
      </c>
      <c r="AA12" s="529"/>
      <c r="AB12" s="496">
        <f>IF(Z12=0, "    ---- ", IF(ABS(ROUND(100/Z12*AA12-100,1))&lt;999,ROUND(100/Z12*AA12-100,1),IF(ROUND(100/Z12*AA12-100,1)&gt;999,999,-999)))</f>
        <v>-100</v>
      </c>
      <c r="AC12" s="528">
        <v>1.72826214035526</v>
      </c>
      <c r="AD12" s="529">
        <v>3.2786906303126799</v>
      </c>
      <c r="AE12" s="496">
        <f>IF(AC12=0, "    ---- ", IF(ABS(ROUND(100/AC12*AD12-100,1))&lt;999,ROUND(100/AC12*AD12-100,1),IF(ROUND(100/AC12*AD12-100,1)&gt;999,999,-999)))</f>
        <v>89.7</v>
      </c>
      <c r="AF12" s="528">
        <v>1.95</v>
      </c>
      <c r="AG12" s="529">
        <v>2.84</v>
      </c>
      <c r="AH12" s="496">
        <f>IF(AF12=0, "    ---- ", IF(ABS(ROUND(100/AF12*AG12-100,1))&lt;999,ROUND(100/AF12*AG12-100,1),IF(ROUND(100/AF12*AG12-100,1)&gt;999,999,-999)))</f>
        <v>45.6</v>
      </c>
      <c r="AI12" s="496">
        <f>B12+E12+H12+K12+N12+Q12+T12+W12+Z12+AC12+AF12</f>
        <v>23.495162140355259</v>
      </c>
      <c r="AJ12" s="496">
        <f>C12+F12+I12+L12+O12+R12+U12+X12+AA12+AD12+AG12</f>
        <v>26.601690630312682</v>
      </c>
      <c r="AK12" s="496">
        <f>IF(AI12=0, "    ---- ", IF(ABS(ROUND(100/AI12*AJ12-100,1))&lt;999,ROUND(100/AI12*AJ12-100,1),IF(ROUND(100/AI12*AJ12-100,1)&gt;999,999,-999)))</f>
        <v>13.2</v>
      </c>
      <c r="AL12" s="534"/>
      <c r="AM12" s="534"/>
      <c r="AN12" s="535"/>
      <c r="AO12" s="535"/>
      <c r="AP12" s="535"/>
      <c r="AQ12" s="535"/>
      <c r="AR12" s="535"/>
      <c r="AS12" s="535"/>
      <c r="AT12" s="535"/>
      <c r="AU12" s="535"/>
      <c r="AV12" s="535"/>
      <c r="AW12" s="535"/>
      <c r="AX12" s="535"/>
      <c r="AY12" s="535"/>
      <c r="AZ12" s="535"/>
      <c r="BA12" s="535"/>
      <c r="BB12" s="535"/>
    </row>
    <row r="13" spans="1:54" ht="18.75" x14ac:dyDescent="0.3">
      <c r="A13" s="493"/>
      <c r="B13" s="525"/>
      <c r="C13" s="533"/>
      <c r="D13" s="526"/>
      <c r="E13" s="525"/>
      <c r="F13" s="526"/>
      <c r="G13" s="526"/>
      <c r="H13" s="527"/>
      <c r="I13" s="526"/>
      <c r="J13" s="526"/>
      <c r="K13" s="528"/>
      <c r="L13" s="529"/>
      <c r="M13" s="526"/>
      <c r="N13" s="525"/>
      <c r="O13" s="526"/>
      <c r="P13" s="526"/>
      <c r="Q13" s="528"/>
      <c r="R13" s="529"/>
      <c r="S13" s="526"/>
      <c r="T13" s="528"/>
      <c r="U13" s="529"/>
      <c r="V13" s="526"/>
      <c r="W13" s="528"/>
      <c r="X13" s="529"/>
      <c r="Y13" s="526"/>
      <c r="Z13" s="528"/>
      <c r="AA13" s="529"/>
      <c r="AB13" s="526"/>
      <c r="AC13" s="528"/>
      <c r="AD13" s="529"/>
      <c r="AE13" s="526"/>
      <c r="AF13" s="528"/>
      <c r="AG13" s="529"/>
      <c r="AH13" s="526"/>
      <c r="AI13" s="496"/>
      <c r="AJ13" s="496"/>
      <c r="AK13" s="526"/>
      <c r="AL13" s="534"/>
      <c r="AM13" s="534"/>
      <c r="AN13" s="535"/>
      <c r="AO13" s="535"/>
      <c r="AP13" s="535"/>
      <c r="AQ13" s="535"/>
      <c r="AR13" s="535"/>
      <c r="AS13" s="535"/>
      <c r="AT13" s="535"/>
      <c r="AU13" s="535"/>
      <c r="AV13" s="535"/>
      <c r="AW13" s="535"/>
      <c r="AX13" s="535"/>
      <c r="AY13" s="535"/>
      <c r="AZ13" s="535"/>
      <c r="BA13" s="535"/>
      <c r="BB13" s="535"/>
    </row>
    <row r="14" spans="1:54" ht="18.75" x14ac:dyDescent="0.3">
      <c r="A14" s="493" t="s">
        <v>394</v>
      </c>
      <c r="B14" s="525"/>
      <c r="C14" s="526"/>
      <c r="D14" s="496"/>
      <c r="E14" s="525">
        <v>24.04</v>
      </c>
      <c r="F14" s="526">
        <v>24.24</v>
      </c>
      <c r="G14" s="496">
        <f>IF(E14=0, "    ---- ", IF(ABS(ROUND(100/E14*F14-100,1))&lt;999,ROUND(100/E14*F14-100,1),IF(ROUND(100/E14*F14-100,1)&gt;999,999,-999)))</f>
        <v>0.8</v>
      </c>
      <c r="H14" s="527"/>
      <c r="I14" s="526">
        <v>28.4</v>
      </c>
      <c r="J14" s="496" t="str">
        <f>IF(H14=0, "    ---- ", IF(ABS(ROUND(100/H14*I14-100,1))&lt;999,ROUND(100/H14*I14-100,1),IF(ROUND(100/H14*I14-100,1)&gt;999,999,-999)))</f>
        <v xml:space="preserve">    ---- </v>
      </c>
      <c r="K14" s="528"/>
      <c r="L14" s="529">
        <v>20.170000000000002</v>
      </c>
      <c r="M14" s="496" t="str">
        <f>IF(K14=0, "    ---- ", IF(ABS(ROUND(100/K14*L14-100,1))&lt;999,ROUND(100/K14*L14-100,1),IF(ROUND(100/K14*L14-100,1)&gt;999,999,-999)))</f>
        <v xml:space="preserve">    ---- </v>
      </c>
      <c r="N14" s="525">
        <v>25.08</v>
      </c>
      <c r="O14" s="526">
        <v>26.65</v>
      </c>
      <c r="P14" s="496">
        <f>IF(N14=0, "    ---- ", IF(ABS(ROUND(100/N14*O14-100,1))&lt;999,ROUND(100/N14*O14-100,1),IF(ROUND(100/N14*O14-100,1)&gt;999,999,-999)))</f>
        <v>6.3</v>
      </c>
      <c r="Q14" s="528">
        <v>36.700000000000003</v>
      </c>
      <c r="R14" s="529">
        <v>49.1</v>
      </c>
      <c r="S14" s="496">
        <f>IF(Q14=0, "    ---- ", IF(ABS(ROUND(100/Q14*R14-100,1))&lt;999,ROUND(100/Q14*R14-100,1),IF(ROUND(100/Q14*R14-100,1)&gt;999,999,-999)))</f>
        <v>33.799999999999997</v>
      </c>
      <c r="T14" s="528">
        <v>29.5</v>
      </c>
      <c r="U14" s="529">
        <v>30.9</v>
      </c>
      <c r="V14" s="496">
        <f>IF(T14=0, "    ---- ", IF(ABS(ROUND(100/T14*U14-100,1))&lt;999,ROUND(100/T14*U14-100,1),IF(ROUND(100/T14*U14-100,1)&gt;999,999,-999)))</f>
        <v>4.7</v>
      </c>
      <c r="W14" s="528">
        <v>36.946784960444802</v>
      </c>
      <c r="X14" s="529">
        <v>41.291940219722214</v>
      </c>
      <c r="Y14" s="496">
        <f>IF(W14=0, "    ---- ", IF(ABS(ROUND(100/W14*X14-100,1))&lt;999,ROUND(100/W14*X14-100,1),IF(ROUND(100/W14*X14-100,1)&gt;999,999,-999)))</f>
        <v>11.8</v>
      </c>
      <c r="Z14" s="528">
        <v>12.2</v>
      </c>
      <c r="AA14" s="529"/>
      <c r="AB14" s="496">
        <f>IF(Z14=0, "    ---- ", IF(ABS(ROUND(100/Z14*AA14-100,1))&lt;999,ROUND(100/Z14*AA14-100,1),IF(ROUND(100/Z14*AA14-100,1)&gt;999,999,-999)))</f>
        <v>-100</v>
      </c>
      <c r="AC14" s="528">
        <v>33.579696841648484</v>
      </c>
      <c r="AD14" s="529">
        <v>36.954148451089708</v>
      </c>
      <c r="AE14" s="496">
        <f>IF(AC14=0, "    ---- ", IF(ABS(ROUND(100/AC14*AD14-100,1))&lt;999,ROUND(100/AC14*AD14-100,1),IF(ROUND(100/AC14*AD14-100,1)&gt;999,999,-999)))</f>
        <v>10</v>
      </c>
      <c r="AF14" s="528">
        <v>24.1</v>
      </c>
      <c r="AG14" s="529">
        <v>24.5</v>
      </c>
      <c r="AH14" s="496">
        <f>IF(AF14=0, "    ---- ", IF(ABS(ROUND(100/AF14*AG14-100,1))&lt;999,ROUND(100/AF14*AG14-100,1),IF(ROUND(100/AF14*AG14-100,1)&gt;999,999,-999)))</f>
        <v>1.7</v>
      </c>
      <c r="AI14" s="496">
        <f>B14+E14+H14+K14+N14+Q14+T14+W14+Z14+AC14+AF14</f>
        <v>222.14648180209326</v>
      </c>
      <c r="AJ14" s="496">
        <f>C14+F14+I14+L14+O14+R14+U14+X14+AA14+AD14+AG14</f>
        <v>282.20608867081194</v>
      </c>
      <c r="AK14" s="496">
        <f>IF(AI14=0, "    ---- ", IF(ABS(ROUND(100/AI14*AJ14-100,1))&lt;999,ROUND(100/AI14*AJ14-100,1),IF(ROUND(100/AI14*AJ14-100,1)&gt;999,999,-999)))</f>
        <v>27</v>
      </c>
      <c r="AL14" s="534"/>
      <c r="AM14" s="534"/>
      <c r="AN14" s="535"/>
      <c r="AO14" s="535"/>
      <c r="AP14" s="535"/>
      <c r="AQ14" s="535"/>
      <c r="AR14" s="535"/>
      <c r="AS14" s="535"/>
      <c r="AT14" s="535"/>
      <c r="AU14" s="535"/>
      <c r="AV14" s="535"/>
      <c r="AW14" s="535"/>
      <c r="AX14" s="535"/>
      <c r="AY14" s="535"/>
      <c r="AZ14" s="535"/>
      <c r="BA14" s="535"/>
      <c r="BB14" s="535"/>
    </row>
    <row r="15" spans="1:54" ht="18.75" x14ac:dyDescent="0.3">
      <c r="A15" s="493"/>
      <c r="B15" s="525"/>
      <c r="C15" s="533"/>
      <c r="D15" s="526"/>
      <c r="E15" s="525"/>
      <c r="F15" s="526"/>
      <c r="G15" s="526"/>
      <c r="H15" s="527"/>
      <c r="I15" s="526"/>
      <c r="J15" s="526"/>
      <c r="K15" s="528"/>
      <c r="L15" s="529"/>
      <c r="M15" s="526"/>
      <c r="N15" s="525"/>
      <c r="O15" s="526"/>
      <c r="P15" s="526"/>
      <c r="Q15" s="528"/>
      <c r="R15" s="529"/>
      <c r="S15" s="526"/>
      <c r="T15" s="528"/>
      <c r="U15" s="529"/>
      <c r="V15" s="526"/>
      <c r="W15" s="528"/>
      <c r="X15" s="529"/>
      <c r="Y15" s="526"/>
      <c r="Z15" s="528"/>
      <c r="AA15" s="529"/>
      <c r="AB15" s="526"/>
      <c r="AC15" s="528"/>
      <c r="AD15" s="529"/>
      <c r="AE15" s="526"/>
      <c r="AF15" s="528"/>
      <c r="AG15" s="529"/>
      <c r="AH15" s="526"/>
      <c r="AI15" s="496"/>
      <c r="AJ15" s="496"/>
      <c r="AK15" s="526"/>
      <c r="AL15" s="534"/>
      <c r="AM15" s="534"/>
    </row>
    <row r="16" spans="1:54" ht="18.75" x14ac:dyDescent="0.3">
      <c r="A16" s="493" t="s">
        <v>395</v>
      </c>
      <c r="B16" s="507">
        <v>28.446999999999999</v>
      </c>
      <c r="C16" s="536">
        <v>34.515000000000001</v>
      </c>
      <c r="D16" s="496">
        <f>IF(B16=0, "    ---- ", IF(ABS(ROUND(100/B16*C16-100,1))&lt;999,ROUND(100/B16*C16-100,1),IF(ROUND(100/B16*C16-100,1)&gt;999,999,-999)))</f>
        <v>21.3</v>
      </c>
      <c r="E16" s="507">
        <v>2454.4769999999999</v>
      </c>
      <c r="F16" s="496">
        <v>3452.8429999999998</v>
      </c>
      <c r="G16" s="496">
        <f>IF(E16=0, "    ---- ", IF(ABS(ROUND(100/E16*F16-100,1))&lt;999,ROUND(100/E16*F16-100,1),IF(ROUND(100/E16*F16-100,1)&gt;999,999,-999)))</f>
        <v>40.700000000000003</v>
      </c>
      <c r="H16" s="537"/>
      <c r="I16" s="496"/>
      <c r="J16" s="496"/>
      <c r="K16" s="473">
        <v>1319.683</v>
      </c>
      <c r="L16" s="474">
        <v>39.299999999999997</v>
      </c>
      <c r="M16" s="496">
        <f>IF(K16=0, "    ---- ", IF(ABS(ROUND(100/K16*L16-100,1))&lt;999,ROUND(100/K16*L16-100,1),IF(ROUND(100/K16*L16-100,1)&gt;999,999,-999)))</f>
        <v>-97</v>
      </c>
      <c r="N16" s="507">
        <v>23990.960118999999</v>
      </c>
      <c r="O16" s="496">
        <v>35417.039918000002</v>
      </c>
      <c r="P16" s="496">
        <f>IF(N16=0, "    ---- ", IF(ABS(ROUND(100/N16*O16-100,1))&lt;999,ROUND(100/N16*O16-100,1),IF(ROUND(100/N16*O16-100,1)&gt;999,999,-999)))</f>
        <v>47.6</v>
      </c>
      <c r="Q16" s="473">
        <v>67</v>
      </c>
      <c r="R16" s="474">
        <v>78</v>
      </c>
      <c r="S16" s="496">
        <f>IF(Q16=0, "    ---- ", IF(ABS(ROUND(100/Q16*R16-100,1))&lt;999,ROUND(100/Q16*R16-100,1),IF(ROUND(100/Q16*R16-100,1)&gt;999,999,-999)))</f>
        <v>16.399999999999999</v>
      </c>
      <c r="T16" s="473">
        <v>837</v>
      </c>
      <c r="U16" s="474">
        <v>1384</v>
      </c>
      <c r="V16" s="496">
        <f>IF(T16=0, "    ---- ", IF(ABS(ROUND(100/T16*U16-100,1))&lt;999,ROUND(100/T16*U16-100,1),IF(ROUND(100/T16*U16-100,1)&gt;999,999,-999)))</f>
        <v>65.400000000000006</v>
      </c>
      <c r="W16" s="473">
        <v>8985</v>
      </c>
      <c r="X16" s="474">
        <v>11021</v>
      </c>
      <c r="Y16" s="496">
        <f>IF(W16=0, "    ---- ", IF(ABS(ROUND(100/W16*X16-100,1))&lt;999,ROUND(100/W16*X16-100,1),IF(ROUND(100/W16*X16-100,1)&gt;999,999,-999)))</f>
        <v>22.7</v>
      </c>
      <c r="Z16" s="473">
        <v>231.01741529</v>
      </c>
      <c r="AA16" s="474"/>
      <c r="AB16" s="496">
        <f>IF(Z16=0, "    ---- ", IF(ABS(ROUND(100/Z16*AA16-100,1))&lt;999,ROUND(100/Z16*AA16-100,1),IF(ROUND(100/Z16*AA16-100,1)&gt;999,999,-999)))</f>
        <v>-100</v>
      </c>
      <c r="AC16" s="473">
        <v>1662.2539999999999</v>
      </c>
      <c r="AD16" s="474">
        <v>2172.5500000000002</v>
      </c>
      <c r="AE16" s="496">
        <f>IF(AC16=0, "    ---- ", IF(ABS(ROUND(100/AC16*AD16-100,1))&lt;999,ROUND(100/AC16*AD16-100,1),IF(ROUND(100/AC16*AD16-100,1)&gt;999,999,-999)))</f>
        <v>30.7</v>
      </c>
      <c r="AF16" s="473">
        <v>5244</v>
      </c>
      <c r="AG16" s="474">
        <v>2158</v>
      </c>
      <c r="AH16" s="496">
        <f>IF(AF16=0, "    ---- ", IF(ABS(ROUND(100/AF16*AG16-100,1))&lt;999,ROUND(100/AF16*AG16-100,1),IF(ROUND(100/AF16*AG16-100,1)&gt;999,999,-999)))</f>
        <v>-58.8</v>
      </c>
      <c r="AI16" s="496">
        <f>B16+E16+H16+K16+N16+Q16+T16+W16+Z16+AC16+AF16</f>
        <v>44819.83853429</v>
      </c>
      <c r="AJ16" s="496">
        <f>C16+F16+I16+L16+O16+R16+U16+X16+AA16+AD16+AG16</f>
        <v>55757.247918000008</v>
      </c>
      <c r="AK16" s="496">
        <f>IF(AI16=0, "    ---- ", IF(ABS(ROUND(100/AI16*AJ16-100,1))&lt;999,ROUND(100/AI16*AJ16-100,1),IF(ROUND(100/AI16*AJ16-100,1)&gt;999,999,-999)))</f>
        <v>24.4</v>
      </c>
      <c r="AL16" s="534"/>
      <c r="AM16" s="534"/>
    </row>
    <row r="17" spans="1:39" ht="18.75" x14ac:dyDescent="0.3">
      <c r="A17" s="493"/>
      <c r="B17" s="507"/>
      <c r="C17" s="536"/>
      <c r="D17" s="496"/>
      <c r="E17" s="507"/>
      <c r="F17" s="496"/>
      <c r="G17" s="496"/>
      <c r="H17" s="537"/>
      <c r="I17" s="496"/>
      <c r="J17" s="496"/>
      <c r="K17" s="473"/>
      <c r="L17" s="474"/>
      <c r="M17" s="496"/>
      <c r="N17" s="507"/>
      <c r="O17" s="496"/>
      <c r="P17" s="496"/>
      <c r="Q17" s="473"/>
      <c r="R17" s="474"/>
      <c r="S17" s="496"/>
      <c r="T17" s="473"/>
      <c r="U17" s="474"/>
      <c r="V17" s="496"/>
      <c r="W17" s="473"/>
      <c r="X17" s="474"/>
      <c r="Y17" s="496"/>
      <c r="Z17" s="473"/>
      <c r="AA17" s="474"/>
      <c r="AB17" s="496"/>
      <c r="AC17" s="473"/>
      <c r="AD17" s="474"/>
      <c r="AE17" s="496"/>
      <c r="AF17" s="473"/>
      <c r="AG17" s="474"/>
      <c r="AH17" s="496"/>
      <c r="AI17" s="496"/>
      <c r="AJ17" s="496"/>
      <c r="AK17" s="496"/>
      <c r="AL17" s="534"/>
      <c r="AM17" s="534"/>
    </row>
    <row r="18" spans="1:39" ht="18.75" x14ac:dyDescent="0.3">
      <c r="A18" s="538" t="s">
        <v>396</v>
      </c>
      <c r="B18" s="539"/>
      <c r="C18" s="540"/>
      <c r="D18" s="540"/>
      <c r="E18" s="539">
        <v>11990</v>
      </c>
      <c r="F18" s="540">
        <v>8683.9320000000007</v>
      </c>
      <c r="G18" s="540">
        <f>IF(E18=0, "    ---- ", IF(ABS(ROUND(100/E18*F18-100,1))&lt;999,ROUND(100/E18*F18-100,1),IF(ROUND(100/E18*F18-100,1)&gt;999,999,-999)))</f>
        <v>-27.6</v>
      </c>
      <c r="H18" s="541"/>
      <c r="I18" s="540"/>
      <c r="J18" s="540"/>
      <c r="K18" s="542"/>
      <c r="L18" s="543"/>
      <c r="M18" s="540"/>
      <c r="N18" s="539">
        <v>1092</v>
      </c>
      <c r="O18" s="540">
        <v>650</v>
      </c>
      <c r="P18" s="540">
        <f>IF(N18=0, "    ---- ", IF(ABS(ROUND(100/N18*O18-100,1))&lt;999,ROUND(100/N18*O18-100,1),IF(ROUND(100/N18*O18-100,1)&gt;999,999,-999)))</f>
        <v>-40.5</v>
      </c>
      <c r="Q18" s="544">
        <v>83</v>
      </c>
      <c r="R18" s="545">
        <v>78</v>
      </c>
      <c r="S18" s="540">
        <f>IF(Q18=0, "    ---- ", IF(ABS(ROUND(100/Q18*R18-100,1))&lt;999,ROUND(100/Q18*R18-100,1),IF(ROUND(100/Q18*R18-100,1)&gt;999,999,-999)))</f>
        <v>-6</v>
      </c>
      <c r="T18" s="544">
        <v>2782</v>
      </c>
      <c r="U18" s="545">
        <v>1864</v>
      </c>
      <c r="V18" s="540">
        <f>IF(T18=0, "    ---- ", IF(ABS(ROUND(100/T18*U18-100,1))&lt;999,ROUND(100/T18*U18-100,1),IF(ROUND(100/T18*U18-100,1)&gt;999,999,-999)))</f>
        <v>-33</v>
      </c>
      <c r="W18" s="544">
        <v>1741</v>
      </c>
      <c r="X18" s="545">
        <v>1240</v>
      </c>
      <c r="Y18" s="540">
        <f>IF(W18=0, "    ---- ", IF(ABS(ROUND(100/W18*X18-100,1))&lt;999,ROUND(100/W18*X18-100,1),IF(ROUND(100/W18*X18-100,1)&gt;999,999,-999)))</f>
        <v>-28.8</v>
      </c>
      <c r="Z18" s="544">
        <v>1.3440000000000001</v>
      </c>
      <c r="AA18" s="545"/>
      <c r="AB18" s="540">
        <f>IF(Z18=0, "    ---- ", IF(ABS(ROUND(100/Z18*AA18-100,1))&lt;999,ROUND(100/Z18*AA18-100,1),IF(ROUND(100/Z18*AA18-100,1)&gt;999,999,-999)))</f>
        <v>-100</v>
      </c>
      <c r="AC18" s="544">
        <v>-37.086764000000002</v>
      </c>
      <c r="AD18" s="545">
        <v>49.731000000000002</v>
      </c>
      <c r="AE18" s="540">
        <f>IF(AC18=0, "    ---- ", IF(ABS(ROUND(100/AC18*AD18-100,1))&lt;999,ROUND(100/AC18*AD18-100,1),IF(ROUND(100/AC18*AD18-100,1)&gt;999,999,-999)))</f>
        <v>-234.1</v>
      </c>
      <c r="AF18" s="544">
        <v>12420</v>
      </c>
      <c r="AG18" s="545">
        <v>8820</v>
      </c>
      <c r="AH18" s="540">
        <f>IF(AF18=0, "    ---- ", IF(ABS(ROUND(100/AF18*AG18-100,1))&lt;999,ROUND(100/AF18*AG18-100,1),IF(ROUND(100/AF18*AG18-100,1)&gt;999,999,-999)))</f>
        <v>-29</v>
      </c>
      <c r="AI18" s="540">
        <f>B18+E18+H18+K18+N18+Q18+T18+W18+Z18+AC18+AF18</f>
        <v>30072.257236000001</v>
      </c>
      <c r="AJ18" s="540">
        <f>C18+F18+I18+L18+O18+R18+U18+X18+AA18+AD18+AG18</f>
        <v>21385.663</v>
      </c>
      <c r="AK18" s="540">
        <f>IF(AI18=0, "    ---- ", IF(ABS(ROUND(100/AI18*AJ18-100,1))&lt;999,ROUND(100/AI18*AJ18-100,1),IF(ROUND(100/AI18*AJ18-100,1)&gt;999,999,-999)))</f>
        <v>-28.9</v>
      </c>
      <c r="AL18" s="534"/>
      <c r="AM18" s="534"/>
    </row>
  </sheetData>
  <mergeCells count="32">
    <mergeCell ref="AQ6:AS6"/>
    <mergeCell ref="AT6:AV6"/>
    <mergeCell ref="AW6:AY6"/>
    <mergeCell ref="AZ6:BB6"/>
    <mergeCell ref="W6:Y6"/>
    <mergeCell ref="Z6:AB6"/>
    <mergeCell ref="AC6:AE6"/>
    <mergeCell ref="AF6:AH6"/>
    <mergeCell ref="AI6:AK6"/>
    <mergeCell ref="AN6:AP6"/>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W5:Y5"/>
    <mergeCell ref="B5:D5"/>
    <mergeCell ref="E5:G5"/>
    <mergeCell ref="H5:J5"/>
    <mergeCell ref="K5:M5"/>
    <mergeCell ref="Q5:S5"/>
  </mergeCells>
  <hyperlinks>
    <hyperlink ref="B1" location="Innhold!A1" display="Tilbak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zoomScale="90" zoomScaleNormal="90" workbookViewId="0">
      <selection activeCell="A3" sqref="A3"/>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5"/>
      <c r="D2" s="325"/>
      <c r="E2" s="325"/>
    </row>
    <row r="3" spans="1:17" x14ac:dyDescent="0.2">
      <c r="A3" s="43" t="s">
        <v>55</v>
      </c>
    </row>
    <row r="4" spans="1:17" x14ac:dyDescent="0.2">
      <c r="C4" s="325"/>
      <c r="D4" s="325"/>
      <c r="E4" s="325"/>
      <c r="F4" s="325"/>
      <c r="G4" s="325"/>
      <c r="H4" s="325"/>
      <c r="I4" s="325"/>
      <c r="J4" s="325"/>
      <c r="K4" s="325"/>
    </row>
    <row r="6" spans="1:17" ht="15.75" x14ac:dyDescent="0.25">
      <c r="C6" s="332" t="s">
        <v>16</v>
      </c>
      <c r="D6" s="3"/>
      <c r="E6" s="332"/>
    </row>
    <row r="7" spans="1:17" ht="18.75" customHeight="1" x14ac:dyDescent="0.2">
      <c r="C7" s="3"/>
      <c r="D7" s="3"/>
      <c r="E7" s="50"/>
    </row>
    <row r="8" spans="1:17" ht="15.75" x14ac:dyDescent="0.25">
      <c r="B8" s="326">
        <v>1</v>
      </c>
      <c r="C8" s="327" t="s">
        <v>401</v>
      </c>
      <c r="E8" s="335"/>
    </row>
    <row r="9" spans="1:17" ht="31.5" x14ac:dyDescent="0.2">
      <c r="B9" s="326">
        <v>2</v>
      </c>
      <c r="C9" s="329" t="s">
        <v>298</v>
      </c>
      <c r="E9" s="8"/>
      <c r="Q9" s="3"/>
    </row>
    <row r="10" spans="1:17" ht="47.25" x14ac:dyDescent="0.2">
      <c r="B10" s="326">
        <v>3</v>
      </c>
      <c r="C10" s="327" t="s">
        <v>299</v>
      </c>
      <c r="E10" s="8"/>
    </row>
    <row r="11" spans="1:17" ht="47.25" x14ac:dyDescent="0.2">
      <c r="B11" s="326">
        <v>4</v>
      </c>
      <c r="C11" s="329" t="s">
        <v>300</v>
      </c>
      <c r="E11" s="8"/>
    </row>
    <row r="12" spans="1:17" ht="31.5" x14ac:dyDescent="0.2">
      <c r="B12" s="326">
        <v>5</v>
      </c>
      <c r="C12" s="327" t="s">
        <v>21</v>
      </c>
      <c r="E12" s="3"/>
    </row>
    <row r="13" spans="1:17" ht="15.75" x14ac:dyDescent="0.2">
      <c r="B13" s="326">
        <v>6</v>
      </c>
      <c r="C13" s="327" t="s">
        <v>402</v>
      </c>
      <c r="E13" s="3"/>
    </row>
    <row r="14" spans="1:17" ht="15.75" x14ac:dyDescent="0.2">
      <c r="B14" s="326">
        <v>7</v>
      </c>
      <c r="C14" s="327" t="s">
        <v>17</v>
      </c>
    </row>
    <row r="15" spans="1:17" ht="18.75" customHeight="1" x14ac:dyDescent="0.2">
      <c r="B15" s="326">
        <v>8</v>
      </c>
      <c r="C15" s="327" t="s">
        <v>18</v>
      </c>
    </row>
    <row r="16" spans="1:17" ht="18.75" customHeight="1" x14ac:dyDescent="0.2">
      <c r="B16" s="326">
        <v>9</v>
      </c>
      <c r="C16" s="327" t="s">
        <v>22</v>
      </c>
    </row>
    <row r="17" spans="2:9" ht="15.75" x14ac:dyDescent="0.25">
      <c r="B17" s="326">
        <v>10</v>
      </c>
      <c r="C17" s="327" t="s">
        <v>23</v>
      </c>
      <c r="E17" s="332"/>
    </row>
    <row r="18" spans="2:9" ht="15.75" x14ac:dyDescent="0.2">
      <c r="B18" s="326">
        <v>11</v>
      </c>
      <c r="C18" s="327" t="s">
        <v>19</v>
      </c>
      <c r="E18" s="8"/>
    </row>
    <row r="19" spans="2:9" ht="15.75" x14ac:dyDescent="0.2">
      <c r="B19" s="326">
        <v>12</v>
      </c>
      <c r="C19" s="327" t="s">
        <v>302</v>
      </c>
      <c r="E19" s="8"/>
    </row>
    <row r="20" spans="2:9" ht="15.75" x14ac:dyDescent="0.2">
      <c r="B20" s="326">
        <v>13</v>
      </c>
      <c r="C20" s="327" t="s">
        <v>20</v>
      </c>
      <c r="E20" s="3"/>
    </row>
    <row r="21" spans="2:9" ht="47.25" x14ac:dyDescent="0.2">
      <c r="B21" s="326">
        <v>14</v>
      </c>
      <c r="C21" s="327" t="s">
        <v>303</v>
      </c>
      <c r="E21" s="336"/>
    </row>
    <row r="22" spans="2:9" ht="31.5" x14ac:dyDescent="0.2">
      <c r="B22" s="326">
        <v>15</v>
      </c>
      <c r="C22" s="329" t="s">
        <v>386</v>
      </c>
      <c r="E22" s="3"/>
    </row>
    <row r="23" spans="2:9" ht="15.75" x14ac:dyDescent="0.25">
      <c r="B23" s="326">
        <v>16</v>
      </c>
      <c r="C23" s="331" t="s">
        <v>301</v>
      </c>
      <c r="D23" s="330"/>
      <c r="E23" s="325"/>
      <c r="F23" s="330"/>
      <c r="G23" s="2"/>
      <c r="H23" s="2"/>
      <c r="I23" s="2"/>
    </row>
    <row r="24" spans="2:9" ht="18.75" customHeight="1" x14ac:dyDescent="0.25">
      <c r="B24" s="328">
        <v>17</v>
      </c>
      <c r="C24" s="331" t="s">
        <v>304</v>
      </c>
    </row>
    <row r="25" spans="2:9" ht="18.75" customHeight="1" x14ac:dyDescent="0.25">
      <c r="B25" s="328"/>
      <c r="C25" s="333"/>
    </row>
    <row r="26" spans="2:9" ht="18.75" customHeight="1" x14ac:dyDescent="0.25">
      <c r="B26" s="328"/>
      <c r="C26" s="348"/>
    </row>
    <row r="27" spans="2:9" ht="18.75" customHeight="1" x14ac:dyDescent="0.2">
      <c r="C27" s="333"/>
    </row>
    <row r="28" spans="2:9" ht="18.75" customHeight="1" x14ac:dyDescent="0.2">
      <c r="C28" s="333"/>
    </row>
    <row r="29" spans="2:9" ht="18.75" customHeight="1" x14ac:dyDescent="0.2">
      <c r="C29" s="333"/>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4"/>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5"/>
      <c r="E50" s="325"/>
      <c r="F50" s="325"/>
      <c r="G50" s="325"/>
      <c r="H50" s="325"/>
      <c r="I50" s="325"/>
      <c r="J50" s="325"/>
      <c r="K50" s="325"/>
      <c r="L50" s="325"/>
      <c r="M50" s="325"/>
      <c r="N50" s="325"/>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F111"/>
  <sheetViews>
    <sheetView showGridLines="0" showZeros="0" zoomScale="80" zoomScaleNormal="80" workbookViewId="0">
      <pane ySplit="7" topLeftCell="A8" activePane="bottomLeft" state="frozen"/>
      <selection activeCell="J44" sqref="J44"/>
      <selection pane="bottomLef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8" hidden="1" customWidth="1"/>
    <col min="13" max="13" width="13.85546875" style="188" hidden="1" customWidth="1"/>
    <col min="14" max="15" width="15.7109375" style="188" hidden="1" customWidth="1"/>
    <col min="16" max="16" width="11.42578125" style="87" hidden="1" customWidth="1"/>
    <col min="17" max="19" width="11.42578125" style="87" customWidth="1"/>
    <col min="20" max="16384" width="11.42578125" style="87"/>
  </cols>
  <sheetData>
    <row r="1" spans="1:16" ht="20.25" x14ac:dyDescent="0.3">
      <c r="A1" s="80" t="s">
        <v>85</v>
      </c>
      <c r="B1" s="73" t="s">
        <v>56</v>
      </c>
      <c r="C1" s="74"/>
      <c r="D1" s="74"/>
      <c r="E1" s="74"/>
      <c r="F1" s="74"/>
      <c r="G1" s="74"/>
      <c r="H1" s="74"/>
      <c r="I1" s="74"/>
      <c r="J1" s="74"/>
      <c r="K1" s="74"/>
    </row>
    <row r="2" spans="1:16" ht="20.25" x14ac:dyDescent="0.3">
      <c r="A2" s="80" t="s">
        <v>86</v>
      </c>
      <c r="B2" s="74"/>
      <c r="C2" s="74"/>
      <c r="D2" s="74"/>
      <c r="E2" s="74"/>
      <c r="F2" s="74"/>
      <c r="G2" s="74"/>
      <c r="H2" s="74"/>
      <c r="I2" s="74"/>
      <c r="J2" s="74"/>
      <c r="K2" s="74"/>
    </row>
    <row r="3" spans="1:16" ht="18.75" x14ac:dyDescent="0.3">
      <c r="A3" s="654" t="s">
        <v>87</v>
      </c>
      <c r="B3" s="654"/>
      <c r="C3" s="74"/>
      <c r="D3" s="74"/>
      <c r="E3" s="74"/>
      <c r="F3" s="74"/>
      <c r="G3" s="74"/>
      <c r="H3" s="74"/>
      <c r="I3" s="74"/>
      <c r="J3" s="74"/>
      <c r="K3" s="74"/>
    </row>
    <row r="4" spans="1:16" ht="18.75" x14ac:dyDescent="0.3">
      <c r="A4" s="82" t="s">
        <v>421</v>
      </c>
      <c r="B4" s="83"/>
      <c r="C4" s="84"/>
      <c r="D4" s="84"/>
      <c r="E4" s="85"/>
      <c r="F4" s="86"/>
      <c r="G4" s="83"/>
      <c r="H4" s="84"/>
      <c r="I4" s="84"/>
      <c r="J4" s="85"/>
      <c r="K4" s="112"/>
      <c r="L4" s="211"/>
      <c r="M4" s="212"/>
      <c r="N4" s="213"/>
      <c r="O4" s="212"/>
    </row>
    <row r="5" spans="1:16" ht="22.5" x14ac:dyDescent="0.3">
      <c r="A5" s="88"/>
      <c r="B5" s="655" t="s">
        <v>88</v>
      </c>
      <c r="C5" s="656"/>
      <c r="D5" s="656"/>
      <c r="E5" s="657"/>
      <c r="F5" s="90"/>
      <c r="G5" s="655" t="s">
        <v>89</v>
      </c>
      <c r="H5" s="656"/>
      <c r="I5" s="656"/>
      <c r="J5" s="657"/>
      <c r="K5" s="89"/>
      <c r="L5" s="658" t="s">
        <v>153</v>
      </c>
      <c r="M5" s="653"/>
      <c r="N5" s="652" t="s">
        <v>154</v>
      </c>
      <c r="O5" s="653"/>
    </row>
    <row r="6" spans="1:16" ht="18.75" x14ac:dyDescent="0.3">
      <c r="A6" s="91"/>
      <c r="B6" s="92"/>
      <c r="C6" s="93"/>
      <c r="D6" s="93" t="s">
        <v>90</v>
      </c>
      <c r="E6" s="94" t="s">
        <v>33</v>
      </c>
      <c r="F6" s="95"/>
      <c r="G6" s="92"/>
      <c r="H6" s="93"/>
      <c r="I6" s="93" t="s">
        <v>90</v>
      </c>
      <c r="J6" s="94" t="s">
        <v>33</v>
      </c>
      <c r="K6" s="100"/>
      <c r="L6" s="214"/>
      <c r="M6" s="215"/>
      <c r="N6" s="216"/>
      <c r="O6" s="215"/>
    </row>
    <row r="7" spans="1:16" ht="15.75" x14ac:dyDescent="0.25">
      <c r="A7" s="96" t="s">
        <v>91</v>
      </c>
      <c r="B7" s="97">
        <v>2016</v>
      </c>
      <c r="C7" s="97">
        <v>2017</v>
      </c>
      <c r="D7" s="98" t="s">
        <v>92</v>
      </c>
      <c r="E7" s="99" t="s">
        <v>34</v>
      </c>
      <c r="F7" s="95"/>
      <c r="G7" s="97">
        <v>2016</v>
      </c>
      <c r="H7" s="97">
        <v>2017</v>
      </c>
      <c r="I7" s="98" t="s">
        <v>92</v>
      </c>
      <c r="J7" s="99" t="s">
        <v>34</v>
      </c>
      <c r="K7" s="100"/>
      <c r="L7" s="217">
        <v>2015</v>
      </c>
      <c r="M7" s="218">
        <v>2016</v>
      </c>
      <c r="N7" s="219">
        <v>2015</v>
      </c>
      <c r="O7" s="218">
        <v>2016</v>
      </c>
      <c r="P7" s="87" t="s">
        <v>157</v>
      </c>
    </row>
    <row r="8" spans="1:16" ht="18.75" x14ac:dyDescent="0.3">
      <c r="A8" s="101" t="s">
        <v>0</v>
      </c>
      <c r="B8" s="129"/>
      <c r="C8" s="103"/>
      <c r="D8" s="104"/>
      <c r="E8" s="386"/>
      <c r="F8" s="176"/>
      <c r="G8" s="129"/>
      <c r="H8" s="129"/>
      <c r="I8" s="103"/>
      <c r="J8" s="386"/>
      <c r="K8" s="139"/>
      <c r="L8" s="220" t="s">
        <v>0</v>
      </c>
      <c r="M8" s="221"/>
      <c r="N8" s="222"/>
      <c r="O8" s="221"/>
      <c r="P8" s="87" t="s">
        <v>165</v>
      </c>
    </row>
    <row r="9" spans="1:16" ht="18.75" x14ac:dyDescent="0.3">
      <c r="A9" s="193" t="s">
        <v>93</v>
      </c>
      <c r="B9" s="176">
        <f>'ACE European Group'!B7+'ACE European Group'!B22+'ACE European Group'!B34+'ACE European Group'!B45+'ACE European Group'!B64+'ACE European Group'!B132</f>
        <v>0</v>
      </c>
      <c r="C9" s="176">
        <f>'ACE European Group'!C7+'ACE European Group'!C22+'ACE European Group'!C34+'ACE European Group'!C45+'ACE European Group'!C64+'ACE European Group'!C132</f>
        <v>0</v>
      </c>
      <c r="D9" s="104"/>
      <c r="E9" s="386">
        <f>100/C$31*C9</f>
        <v>0</v>
      </c>
      <c r="F9" s="103"/>
      <c r="G9" s="176">
        <f>'ACE European Group'!B10+'ACE European Group'!B28+'ACE European Group'!B35+'ACE European Group'!B85+'ACE European Group'!B133</f>
        <v>0</v>
      </c>
      <c r="H9" s="176">
        <f>'ACE European Group'!C10+'ACE European Group'!C28+'ACE European Group'!C35+'ACE European Group'!C85+'ACE European Group'!C133</f>
        <v>0</v>
      </c>
      <c r="I9" s="104"/>
      <c r="J9" s="386">
        <f t="shared" ref="J9" si="0">100/H$31*H9</f>
        <v>0</v>
      </c>
      <c r="K9" s="207" t="s">
        <v>161</v>
      </c>
      <c r="L9" s="223">
        <f t="shared" ref="L9:L30" ca="1" si="1">INDIRECT("'" &amp; $A9 &amp; "'!" &amp; $P$7)</f>
        <v>0</v>
      </c>
      <c r="M9" s="221">
        <f t="shared" ref="M9:M30" ca="1" si="2">INDIRECT("'" &amp; $A9 &amp; "'!" &amp; $P$8)</f>
        <v>0</v>
      </c>
      <c r="N9" s="223">
        <f t="shared" ref="N9:N30" ca="1" si="3">INDIRECT("'" &amp; $A9 &amp; "'!" &amp; $P$9)</f>
        <v>0</v>
      </c>
      <c r="O9" s="221">
        <f t="shared" ref="O9:O30" ca="1" si="4">INDIRECT("'" &amp; $A9 &amp; "'!" &amp; $P$10)</f>
        <v>0</v>
      </c>
      <c r="P9" s="87" t="s">
        <v>169</v>
      </c>
    </row>
    <row r="10" spans="1:16" ht="18.75" x14ac:dyDescent="0.3">
      <c r="A10" s="193" t="s">
        <v>94</v>
      </c>
      <c r="B10" s="176">
        <f>'Danica Pensjonsforsikring'!B7+'Danica Pensjonsforsikring'!B22+'Danica Pensjonsforsikring'!B34+'Danica Pensjonsforsikring'!B45+'Danica Pensjonsforsikring'!B64+'Danica Pensjonsforsikring'!B132</f>
        <v>197548.72899999999</v>
      </c>
      <c r="C10" s="176">
        <f>'Danica Pensjonsforsikring'!C7+'Danica Pensjonsforsikring'!C22+'Danica Pensjonsforsikring'!C34+'Danica Pensjonsforsikring'!C45+'Danica Pensjonsforsikring'!C64+'Danica Pensjonsforsikring'!C132</f>
        <v>195763.908</v>
      </c>
      <c r="D10" s="104">
        <f t="shared" ref="D10:D31" si="5">IF(B10=0, "    ---- ", IF(ABS(ROUND(100/B10*C10-100,1))&lt;999,ROUND(100/B10*C10-100,1),IF(ROUND(100/B10*C10-100,1)&gt;999,999,-999)))</f>
        <v>-0.9</v>
      </c>
      <c r="E10" s="386">
        <f t="shared" ref="E10:E30" si="6">100/C$31*C10</f>
        <v>0.69128128996250959</v>
      </c>
      <c r="F10" s="103"/>
      <c r="G10" s="176">
        <f>'Danica Pensjonsforsikring'!B10+'Danica Pensjonsforsikring'!B28+'Danica Pensjonsforsikring'!B35+'Danica Pensjonsforsikring'!B85+'Danica Pensjonsforsikring'!B133</f>
        <v>910116.41500000004</v>
      </c>
      <c r="H10" s="176">
        <f>'Danica Pensjonsforsikring'!C10+'Danica Pensjonsforsikring'!C28+'Danica Pensjonsforsikring'!C35+'Danica Pensjonsforsikring'!C85+'Danica Pensjonsforsikring'!C133</f>
        <v>981728.21099999989</v>
      </c>
      <c r="I10" s="104">
        <f t="shared" ref="I10:I31" si="7">IF(G10=0, "    ---- ", IF(ABS(ROUND(100/G10*H10-100,1))&lt;999,ROUND(100/G10*H10-100,1),IF(ROUND(100/G10*H10-100,1)&gt;999,999,-999)))</f>
        <v>7.9</v>
      </c>
      <c r="J10" s="386">
        <f t="shared" ref="J10:J30" si="8">100/H$31*H10</f>
        <v>0.10297514055705406</v>
      </c>
      <c r="K10" s="208" t="s">
        <v>162</v>
      </c>
      <c r="L10" s="223">
        <f t="shared" ca="1" si="1"/>
        <v>0</v>
      </c>
      <c r="M10" s="221">
        <f t="shared" ca="1" si="2"/>
        <v>0</v>
      </c>
      <c r="N10" s="223">
        <f t="shared" ca="1" si="3"/>
        <v>0</v>
      </c>
      <c r="O10" s="221">
        <f t="shared" ca="1" si="4"/>
        <v>0</v>
      </c>
      <c r="P10" s="87" t="s">
        <v>174</v>
      </c>
    </row>
    <row r="11" spans="1:16" ht="18.75" x14ac:dyDescent="0.3">
      <c r="A11" s="193" t="s">
        <v>95</v>
      </c>
      <c r="B11" s="176">
        <f>'DNB Livsforsikring'!B7+'DNB Livsforsikring'!B22+'DNB Livsforsikring'!B34+'DNB Livsforsikring'!B45+'DNB Livsforsikring'!B64+'DNB Livsforsikring'!B132</f>
        <v>4445756.0010000002</v>
      </c>
      <c r="C11" s="176">
        <f>'DNB Livsforsikring'!C7+'DNB Livsforsikring'!C22+'DNB Livsforsikring'!C34+'DNB Livsforsikring'!C45+'DNB Livsforsikring'!C64+'DNB Livsforsikring'!C132</f>
        <v>3078142</v>
      </c>
      <c r="D11" s="104">
        <f t="shared" si="5"/>
        <v>-30.8</v>
      </c>
      <c r="E11" s="386">
        <f t="shared" si="6"/>
        <v>10.869531540245811</v>
      </c>
      <c r="F11" s="103"/>
      <c r="G11" s="176">
        <f>'DNB Livsforsikring'!B10+'DNB Livsforsikring'!B28+'DNB Livsforsikring'!B35+'DNB Livsforsikring'!B85+'DNB Livsforsikring'!B133</f>
        <v>204999593</v>
      </c>
      <c r="H11" s="176">
        <f>'DNB Livsforsikring'!C10+'DNB Livsforsikring'!C28+'DNB Livsforsikring'!C35+'DNB Livsforsikring'!C85+'DNB Livsforsikring'!C133</f>
        <v>202823706</v>
      </c>
      <c r="I11" s="104">
        <f t="shared" si="7"/>
        <v>-1.1000000000000001</v>
      </c>
      <c r="J11" s="386">
        <f t="shared" si="8"/>
        <v>21.274523233246082</v>
      </c>
      <c r="K11" s="87" t="s">
        <v>155</v>
      </c>
      <c r="L11" s="223">
        <f t="shared" ca="1" si="1"/>
        <v>0</v>
      </c>
      <c r="M11" s="221">
        <f t="shared" ca="1" si="2"/>
        <v>0</v>
      </c>
      <c r="N11" s="223">
        <f t="shared" ca="1" si="3"/>
        <v>0</v>
      </c>
      <c r="O11" s="221">
        <f t="shared" ca="1" si="4"/>
        <v>0</v>
      </c>
    </row>
    <row r="12" spans="1:16" ht="18.75" x14ac:dyDescent="0.3">
      <c r="A12" s="193" t="s">
        <v>96</v>
      </c>
      <c r="B12" s="176">
        <f>'Eika Forsikring AS'!B7+'Eika Forsikring AS'!B22+'Eika Forsikring AS'!B34+'Eika Forsikring AS'!B45+'Eika Forsikring AS'!B64+'Eika Forsikring AS'!B132</f>
        <v>248926</v>
      </c>
      <c r="C12" s="176">
        <f>'Eika Forsikring AS'!C7+'Eika Forsikring AS'!C22+'Eika Forsikring AS'!C34+'Eika Forsikring AS'!C45+'Eika Forsikring AS'!C64+'Eika Forsikring AS'!C132</f>
        <v>154629</v>
      </c>
      <c r="D12" s="104">
        <f t="shared" si="5"/>
        <v>-37.9</v>
      </c>
      <c r="E12" s="386">
        <f t="shared" si="6"/>
        <v>0.54602574947376359</v>
      </c>
      <c r="F12" s="103"/>
      <c r="G12" s="176">
        <f>'Eika Forsikring AS'!B10+'Eika Forsikring AS'!B28+'Eika Forsikring AS'!B35+'Eika Forsikring AS'!B85+'Eika Forsikring AS'!B133</f>
        <v>0</v>
      </c>
      <c r="H12" s="176">
        <f>'Eika Forsikring AS'!C10+'Eika Forsikring AS'!C28+'Eika Forsikring AS'!C35+'Eika Forsikring AS'!C85+'Eika Forsikring AS'!C133</f>
        <v>0</v>
      </c>
      <c r="I12" s="104"/>
      <c r="J12" s="386">
        <f t="shared" si="8"/>
        <v>0</v>
      </c>
      <c r="K12" s="87" t="s">
        <v>163</v>
      </c>
      <c r="L12" s="223">
        <f t="shared" ca="1" si="1"/>
        <v>0</v>
      </c>
      <c r="M12" s="221">
        <f t="shared" ca="1" si="2"/>
        <v>0</v>
      </c>
      <c r="N12" s="223">
        <f t="shared" ca="1" si="3"/>
        <v>0</v>
      </c>
      <c r="O12" s="221">
        <f t="shared" ca="1" si="4"/>
        <v>0</v>
      </c>
    </row>
    <row r="13" spans="1:16" ht="18.75" x14ac:dyDescent="0.3">
      <c r="A13" s="193" t="s">
        <v>97</v>
      </c>
      <c r="B13" s="177">
        <f>'Frende Livsforsikring'!B7+'Frende Livsforsikring'!B22+'Frende Livsforsikring'!B34+'Frende Livsforsikring'!B45+'Frende Livsforsikring'!B64+'Frende Livsforsikring'!B132</f>
        <v>449437</v>
      </c>
      <c r="C13" s="177">
        <f>'Frende Livsforsikring'!C7+'Frende Livsforsikring'!C22+'Frende Livsforsikring'!C34+'Frende Livsforsikring'!C45+'Frende Livsforsikring'!C64+'Frende Livsforsikring'!C132</f>
        <v>490232.783</v>
      </c>
      <c r="D13" s="104">
        <f t="shared" si="5"/>
        <v>9.1</v>
      </c>
      <c r="E13" s="386">
        <f t="shared" si="6"/>
        <v>1.7311094474786999</v>
      </c>
      <c r="F13" s="103"/>
      <c r="G13" s="176">
        <f>'Frende Livsforsikring'!B10+'Frende Livsforsikring'!B28+'Frende Livsforsikring'!B35+'Frende Livsforsikring'!B85+'Frende Livsforsikring'!B133</f>
        <v>832830</v>
      </c>
      <c r="H13" s="176">
        <f>'Frende Livsforsikring'!C10+'Frende Livsforsikring'!C28+'Frende Livsforsikring'!C35+'Frende Livsforsikring'!C85+'Frende Livsforsikring'!C133</f>
        <v>979049</v>
      </c>
      <c r="I13" s="104">
        <f t="shared" si="7"/>
        <v>17.600000000000001</v>
      </c>
      <c r="J13" s="386">
        <f t="shared" si="8"/>
        <v>0.10269411356178623</v>
      </c>
      <c r="K13" s="87" t="s">
        <v>156</v>
      </c>
      <c r="L13" s="223">
        <f t="shared" ca="1" si="1"/>
        <v>0</v>
      </c>
      <c r="M13" s="221">
        <f t="shared" ca="1" si="2"/>
        <v>0</v>
      </c>
      <c r="N13" s="223">
        <f t="shared" ca="1" si="3"/>
        <v>0</v>
      </c>
      <c r="O13" s="221">
        <f t="shared" ca="1" si="4"/>
        <v>0</v>
      </c>
    </row>
    <row r="14" spans="1:16" ht="18.75" x14ac:dyDescent="0.3">
      <c r="A14" s="193" t="s">
        <v>98</v>
      </c>
      <c r="B14" s="176">
        <f>'Frende Skadeforsikring'!B7+'Frende Skadeforsikring'!B22+'Frende Skadeforsikring'!B34+'Frende Skadeforsikring'!B45+'Frende Skadeforsikring'!B64+'Frende Skadeforsikring'!B132</f>
        <v>4457</v>
      </c>
      <c r="C14" s="176">
        <f>'Frende Skadeforsikring'!C7+'Frende Skadeforsikring'!C22+'Frende Skadeforsikring'!C34+'Frende Skadeforsikring'!C45+'Frende Skadeforsikring'!C64+'Frende Skadeforsikring'!C132</f>
        <v>4451</v>
      </c>
      <c r="D14" s="104">
        <f t="shared" si="5"/>
        <v>-0.1</v>
      </c>
      <c r="E14" s="386">
        <f t="shared" si="6"/>
        <v>1.5717366153229481E-2</v>
      </c>
      <c r="F14" s="103"/>
      <c r="G14" s="176">
        <f>'Frende Skadeforsikring'!B10+'Frende Skadeforsikring'!B28+'Frende Skadeforsikring'!B35+'Frende Skadeforsikring'!B85+'Frende Skadeforsikring'!B133</f>
        <v>0</v>
      </c>
      <c r="H14" s="176">
        <f>'Frende Skadeforsikring'!C10+'Frende Skadeforsikring'!C28+'Frende Skadeforsikring'!C35+'Frende Skadeforsikring'!C85+'Frende Skadeforsikring'!C133</f>
        <v>0</v>
      </c>
      <c r="I14" s="104"/>
      <c r="J14" s="386">
        <f t="shared" si="8"/>
        <v>0</v>
      </c>
      <c r="K14" s="87" t="s">
        <v>164</v>
      </c>
      <c r="L14" s="223">
        <f t="shared" ca="1" si="1"/>
        <v>0</v>
      </c>
      <c r="M14" s="221">
        <f t="shared" ca="1" si="2"/>
        <v>0</v>
      </c>
      <c r="N14" s="223">
        <f t="shared" ca="1" si="3"/>
        <v>0</v>
      </c>
      <c r="O14" s="221">
        <f t="shared" ca="1" si="4"/>
        <v>0</v>
      </c>
    </row>
    <row r="15" spans="1:16" ht="18.75" x14ac:dyDescent="0.3">
      <c r="A15" s="193" t="s">
        <v>99</v>
      </c>
      <c r="B15" s="176">
        <f>'Gjensidige Forsikring'!B7+'Gjensidige Forsikring'!B22+'Gjensidige Forsikring'!B34+'Gjensidige Forsikring'!B45+'Gjensidige Forsikring'!B64+'Gjensidige Forsikring'!B132</f>
        <v>1139361</v>
      </c>
      <c r="C15" s="176">
        <f>'Gjensidige Forsikring'!C7+'Gjensidige Forsikring'!C22+'Gjensidige Forsikring'!C34+'Gjensidige Forsikring'!C45+'Gjensidige Forsikring'!C64+'Gjensidige Forsikring'!C132</f>
        <v>1205494</v>
      </c>
      <c r="D15" s="104">
        <f t="shared" si="5"/>
        <v>5.8</v>
      </c>
      <c r="E15" s="386">
        <f t="shared" si="6"/>
        <v>4.2568390459494996</v>
      </c>
      <c r="F15" s="103"/>
      <c r="G15" s="176">
        <f>'Gjensidige Forsikring'!B10+'Gjensidige Forsikring'!B28+'Gjensidige Forsikring'!B35+'Gjensidige Forsikring'!B85+'Gjensidige Forsikring'!B133</f>
        <v>0</v>
      </c>
      <c r="H15" s="176">
        <f>'Gjensidige Forsikring'!C10+'Gjensidige Forsikring'!C28+'Gjensidige Forsikring'!C35+'Gjensidige Forsikring'!C85+'Gjensidige Forsikring'!C133</f>
        <v>0</v>
      </c>
      <c r="I15" s="104"/>
      <c r="J15" s="386">
        <f t="shared" si="8"/>
        <v>0</v>
      </c>
      <c r="K15" s="87" t="s">
        <v>157</v>
      </c>
      <c r="L15" s="223">
        <f t="shared" ca="1" si="1"/>
        <v>0</v>
      </c>
      <c r="M15" s="221">
        <f t="shared" ca="1" si="2"/>
        <v>0</v>
      </c>
      <c r="N15" s="223">
        <f t="shared" ca="1" si="3"/>
        <v>0</v>
      </c>
      <c r="O15" s="221">
        <f t="shared" ca="1" si="4"/>
        <v>0</v>
      </c>
    </row>
    <row r="16" spans="1:16" ht="18.75" x14ac:dyDescent="0.3">
      <c r="A16" s="193" t="s">
        <v>100</v>
      </c>
      <c r="B16" s="176">
        <f>'Gjensidige Pensjon'!B7+'Gjensidige Pensjon'!B22+'Gjensidige Pensjon'!B34+'Gjensidige Pensjon'!B45+'Gjensidige Pensjon'!B64+'Gjensidige Pensjon'!B132</f>
        <v>268828.26399999997</v>
      </c>
      <c r="C16" s="176">
        <f>'Gjensidige Pensjon'!C7+'Gjensidige Pensjon'!C22+'Gjensidige Pensjon'!C34+'Gjensidige Pensjon'!C45+'Gjensidige Pensjon'!C64+'Gjensidige Pensjon'!C132</f>
        <v>276379</v>
      </c>
      <c r="D16" s="104">
        <f t="shared" si="5"/>
        <v>2.8</v>
      </c>
      <c r="E16" s="386">
        <f t="shared" si="6"/>
        <v>0.97594921142741198</v>
      </c>
      <c r="F16" s="103"/>
      <c r="G16" s="176">
        <f>'Gjensidige Pensjon'!B10+'Gjensidige Pensjon'!B28+'Gjensidige Pensjon'!B35+'Gjensidige Pensjon'!B85+'Gjensidige Pensjon'!B133</f>
        <v>5116874.0429999996</v>
      </c>
      <c r="H16" s="176">
        <f>'Gjensidige Pensjon'!C10+'Gjensidige Pensjon'!C28+'Gjensidige Pensjon'!C35+'Gjensidige Pensjon'!C85+'Gjensidige Pensjon'!C133</f>
        <v>5705784</v>
      </c>
      <c r="I16" s="104">
        <f t="shared" si="7"/>
        <v>11.5</v>
      </c>
      <c r="J16" s="386">
        <f t="shared" si="8"/>
        <v>0.59848938107798777</v>
      </c>
      <c r="K16" s="87" t="s">
        <v>165</v>
      </c>
      <c r="L16" s="223">
        <f t="shared" ca="1" si="1"/>
        <v>0</v>
      </c>
      <c r="M16" s="221">
        <f t="shared" ca="1" si="2"/>
        <v>0</v>
      </c>
      <c r="N16" s="223">
        <f t="shared" ca="1" si="3"/>
        <v>0</v>
      </c>
      <c r="O16" s="221">
        <f t="shared" ca="1" si="4"/>
        <v>0</v>
      </c>
    </row>
    <row r="17" spans="1:21" ht="18.75" x14ac:dyDescent="0.3">
      <c r="A17" s="193" t="s">
        <v>101</v>
      </c>
      <c r="B17" s="176">
        <f>'Handelsbanken Liv'!B7+'Handelsbanken Liv'!B22+'Handelsbanken Liv'!B34+'Handelsbanken Liv'!B45+'Handelsbanken Liv'!B64+'Handelsbanken Liv'!B132</f>
        <v>20615</v>
      </c>
      <c r="C17" s="176">
        <f>'Handelsbanken Liv'!C7+'Handelsbanken Liv'!C22+'Handelsbanken Liv'!C34+'Handelsbanken Liv'!C45+'Handelsbanken Liv'!C64+'Handelsbanken Liv'!C132</f>
        <v>19906</v>
      </c>
      <c r="D17" s="104">
        <f t="shared" si="5"/>
        <v>-3.4</v>
      </c>
      <c r="E17" s="386">
        <f t="shared" si="6"/>
        <v>7.0292044629563261E-2</v>
      </c>
      <c r="F17" s="103"/>
      <c r="G17" s="176">
        <f>'Handelsbanken Liv'!B10+'Handelsbanken Liv'!B28+'Handelsbanken Liv'!B35+'Handelsbanken Liv'!B85+'Handelsbanken Liv'!B133</f>
        <v>28242</v>
      </c>
      <c r="H17" s="176">
        <f>'Handelsbanken Liv'!C10+'Handelsbanken Liv'!C28+'Handelsbanken Liv'!C35+'Handelsbanken Liv'!C85+'Handelsbanken Liv'!C133</f>
        <v>27134</v>
      </c>
      <c r="I17" s="104">
        <f t="shared" si="7"/>
        <v>-3.9</v>
      </c>
      <c r="J17" s="386">
        <f t="shared" si="8"/>
        <v>2.846131375840747E-3</v>
      </c>
      <c r="K17" s="139"/>
      <c r="L17" s="223">
        <f t="shared" ca="1" si="1"/>
        <v>0</v>
      </c>
      <c r="M17" s="221">
        <f t="shared" ca="1" si="2"/>
        <v>0</v>
      </c>
      <c r="N17" s="223">
        <f t="shared" ca="1" si="3"/>
        <v>0</v>
      </c>
      <c r="O17" s="221">
        <f t="shared" ca="1" si="4"/>
        <v>0</v>
      </c>
    </row>
    <row r="18" spans="1:21" ht="18.75" x14ac:dyDescent="0.3">
      <c r="A18" s="193" t="s">
        <v>102</v>
      </c>
      <c r="B18" s="176">
        <f>'If Skadeforsikring NUF'!B7+'If Skadeforsikring NUF'!B22+'If Skadeforsikring NUF'!B34+'If Skadeforsikring NUF'!B45+'If Skadeforsikring NUF'!B64+'If Skadeforsikring NUF'!B132</f>
        <v>248460.12299999999</v>
      </c>
      <c r="C18" s="176">
        <f>'If Skadeforsikring NUF'!C7+'If Skadeforsikring NUF'!C22+'If Skadeforsikring NUF'!C34+'If Skadeforsikring NUF'!C45+'If Skadeforsikring NUF'!C64+'If Skadeforsikring NUF'!C132</f>
        <v>286954.01899999997</v>
      </c>
      <c r="D18" s="104">
        <f t="shared" si="5"/>
        <v>15.5</v>
      </c>
      <c r="E18" s="386">
        <f t="shared" si="6"/>
        <v>1.0132917065297167</v>
      </c>
      <c r="F18" s="103"/>
      <c r="G18" s="176">
        <f>'If Skadeforsikring NUF'!B10+'If Skadeforsikring NUF'!B28+'If Skadeforsikring NUF'!B35+'If Skadeforsikring NUF'!B85+'If Skadeforsikring NUF'!B133</f>
        <v>0</v>
      </c>
      <c r="H18" s="176">
        <f>'If Skadeforsikring NUF'!C10+'If Skadeforsikring NUF'!C28+'If Skadeforsikring NUF'!C35+'If Skadeforsikring NUF'!C85+'If Skadeforsikring NUF'!C133</f>
        <v>0</v>
      </c>
      <c r="I18" s="104"/>
      <c r="J18" s="386">
        <f t="shared" si="8"/>
        <v>0</v>
      </c>
      <c r="K18" s="139"/>
      <c r="L18" s="223">
        <f t="shared" ca="1" si="1"/>
        <v>0</v>
      </c>
      <c r="M18" s="221">
        <f t="shared" ca="1" si="2"/>
        <v>0</v>
      </c>
      <c r="N18" s="223">
        <f t="shared" ca="1" si="3"/>
        <v>0</v>
      </c>
      <c r="O18" s="221">
        <f t="shared" ca="1" si="4"/>
        <v>0</v>
      </c>
    </row>
    <row r="19" spans="1:21" ht="18.75" x14ac:dyDescent="0.3">
      <c r="A19" s="193" t="s">
        <v>68</v>
      </c>
      <c r="B19" s="176">
        <f>KLP!B7+KLP!B22+KLP!B34+KLP!B45+KLP!B64+KLP!B132</f>
        <v>17863744.790199999</v>
      </c>
      <c r="C19" s="176">
        <f>KLP!C7+KLP!C22+KLP!C34+KLP!C45+KLP!C64+KLP!C132</f>
        <v>14896769.38098</v>
      </c>
      <c r="D19" s="104">
        <f t="shared" si="5"/>
        <v>-16.600000000000001</v>
      </c>
      <c r="E19" s="386">
        <f t="shared" si="6"/>
        <v>52.603455147400659</v>
      </c>
      <c r="F19" s="103"/>
      <c r="G19" s="176">
        <f>KLP!B10+KLP!B28+KLP!B35+KLP!B85+KLP!B133</f>
        <v>408022300.04294997</v>
      </c>
      <c r="H19" s="176">
        <f>KLP!C10+KLP!C28+KLP!C35+KLP!C85+KLP!C133</f>
        <v>432230923.24921</v>
      </c>
      <c r="I19" s="104">
        <f t="shared" si="7"/>
        <v>5.9</v>
      </c>
      <c r="J19" s="386">
        <f t="shared" si="8"/>
        <v>45.337436141674296</v>
      </c>
      <c r="K19" s="139"/>
      <c r="L19" s="223">
        <f t="shared" ca="1" si="1"/>
        <v>0</v>
      </c>
      <c r="M19" s="221">
        <f t="shared" ca="1" si="2"/>
        <v>0</v>
      </c>
      <c r="N19" s="223">
        <f t="shared" ca="1" si="3"/>
        <v>0</v>
      </c>
      <c r="O19" s="221">
        <f t="shared" ca="1" si="4"/>
        <v>0</v>
      </c>
    </row>
    <row r="20" spans="1:21" ht="18.75" x14ac:dyDescent="0.3">
      <c r="A20" s="108" t="s">
        <v>103</v>
      </c>
      <c r="B20" s="176">
        <f>'KLP Bedriftspensjon AS'!B7+'KLP Bedriftspensjon AS'!B22+'KLP Bedriftspensjon AS'!B34+'KLP Bedriftspensjon AS'!B45+'KLP Bedriftspensjon AS'!B64+'KLP Bedriftspensjon AS'!B132</f>
        <v>52817</v>
      </c>
      <c r="C20" s="176">
        <f>'KLP Bedriftspensjon AS'!C7+'KLP Bedriftspensjon AS'!C22+'KLP Bedriftspensjon AS'!C34+'KLP Bedriftspensjon AS'!C45+'KLP Bedriftspensjon AS'!C64+'KLP Bedriftspensjon AS'!C132</f>
        <v>42087</v>
      </c>
      <c r="D20" s="104">
        <f t="shared" si="5"/>
        <v>-20.3</v>
      </c>
      <c r="E20" s="386">
        <f t="shared" si="6"/>
        <v>0.14861756667961565</v>
      </c>
      <c r="F20" s="103"/>
      <c r="G20" s="176">
        <f>'KLP Bedriftspensjon AS'!B10+'KLP Bedriftspensjon AS'!B28+'KLP Bedriftspensjon AS'!B35+'KLP Bedriftspensjon AS'!B85+'KLP Bedriftspensjon AS'!B133</f>
        <v>1444299</v>
      </c>
      <c r="H20" s="176">
        <f>'KLP Bedriftspensjon AS'!C10+'KLP Bedriftspensjon AS'!C28+'KLP Bedriftspensjon AS'!C35+'KLP Bedriftspensjon AS'!C85+'KLP Bedriftspensjon AS'!C133</f>
        <v>1534741</v>
      </c>
      <c r="I20" s="104">
        <f t="shared" si="7"/>
        <v>6.3</v>
      </c>
      <c r="J20" s="386">
        <f t="shared" si="8"/>
        <v>0.16098159187326616</v>
      </c>
      <c r="K20" s="139"/>
      <c r="L20" s="223">
        <f t="shared" ca="1" si="1"/>
        <v>0</v>
      </c>
      <c r="M20" s="221">
        <f t="shared" ca="1" si="2"/>
        <v>0</v>
      </c>
      <c r="N20" s="223">
        <f t="shared" ca="1" si="3"/>
        <v>0</v>
      </c>
      <c r="O20" s="221">
        <f t="shared" ca="1" si="4"/>
        <v>0</v>
      </c>
    </row>
    <row r="21" spans="1:21" ht="18.75" x14ac:dyDescent="0.3">
      <c r="A21" s="108" t="s">
        <v>104</v>
      </c>
      <c r="B21" s="176">
        <f>'KLP Skadeforsikring AS'!B7+'KLP Skadeforsikring AS'!B22+'KLP Skadeforsikring AS'!B34+'KLP Skadeforsikring AS'!B45+'KLP Skadeforsikring AS'!B64+'KLP Skadeforsikring AS'!B132</f>
        <v>118032.765</v>
      </c>
      <c r="C21" s="176">
        <f>'KLP Skadeforsikring AS'!C7+'KLP Skadeforsikring AS'!C22+'KLP Skadeforsikring AS'!C34+'KLP Skadeforsikring AS'!C45+'KLP Skadeforsikring AS'!C64+'KLP Skadeforsikring AS'!C132</f>
        <v>128824.133</v>
      </c>
      <c r="D21" s="104">
        <f t="shared" si="5"/>
        <v>9.1</v>
      </c>
      <c r="E21" s="386">
        <f t="shared" si="6"/>
        <v>0.45490363238223613</v>
      </c>
      <c r="F21" s="103"/>
      <c r="G21" s="176">
        <f>'KLP Skadeforsikring AS'!B10+'KLP Skadeforsikring AS'!B28+'KLP Skadeforsikring AS'!B35+'KLP Skadeforsikring AS'!B85+'KLP Skadeforsikring AS'!B133</f>
        <v>0</v>
      </c>
      <c r="H21" s="176">
        <f>'KLP Skadeforsikring AS'!C10+'KLP Skadeforsikring AS'!C28+'KLP Skadeforsikring AS'!C35+'KLP Skadeforsikring AS'!C85+'KLP Skadeforsikring AS'!C133</f>
        <v>0</v>
      </c>
      <c r="I21" s="104"/>
      <c r="J21" s="386">
        <f t="shared" si="8"/>
        <v>0</v>
      </c>
      <c r="K21" s="139"/>
      <c r="L21" s="223">
        <f t="shared" ca="1" si="1"/>
        <v>0</v>
      </c>
      <c r="M21" s="221">
        <f t="shared" ca="1" si="2"/>
        <v>0</v>
      </c>
      <c r="N21" s="223">
        <f t="shared" ca="1" si="3"/>
        <v>0</v>
      </c>
      <c r="O21" s="221">
        <f t="shared" ca="1" si="4"/>
        <v>0</v>
      </c>
    </row>
    <row r="22" spans="1:21" ht="18.75" x14ac:dyDescent="0.3">
      <c r="A22" s="108" t="s">
        <v>105</v>
      </c>
      <c r="B22" s="176">
        <f>'Landbruksforsikring AS'!B7+'Landbruksforsikring AS'!B22+'Landbruksforsikring AS'!B34+'Landbruksforsikring AS'!B45+'Landbruksforsikring AS'!B64+'Landbruksforsikring AS'!B132</f>
        <v>17232</v>
      </c>
      <c r="C22" s="176">
        <f>'Landbruksforsikring AS'!C7+'Landbruksforsikring AS'!C22+'Landbruksforsikring AS'!C34+'Landbruksforsikring AS'!C45+'Landbruksforsikring AS'!C64+'Landbruksforsikring AS'!C132</f>
        <v>24256</v>
      </c>
      <c r="D22" s="104">
        <f t="shared" si="5"/>
        <v>40.799999999999997</v>
      </c>
      <c r="E22" s="386">
        <f t="shared" si="6"/>
        <v>8.5652759697311689E-2</v>
      </c>
      <c r="F22" s="103"/>
      <c r="G22" s="176">
        <f>'Landbruksforsikring AS'!B10+'Landbruksforsikring AS'!B28+'Landbruksforsikring AS'!B35+'Landbruksforsikring AS'!B85+'Landbruksforsikring AS'!B133</f>
        <v>0</v>
      </c>
      <c r="H22" s="176">
        <f>'Landbruksforsikring AS'!C10+'Landbruksforsikring AS'!C28+'Landbruksforsikring AS'!C35+'Landbruksforsikring AS'!C85+'Landbruksforsikring AS'!C133</f>
        <v>0</v>
      </c>
      <c r="I22" s="104"/>
      <c r="J22" s="386">
        <f t="shared" si="8"/>
        <v>0</v>
      </c>
      <c r="K22" s="139"/>
      <c r="L22" s="223">
        <f t="shared" ca="1" si="1"/>
        <v>0</v>
      </c>
      <c r="M22" s="221">
        <f t="shared" ca="1" si="2"/>
        <v>0</v>
      </c>
      <c r="N22" s="223">
        <f t="shared" ca="1" si="3"/>
        <v>0</v>
      </c>
      <c r="O22" s="221">
        <f t="shared" ca="1" si="4"/>
        <v>0</v>
      </c>
    </row>
    <row r="23" spans="1:21" ht="18.75" x14ac:dyDescent="0.3">
      <c r="A23" s="193" t="s">
        <v>106</v>
      </c>
      <c r="B23" s="176">
        <f>'NEMI Forsikring'!B7+'NEMI Forsikring'!B22+'NEMI Forsikring'!B34+'NEMI Forsikring'!B45+'NEMI Forsikring'!B64+'NEMI Forsikring'!B132</f>
        <v>1481</v>
      </c>
      <c r="C23" s="176">
        <f>'NEMI Forsikring'!C7+'NEMI Forsikring'!C22+'NEMI Forsikring'!C34+'NEMI Forsikring'!C45+'NEMI Forsikring'!C64+'NEMI Forsikring'!C132</f>
        <v>2011</v>
      </c>
      <c r="D23" s="104">
        <f t="shared" si="5"/>
        <v>35.799999999999997</v>
      </c>
      <c r="E23" s="386">
        <f t="shared" si="6"/>
        <v>7.1012409198257668E-3</v>
      </c>
      <c r="F23" s="103"/>
      <c r="G23" s="176">
        <f>'NEMI Forsikring'!B10+'NEMI Forsikring'!B28+'NEMI Forsikring'!B35+'NEMI Forsikring'!B85+'NEMI Forsikring'!B133</f>
        <v>0</v>
      </c>
      <c r="H23" s="176">
        <f>'NEMI Forsikring'!C10+'NEMI Forsikring'!C28+'NEMI Forsikring'!C35+'NEMI Forsikring'!C85+'NEMI Forsikring'!C133</f>
        <v>0</v>
      </c>
      <c r="I23" s="104"/>
      <c r="J23" s="386">
        <f t="shared" si="8"/>
        <v>0</v>
      </c>
      <c r="K23" s="139"/>
      <c r="L23" s="223">
        <f t="shared" ca="1" si="1"/>
        <v>0</v>
      </c>
      <c r="M23" s="221">
        <f t="shared" ca="1" si="2"/>
        <v>0</v>
      </c>
      <c r="N23" s="223">
        <f t="shared" ca="1" si="3"/>
        <v>0</v>
      </c>
      <c r="O23" s="221">
        <f t="shared" ca="1" si="4"/>
        <v>0</v>
      </c>
    </row>
    <row r="24" spans="1:21" ht="18.75" x14ac:dyDescent="0.3">
      <c r="A24" s="108" t="s">
        <v>107</v>
      </c>
      <c r="B24" s="176">
        <f>'Nordea Liv '!B7+'Nordea Liv '!B22+'Nordea Liv '!B34+'Nordea Liv '!B45+'Nordea Liv '!B64+'Nordea Liv '!B132</f>
        <v>1314347.7010432926</v>
      </c>
      <c r="C24" s="176">
        <f>'Nordea Liv '!C7+'Nordea Liv '!C22+'Nordea Liv '!C34+'Nordea Liv '!C45+'Nordea Liv '!C64+'Nordea Liv '!C132</f>
        <v>927868.64466550318</v>
      </c>
      <c r="D24" s="104">
        <f t="shared" si="5"/>
        <v>-29.4</v>
      </c>
      <c r="E24" s="386">
        <f t="shared" si="6"/>
        <v>3.2764887059780929</v>
      </c>
      <c r="F24" s="103"/>
      <c r="G24" s="177">
        <f>'Nordea Liv '!B10+'Nordea Liv '!B28+'Nordea Liv '!B35+'Nordea Liv '!B85+'Nordea Liv '!B133</f>
        <v>48064765.021499872</v>
      </c>
      <c r="H24" s="177">
        <f>'Nordea Liv '!C10+'Nordea Liv '!C28+'Nordea Liv '!C35+'Nordea Liv '!C85+'Nordea Liv '!C133</f>
        <v>49325851.608999982</v>
      </c>
      <c r="I24" s="104">
        <f t="shared" si="7"/>
        <v>2.6</v>
      </c>
      <c r="J24" s="386">
        <f t="shared" si="8"/>
        <v>5.1738724074754785</v>
      </c>
      <c r="K24" s="139"/>
      <c r="L24" s="223">
        <f t="shared" ca="1" si="1"/>
        <v>0</v>
      </c>
      <c r="M24" s="221">
        <f t="shared" ca="1" si="2"/>
        <v>0</v>
      </c>
      <c r="N24" s="223">
        <f t="shared" ca="1" si="3"/>
        <v>0</v>
      </c>
      <c r="O24" s="221">
        <f t="shared" ca="1" si="4"/>
        <v>0</v>
      </c>
    </row>
    <row r="25" spans="1:21" ht="18.75" x14ac:dyDescent="0.3">
      <c r="A25" s="108" t="s">
        <v>108</v>
      </c>
      <c r="B25" s="176">
        <f>'Oslo Pensjonsforsikring'!B7+'Oslo Pensjonsforsikring'!B22+'Oslo Pensjonsforsikring'!B34+'Oslo Pensjonsforsikring'!B45+'Oslo Pensjonsforsikring'!B64+'Oslo Pensjonsforsikring'!B132</f>
        <v>1315437</v>
      </c>
      <c r="C25" s="176">
        <f>'Oslo Pensjonsforsikring'!C7+'Oslo Pensjonsforsikring'!C22+'Oslo Pensjonsforsikring'!C34+'Oslo Pensjonsforsikring'!C45+'Oslo Pensjonsforsikring'!C64+'Oslo Pensjonsforsikring'!C132</f>
        <v>1524757</v>
      </c>
      <c r="D25" s="104">
        <f t="shared" si="5"/>
        <v>15.9</v>
      </c>
      <c r="E25" s="386">
        <f t="shared" si="6"/>
        <v>5.3842201895528472</v>
      </c>
      <c r="F25" s="103"/>
      <c r="G25" s="176">
        <f>'Oslo Pensjonsforsikring'!B10+'Oslo Pensjonsforsikring'!B28+'Oslo Pensjonsforsikring'!B35+'Oslo Pensjonsforsikring'!B85+'Oslo Pensjonsforsikring'!B133</f>
        <v>61571650</v>
      </c>
      <c r="H25" s="176">
        <f>'Oslo Pensjonsforsikring'!C10+'Oslo Pensjonsforsikring'!C28+'Oslo Pensjonsforsikring'!C35+'Oslo Pensjonsforsikring'!C85+'Oslo Pensjonsforsikring'!C133</f>
        <v>66551653</v>
      </c>
      <c r="I25" s="104">
        <f t="shared" si="7"/>
        <v>8.1</v>
      </c>
      <c r="J25" s="386">
        <f t="shared" si="8"/>
        <v>6.9807159916475996</v>
      </c>
      <c r="K25" s="139"/>
      <c r="L25" s="223">
        <f t="shared" ca="1" si="1"/>
        <v>0</v>
      </c>
      <c r="M25" s="221">
        <f t="shared" ca="1" si="2"/>
        <v>0</v>
      </c>
      <c r="N25" s="223">
        <f t="shared" ca="1" si="3"/>
        <v>0</v>
      </c>
      <c r="O25" s="221">
        <f t="shared" ca="1" si="4"/>
        <v>0</v>
      </c>
    </row>
    <row r="26" spans="1:21" ht="18.75" x14ac:dyDescent="0.3">
      <c r="A26" s="108" t="s">
        <v>109</v>
      </c>
      <c r="B26" s="176">
        <f>'Silver Pensjonsforsikring AS'!B7+'Silver Pensjonsforsikring AS'!B22+'Silver Pensjonsforsikring AS'!B34+'Silver Pensjonsforsikring AS'!B45+'Silver Pensjonsforsikring AS'!B64+'Silver Pensjonsforsikring AS'!B132</f>
        <v>0</v>
      </c>
      <c r="C26" s="176">
        <f>'Silver Pensjonsforsikring AS'!C7+'Silver Pensjonsforsikring AS'!C22+'Silver Pensjonsforsikring AS'!C34+'Silver Pensjonsforsikring AS'!C45+'Silver Pensjonsforsikring AS'!C64+'Silver Pensjonsforsikring AS'!C132</f>
        <v>0</v>
      </c>
      <c r="D26" s="104"/>
      <c r="E26" s="386">
        <f t="shared" si="6"/>
        <v>0</v>
      </c>
      <c r="F26" s="103"/>
      <c r="G26" s="176">
        <f>'Silver Pensjonsforsikring AS'!B10+'Silver Pensjonsforsikring AS'!B28+'Silver Pensjonsforsikring AS'!B35+'Silver Pensjonsforsikring AS'!B85+'Silver Pensjonsforsikring AS'!B133</f>
        <v>8612877.0735400002</v>
      </c>
      <c r="H26" s="176">
        <f>'Silver Pensjonsforsikring AS'!C10+'Silver Pensjonsforsikring AS'!C28+'Silver Pensjonsforsikring AS'!C35+'Silver Pensjonsforsikring AS'!C85+'Silver Pensjonsforsikring AS'!C133</f>
        <v>0</v>
      </c>
      <c r="I26" s="104">
        <f t="shared" si="7"/>
        <v>-100</v>
      </c>
      <c r="J26" s="386">
        <f t="shared" si="8"/>
        <v>0</v>
      </c>
      <c r="K26" s="139"/>
      <c r="L26" s="223">
        <f t="shared" ca="1" si="1"/>
        <v>0</v>
      </c>
      <c r="M26" s="221">
        <f t="shared" ca="1" si="2"/>
        <v>0</v>
      </c>
      <c r="N26" s="223">
        <f t="shared" ca="1" si="3"/>
        <v>0</v>
      </c>
      <c r="O26" s="221">
        <f t="shared" ca="1" si="4"/>
        <v>0</v>
      </c>
    </row>
    <row r="27" spans="1:21" ht="18.75" x14ac:dyDescent="0.3">
      <c r="A27" s="193" t="s">
        <v>75</v>
      </c>
      <c r="B27" s="176">
        <f>'Sparebank 1'!B7+'Sparebank 1'!B22+'Sparebank 1'!B34+'Sparebank 1'!B45+'Sparebank 1'!B64+'Sparebank 1'!B132</f>
        <v>1347598.1754899998</v>
      </c>
      <c r="C27" s="176">
        <f>'Sparebank 1'!C7+'Sparebank 1'!C22+'Sparebank 1'!C34+'Sparebank 1'!C45+'Sparebank 1'!C64+'Sparebank 1'!C132</f>
        <v>1416935.0100199999</v>
      </c>
      <c r="D27" s="104">
        <f t="shared" si="5"/>
        <v>5.0999999999999996</v>
      </c>
      <c r="E27" s="386">
        <f t="shared" si="6"/>
        <v>5.003479300789536</v>
      </c>
      <c r="F27" s="103"/>
      <c r="G27" s="176">
        <f>'Sparebank 1'!B10+'Sparebank 1'!B28+'Sparebank 1'!B35+'Sparebank 1'!B85+'Sparebank 1'!B133</f>
        <v>16839593.38775</v>
      </c>
      <c r="H27" s="176">
        <f>'Sparebank 1'!C10+'Sparebank 1'!C28+'Sparebank 1'!C35+'Sparebank 1'!C85+'Sparebank 1'!C133</f>
        <v>17251701.960609999</v>
      </c>
      <c r="I27" s="104">
        <f t="shared" si="7"/>
        <v>2.4</v>
      </c>
      <c r="J27" s="386">
        <f t="shared" si="8"/>
        <v>1.8095603389380648</v>
      </c>
      <c r="K27" s="139"/>
      <c r="L27" s="223">
        <f t="shared" ca="1" si="1"/>
        <v>0</v>
      </c>
      <c r="M27" s="221">
        <f t="shared" ca="1" si="2"/>
        <v>0</v>
      </c>
      <c r="N27" s="223">
        <f t="shared" ca="1" si="3"/>
        <v>0</v>
      </c>
      <c r="O27" s="221">
        <f t="shared" ca="1" si="4"/>
        <v>0</v>
      </c>
    </row>
    <row r="28" spans="1:21" ht="18.75" x14ac:dyDescent="0.3">
      <c r="A28" s="193" t="s">
        <v>110</v>
      </c>
      <c r="B28" s="176">
        <f>'Storebrand Livsforsikring'!B7+'Storebrand Livsforsikring'!B22+'Storebrand Livsforsikring'!B34+'Storebrand Livsforsikring'!B45+'Storebrand Livsforsikring'!B64+'Storebrand Livsforsikring'!B132</f>
        <v>4383879.6049999995</v>
      </c>
      <c r="C28" s="176">
        <f>'Storebrand Livsforsikring'!C7+'Storebrand Livsforsikring'!C22+'Storebrand Livsforsikring'!C34+'Storebrand Livsforsikring'!C45+'Storebrand Livsforsikring'!C64+'Storebrand Livsforsikring'!C132</f>
        <v>3161034.8239999996</v>
      </c>
      <c r="D28" s="104">
        <f t="shared" si="5"/>
        <v>-27.9</v>
      </c>
      <c r="E28" s="386">
        <f t="shared" si="6"/>
        <v>11.162242586366503</v>
      </c>
      <c r="F28" s="103"/>
      <c r="G28" s="176">
        <f>'Storebrand Livsforsikring'!B10+'Storebrand Livsforsikring'!B28+'Storebrand Livsforsikring'!B35+'Storebrand Livsforsikring'!B85+'Storebrand Livsforsikring'!B133</f>
        <v>173966226.97000003</v>
      </c>
      <c r="H28" s="176">
        <f>'Storebrand Livsforsikring'!C10+'Storebrand Livsforsikring'!C28+'Storebrand Livsforsikring'!C35+'Storebrand Livsforsikring'!C85+'Storebrand Livsforsikring'!C133</f>
        <v>175952011.514</v>
      </c>
      <c r="I28" s="104">
        <f t="shared" si="7"/>
        <v>1.1000000000000001</v>
      </c>
      <c r="J28" s="386">
        <f t="shared" si="8"/>
        <v>18.455905528572558</v>
      </c>
      <c r="K28" s="139"/>
      <c r="L28" s="223">
        <f t="shared" ca="1" si="1"/>
        <v>0</v>
      </c>
      <c r="M28" s="221">
        <f t="shared" ca="1" si="2"/>
        <v>0</v>
      </c>
      <c r="N28" s="223">
        <f t="shared" ca="1" si="3"/>
        <v>0</v>
      </c>
      <c r="O28" s="221">
        <f t="shared" ca="1" si="4"/>
        <v>0</v>
      </c>
    </row>
    <row r="29" spans="1:21" ht="18.75" x14ac:dyDescent="0.3">
      <c r="A29" s="193" t="s">
        <v>111</v>
      </c>
      <c r="B29" s="176">
        <f>'Telenor Forsikring'!B7+'Telenor Forsikring'!B22+'Telenor Forsikring'!B34+'Telenor Forsikring'!B45+'Telenor Forsikring'!B64+'Telenor Forsikring'!B132</f>
        <v>25828</v>
      </c>
      <c r="C29" s="176">
        <f>'Telenor Forsikring'!C7+'Telenor Forsikring'!C22+'Telenor Forsikring'!C34+'Telenor Forsikring'!C45+'Telenor Forsikring'!C64+'Telenor Forsikring'!C132</f>
        <v>23751</v>
      </c>
      <c r="D29" s="104">
        <f t="shared" si="5"/>
        <v>-8</v>
      </c>
      <c r="E29" s="386">
        <f t="shared" si="6"/>
        <v>8.38695042699064E-2</v>
      </c>
      <c r="F29" s="103"/>
      <c r="G29" s="176">
        <f>'Telenor Forsikring'!B10+'Telenor Forsikring'!B28+'Telenor Forsikring'!B35+'Telenor Forsikring'!B85+'Telenor Forsikring'!B133</f>
        <v>0</v>
      </c>
      <c r="H29" s="176">
        <f>'Telenor Forsikring'!C10+'Telenor Forsikring'!C28+'Telenor Forsikring'!C35+'Telenor Forsikring'!C85+'Telenor Forsikring'!C133</f>
        <v>0</v>
      </c>
      <c r="I29" s="104"/>
      <c r="J29" s="386">
        <f t="shared" si="8"/>
        <v>0</v>
      </c>
      <c r="K29" s="207"/>
      <c r="L29" s="223">
        <f t="shared" ca="1" si="1"/>
        <v>0</v>
      </c>
      <c r="M29" s="221">
        <f t="shared" ca="1" si="2"/>
        <v>0</v>
      </c>
      <c r="N29" s="223">
        <f t="shared" ca="1" si="3"/>
        <v>0</v>
      </c>
      <c r="O29" s="221">
        <f t="shared" ca="1" si="4"/>
        <v>0</v>
      </c>
    </row>
    <row r="30" spans="1:21" ht="18.75" x14ac:dyDescent="0.3">
      <c r="A30" s="193" t="s">
        <v>112</v>
      </c>
      <c r="B30" s="176">
        <f>'Tryg Forsikring'!B7+'Tryg Forsikring'!B22+'Tryg Forsikring'!B34+'Tryg Forsikring'!B45+'Tryg Forsikring'!B64+'Tryg Forsikring'!B132</f>
        <v>472129.78125</v>
      </c>
      <c r="C30" s="176">
        <f>'Tryg Forsikring'!C7+'Tryg Forsikring'!C22+'Tryg Forsikring'!C34+'Tryg Forsikring'!C45+'Tryg Forsikring'!C64+'Tryg Forsikring'!C132</f>
        <v>458748.43799999997</v>
      </c>
      <c r="D30" s="104">
        <f t="shared" si="5"/>
        <v>-2.8</v>
      </c>
      <c r="E30" s="386">
        <f t="shared" si="6"/>
        <v>1.6199319641132539</v>
      </c>
      <c r="F30" s="103"/>
      <c r="G30" s="176">
        <f>'Tryg Forsikring'!B10+'Tryg Forsikring'!B28+'Tryg Forsikring'!B35+'Tryg Forsikring'!B85+'Tryg Forsikring'!B133</f>
        <v>0</v>
      </c>
      <c r="H30" s="176">
        <f>'Tryg Forsikring'!C10+'Tryg Forsikring'!C28+'Tryg Forsikring'!C35+'Tryg Forsikring'!C85+'Tryg Forsikring'!C133</f>
        <v>0</v>
      </c>
      <c r="I30" s="104"/>
      <c r="J30" s="386">
        <f t="shared" si="8"/>
        <v>0</v>
      </c>
      <c r="K30" s="207"/>
      <c r="L30" s="223">
        <f t="shared" ca="1" si="1"/>
        <v>0</v>
      </c>
      <c r="M30" s="221">
        <f t="shared" ca="1" si="2"/>
        <v>0</v>
      </c>
      <c r="N30" s="223">
        <f t="shared" ca="1" si="3"/>
        <v>0</v>
      </c>
      <c r="O30" s="221">
        <f t="shared" ca="1" si="4"/>
        <v>0</v>
      </c>
    </row>
    <row r="31" spans="1:21" s="111" customFormat="1" ht="18.75" x14ac:dyDescent="0.3">
      <c r="A31" s="137" t="s">
        <v>113</v>
      </c>
      <c r="B31" s="178">
        <f>SUM(B9:B30)</f>
        <v>33935916.934983298</v>
      </c>
      <c r="C31" s="242">
        <f>SUM(C9:C30)</f>
        <v>28318994.140665505</v>
      </c>
      <c r="D31" s="104">
        <f t="shared" si="5"/>
        <v>-16.600000000000001</v>
      </c>
      <c r="E31" s="387">
        <f>SUM(E9:E30)</f>
        <v>100</v>
      </c>
      <c r="F31" s="109"/>
      <c r="G31" s="178">
        <f>SUM(G9:G30)</f>
        <v>930409366.95373988</v>
      </c>
      <c r="H31" s="178">
        <f>SUM(H9:H30)</f>
        <v>953364283.5438199</v>
      </c>
      <c r="I31" s="104">
        <f t="shared" si="7"/>
        <v>2.5</v>
      </c>
      <c r="J31" s="387">
        <f>SUM(J9:J30)</f>
        <v>100.00000000000001</v>
      </c>
      <c r="K31" s="209"/>
      <c r="L31" s="223">
        <f ca="1">SUM(L9:L30)</f>
        <v>0</v>
      </c>
      <c r="M31" s="221">
        <f ca="1">SUM(M9:M30)</f>
        <v>0</v>
      </c>
      <c r="N31" s="223">
        <f ca="1">SUM(N9:N30)</f>
        <v>0</v>
      </c>
      <c r="O31" s="221">
        <f ca="1">SUM(O9:O30)</f>
        <v>0</v>
      </c>
      <c r="U31" s="205"/>
    </row>
    <row r="32" spans="1:21" ht="18.75" x14ac:dyDescent="0.3">
      <c r="A32" s="86"/>
      <c r="B32" s="176"/>
      <c r="C32" s="139"/>
      <c r="D32" s="104"/>
      <c r="E32" s="386"/>
      <c r="F32" s="103"/>
      <c r="G32" s="176"/>
      <c r="H32" s="103"/>
      <c r="I32" s="104"/>
      <c r="J32" s="386"/>
      <c r="K32" s="207"/>
      <c r="L32" s="220" t="s">
        <v>1</v>
      </c>
      <c r="M32" s="221"/>
      <c r="N32" s="223"/>
      <c r="O32" s="221"/>
    </row>
    <row r="33" spans="1:20" ht="18.75" x14ac:dyDescent="0.3">
      <c r="A33" s="101" t="s">
        <v>1</v>
      </c>
      <c r="B33" s="176"/>
      <c r="C33" s="139"/>
      <c r="D33" s="104"/>
      <c r="E33" s="386"/>
      <c r="F33" s="103"/>
      <c r="G33" s="176"/>
      <c r="H33" s="103"/>
      <c r="I33" s="104"/>
      <c r="J33" s="386"/>
      <c r="K33" s="207"/>
      <c r="L33" s="224">
        <v>2015</v>
      </c>
      <c r="M33" s="225">
        <v>2016</v>
      </c>
      <c r="N33" s="224">
        <v>2015</v>
      </c>
      <c r="O33" s="225">
        <v>2016</v>
      </c>
      <c r="P33" s="87" t="s">
        <v>170</v>
      </c>
    </row>
    <row r="34" spans="1:20" ht="18.75" x14ac:dyDescent="0.3">
      <c r="A34" s="107" t="s">
        <v>94</v>
      </c>
      <c r="B34" s="130">
        <f>'Danica Pensjonsforsikring'!F7+'Danica Pensjonsforsikring'!F22+'Danica Pensjonsforsikring'!F64+'Danica Pensjonsforsikring'!F132</f>
        <v>797149.23</v>
      </c>
      <c r="C34" s="130">
        <f>'Danica Pensjonsforsikring'!G7+'Danica Pensjonsforsikring'!G22+'Danica Pensjonsforsikring'!G64+'Danica Pensjonsforsikring'!G132</f>
        <v>872284.58900000004</v>
      </c>
      <c r="D34" s="104">
        <f t="shared" ref="D34:D45" si="9">IF(B34=0, "    ---- ", IF(ABS(ROUND(100/B34*C34-100,1))&lt;999,ROUND(100/B34*C34-100,1),IF(ROUND(100/B34*C34-100,1)&gt;999,999,-999)))</f>
        <v>9.4</v>
      </c>
      <c r="E34" s="386">
        <f t="shared" ref="E34" si="10">100/C$45*C34</f>
        <v>4.9067214900769258</v>
      </c>
      <c r="F34" s="103"/>
      <c r="G34" s="176">
        <f>'Danica Pensjonsforsikring'!F10+'Danica Pensjonsforsikring'!F28+'Danica Pensjonsforsikring'!F85+'Danica Pensjonsforsikring'!F133</f>
        <v>12599531.244999999</v>
      </c>
      <c r="H34" s="176">
        <f>'Danica Pensjonsforsikring'!G10+'Danica Pensjonsforsikring'!G28+'Danica Pensjonsforsikring'!G85+'Danica Pensjonsforsikring'!G133</f>
        <v>15516241.074000001</v>
      </c>
      <c r="I34" s="104">
        <f t="shared" ref="I34:I45" si="11">IF(G34=0, "    ---- ", IF(ABS(ROUND(100/G34*H34-100,1))&lt;999,ROUND(100/G34*H34-100,1),IF(ROUND(100/G34*H34-100,1)&gt;999,999,-999)))</f>
        <v>23.1</v>
      </c>
      <c r="J34" s="386">
        <f t="shared" ref="J34" si="12">100/H$45*H34</f>
        <v>6.0030056394630913</v>
      </c>
      <c r="K34" s="207" t="s">
        <v>158</v>
      </c>
      <c r="L34" s="223">
        <f t="shared" ref="L34:L44" ca="1" si="13">INDIRECT("'" &amp; $A34 &amp; "'!" &amp; $P$33)</f>
        <v>0</v>
      </c>
      <c r="M34" s="221">
        <f t="shared" ref="M34:M44" ca="1" si="14">INDIRECT("'" &amp; $A34 &amp; "'!" &amp; $P$34)</f>
        <v>0</v>
      </c>
      <c r="N34" s="223">
        <f t="shared" ref="N34:N44" ca="1" si="15">INDIRECT("'" &amp; $A34 &amp; "'!" &amp; $P$35)</f>
        <v>0</v>
      </c>
      <c r="O34" s="221">
        <f t="shared" ref="O34:O44" ca="1" si="16">INDIRECT("'"&amp;$A34&amp;"'!"&amp;$P$36)</f>
        <v>0</v>
      </c>
      <c r="P34" s="87" t="s">
        <v>172</v>
      </c>
    </row>
    <row r="35" spans="1:20" ht="18.75" x14ac:dyDescent="0.3">
      <c r="A35" s="86" t="s">
        <v>95</v>
      </c>
      <c r="B35" s="130">
        <f>'DNB Livsforsikring'!F7+'DNB Livsforsikring'!F22+'DNB Livsforsikring'!F64+'DNB Livsforsikring'!F132</f>
        <v>3901376</v>
      </c>
      <c r="C35" s="130">
        <f>'DNB Livsforsikring'!G7+'DNB Livsforsikring'!G22+'DNB Livsforsikring'!G64+'DNB Livsforsikring'!G132</f>
        <v>4145174</v>
      </c>
      <c r="D35" s="104">
        <f t="shared" si="9"/>
        <v>6.2</v>
      </c>
      <c r="E35" s="386">
        <f t="shared" ref="E35:E44" si="17">100/C$45*C35</f>
        <v>23.317177217615765</v>
      </c>
      <c r="F35" s="103"/>
      <c r="G35" s="176">
        <f>'DNB Livsforsikring'!F10+'DNB Livsforsikring'!F28+'DNB Livsforsikring'!F85+'DNB Livsforsikring'!F133</f>
        <v>52892825</v>
      </c>
      <c r="H35" s="176">
        <f>'DNB Livsforsikring'!G10+'DNB Livsforsikring'!G28+'DNB Livsforsikring'!G85+'DNB Livsforsikring'!G133</f>
        <v>67680359</v>
      </c>
      <c r="I35" s="104">
        <f t="shared" si="11"/>
        <v>28</v>
      </c>
      <c r="J35" s="386">
        <f t="shared" ref="J35:J44" si="18">100/H$45*H35</f>
        <v>26.184536243039204</v>
      </c>
      <c r="K35" s="87" t="s">
        <v>166</v>
      </c>
      <c r="L35" s="223">
        <f t="shared" ca="1" si="13"/>
        <v>0</v>
      </c>
      <c r="M35" s="221">
        <f t="shared" ca="1" si="14"/>
        <v>0</v>
      </c>
      <c r="N35" s="223">
        <f t="shared" ca="1" si="15"/>
        <v>0</v>
      </c>
      <c r="O35" s="221">
        <f t="shared" ca="1" si="16"/>
        <v>0</v>
      </c>
      <c r="P35" s="87" t="s">
        <v>171</v>
      </c>
    </row>
    <row r="36" spans="1:20" ht="18.75" x14ac:dyDescent="0.3">
      <c r="A36" s="107" t="s">
        <v>97</v>
      </c>
      <c r="B36" s="130">
        <f>'Frende Livsforsikring'!F7+'Frende Livsforsikring'!F22+'Frende Livsforsikring'!F64+'Frende Livsforsikring'!F132</f>
        <v>148103</v>
      </c>
      <c r="C36" s="130">
        <f>'Frende Livsforsikring'!G7+'Frende Livsforsikring'!G22+'Frende Livsforsikring'!G64+'Frende Livsforsikring'!G132</f>
        <v>168384</v>
      </c>
      <c r="D36" s="104">
        <f t="shared" si="9"/>
        <v>13.7</v>
      </c>
      <c r="E36" s="386">
        <f t="shared" si="17"/>
        <v>0.94718329522741695</v>
      </c>
      <c r="F36" s="103"/>
      <c r="G36" s="176">
        <f>'Frende Livsforsikring'!F10+'Frende Livsforsikring'!F28+'Frende Livsforsikring'!F85+'Frende Livsforsikring'!F133</f>
        <v>2394875</v>
      </c>
      <c r="H36" s="176">
        <f>'Frende Livsforsikring'!G10+'Frende Livsforsikring'!G28+'Frende Livsforsikring'!G85+'Frende Livsforsikring'!G133</f>
        <v>2925269</v>
      </c>
      <c r="I36" s="104">
        <f t="shared" si="11"/>
        <v>22.1</v>
      </c>
      <c r="J36" s="386">
        <f t="shared" si="18"/>
        <v>1.1317435853308497</v>
      </c>
      <c r="K36" s="87" t="s">
        <v>159</v>
      </c>
      <c r="L36" s="223">
        <f t="shared" ca="1" si="13"/>
        <v>0</v>
      </c>
      <c r="M36" s="221">
        <f t="shared" ca="1" si="14"/>
        <v>0</v>
      </c>
      <c r="N36" s="223">
        <f t="shared" ca="1" si="15"/>
        <v>0</v>
      </c>
      <c r="O36" s="221">
        <f t="shared" ca="1" si="16"/>
        <v>0</v>
      </c>
      <c r="P36" s="87" t="s">
        <v>173</v>
      </c>
    </row>
    <row r="37" spans="1:20" ht="18.75" x14ac:dyDescent="0.3">
      <c r="A37" s="107" t="s">
        <v>100</v>
      </c>
      <c r="B37" s="130">
        <f>'Gjensidige Pensjon'!F7+'Gjensidige Pensjon'!F22+'Gjensidige Pensjon'!F64+'Gjensidige Pensjon'!F132</f>
        <v>934615.7030000001</v>
      </c>
      <c r="C37" s="130">
        <f>'Gjensidige Pensjon'!G7+'Gjensidige Pensjon'!G22+'Gjensidige Pensjon'!G64+'Gjensidige Pensjon'!G132</f>
        <v>1226333</v>
      </c>
      <c r="D37" s="104">
        <f t="shared" si="9"/>
        <v>31.2</v>
      </c>
      <c r="E37" s="386">
        <f t="shared" si="17"/>
        <v>6.8982927830798877</v>
      </c>
      <c r="F37" s="103"/>
      <c r="G37" s="176">
        <f>'Gjensidige Pensjon'!F10+'Gjensidige Pensjon'!F28+'Gjensidige Pensjon'!F85+'Gjensidige Pensjon'!F133</f>
        <v>16013492.852000002</v>
      </c>
      <c r="H37" s="176">
        <f>'Gjensidige Pensjon'!G10+'Gjensidige Pensjon'!G28+'Gjensidige Pensjon'!G85+'Gjensidige Pensjon'!G133</f>
        <v>20522578</v>
      </c>
      <c r="I37" s="104">
        <f t="shared" si="11"/>
        <v>28.2</v>
      </c>
      <c r="J37" s="386">
        <f t="shared" si="18"/>
        <v>7.9398838212663589</v>
      </c>
      <c r="K37" s="87" t="s">
        <v>167</v>
      </c>
      <c r="L37" s="223">
        <f t="shared" ca="1" si="13"/>
        <v>0</v>
      </c>
      <c r="M37" s="221">
        <f t="shared" ca="1" si="14"/>
        <v>0</v>
      </c>
      <c r="N37" s="223">
        <f t="shared" ca="1" si="15"/>
        <v>0</v>
      </c>
      <c r="O37" s="221">
        <f t="shared" ca="1" si="16"/>
        <v>0</v>
      </c>
    </row>
    <row r="38" spans="1:20" ht="18.75" x14ac:dyDescent="0.3">
      <c r="A38" s="107" t="s">
        <v>68</v>
      </c>
      <c r="B38" s="130">
        <f>KLP!F7+KLP!F22+KLP!F64+KLP!F132</f>
        <v>76382.539000000004</v>
      </c>
      <c r="C38" s="130">
        <f>KLP!G7+KLP!G22+KLP!G64+KLP!G132</f>
        <v>52296.226000000002</v>
      </c>
      <c r="D38" s="104">
        <f t="shared" si="9"/>
        <v>-31.5</v>
      </c>
      <c r="E38" s="386">
        <f t="shared" si="17"/>
        <v>0.29417350621577892</v>
      </c>
      <c r="F38" s="103"/>
      <c r="G38" s="176">
        <f>KLP!F10+KLP!F28+KLP!F85+KLP!F133</f>
        <v>2120218.96215</v>
      </c>
      <c r="H38" s="176">
        <f>KLP!G10+KLP!G28+KLP!G85+KLP!G133</f>
        <v>2288839.25715</v>
      </c>
      <c r="I38" s="104">
        <f t="shared" si="11"/>
        <v>8</v>
      </c>
      <c r="J38" s="386">
        <f t="shared" si="18"/>
        <v>0.88551827101471348</v>
      </c>
      <c r="K38" s="87" t="s">
        <v>160</v>
      </c>
      <c r="L38" s="223">
        <f t="shared" ca="1" si="13"/>
        <v>0</v>
      </c>
      <c r="M38" s="221">
        <f t="shared" ca="1" si="14"/>
        <v>0</v>
      </c>
      <c r="N38" s="223">
        <f t="shared" ca="1" si="15"/>
        <v>0</v>
      </c>
      <c r="O38" s="221">
        <f t="shared" ca="1" si="16"/>
        <v>0</v>
      </c>
    </row>
    <row r="39" spans="1:20" ht="18.75" x14ac:dyDescent="0.3">
      <c r="A39" s="107" t="s">
        <v>103</v>
      </c>
      <c r="B39" s="130">
        <f>'KLP Bedriftspensjon AS'!F7+'KLP Bedriftspensjon AS'!F22+'KLP Bedriftspensjon AS'!F64+'KLP Bedriftspensjon AS'!F132</f>
        <v>130945</v>
      </c>
      <c r="C39" s="130">
        <f>'KLP Bedriftspensjon AS'!G7+'KLP Bedriftspensjon AS'!G22+'KLP Bedriftspensjon AS'!G64+'KLP Bedriftspensjon AS'!G132</f>
        <v>176194</v>
      </c>
      <c r="D39" s="104">
        <f t="shared" si="9"/>
        <v>34.6</v>
      </c>
      <c r="E39" s="386">
        <f t="shared" si="17"/>
        <v>0.99111562570849665</v>
      </c>
      <c r="F39" s="103"/>
      <c r="G39" s="176">
        <f>'KLP Bedriftspensjon AS'!F10+'KLP Bedriftspensjon AS'!F28+'KLP Bedriftspensjon AS'!F85+'KLP Bedriftspensjon AS'!F133</f>
        <v>1361843</v>
      </c>
      <c r="H39" s="176">
        <f>'KLP Bedriftspensjon AS'!G10+'KLP Bedriftspensjon AS'!G28+'KLP Bedriftspensjon AS'!G85+'KLP Bedriftspensjon AS'!G133</f>
        <v>2183015</v>
      </c>
      <c r="I39" s="104">
        <f t="shared" si="11"/>
        <v>60.3</v>
      </c>
      <c r="J39" s="386">
        <f t="shared" si="18"/>
        <v>0.84457642115341358</v>
      </c>
      <c r="K39" s="87" t="s">
        <v>168</v>
      </c>
      <c r="L39" s="223">
        <f t="shared" ca="1" si="13"/>
        <v>0</v>
      </c>
      <c r="M39" s="221">
        <f t="shared" ca="1" si="14"/>
        <v>0</v>
      </c>
      <c r="N39" s="223">
        <f t="shared" ca="1" si="15"/>
        <v>0</v>
      </c>
      <c r="O39" s="221">
        <f t="shared" ca="1" si="16"/>
        <v>0</v>
      </c>
    </row>
    <row r="40" spans="1:20" ht="18.75" x14ac:dyDescent="0.3">
      <c r="A40" s="107" t="s">
        <v>107</v>
      </c>
      <c r="B40" s="130">
        <f>'Nordea Liv '!F7+'Nordea Liv '!F22+'Nordea Liv '!F64+'Nordea Liv '!F132</f>
        <v>4451546.6203800002</v>
      </c>
      <c r="C40" s="130">
        <f>'Nordea Liv '!G7+'Nordea Liv '!G22+'Nordea Liv '!G64+'Nordea Liv '!G132</f>
        <v>4608895.0639900006</v>
      </c>
      <c r="D40" s="104">
        <f t="shared" si="9"/>
        <v>3.5</v>
      </c>
      <c r="E40" s="386">
        <f t="shared" si="17"/>
        <v>25.925672356443755</v>
      </c>
      <c r="F40" s="103"/>
      <c r="G40" s="176">
        <f>'Nordea Liv '!F10+'Nordea Liv '!F28+'Nordea Liv '!F85+'Nordea Liv '!F133</f>
        <v>42006581.100000001</v>
      </c>
      <c r="H40" s="176">
        <f>'Nordea Liv '!G10+'Nordea Liv '!G28+'Nordea Liv '!G85+'Nordea Liv '!G133</f>
        <v>52390620</v>
      </c>
      <c r="I40" s="104">
        <f t="shared" si="11"/>
        <v>24.7</v>
      </c>
      <c r="J40" s="386">
        <f t="shared" si="18"/>
        <v>20.269160927253573</v>
      </c>
      <c r="K40" s="207"/>
      <c r="L40" s="223">
        <f t="shared" ca="1" si="13"/>
        <v>0</v>
      </c>
      <c r="M40" s="221">
        <f t="shared" ca="1" si="14"/>
        <v>0</v>
      </c>
      <c r="N40" s="223">
        <f t="shared" ca="1" si="15"/>
        <v>0</v>
      </c>
      <c r="O40" s="221">
        <f t="shared" ca="1" si="16"/>
        <v>0</v>
      </c>
    </row>
    <row r="41" spans="1:20" ht="18.75" x14ac:dyDescent="0.3">
      <c r="A41" s="107" t="s">
        <v>79</v>
      </c>
      <c r="B41" s="130">
        <f>'SHB Liv'!F7+'SHB Liv'!F22+'SHB Liv'!F64+'SHB Liv'!F132</f>
        <v>64356</v>
      </c>
      <c r="C41" s="130">
        <f>'SHB Liv'!G7+'SHB Liv'!G22+'SHB Liv'!G64+'SHB Liv'!G132</f>
        <v>59615</v>
      </c>
      <c r="D41" s="104">
        <f t="shared" si="9"/>
        <v>-7.4</v>
      </c>
      <c r="E41" s="386">
        <f t="shared" si="17"/>
        <v>0.33534262248778068</v>
      </c>
      <c r="F41" s="103"/>
      <c r="G41" s="176">
        <f>'SHB Liv'!F10+'SHB Liv'!F28+'SHB Liv'!F85+'SHB Liv'!F133</f>
        <v>1571024</v>
      </c>
      <c r="H41" s="176">
        <f>'SHB Liv'!G10+'SHB Liv'!G28+'SHB Liv'!G85+'SHB Liv'!G133</f>
        <v>1903610</v>
      </c>
      <c r="I41" s="104">
        <f t="shared" si="11"/>
        <v>21.2</v>
      </c>
      <c r="J41" s="386">
        <f t="shared" si="18"/>
        <v>0.73647873288632915</v>
      </c>
      <c r="K41" s="207"/>
      <c r="L41" s="223">
        <f t="shared" ca="1" si="13"/>
        <v>0</v>
      </c>
      <c r="M41" s="221">
        <f t="shared" ca="1" si="14"/>
        <v>0</v>
      </c>
      <c r="N41" s="223">
        <f t="shared" ca="1" si="15"/>
        <v>0</v>
      </c>
      <c r="O41" s="221">
        <f t="shared" ca="1" si="16"/>
        <v>0</v>
      </c>
    </row>
    <row r="42" spans="1:20" ht="18.75" x14ac:dyDescent="0.3">
      <c r="A42" s="107" t="s">
        <v>109</v>
      </c>
      <c r="B42" s="130">
        <f>'Silver Pensjonsforsikring AS'!F7+'Silver Pensjonsforsikring AS'!F22+'Silver Pensjonsforsikring AS'!F64+'Silver Pensjonsforsikring AS'!F132</f>
        <v>-0.69540974</v>
      </c>
      <c r="C42" s="130">
        <f>'Silver Pensjonsforsikring AS'!G7+'Silver Pensjonsforsikring AS'!G22+'Silver Pensjonsforsikring AS'!G64+'Silver Pensjonsforsikring AS'!G132</f>
        <v>0</v>
      </c>
      <c r="D42" s="104">
        <f t="shared" si="9"/>
        <v>-100</v>
      </c>
      <c r="E42" s="386">
        <f t="shared" si="17"/>
        <v>0</v>
      </c>
      <c r="F42" s="103"/>
      <c r="G42" s="176">
        <f>'Silver Pensjonsforsikring AS'!F10+'Silver Pensjonsforsikring AS'!F28+'Silver Pensjonsforsikring AS'!F85+'Silver Pensjonsforsikring AS'!F133</f>
        <v>515694.20325000002</v>
      </c>
      <c r="H42" s="176">
        <f>'Silver Pensjonsforsikring AS'!G10+'Silver Pensjonsforsikring AS'!G28+'Silver Pensjonsforsikring AS'!G85+'Silver Pensjonsforsikring AS'!G133</f>
        <v>0</v>
      </c>
      <c r="I42" s="104">
        <f t="shared" si="11"/>
        <v>-100</v>
      </c>
      <c r="J42" s="386">
        <f t="shared" si="18"/>
        <v>0</v>
      </c>
      <c r="K42" s="139"/>
      <c r="L42" s="223">
        <f t="shared" ca="1" si="13"/>
        <v>0</v>
      </c>
      <c r="M42" s="221">
        <f t="shared" ca="1" si="14"/>
        <v>0</v>
      </c>
      <c r="N42" s="223">
        <f t="shared" ca="1" si="15"/>
        <v>0</v>
      </c>
      <c r="O42" s="221">
        <f t="shared" ca="1" si="16"/>
        <v>0</v>
      </c>
    </row>
    <row r="43" spans="1:20" ht="18.75" x14ac:dyDescent="0.3">
      <c r="A43" s="86" t="s">
        <v>75</v>
      </c>
      <c r="B43" s="130">
        <f>'Sparebank 1'!F7+'Sparebank 1'!F22+'Sparebank 1'!F64+'Sparebank 1'!F132</f>
        <v>1016157.0894799998</v>
      </c>
      <c r="C43" s="130">
        <f>'Sparebank 1'!G7+'Sparebank 1'!G22+'Sparebank 1'!G64+'Sparebank 1'!G132</f>
        <v>1413647.3683399998</v>
      </c>
      <c r="D43" s="104">
        <f t="shared" si="9"/>
        <v>39.1</v>
      </c>
      <c r="E43" s="386">
        <f t="shared" si="17"/>
        <v>7.9519620191576816</v>
      </c>
      <c r="F43" s="103"/>
      <c r="G43" s="176">
        <f>'Sparebank 1'!F10+'Sparebank 1'!F28+'Sparebank 1'!F85+'Sparebank 1'!F133</f>
        <v>16928884.25474</v>
      </c>
      <c r="H43" s="176">
        <f>'Sparebank 1'!G10+'Sparebank 1'!G28+'Sparebank 1'!G85+'Sparebank 1'!G133</f>
        <v>21802567.120070003</v>
      </c>
      <c r="I43" s="104">
        <f t="shared" si="11"/>
        <v>28.8</v>
      </c>
      <c r="J43" s="386">
        <f t="shared" si="18"/>
        <v>8.435092800656804</v>
      </c>
      <c r="K43" s="139"/>
      <c r="L43" s="223">
        <f t="shared" ca="1" si="13"/>
        <v>0</v>
      </c>
      <c r="M43" s="221">
        <f t="shared" ca="1" si="14"/>
        <v>0</v>
      </c>
      <c r="N43" s="223">
        <f t="shared" ca="1" si="15"/>
        <v>0</v>
      </c>
      <c r="O43" s="221">
        <f t="shared" ca="1" si="16"/>
        <v>0</v>
      </c>
    </row>
    <row r="44" spans="1:20" ht="18.75" x14ac:dyDescent="0.3">
      <c r="A44" s="86" t="s">
        <v>110</v>
      </c>
      <c r="B44" s="130">
        <f>'Storebrand Livsforsikring'!F7+'Storebrand Livsforsikring'!F22+'Storebrand Livsforsikring'!F64+'Storebrand Livsforsikring'!F132</f>
        <v>4898885.9740000004</v>
      </c>
      <c r="C44" s="130">
        <f>'Storebrand Livsforsikring'!G7+'Storebrand Livsforsikring'!G22+'Storebrand Livsforsikring'!G64+'Storebrand Livsforsikring'!G132</f>
        <v>5054517.3</v>
      </c>
      <c r="D44" s="104">
        <f t="shared" si="9"/>
        <v>3.2</v>
      </c>
      <c r="E44" s="386">
        <f t="shared" si="17"/>
        <v>28.432359083986519</v>
      </c>
      <c r="F44" s="103"/>
      <c r="G44" s="176">
        <f>'Storebrand Livsforsikring'!F10+'Storebrand Livsforsikring'!F28+'Storebrand Livsforsikring'!F85+'Storebrand Livsforsikring'!F133</f>
        <v>58026529.603</v>
      </c>
      <c r="H44" s="176">
        <f>'Storebrand Livsforsikring'!G10+'Storebrand Livsforsikring'!G28+'Storebrand Livsforsikring'!G85+'Storebrand Livsforsikring'!G133</f>
        <v>71261439.237000003</v>
      </c>
      <c r="I44" s="104">
        <f t="shared" si="11"/>
        <v>22.8</v>
      </c>
      <c r="J44" s="386">
        <f t="shared" si="18"/>
        <v>27.570003557935657</v>
      </c>
      <c r="K44" s="139"/>
      <c r="L44" s="223">
        <f t="shared" ca="1" si="13"/>
        <v>0</v>
      </c>
      <c r="M44" s="221">
        <f t="shared" ca="1" si="14"/>
        <v>0</v>
      </c>
      <c r="N44" s="223">
        <f t="shared" ca="1" si="15"/>
        <v>0</v>
      </c>
      <c r="O44" s="221">
        <f t="shared" ca="1" si="16"/>
        <v>0</v>
      </c>
    </row>
    <row r="45" spans="1:20" s="111" customFormat="1" ht="18.75" x14ac:dyDescent="0.3">
      <c r="A45" s="101" t="s">
        <v>114</v>
      </c>
      <c r="B45" s="242">
        <f>SUM(B34:B44)</f>
        <v>16419516.460450262</v>
      </c>
      <c r="C45" s="242">
        <f>SUM(C34:C44)</f>
        <v>17777340.54733</v>
      </c>
      <c r="D45" s="104">
        <f t="shared" si="9"/>
        <v>8.3000000000000007</v>
      </c>
      <c r="E45" s="387">
        <f>SUM(E34:E44)</f>
        <v>100</v>
      </c>
      <c r="F45" s="109"/>
      <c r="G45" s="178">
        <f>SUM(G34:G44)</f>
        <v>206431499.22013998</v>
      </c>
      <c r="H45" s="178">
        <f>SUM(H34:H44)</f>
        <v>258474537.68822002</v>
      </c>
      <c r="I45" s="104">
        <f t="shared" si="11"/>
        <v>25.2</v>
      </c>
      <c r="J45" s="387">
        <f>SUM(J34:J44)</f>
        <v>99.999999999999972</v>
      </c>
      <c r="K45" s="139"/>
      <c r="L45" s="223">
        <f ca="1">SUM(L34:L44)</f>
        <v>0</v>
      </c>
      <c r="M45" s="221">
        <f t="shared" ref="M45:O45" ca="1" si="19">SUM(M34:M44)</f>
        <v>0</v>
      </c>
      <c r="N45" s="223">
        <f t="shared" ca="1" si="19"/>
        <v>0</v>
      </c>
      <c r="O45" s="221">
        <f t="shared" ca="1" si="19"/>
        <v>0</v>
      </c>
    </row>
    <row r="46" spans="1:20" ht="18.75" x14ac:dyDescent="0.3">
      <c r="A46" s="101"/>
      <c r="B46" s="130"/>
      <c r="C46" s="109"/>
      <c r="D46" s="110"/>
      <c r="E46" s="386"/>
      <c r="F46" s="109"/>
      <c r="G46" s="178"/>
      <c r="H46" s="109"/>
      <c r="I46" s="110"/>
      <c r="J46" s="387"/>
      <c r="K46" s="139"/>
      <c r="L46" s="220" t="s">
        <v>115</v>
      </c>
      <c r="M46" s="226"/>
      <c r="N46" s="227"/>
      <c r="O46" s="226"/>
    </row>
    <row r="47" spans="1:20" ht="18.75" x14ac:dyDescent="0.3">
      <c r="A47" s="86"/>
      <c r="B47" s="130"/>
      <c r="C47" s="103"/>
      <c r="D47" s="104"/>
      <c r="E47" s="386"/>
      <c r="F47" s="103"/>
      <c r="G47" s="176"/>
      <c r="H47" s="103"/>
      <c r="I47" s="104"/>
      <c r="J47" s="386"/>
      <c r="K47" s="139"/>
      <c r="L47" s="224">
        <v>2015</v>
      </c>
      <c r="M47" s="225">
        <v>2016</v>
      </c>
      <c r="N47" s="224">
        <v>2015</v>
      </c>
      <c r="O47" s="225">
        <v>2016</v>
      </c>
    </row>
    <row r="48" spans="1:20" ht="18.75" x14ac:dyDescent="0.3">
      <c r="A48" s="101" t="s">
        <v>115</v>
      </c>
      <c r="B48" s="130"/>
      <c r="C48" s="103"/>
      <c r="D48" s="104"/>
      <c r="E48" s="386"/>
      <c r="F48" s="103"/>
      <c r="G48" s="176"/>
      <c r="H48" s="103"/>
      <c r="I48" s="104"/>
      <c r="J48" s="386"/>
      <c r="K48" s="139"/>
      <c r="L48" s="223"/>
      <c r="M48" s="221"/>
      <c r="N48" s="223"/>
      <c r="O48" s="221"/>
      <c r="P48" s="207"/>
      <c r="Q48" s="207"/>
      <c r="R48" s="207"/>
      <c r="S48" s="182"/>
      <c r="T48" s="139"/>
    </row>
    <row r="49" spans="1:20" ht="18.75" x14ac:dyDescent="0.3">
      <c r="A49" s="86" t="s">
        <v>93</v>
      </c>
      <c r="B49" s="130">
        <f>B9</f>
        <v>0</v>
      </c>
      <c r="C49" s="180">
        <f>C9</f>
        <v>0</v>
      </c>
      <c r="D49" s="104"/>
      <c r="E49" s="386">
        <f t="shared" ref="E49:E71" si="20">100/C$72*C49</f>
        <v>0</v>
      </c>
      <c r="F49" s="103"/>
      <c r="G49" s="176">
        <f>G9</f>
        <v>0</v>
      </c>
      <c r="H49" s="176">
        <f>H9</f>
        <v>0</v>
      </c>
      <c r="I49" s="104"/>
      <c r="J49" s="386">
        <f>100/H$72*H49</f>
        <v>0</v>
      </c>
      <c r="K49" s="139"/>
      <c r="L49" s="223">
        <f ca="1">L9</f>
        <v>0</v>
      </c>
      <c r="M49" s="228">
        <f ca="1">M9</f>
        <v>0</v>
      </c>
      <c r="N49" s="223">
        <f ca="1">N9</f>
        <v>0</v>
      </c>
      <c r="O49" s="228">
        <f ca="1">O9</f>
        <v>0</v>
      </c>
      <c r="P49" s="207"/>
      <c r="Q49" s="207"/>
      <c r="R49" s="207"/>
      <c r="S49" s="182"/>
      <c r="T49" s="139"/>
    </row>
    <row r="50" spans="1:20" ht="18.75" x14ac:dyDescent="0.3">
      <c r="A50" s="107" t="s">
        <v>94</v>
      </c>
      <c r="B50" s="130">
        <f>B10+B34</f>
        <v>994697.95900000003</v>
      </c>
      <c r="C50" s="103">
        <f>C10+C34</f>
        <v>1068048.497</v>
      </c>
      <c r="D50" s="104">
        <f t="shared" ref="D50:D71" si="21">IF(B50=0, "    ---- ", IF(ABS(ROUND(100/B50*C50-100,1))&lt;999,ROUND(100/B50*C50-100,1),IF(ROUND(100/B50*C50-100,1)&gt;999,999,-999)))</f>
        <v>7.4</v>
      </c>
      <c r="E50" s="386">
        <f t="shared" si="20"/>
        <v>2.3169922386001405</v>
      </c>
      <c r="F50" s="103"/>
      <c r="G50" s="176">
        <f>G10+G34</f>
        <v>13509647.66</v>
      </c>
      <c r="H50" s="176">
        <f>H10+H34</f>
        <v>16497969.285</v>
      </c>
      <c r="I50" s="104">
        <f t="shared" ref="I50:I69" si="22">IF(G50=0, "    ---- ", IF(ABS(ROUND(100/G50*H50-100,1))&lt;999,ROUND(100/G50*H50-100,1),IF(ROUND(100/G50*H50-100,1)&gt;999,999,-999)))</f>
        <v>22.1</v>
      </c>
      <c r="J50" s="386">
        <f>100/H$72*H50</f>
        <v>1.3613996346665156</v>
      </c>
      <c r="K50" s="139"/>
      <c r="L50" s="223">
        <f ca="1">L10+L34</f>
        <v>0</v>
      </c>
      <c r="M50" s="221">
        <f ca="1">M10+M34</f>
        <v>0</v>
      </c>
      <c r="N50" s="223">
        <f ca="1">N10+N34</f>
        <v>0</v>
      </c>
      <c r="O50" s="221">
        <f ca="1">O10+O34</f>
        <v>0</v>
      </c>
      <c r="P50" s="207"/>
      <c r="Q50" s="207"/>
      <c r="R50" s="207"/>
      <c r="S50" s="182"/>
      <c r="T50" s="139"/>
    </row>
    <row r="51" spans="1:20" ht="18.75" x14ac:dyDescent="0.3">
      <c r="A51" s="86" t="s">
        <v>95</v>
      </c>
      <c r="B51" s="130">
        <f>B11+B35</f>
        <v>8347132.0010000002</v>
      </c>
      <c r="C51" s="103">
        <f>+C11+C35</f>
        <v>7223316</v>
      </c>
      <c r="D51" s="104">
        <f t="shared" si="21"/>
        <v>-13.5</v>
      </c>
      <c r="E51" s="386">
        <f t="shared" si="20"/>
        <v>15.670044156202966</v>
      </c>
      <c r="F51" s="103"/>
      <c r="G51" s="176">
        <f>+G11+G35</f>
        <v>257892418</v>
      </c>
      <c r="H51" s="176">
        <f>+H11+H35</f>
        <v>270504065</v>
      </c>
      <c r="I51" s="104">
        <f t="shared" si="22"/>
        <v>4.9000000000000004</v>
      </c>
      <c r="J51" s="386">
        <f>100/H$72*H51</f>
        <v>22.321785724357856</v>
      </c>
      <c r="K51" s="139"/>
      <c r="L51" s="223">
        <f ca="1">L11+L35</f>
        <v>0</v>
      </c>
      <c r="M51" s="221">
        <f ca="1">+M11+M35</f>
        <v>0</v>
      </c>
      <c r="N51" s="223">
        <f ca="1">+N11+N35</f>
        <v>0</v>
      </c>
      <c r="O51" s="221">
        <f ca="1">+O11+O35</f>
        <v>0</v>
      </c>
      <c r="P51" s="207"/>
      <c r="Q51" s="207"/>
      <c r="R51" s="207"/>
      <c r="S51" s="182"/>
      <c r="T51" s="139"/>
    </row>
    <row r="52" spans="1:20" ht="18.75" x14ac:dyDescent="0.3">
      <c r="A52" s="86" t="s">
        <v>96</v>
      </c>
      <c r="B52" s="130">
        <f>B12</f>
        <v>248926</v>
      </c>
      <c r="C52" s="103">
        <f>C12</f>
        <v>154629</v>
      </c>
      <c r="D52" s="104">
        <f t="shared" si="21"/>
        <v>-37.9</v>
      </c>
      <c r="E52" s="386">
        <f t="shared" si="20"/>
        <v>0.3354474950049961</v>
      </c>
      <c r="F52" s="103"/>
      <c r="G52" s="176">
        <f>G12</f>
        <v>0</v>
      </c>
      <c r="H52" s="176">
        <f>H12</f>
        <v>0</v>
      </c>
      <c r="I52" s="104"/>
      <c r="J52" s="386">
        <f>100/H$72*H52</f>
        <v>0</v>
      </c>
      <c r="K52" s="139"/>
      <c r="L52" s="223">
        <f ca="1">L12</f>
        <v>0</v>
      </c>
      <c r="M52" s="221">
        <f ca="1">M12</f>
        <v>0</v>
      </c>
      <c r="N52" s="223">
        <f ca="1">N12</f>
        <v>0</v>
      </c>
      <c r="O52" s="221">
        <f ca="1">+O12+O36</f>
        <v>0</v>
      </c>
      <c r="P52" s="207"/>
      <c r="Q52" s="207"/>
      <c r="R52" s="207"/>
      <c r="S52" s="182"/>
      <c r="T52" s="139"/>
    </row>
    <row r="53" spans="1:20" ht="18.75" x14ac:dyDescent="0.3">
      <c r="A53" s="107" t="s">
        <v>97</v>
      </c>
      <c r="B53" s="130">
        <f>B13+B36</f>
        <v>597540</v>
      </c>
      <c r="C53" s="105">
        <f>C13+C36</f>
        <v>658616.78300000005</v>
      </c>
      <c r="D53" s="106">
        <f t="shared" si="21"/>
        <v>10.199999999999999</v>
      </c>
      <c r="E53" s="388">
        <f t="shared" si="20"/>
        <v>1.428783410780637</v>
      </c>
      <c r="F53" s="105"/>
      <c r="G53" s="177">
        <f>G13+G36</f>
        <v>3227705</v>
      </c>
      <c r="H53" s="177">
        <f>H13+H36</f>
        <v>3904318</v>
      </c>
      <c r="I53" s="104">
        <f t="shared" si="22"/>
        <v>21</v>
      </c>
      <c r="J53" s="386">
        <f t="shared" ref="J53:J71" si="23">100/H$72*H53</f>
        <v>0.32218129437630971</v>
      </c>
      <c r="K53" s="139"/>
      <c r="L53" s="223">
        <f ca="1">L13+L36</f>
        <v>0</v>
      </c>
      <c r="M53" s="221">
        <f ca="1">M13+M36</f>
        <v>0</v>
      </c>
      <c r="N53" s="223">
        <f ca="1">N13+N36</f>
        <v>0</v>
      </c>
      <c r="O53" s="221">
        <f ca="1">O13+O36</f>
        <v>0</v>
      </c>
      <c r="P53" s="210"/>
      <c r="Q53" s="210"/>
      <c r="R53" s="210"/>
      <c r="S53" s="182"/>
      <c r="T53" s="139"/>
    </row>
    <row r="54" spans="1:20" ht="18.75" x14ac:dyDescent="0.3">
      <c r="A54" s="107" t="s">
        <v>98</v>
      </c>
      <c r="B54" s="130">
        <f>B14</f>
        <v>4457</v>
      </c>
      <c r="C54" s="105">
        <f>C14</f>
        <v>4451</v>
      </c>
      <c r="D54" s="106">
        <f t="shared" si="21"/>
        <v>-0.1</v>
      </c>
      <c r="E54" s="388">
        <f t="shared" si="20"/>
        <v>9.6558653310002494E-3</v>
      </c>
      <c r="F54" s="105"/>
      <c r="G54" s="177">
        <f>G14</f>
        <v>0</v>
      </c>
      <c r="H54" s="177">
        <f>H14</f>
        <v>0</v>
      </c>
      <c r="I54" s="104"/>
      <c r="J54" s="386">
        <f t="shared" si="23"/>
        <v>0</v>
      </c>
      <c r="K54" s="139"/>
      <c r="L54" s="223">
        <f ca="1">L14</f>
        <v>0</v>
      </c>
      <c r="M54" s="221">
        <f ca="1">M14</f>
        <v>0</v>
      </c>
      <c r="N54" s="223">
        <f ca="1">N14</f>
        <v>0</v>
      </c>
      <c r="O54" s="221">
        <f ca="1">O14</f>
        <v>0</v>
      </c>
      <c r="P54" s="210"/>
      <c r="Q54" s="210"/>
      <c r="R54" s="210"/>
      <c r="S54" s="182"/>
      <c r="T54" s="139"/>
    </row>
    <row r="55" spans="1:20" ht="18.75" x14ac:dyDescent="0.3">
      <c r="A55" s="86" t="s">
        <v>99</v>
      </c>
      <c r="B55" s="103">
        <f>B15</f>
        <v>1139361</v>
      </c>
      <c r="C55" s="103">
        <f>+C15</f>
        <v>1205494</v>
      </c>
      <c r="D55" s="104">
        <f t="shared" si="21"/>
        <v>5.8</v>
      </c>
      <c r="E55" s="386">
        <f t="shared" si="20"/>
        <v>2.6151623727991047</v>
      </c>
      <c r="F55" s="103"/>
      <c r="G55" s="176">
        <f>+G15</f>
        <v>0</v>
      </c>
      <c r="H55" s="176">
        <f>+H15</f>
        <v>0</v>
      </c>
      <c r="I55" s="104"/>
      <c r="J55" s="386">
        <f t="shared" si="23"/>
        <v>0</v>
      </c>
      <c r="K55" s="139"/>
      <c r="L55" s="223">
        <f ca="1">L15</f>
        <v>0</v>
      </c>
      <c r="M55" s="221">
        <f ca="1">+M15</f>
        <v>0</v>
      </c>
      <c r="N55" s="223">
        <f ca="1">+N15</f>
        <v>0</v>
      </c>
      <c r="O55" s="221">
        <f ca="1">+O15</f>
        <v>0</v>
      </c>
      <c r="P55" s="207"/>
      <c r="Q55" s="207"/>
      <c r="R55" s="207"/>
      <c r="S55" s="182"/>
      <c r="T55" s="139"/>
    </row>
    <row r="56" spans="1:20" ht="18.75" x14ac:dyDescent="0.3">
      <c r="A56" s="86" t="s">
        <v>100</v>
      </c>
      <c r="B56" s="103">
        <f>B16+B37</f>
        <v>1203443.9670000002</v>
      </c>
      <c r="C56" s="103">
        <f>C16+C37</f>
        <v>1502712</v>
      </c>
      <c r="D56" s="104">
        <f t="shared" si="21"/>
        <v>24.9</v>
      </c>
      <c r="E56" s="386">
        <f t="shared" si="20"/>
        <v>3.2599381494670969</v>
      </c>
      <c r="F56" s="103"/>
      <c r="G56" s="176">
        <f>G16+G37</f>
        <v>21130366.895000003</v>
      </c>
      <c r="H56" s="176">
        <f>H16+H37</f>
        <v>26228362</v>
      </c>
      <c r="I56" s="104">
        <f t="shared" si="22"/>
        <v>24.1</v>
      </c>
      <c r="J56" s="386">
        <f t="shared" si="23"/>
        <v>2.1643440976197161</v>
      </c>
      <c r="K56" s="139"/>
      <c r="L56" s="223">
        <f ca="1">L16+L37</f>
        <v>0</v>
      </c>
      <c r="M56" s="221">
        <f ca="1">M16+M37</f>
        <v>0</v>
      </c>
      <c r="N56" s="223">
        <f ca="1">N16+N37</f>
        <v>0</v>
      </c>
      <c r="O56" s="221">
        <f ca="1">O16+O37</f>
        <v>0</v>
      </c>
      <c r="P56" s="207"/>
      <c r="Q56" s="207"/>
      <c r="R56" s="207"/>
      <c r="S56" s="182"/>
      <c r="T56" s="139"/>
    </row>
    <row r="57" spans="1:20" ht="18.75" x14ac:dyDescent="0.3">
      <c r="A57" s="86" t="s">
        <v>101</v>
      </c>
      <c r="B57" s="103">
        <f>B17</f>
        <v>20615</v>
      </c>
      <c r="C57" s="103">
        <f>+C17</f>
        <v>19906</v>
      </c>
      <c r="D57" s="104">
        <f t="shared" si="21"/>
        <v>-3.4</v>
      </c>
      <c r="E57" s="386">
        <f t="shared" si="20"/>
        <v>4.3183476809456521E-2</v>
      </c>
      <c r="F57" s="103"/>
      <c r="G57" s="176">
        <f>+G17</f>
        <v>28242</v>
      </c>
      <c r="H57" s="176">
        <f>+H17</f>
        <v>27134</v>
      </c>
      <c r="I57" s="104">
        <f t="shared" si="22"/>
        <v>-3.9</v>
      </c>
      <c r="J57" s="386">
        <f t="shared" si="23"/>
        <v>2.2390766432464743E-3</v>
      </c>
      <c r="K57" s="139"/>
      <c r="L57" s="223">
        <f ca="1">L17</f>
        <v>0</v>
      </c>
      <c r="M57" s="221">
        <f t="shared" ref="M57:O58" ca="1" si="24">+M17</f>
        <v>0</v>
      </c>
      <c r="N57" s="223">
        <f t="shared" ca="1" si="24"/>
        <v>0</v>
      </c>
      <c r="O57" s="221">
        <f t="shared" ca="1" si="24"/>
        <v>0</v>
      </c>
      <c r="P57" s="207"/>
      <c r="Q57" s="207"/>
      <c r="R57" s="207"/>
      <c r="S57" s="182"/>
      <c r="T57" s="139"/>
    </row>
    <row r="58" spans="1:20" ht="18.75" x14ac:dyDescent="0.3">
      <c r="A58" s="86" t="s">
        <v>102</v>
      </c>
      <c r="B58" s="103">
        <f>B18</f>
        <v>248460.12299999999</v>
      </c>
      <c r="C58" s="103">
        <f>+C18</f>
        <v>286954.01899999997</v>
      </c>
      <c r="D58" s="104">
        <f t="shared" si="21"/>
        <v>15.5</v>
      </c>
      <c r="E58" s="386">
        <f t="shared" si="20"/>
        <v>0.62250940544895228</v>
      </c>
      <c r="F58" s="103"/>
      <c r="G58" s="176">
        <f>+G18</f>
        <v>0</v>
      </c>
      <c r="H58" s="176">
        <f>+H18</f>
        <v>0</v>
      </c>
      <c r="I58" s="104"/>
      <c r="J58" s="386">
        <f t="shared" si="23"/>
        <v>0</v>
      </c>
      <c r="K58" s="139"/>
      <c r="L58" s="223">
        <f ca="1">L18</f>
        <v>0</v>
      </c>
      <c r="M58" s="221">
        <f t="shared" ca="1" si="24"/>
        <v>0</v>
      </c>
      <c r="N58" s="223">
        <f t="shared" ca="1" si="24"/>
        <v>0</v>
      </c>
      <c r="O58" s="221">
        <f t="shared" ca="1" si="24"/>
        <v>0</v>
      </c>
      <c r="P58" s="207"/>
      <c r="Q58" s="207"/>
      <c r="R58" s="207"/>
      <c r="S58" s="182"/>
      <c r="T58" s="139"/>
    </row>
    <row r="59" spans="1:20" ht="18.75" x14ac:dyDescent="0.3">
      <c r="A59" s="86" t="s">
        <v>68</v>
      </c>
      <c r="B59" s="105">
        <f>B19+B38</f>
        <v>17940127.3292</v>
      </c>
      <c r="C59" s="105">
        <f>C19+C38</f>
        <v>14949065.60698</v>
      </c>
      <c r="D59" s="106">
        <f t="shared" si="21"/>
        <v>-16.7</v>
      </c>
      <c r="E59" s="388">
        <f t="shared" si="20"/>
        <v>32.430052645537273</v>
      </c>
      <c r="F59" s="105"/>
      <c r="G59" s="177">
        <f>G19+G38</f>
        <v>410142519.00509995</v>
      </c>
      <c r="H59" s="177">
        <f>H19+H38</f>
        <v>434519762.50635999</v>
      </c>
      <c r="I59" s="104">
        <f t="shared" si="22"/>
        <v>5.9</v>
      </c>
      <c r="J59" s="386">
        <f t="shared" si="23"/>
        <v>35.856233922643021</v>
      </c>
      <c r="K59" s="139"/>
      <c r="L59" s="223">
        <f ca="1">L19+L38</f>
        <v>0</v>
      </c>
      <c r="M59" s="221">
        <f ca="1">M19+M38</f>
        <v>0</v>
      </c>
      <c r="N59" s="223">
        <f ca="1">N19+N38</f>
        <v>0</v>
      </c>
      <c r="O59" s="221">
        <f ca="1">O19+O38</f>
        <v>0</v>
      </c>
      <c r="P59" s="210"/>
      <c r="Q59" s="210"/>
      <c r="R59" s="210"/>
      <c r="S59" s="182"/>
      <c r="T59" s="139"/>
    </row>
    <row r="60" spans="1:20" ht="18.75" x14ac:dyDescent="0.3">
      <c r="A60" s="86" t="s">
        <v>103</v>
      </c>
      <c r="B60" s="103">
        <f>B20+B39</f>
        <v>183762</v>
      </c>
      <c r="C60" s="103">
        <f>+C20+C39</f>
        <v>218281</v>
      </c>
      <c r="D60" s="104">
        <f t="shared" si="21"/>
        <v>18.8</v>
      </c>
      <c r="E60" s="386">
        <f t="shared" si="20"/>
        <v>0.47353222653697274</v>
      </c>
      <c r="F60" s="103"/>
      <c r="G60" s="176">
        <f>G20+G39</f>
        <v>2806142</v>
      </c>
      <c r="H60" s="176">
        <f>H20+H39</f>
        <v>3717756</v>
      </c>
      <c r="I60" s="104">
        <f t="shared" si="22"/>
        <v>32.5</v>
      </c>
      <c r="J60" s="386">
        <f t="shared" si="23"/>
        <v>0.30678634277620104</v>
      </c>
      <c r="K60" s="139"/>
      <c r="L60" s="223">
        <f ca="1">L20+L39</f>
        <v>0</v>
      </c>
      <c r="M60" s="221">
        <f ca="1">+M20+M39</f>
        <v>0</v>
      </c>
      <c r="N60" s="223">
        <f ca="1">N20+N39</f>
        <v>0</v>
      </c>
      <c r="O60" s="221">
        <f ca="1">O20+O39</f>
        <v>0</v>
      </c>
      <c r="P60" s="207"/>
      <c r="Q60" s="207"/>
      <c r="R60" s="207"/>
      <c r="S60" s="182"/>
      <c r="T60" s="139"/>
    </row>
    <row r="61" spans="1:20" ht="18.75" x14ac:dyDescent="0.3">
      <c r="A61" s="86" t="s">
        <v>104</v>
      </c>
      <c r="B61" s="103">
        <f>B21</f>
        <v>118032.765</v>
      </c>
      <c r="C61" s="103">
        <f t="shared" ref="C61:C63" si="25">C21</f>
        <v>128824.133</v>
      </c>
      <c r="D61" s="104">
        <f t="shared" si="21"/>
        <v>9.1</v>
      </c>
      <c r="E61" s="386">
        <f t="shared" si="20"/>
        <v>0.2794671938060807</v>
      </c>
      <c r="F61" s="103"/>
      <c r="G61" s="176">
        <f t="shared" ref="G61:G63" si="26">G21</f>
        <v>0</v>
      </c>
      <c r="H61" s="176">
        <f t="shared" ref="H61" si="27">H21</f>
        <v>0</v>
      </c>
      <c r="I61" s="104"/>
      <c r="J61" s="386">
        <f t="shared" si="23"/>
        <v>0</v>
      </c>
      <c r="K61" s="139"/>
      <c r="L61" s="223">
        <f ca="1">L21</f>
        <v>0</v>
      </c>
      <c r="M61" s="221">
        <f t="shared" ref="M61:M63" ca="1" si="28">M21</f>
        <v>0</v>
      </c>
      <c r="N61" s="223">
        <f t="shared" ref="N61:O61" ca="1" si="29">N21</f>
        <v>0</v>
      </c>
      <c r="O61" s="221">
        <f t="shared" ca="1" si="29"/>
        <v>0</v>
      </c>
      <c r="P61" s="207"/>
      <c r="Q61" s="207"/>
      <c r="R61" s="207"/>
      <c r="S61" s="182"/>
      <c r="T61" s="139"/>
    </row>
    <row r="62" spans="1:20" ht="18.75" x14ac:dyDescent="0.3">
      <c r="A62" s="86" t="s">
        <v>105</v>
      </c>
      <c r="B62" s="103">
        <f>B22</f>
        <v>17232</v>
      </c>
      <c r="C62" s="103">
        <f t="shared" si="25"/>
        <v>24256</v>
      </c>
      <c r="D62" s="104">
        <f t="shared" si="21"/>
        <v>40.799999999999997</v>
      </c>
      <c r="E62" s="386">
        <f t="shared" si="20"/>
        <v>5.2620235782687499E-2</v>
      </c>
      <c r="F62" s="103"/>
      <c r="G62" s="176">
        <f t="shared" si="26"/>
        <v>0</v>
      </c>
      <c r="H62" s="176">
        <f t="shared" ref="H62" si="30">H22</f>
        <v>0</v>
      </c>
      <c r="I62" s="104"/>
      <c r="J62" s="386">
        <f t="shared" si="23"/>
        <v>0</v>
      </c>
      <c r="K62" s="139"/>
      <c r="L62" s="223">
        <f ca="1">L22</f>
        <v>0</v>
      </c>
      <c r="M62" s="221">
        <f t="shared" ca="1" si="28"/>
        <v>0</v>
      </c>
      <c r="N62" s="223">
        <f t="shared" ref="N62:O62" ca="1" si="31">N22</f>
        <v>0</v>
      </c>
      <c r="O62" s="221">
        <f t="shared" ca="1" si="31"/>
        <v>0</v>
      </c>
      <c r="P62" s="207"/>
      <c r="Q62" s="207"/>
      <c r="R62" s="207"/>
      <c r="S62" s="182"/>
      <c r="T62" s="139"/>
    </row>
    <row r="63" spans="1:20" ht="18.75" x14ac:dyDescent="0.3">
      <c r="A63" s="86" t="s">
        <v>106</v>
      </c>
      <c r="B63" s="103">
        <f>B23</f>
        <v>1481</v>
      </c>
      <c r="C63" s="103">
        <f t="shared" si="25"/>
        <v>2011</v>
      </c>
      <c r="D63" s="104">
        <f t="shared" si="21"/>
        <v>35.799999999999997</v>
      </c>
      <c r="E63" s="386">
        <f t="shared" si="20"/>
        <v>4.3626028264752868E-3</v>
      </c>
      <c r="F63" s="103"/>
      <c r="G63" s="176">
        <f t="shared" si="26"/>
        <v>0</v>
      </c>
      <c r="H63" s="176">
        <f t="shared" ref="H63" si="32">H23</f>
        <v>0</v>
      </c>
      <c r="I63" s="104"/>
      <c r="J63" s="386">
        <f t="shared" si="23"/>
        <v>0</v>
      </c>
      <c r="K63" s="139"/>
      <c r="L63" s="223">
        <f ca="1">L23</f>
        <v>0</v>
      </c>
      <c r="M63" s="221">
        <f t="shared" ca="1" si="28"/>
        <v>0</v>
      </c>
      <c r="N63" s="223">
        <f t="shared" ref="N63:O63" ca="1" si="33">N23</f>
        <v>0</v>
      </c>
      <c r="O63" s="221">
        <f t="shared" ca="1" si="33"/>
        <v>0</v>
      </c>
      <c r="P63" s="207"/>
      <c r="Q63" s="207"/>
      <c r="R63" s="207"/>
      <c r="S63" s="182"/>
      <c r="T63" s="139"/>
    </row>
    <row r="64" spans="1:20" ht="18.75" x14ac:dyDescent="0.3">
      <c r="A64" s="107" t="s">
        <v>73</v>
      </c>
      <c r="B64" s="103">
        <f>B24+B40</f>
        <v>5765894.3214232931</v>
      </c>
      <c r="C64" s="103">
        <f>+C24+C40</f>
        <v>5536763.7086555036</v>
      </c>
      <c r="D64" s="104">
        <f t="shared" si="21"/>
        <v>-4</v>
      </c>
      <c r="E64" s="386">
        <f t="shared" si="20"/>
        <v>12.011288416164243</v>
      </c>
      <c r="F64" s="103"/>
      <c r="G64" s="176">
        <f>+G24+G40</f>
        <v>90071346.121499866</v>
      </c>
      <c r="H64" s="176">
        <f>+H24+H40</f>
        <v>101716471.60899998</v>
      </c>
      <c r="I64" s="104">
        <f t="shared" si="22"/>
        <v>12.9</v>
      </c>
      <c r="J64" s="386">
        <f t="shared" si="23"/>
        <v>8.3935643772814537</v>
      </c>
      <c r="K64" s="139"/>
      <c r="L64" s="223">
        <f ca="1">L24+L40</f>
        <v>0</v>
      </c>
      <c r="M64" s="221">
        <f ca="1">+M24+M40</f>
        <v>0</v>
      </c>
      <c r="N64" s="223">
        <f ca="1">+N24+N40</f>
        <v>0</v>
      </c>
      <c r="O64" s="221">
        <f ca="1">+O24+O40</f>
        <v>0</v>
      </c>
      <c r="P64" s="207"/>
      <c r="Q64" s="207"/>
      <c r="R64" s="207"/>
      <c r="S64" s="182"/>
      <c r="T64" s="139"/>
    </row>
    <row r="65" spans="1:240" ht="18.75" customHeight="1" x14ac:dyDescent="0.3">
      <c r="A65" s="107" t="s">
        <v>108</v>
      </c>
      <c r="B65" s="103">
        <f>B25</f>
        <v>1315437</v>
      </c>
      <c r="C65" s="103">
        <f>C25</f>
        <v>1524757</v>
      </c>
      <c r="D65" s="104">
        <f t="shared" si="21"/>
        <v>15.9</v>
      </c>
      <c r="E65" s="386">
        <f t="shared" si="20"/>
        <v>3.307761908447528</v>
      </c>
      <c r="F65" s="103"/>
      <c r="G65" s="176">
        <f>G25</f>
        <v>61571650</v>
      </c>
      <c r="H65" s="176">
        <f>H25</f>
        <v>66551653</v>
      </c>
      <c r="I65" s="104">
        <f t="shared" si="22"/>
        <v>8.1</v>
      </c>
      <c r="J65" s="386">
        <f t="shared" si="23"/>
        <v>5.4917908086439207</v>
      </c>
      <c r="K65" s="139"/>
      <c r="L65" s="223">
        <f ca="1">L25</f>
        <v>0</v>
      </c>
      <c r="M65" s="221">
        <f ca="1">M25</f>
        <v>0</v>
      </c>
      <c r="N65" s="223">
        <f ca="1">N25</f>
        <v>0</v>
      </c>
      <c r="O65" s="221">
        <f ca="1">O25</f>
        <v>0</v>
      </c>
      <c r="P65" s="207"/>
      <c r="Q65" s="207"/>
      <c r="R65" s="207"/>
      <c r="S65" s="182"/>
      <c r="T65" s="139"/>
    </row>
    <row r="66" spans="1:240" ht="18.75" customHeight="1" x14ac:dyDescent="0.3">
      <c r="A66" s="107" t="s">
        <v>79</v>
      </c>
      <c r="B66" s="103">
        <f>B41</f>
        <v>64356</v>
      </c>
      <c r="C66" s="103">
        <f>C41</f>
        <v>59615</v>
      </c>
      <c r="D66" s="104">
        <f t="shared" si="21"/>
        <v>-7.4</v>
      </c>
      <c r="E66" s="386">
        <f t="shared" si="20"/>
        <v>0.1293269853308425</v>
      </c>
      <c r="F66" s="103"/>
      <c r="G66" s="176">
        <f>G41</f>
        <v>1571024</v>
      </c>
      <c r="H66" s="176">
        <f>H41</f>
        <v>1903610</v>
      </c>
      <c r="I66" s="104">
        <f t="shared" si="22"/>
        <v>21.2</v>
      </c>
      <c r="J66" s="386">
        <f t="shared" si="23"/>
        <v>0.15708442134777109</v>
      </c>
      <c r="K66" s="139"/>
      <c r="L66" s="223">
        <f ca="1">L41</f>
        <v>0</v>
      </c>
      <c r="M66" s="221">
        <f ca="1">M41</f>
        <v>0</v>
      </c>
      <c r="N66" s="223">
        <f ca="1">N41</f>
        <v>0</v>
      </c>
      <c r="O66" s="221">
        <f ca="1">O41</f>
        <v>0</v>
      </c>
      <c r="P66" s="207"/>
      <c r="Q66" s="207"/>
      <c r="R66" s="207"/>
      <c r="S66" s="182"/>
      <c r="T66" s="139"/>
    </row>
    <row r="67" spans="1:240" ht="18.75" customHeight="1" x14ac:dyDescent="0.3">
      <c r="A67" s="107" t="s">
        <v>109</v>
      </c>
      <c r="B67" s="103">
        <f>B42+B26</f>
        <v>-0.69540974</v>
      </c>
      <c r="C67" s="103">
        <f>C26+C42</f>
        <v>0</v>
      </c>
      <c r="D67" s="104">
        <f t="shared" si="21"/>
        <v>-100</v>
      </c>
      <c r="E67" s="386">
        <f t="shared" si="20"/>
        <v>0</v>
      </c>
      <c r="F67" s="103"/>
      <c r="G67" s="176">
        <f>G26+G42</f>
        <v>9128571.2767900005</v>
      </c>
      <c r="H67" s="176">
        <f>H26+H42</f>
        <v>0</v>
      </c>
      <c r="I67" s="104">
        <f t="shared" si="22"/>
        <v>-100</v>
      </c>
      <c r="J67" s="386">
        <f t="shared" si="23"/>
        <v>0</v>
      </c>
      <c r="K67" s="139"/>
      <c r="L67" s="223">
        <f ca="1">L42+L26</f>
        <v>0</v>
      </c>
      <c r="M67" s="221">
        <f ca="1">M26+M42</f>
        <v>0</v>
      </c>
      <c r="N67" s="223">
        <f ca="1">N26+N42</f>
        <v>0</v>
      </c>
      <c r="O67" s="221">
        <f ca="1">O26+O42</f>
        <v>0</v>
      </c>
      <c r="P67" s="207"/>
      <c r="Q67" s="207"/>
      <c r="R67" s="207"/>
      <c r="S67" s="182"/>
      <c r="T67" s="139"/>
    </row>
    <row r="68" spans="1:240" ht="18.75" customHeight="1" x14ac:dyDescent="0.3">
      <c r="A68" s="86" t="s">
        <v>75</v>
      </c>
      <c r="B68" s="103">
        <f>B27+B43</f>
        <v>2363755.2649699999</v>
      </c>
      <c r="C68" s="103">
        <f>+C27+C43</f>
        <v>2830582.3783599995</v>
      </c>
      <c r="D68" s="104">
        <f t="shared" si="21"/>
        <v>19.7</v>
      </c>
      <c r="E68" s="386">
        <f t="shared" si="20"/>
        <v>6.1405801513697034</v>
      </c>
      <c r="F68" s="103"/>
      <c r="G68" s="176">
        <f>+G27+G43</f>
        <v>33768477.64249</v>
      </c>
      <c r="H68" s="176">
        <f>+H27+H43</f>
        <v>39054269.080679998</v>
      </c>
      <c r="I68" s="104">
        <f t="shared" si="22"/>
        <v>15.7</v>
      </c>
      <c r="J68" s="386">
        <f t="shared" si="23"/>
        <v>3.222728006103543</v>
      </c>
      <c r="K68" s="139"/>
      <c r="L68" s="223">
        <f ca="1">L27+L43</f>
        <v>0</v>
      </c>
      <c r="M68" s="221">
        <f t="shared" ref="M68:O69" ca="1" si="34">+M27+M43</f>
        <v>0</v>
      </c>
      <c r="N68" s="223">
        <f t="shared" ca="1" si="34"/>
        <v>0</v>
      </c>
      <c r="O68" s="221">
        <f t="shared" ca="1" si="34"/>
        <v>0</v>
      </c>
      <c r="P68" s="207"/>
      <c r="Q68" s="207"/>
      <c r="R68" s="207"/>
      <c r="S68" s="182"/>
      <c r="T68" s="139"/>
    </row>
    <row r="69" spans="1:240" ht="18.75" customHeight="1" x14ac:dyDescent="0.3">
      <c r="A69" s="86" t="s">
        <v>110</v>
      </c>
      <c r="B69" s="103">
        <f>B44+B28</f>
        <v>9282765.5789999999</v>
      </c>
      <c r="C69" s="103">
        <f>+C28+C44</f>
        <v>8215552.1239999998</v>
      </c>
      <c r="D69" s="104">
        <f t="shared" si="21"/>
        <v>-11.5</v>
      </c>
      <c r="E69" s="386">
        <f t="shared" si="20"/>
        <v>17.822571316368695</v>
      </c>
      <c r="F69" s="103"/>
      <c r="G69" s="176">
        <f>+G28+G44</f>
        <v>231992756.57300001</v>
      </c>
      <c r="H69" s="176">
        <f>+H28+H44</f>
        <v>247213450.75099999</v>
      </c>
      <c r="I69" s="104">
        <f t="shared" si="22"/>
        <v>6.6</v>
      </c>
      <c r="J69" s="386">
        <f t="shared" si="23"/>
        <v>20.399862293540451</v>
      </c>
      <c r="K69" s="139"/>
      <c r="L69" s="223">
        <f ca="1">L44+L28</f>
        <v>0</v>
      </c>
      <c r="M69" s="221">
        <f t="shared" ca="1" si="34"/>
        <v>0</v>
      </c>
      <c r="N69" s="223">
        <f t="shared" ca="1" si="34"/>
        <v>0</v>
      </c>
      <c r="O69" s="221">
        <f t="shared" ca="1" si="34"/>
        <v>0</v>
      </c>
      <c r="P69" s="207"/>
      <c r="Q69" s="207"/>
      <c r="R69" s="207"/>
      <c r="S69" s="182"/>
      <c r="T69" s="139"/>
    </row>
    <row r="70" spans="1:240" ht="18.75" customHeight="1" x14ac:dyDescent="0.3">
      <c r="A70" s="86" t="s">
        <v>111</v>
      </c>
      <c r="B70" s="103">
        <f>B29</f>
        <v>25828</v>
      </c>
      <c r="C70" s="103">
        <f>+C29</f>
        <v>23751</v>
      </c>
      <c r="D70" s="104">
        <f t="shared" si="21"/>
        <v>-8</v>
      </c>
      <c r="E70" s="386">
        <f t="shared" si="20"/>
        <v>5.1524703993841146E-2</v>
      </c>
      <c r="F70" s="103"/>
      <c r="G70" s="176">
        <f>+G29</f>
        <v>0</v>
      </c>
      <c r="H70" s="176">
        <f>+H29</f>
        <v>0</v>
      </c>
      <c r="I70" s="104"/>
      <c r="J70" s="386">
        <f t="shared" si="23"/>
        <v>0</v>
      </c>
      <c r="K70" s="139"/>
      <c r="L70" s="223">
        <f ca="1">L29</f>
        <v>0</v>
      </c>
      <c r="M70" s="221">
        <f t="shared" ref="M70:O71" ca="1" si="35">+M29</f>
        <v>0</v>
      </c>
      <c r="N70" s="223">
        <f t="shared" ca="1" si="35"/>
        <v>0</v>
      </c>
      <c r="O70" s="221">
        <f t="shared" ca="1" si="35"/>
        <v>0</v>
      </c>
      <c r="P70" s="207"/>
      <c r="Q70" s="207"/>
      <c r="R70" s="207"/>
      <c r="S70" s="182"/>
      <c r="T70" s="139"/>
    </row>
    <row r="71" spans="1:240" ht="18.75" customHeight="1" x14ac:dyDescent="0.3">
      <c r="A71" s="86" t="s">
        <v>112</v>
      </c>
      <c r="B71" s="103">
        <f>B30</f>
        <v>472129.78125</v>
      </c>
      <c r="C71" s="103">
        <f>+C30</f>
        <v>458748.43799999997</v>
      </c>
      <c r="D71" s="104">
        <f t="shared" si="21"/>
        <v>-2.8</v>
      </c>
      <c r="E71" s="386">
        <f t="shared" si="20"/>
        <v>0.99519504339130926</v>
      </c>
      <c r="F71" s="103"/>
      <c r="G71" s="176">
        <f>+G30</f>
        <v>0</v>
      </c>
      <c r="H71" s="176">
        <f>+H30</f>
        <v>0</v>
      </c>
      <c r="I71" s="104"/>
      <c r="J71" s="386">
        <f t="shared" si="23"/>
        <v>0</v>
      </c>
      <c r="K71" s="139"/>
      <c r="L71" s="223">
        <f ca="1">L30</f>
        <v>0</v>
      </c>
      <c r="M71" s="221">
        <f t="shared" ca="1" si="35"/>
        <v>0</v>
      </c>
      <c r="N71" s="223">
        <f t="shared" ca="1" si="35"/>
        <v>0</v>
      </c>
      <c r="O71" s="221">
        <f t="shared" ca="1" si="35"/>
        <v>0</v>
      </c>
      <c r="P71" s="207"/>
      <c r="Q71" s="207"/>
      <c r="R71" s="207"/>
      <c r="S71" s="182"/>
      <c r="T71" s="139"/>
    </row>
    <row r="72" spans="1:240" s="111" customFormat="1" ht="18.75" customHeight="1" x14ac:dyDescent="0.3">
      <c r="A72" s="113" t="s">
        <v>2</v>
      </c>
      <c r="B72" s="114">
        <f>SUM(B49:B71)</f>
        <v>50355433.39543356</v>
      </c>
      <c r="C72" s="114">
        <f>SUM(C49:C71)</f>
        <v>46096334.687995501</v>
      </c>
      <c r="D72" s="115">
        <f>IF(B72=0, "    ---- ", IF(ABS(ROUND(100/B72*C72-100,1))&lt;999,ROUND(100/B72*C72-100,1),IF(ROUND(100/B72*C72-100,1)&gt;999,999,-999)))</f>
        <v>-8.5</v>
      </c>
      <c r="E72" s="389">
        <f>SUM(E49:E71)</f>
        <v>100</v>
      </c>
      <c r="F72" s="109"/>
      <c r="G72" s="181">
        <f>SUM(G49:G71)</f>
        <v>1136840866.1738799</v>
      </c>
      <c r="H72" s="181">
        <f>SUM(H49:H71)</f>
        <v>1211838821.2320399</v>
      </c>
      <c r="I72" s="115">
        <f>IF(G72=0, "    ---- ", IF(ABS(ROUND(100/G72*H72-100,1))&lt;999,ROUND(100/G72*H72-100,1),IF(ROUND(100/G72*H72-100,1)&gt;999,999,-999)))</f>
        <v>6.6</v>
      </c>
      <c r="J72" s="389">
        <f>SUM(J49:J71)</f>
        <v>100.00000000000001</v>
      </c>
      <c r="K72" s="179"/>
      <c r="L72" s="229">
        <f ca="1">SUM(L49:L71)</f>
        <v>0</v>
      </c>
      <c r="M72" s="230">
        <f ca="1">SUM(M49:M71)</f>
        <v>0</v>
      </c>
      <c r="N72" s="229">
        <f ca="1">SUM(N49:N71)</f>
        <v>0</v>
      </c>
      <c r="O72" s="230">
        <f ca="1">SUM(O49:O71)</f>
        <v>0</v>
      </c>
      <c r="P72" s="209"/>
      <c r="Q72" s="209"/>
      <c r="R72" s="209"/>
      <c r="S72" s="138"/>
      <c r="T72" s="179"/>
    </row>
    <row r="73" spans="1:240" ht="18.75" customHeight="1" x14ac:dyDescent="0.3">
      <c r="A73" s="112" t="s">
        <v>116</v>
      </c>
      <c r="B73" s="112"/>
      <c r="C73" s="112"/>
      <c r="D73" s="112"/>
      <c r="E73" s="112"/>
      <c r="F73" s="112"/>
      <c r="G73" s="112"/>
      <c r="H73" s="112"/>
      <c r="I73" s="112"/>
      <c r="J73" s="112"/>
      <c r="K73" s="112"/>
      <c r="L73" s="186"/>
      <c r="M73" s="186"/>
      <c r="N73" s="186"/>
      <c r="O73" s="186"/>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X73" s="112"/>
      <c r="FY73" s="112"/>
      <c r="FZ73" s="112"/>
      <c r="GA73" s="112"/>
      <c r="GB73" s="112"/>
      <c r="GC73" s="112"/>
      <c r="GD73" s="112"/>
      <c r="GE73" s="112"/>
      <c r="GF73" s="112"/>
      <c r="GG73" s="112"/>
      <c r="GH73" s="112"/>
      <c r="GI73" s="112"/>
      <c r="GJ73" s="112"/>
      <c r="GK73" s="112"/>
      <c r="GL73" s="112"/>
      <c r="GM73" s="112"/>
      <c r="GN73" s="112"/>
      <c r="GO73" s="112"/>
      <c r="GP73" s="112"/>
      <c r="GQ73" s="112"/>
      <c r="GR73" s="112"/>
      <c r="GS73" s="112"/>
      <c r="GT73" s="112"/>
      <c r="GU73" s="112"/>
      <c r="GV73" s="112"/>
      <c r="GW73" s="112"/>
      <c r="GX73" s="112"/>
      <c r="GY73" s="112"/>
      <c r="GZ73" s="112"/>
      <c r="HA73" s="112"/>
      <c r="HB73" s="112"/>
      <c r="HC73" s="112"/>
      <c r="HD73" s="112"/>
      <c r="HE73" s="112"/>
      <c r="HF73" s="112"/>
      <c r="HG73" s="112"/>
      <c r="HH73" s="112"/>
      <c r="HI73" s="112"/>
      <c r="HJ73" s="112"/>
      <c r="HK73" s="112"/>
      <c r="HL73" s="112"/>
      <c r="HM73" s="112"/>
      <c r="HN73" s="112"/>
      <c r="HO73" s="112"/>
      <c r="HP73" s="112"/>
      <c r="HQ73" s="112"/>
      <c r="HR73" s="112"/>
      <c r="HS73" s="112"/>
      <c r="HT73" s="112"/>
      <c r="HU73" s="112"/>
      <c r="HV73" s="112"/>
      <c r="HW73" s="112"/>
      <c r="HX73" s="112"/>
      <c r="HY73" s="112"/>
      <c r="HZ73" s="112"/>
      <c r="IA73" s="112"/>
      <c r="IB73" s="112"/>
      <c r="IC73" s="112"/>
      <c r="ID73" s="112"/>
      <c r="IE73" s="112"/>
      <c r="IF73" s="112"/>
    </row>
    <row r="74" spans="1:240" ht="18.75" customHeight="1" x14ac:dyDescent="0.3">
      <c r="A74" s="74"/>
      <c r="B74" s="74"/>
      <c r="C74" s="74"/>
      <c r="D74" s="74"/>
      <c r="E74" s="74"/>
      <c r="F74" s="74"/>
      <c r="G74" s="74"/>
      <c r="H74" s="74"/>
      <c r="I74" s="74"/>
      <c r="J74" s="74"/>
      <c r="K74" s="74"/>
    </row>
    <row r="75" spans="1:240" ht="18.75" customHeight="1" x14ac:dyDescent="0.3">
      <c r="A75" s="74"/>
      <c r="B75" s="74"/>
      <c r="C75" s="74"/>
      <c r="D75" s="74"/>
      <c r="E75" s="74"/>
      <c r="F75" s="74"/>
      <c r="G75" s="74"/>
      <c r="H75" s="74"/>
      <c r="I75" s="74"/>
      <c r="J75" s="74"/>
      <c r="K75" s="74"/>
    </row>
    <row r="76" spans="1:240" ht="18.75" customHeight="1" x14ac:dyDescent="0.3">
      <c r="A76" s="74"/>
      <c r="B76" s="77"/>
      <c r="C76" s="77"/>
      <c r="D76" s="74"/>
      <c r="E76" s="74"/>
      <c r="F76" s="74"/>
      <c r="G76" s="77"/>
      <c r="H76" s="77"/>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112"/>
      <c r="B98" s="112"/>
      <c r="C98" s="112"/>
      <c r="D98" s="112"/>
      <c r="E98" s="112"/>
      <c r="F98" s="112"/>
      <c r="G98" s="112"/>
      <c r="H98" s="112"/>
      <c r="I98" s="112"/>
      <c r="J98" s="112"/>
      <c r="K98" s="112"/>
    </row>
    <row r="99" spans="1:11" ht="18.75" x14ac:dyDescent="0.3">
      <c r="A99" s="116"/>
      <c r="B99" s="117"/>
      <c r="C99" s="117"/>
      <c r="D99" s="117"/>
      <c r="E99" s="74"/>
      <c r="F99" s="74"/>
      <c r="G99" s="74"/>
      <c r="H99" s="74"/>
      <c r="I99" s="74"/>
      <c r="J99" s="75"/>
      <c r="K99" s="75"/>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sheetData>
  <mergeCells count="5">
    <mergeCell ref="N5:O5"/>
    <mergeCell ref="A3:B3"/>
    <mergeCell ref="B5:E5"/>
    <mergeCell ref="G5:J5"/>
    <mergeCell ref="L5:M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15"/>
  <sheetViews>
    <sheetView showGridLines="0" showZeros="0" zoomScale="80" zoomScaleNormal="8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6.7109375" style="8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85</v>
      </c>
      <c r="B1" s="73" t="s">
        <v>56</v>
      </c>
      <c r="C1" s="74"/>
      <c r="D1" s="74"/>
      <c r="E1" s="74"/>
      <c r="F1" s="74"/>
      <c r="G1" s="74"/>
      <c r="H1" s="74"/>
      <c r="I1" s="74"/>
      <c r="J1" s="74"/>
      <c r="K1" s="74"/>
      <c r="L1" s="74"/>
      <c r="M1" s="74"/>
    </row>
    <row r="2" spans="1:13" ht="20.25" x14ac:dyDescent="0.3">
      <c r="A2" s="80" t="s">
        <v>117</v>
      </c>
      <c r="B2" s="73"/>
      <c r="C2" s="74"/>
      <c r="D2" s="74"/>
      <c r="E2" s="74"/>
      <c r="F2" s="74"/>
      <c r="G2" s="74"/>
      <c r="H2" s="74"/>
      <c r="I2" s="74"/>
      <c r="J2" s="74"/>
      <c r="K2" s="74"/>
      <c r="L2" s="74"/>
      <c r="M2" s="74"/>
    </row>
    <row r="3" spans="1:13" ht="18.75" x14ac:dyDescent="0.3">
      <c r="A3" s="75" t="s">
        <v>118</v>
      </c>
      <c r="B3" s="74"/>
      <c r="C3" s="74"/>
      <c r="D3" s="74"/>
      <c r="E3" s="74"/>
      <c r="F3" s="74"/>
      <c r="G3" s="74"/>
      <c r="H3" s="74"/>
      <c r="I3" s="74"/>
      <c r="J3" s="74"/>
      <c r="K3" s="74"/>
      <c r="L3" s="74"/>
      <c r="M3" s="74"/>
    </row>
    <row r="4" spans="1:13" ht="18.75" x14ac:dyDescent="0.3">
      <c r="A4" s="82" t="s">
        <v>421</v>
      </c>
      <c r="B4" s="102"/>
      <c r="C4" s="118"/>
      <c r="D4" s="119"/>
      <c r="E4" s="112"/>
      <c r="F4" s="83"/>
      <c r="G4" s="84"/>
      <c r="H4" s="85"/>
      <c r="I4" s="112"/>
      <c r="J4" s="83"/>
      <c r="K4" s="84"/>
      <c r="L4" s="85"/>
      <c r="M4" s="74"/>
    </row>
    <row r="5" spans="1:13" ht="18.75" x14ac:dyDescent="0.3">
      <c r="A5" s="120"/>
      <c r="B5" s="655" t="s">
        <v>0</v>
      </c>
      <c r="C5" s="656"/>
      <c r="D5" s="657"/>
      <c r="E5" s="89"/>
      <c r="F5" s="655" t="s">
        <v>1</v>
      </c>
      <c r="G5" s="656"/>
      <c r="H5" s="657"/>
      <c r="I5" s="121"/>
      <c r="J5" s="655" t="s">
        <v>119</v>
      </c>
      <c r="K5" s="656"/>
      <c r="L5" s="657"/>
      <c r="M5" s="74"/>
    </row>
    <row r="6" spans="1:13" ht="18.75" x14ac:dyDescent="0.3">
      <c r="A6" s="122"/>
      <c r="B6" s="123"/>
      <c r="C6" s="124"/>
      <c r="D6" s="94" t="s">
        <v>120</v>
      </c>
      <c r="E6" s="100"/>
      <c r="F6" s="123"/>
      <c r="G6" s="124"/>
      <c r="H6" s="94" t="s">
        <v>120</v>
      </c>
      <c r="I6" s="125"/>
      <c r="J6" s="123"/>
      <c r="K6" s="124"/>
      <c r="L6" s="94" t="s">
        <v>120</v>
      </c>
      <c r="M6" s="74"/>
    </row>
    <row r="7" spans="1:13" ht="18.75" x14ac:dyDescent="0.3">
      <c r="A7" s="126" t="s">
        <v>121</v>
      </c>
      <c r="B7" s="127">
        <v>2016</v>
      </c>
      <c r="C7" s="185">
        <v>2017</v>
      </c>
      <c r="D7" s="99" t="s">
        <v>92</v>
      </c>
      <c r="E7" s="100"/>
      <c r="F7" s="97">
        <v>2016</v>
      </c>
      <c r="G7" s="127">
        <v>2017</v>
      </c>
      <c r="H7" s="99" t="s">
        <v>92</v>
      </c>
      <c r="I7" s="128"/>
      <c r="J7" s="184">
        <v>2016</v>
      </c>
      <c r="K7" s="185">
        <v>2017</v>
      </c>
      <c r="L7" s="99" t="s">
        <v>92</v>
      </c>
      <c r="M7" s="74"/>
    </row>
    <row r="8" spans="1:13" ht="22.5" x14ac:dyDescent="0.3">
      <c r="A8" s="192" t="s">
        <v>122</v>
      </c>
      <c r="B8" s="232"/>
      <c r="C8" s="201"/>
      <c r="D8" s="201"/>
      <c r="E8" s="182"/>
      <c r="F8" s="201"/>
      <c r="G8" s="201"/>
      <c r="H8" s="201"/>
      <c r="I8" s="202"/>
      <c r="J8" s="201"/>
      <c r="K8" s="201"/>
      <c r="L8" s="201"/>
      <c r="M8" s="74"/>
    </row>
    <row r="9" spans="1:13" ht="18.75" x14ac:dyDescent="0.3">
      <c r="A9" s="193" t="s">
        <v>123</v>
      </c>
      <c r="B9" s="104">
        <f>'Skjema total MA'!B7</f>
        <v>2947490.6381328413</v>
      </c>
      <c r="C9" s="104">
        <f>'Skjema total MA'!C7</f>
        <v>2722938.174325902</v>
      </c>
      <c r="D9" s="233">
        <f>IF(B9=0, "    ---- ", IF(ABS(ROUND(100/B9*C9-100,1))&lt;999,ROUND(100/B9*C9-100,1),IF(ROUND(100/B9*C9-100,1)&gt;999,999,-999)))</f>
        <v>-7.6</v>
      </c>
      <c r="E9" s="182"/>
      <c r="F9" s="196">
        <f>'Skjema total MA'!E7</f>
        <v>4917957.6875900002</v>
      </c>
      <c r="G9" s="196">
        <f>'Skjema total MA'!F7</f>
        <v>4542315.3688300001</v>
      </c>
      <c r="H9" s="233">
        <f>IF(F9=0, "    ---- ", IF(ABS(ROUND(100/F9*G9-100,1))&lt;999,ROUND(100/F9*G9-100,1),IF(ROUND(100/F9*G9-100,1)&gt;999,999,-999)))</f>
        <v>-7.6</v>
      </c>
      <c r="I9" s="182"/>
      <c r="J9" s="196">
        <f t="shared" ref="J9:K60" si="0">SUM(B9+F9)</f>
        <v>7865448.3257228415</v>
      </c>
      <c r="K9" s="196">
        <f t="shared" si="0"/>
        <v>7265253.5431559021</v>
      </c>
      <c r="L9" s="231">
        <f>IF(J9=0, "    ---- ", IF(ABS(ROUND(100/J9*K9-100,1))&lt;999,ROUND(100/J9*K9-100,1),IF(ROUND(100/J9*K9-100,1)&gt;999,999,-999)))</f>
        <v>-7.6</v>
      </c>
      <c r="M9" s="74"/>
    </row>
    <row r="10" spans="1:13" ht="18.75" x14ac:dyDescent="0.3">
      <c r="A10" s="193" t="s">
        <v>124</v>
      </c>
      <c r="B10" s="104">
        <f>'Skjema total MA'!B22</f>
        <v>746277.84198045172</v>
      </c>
      <c r="C10" s="104">
        <f>'Skjema total MA'!C22</f>
        <v>958903.54897960112</v>
      </c>
      <c r="D10" s="233">
        <f t="shared" ref="D10:D17" si="1">IF(B10=0, "    ---- ", IF(ABS(ROUND(100/B10*C10-100,1))&lt;999,ROUND(100/B10*C10-100,1),IF(ROUND(100/B10*C10-100,1)&gt;999,999,-999)))</f>
        <v>28.5</v>
      </c>
      <c r="E10" s="182"/>
      <c r="F10" s="196">
        <f>'Skjema total MA'!E22</f>
        <v>221188.05156026001</v>
      </c>
      <c r="G10" s="196">
        <f>'Skjema total MA'!F22</f>
        <v>199375.40350000001</v>
      </c>
      <c r="H10" s="233">
        <f t="shared" ref="H10:H57" si="2">IF(F10=0, "    ---- ", IF(ABS(ROUND(100/F10*G10-100,1))&lt;999,ROUND(100/F10*G10-100,1),IF(ROUND(100/F10*G10-100,1)&gt;999,999,-999)))</f>
        <v>-9.9</v>
      </c>
      <c r="I10" s="182"/>
      <c r="J10" s="196">
        <f t="shared" si="0"/>
        <v>967465.89354071172</v>
      </c>
      <c r="K10" s="196">
        <f t="shared" si="0"/>
        <v>1158278.9524796011</v>
      </c>
      <c r="L10" s="231">
        <f t="shared" ref="L10:L60" si="3">IF(J10=0, "    ---- ", IF(ABS(ROUND(100/J10*K10-100,1))&lt;999,ROUND(100/J10*K10-100,1),IF(ROUND(100/J10*K10-100,1)&gt;999,999,-999)))</f>
        <v>19.7</v>
      </c>
      <c r="M10" s="74"/>
    </row>
    <row r="11" spans="1:13" ht="18.75" x14ac:dyDescent="0.3">
      <c r="A11" s="193" t="s">
        <v>125</v>
      </c>
      <c r="B11" s="104">
        <f>'Skjema total MA'!B45</f>
        <v>2682270.9502600003</v>
      </c>
      <c r="C11" s="104">
        <f>'Skjema total MA'!C45</f>
        <v>2741998.0199699998</v>
      </c>
      <c r="D11" s="233">
        <f t="shared" si="1"/>
        <v>2.2000000000000002</v>
      </c>
      <c r="E11" s="182"/>
      <c r="F11" s="196"/>
      <c r="G11" s="196"/>
      <c r="H11" s="233"/>
      <c r="I11" s="182"/>
      <c r="J11" s="196">
        <f t="shared" si="0"/>
        <v>2682270.9502600003</v>
      </c>
      <c r="K11" s="196">
        <f t="shared" si="0"/>
        <v>2741998.0199699998</v>
      </c>
      <c r="L11" s="231">
        <f t="shared" si="3"/>
        <v>2.2000000000000002</v>
      </c>
      <c r="M11" s="74"/>
    </row>
    <row r="12" spans="1:13" ht="18.75" x14ac:dyDescent="0.3">
      <c r="A12" s="193" t="s">
        <v>126</v>
      </c>
      <c r="B12" s="104">
        <f>'Skjema total MA'!B64</f>
        <v>8244721.4609099999</v>
      </c>
      <c r="C12" s="104">
        <f>'Skjema total MA'!C64</f>
        <v>5371254.9564800002</v>
      </c>
      <c r="D12" s="233">
        <f t="shared" si="1"/>
        <v>-34.9</v>
      </c>
      <c r="E12" s="182"/>
      <c r="F12" s="196">
        <f>'Skjema total MA'!E64</f>
        <v>11203988.1823</v>
      </c>
      <c r="G12" s="196">
        <f>'Skjema total MA'!F64</f>
        <v>12983353.548999999</v>
      </c>
      <c r="H12" s="233">
        <f t="shared" si="2"/>
        <v>15.9</v>
      </c>
      <c r="I12" s="182"/>
      <c r="J12" s="196">
        <f t="shared" si="0"/>
        <v>19448709.643210001</v>
      </c>
      <c r="K12" s="196">
        <f t="shared" si="0"/>
        <v>18354608.505479999</v>
      </c>
      <c r="L12" s="231">
        <f t="shared" si="3"/>
        <v>-5.6</v>
      </c>
      <c r="M12" s="74"/>
    </row>
    <row r="13" spans="1:13" ht="18.75" x14ac:dyDescent="0.3">
      <c r="A13" s="193" t="s">
        <v>127</v>
      </c>
      <c r="B13" s="104">
        <f>'Skjema total MA'!B66</f>
        <v>120147.6707</v>
      </c>
      <c r="C13" s="104">
        <f>'Skjema total MA'!C66</f>
        <v>117473.33254999999</v>
      </c>
      <c r="D13" s="233">
        <f t="shared" si="1"/>
        <v>-2.2000000000000002</v>
      </c>
      <c r="E13" s="182"/>
      <c r="F13" s="196">
        <f>'Skjema total MA'!E66</f>
        <v>11122093.612299999</v>
      </c>
      <c r="G13" s="196">
        <f>'Skjema total MA'!F66</f>
        <v>12854109.17182</v>
      </c>
      <c r="H13" s="233">
        <f t="shared" si="2"/>
        <v>15.6</v>
      </c>
      <c r="I13" s="182"/>
      <c r="J13" s="196">
        <f t="shared" si="0"/>
        <v>11242241.283</v>
      </c>
      <c r="K13" s="196">
        <f t="shared" si="0"/>
        <v>12971582.50437</v>
      </c>
      <c r="L13" s="231">
        <f t="shared" si="3"/>
        <v>15.4</v>
      </c>
      <c r="M13" s="74"/>
    </row>
    <row r="14" spans="1:13" s="133" customFormat="1" ht="18.75" x14ac:dyDescent="0.3">
      <c r="A14" s="194" t="s">
        <v>128</v>
      </c>
      <c r="B14" s="131">
        <f>'Skjema total MA'!B73</f>
        <v>108552.5184</v>
      </c>
      <c r="C14" s="131">
        <f>'Skjema total MA'!C73</f>
        <v>122037.46324000001</v>
      </c>
      <c r="D14" s="233">
        <f t="shared" si="1"/>
        <v>12.4</v>
      </c>
      <c r="E14" s="183"/>
      <c r="F14" s="197">
        <f>'Skjema total MA'!E73</f>
        <v>81894.570000000007</v>
      </c>
      <c r="G14" s="197">
        <f>'Skjema total MA'!F73</f>
        <v>129244.37718</v>
      </c>
      <c r="H14" s="233">
        <f t="shared" si="2"/>
        <v>57.8</v>
      </c>
      <c r="I14" s="183"/>
      <c r="J14" s="196">
        <f t="shared" si="0"/>
        <v>190447.08840000001</v>
      </c>
      <c r="K14" s="196">
        <f t="shared" si="0"/>
        <v>251281.84042000002</v>
      </c>
      <c r="L14" s="231">
        <f t="shared" si="3"/>
        <v>31.9</v>
      </c>
      <c r="M14" s="132"/>
    </row>
    <row r="15" spans="1:13" ht="22.5" x14ac:dyDescent="0.3">
      <c r="A15" s="193" t="s">
        <v>403</v>
      </c>
      <c r="B15" s="104">
        <f>'Skjema total MA'!B132</f>
        <v>19312251.3917</v>
      </c>
      <c r="C15" s="104">
        <f>'Skjema total MA'!C132</f>
        <v>16521567.102909999</v>
      </c>
      <c r="D15" s="233">
        <f t="shared" si="1"/>
        <v>-14.5</v>
      </c>
      <c r="E15" s="182"/>
      <c r="F15" s="196">
        <f>'Skjema total MA'!E132</f>
        <v>76382.539000000004</v>
      </c>
      <c r="G15" s="196">
        <f>'Skjema total MA'!F132</f>
        <v>52296.226000000002</v>
      </c>
      <c r="H15" s="233">
        <f t="shared" si="2"/>
        <v>-31.5</v>
      </c>
      <c r="I15" s="182"/>
      <c r="J15" s="196">
        <f t="shared" si="0"/>
        <v>19388633.9307</v>
      </c>
      <c r="K15" s="196">
        <f t="shared" si="0"/>
        <v>16573863.328909999</v>
      </c>
      <c r="L15" s="231">
        <f t="shared" si="3"/>
        <v>-14.5</v>
      </c>
      <c r="M15" s="74"/>
    </row>
    <row r="16" spans="1:13" ht="18.75" x14ac:dyDescent="0.3">
      <c r="A16" s="193" t="s">
        <v>129</v>
      </c>
      <c r="B16" s="104">
        <f>'Skjema total MA'!B34</f>
        <v>2904.652</v>
      </c>
      <c r="C16" s="104">
        <f>'Skjema total MA'!C34</f>
        <v>2332.3380000000002</v>
      </c>
      <c r="D16" s="233">
        <f t="shared" si="1"/>
        <v>-19.7</v>
      </c>
      <c r="E16" s="182"/>
      <c r="F16" s="196">
        <f>'Skjema total MA'!E34</f>
        <v>0</v>
      </c>
      <c r="G16" s="196">
        <f>'Skjema total MA'!F34</f>
        <v>0</v>
      </c>
      <c r="H16" s="233"/>
      <c r="I16" s="182"/>
      <c r="J16" s="196">
        <f t="shared" si="0"/>
        <v>2904.652</v>
      </c>
      <c r="K16" s="196">
        <f t="shared" si="0"/>
        <v>2332.3380000000002</v>
      </c>
      <c r="L16" s="231">
        <f t="shared" si="3"/>
        <v>-19.7</v>
      </c>
      <c r="M16" s="74"/>
    </row>
    <row r="17" spans="1:23" s="135" customFormat="1" ht="18.75" customHeight="1" x14ac:dyDescent="0.3">
      <c r="A17" s="137" t="s">
        <v>130</v>
      </c>
      <c r="B17" s="110">
        <f>'Tabel 1.1'!B31</f>
        <v>33935916.934983298</v>
      </c>
      <c r="C17" s="198">
        <f>'Tabel 1.1'!C31</f>
        <v>28318994.140665505</v>
      </c>
      <c r="D17" s="233">
        <f t="shared" si="1"/>
        <v>-16.600000000000001</v>
      </c>
      <c r="E17" s="138"/>
      <c r="F17" s="198">
        <f>'Tabel 1.1'!B45</f>
        <v>16419516.460450262</v>
      </c>
      <c r="G17" s="198">
        <f>'Tabel 1.1'!C45</f>
        <v>17777340.54733</v>
      </c>
      <c r="H17" s="233">
        <f t="shared" si="2"/>
        <v>8.3000000000000007</v>
      </c>
      <c r="I17" s="138"/>
      <c r="J17" s="198">
        <f t="shared" si="0"/>
        <v>50355433.39543356</v>
      </c>
      <c r="K17" s="198">
        <f t="shared" si="0"/>
        <v>46096334.687995508</v>
      </c>
      <c r="L17" s="231">
        <f t="shared" si="3"/>
        <v>-8.5</v>
      </c>
      <c r="M17" s="75"/>
      <c r="N17" s="134"/>
      <c r="O17" s="134"/>
      <c r="Q17" s="136"/>
      <c r="R17" s="136"/>
      <c r="S17" s="136"/>
      <c r="T17" s="136"/>
      <c r="U17" s="136"/>
      <c r="V17" s="136"/>
      <c r="W17" s="136"/>
    </row>
    <row r="18" spans="1:23" ht="18.75" customHeight="1" x14ac:dyDescent="0.3">
      <c r="A18" s="137"/>
      <c r="B18" s="104"/>
      <c r="C18" s="196"/>
      <c r="D18" s="196"/>
      <c r="E18" s="182"/>
      <c r="F18" s="196"/>
      <c r="G18" s="196"/>
      <c r="H18" s="233"/>
      <c r="I18" s="182"/>
      <c r="J18" s="196"/>
      <c r="K18" s="196"/>
      <c r="L18" s="231"/>
      <c r="M18" s="74"/>
    </row>
    <row r="19" spans="1:23" ht="18.75" customHeight="1" x14ac:dyDescent="0.3">
      <c r="A19" s="192" t="s">
        <v>404</v>
      </c>
      <c r="B19" s="200"/>
      <c r="C19" s="203"/>
      <c r="D19" s="196"/>
      <c r="E19" s="182"/>
      <c r="F19" s="203"/>
      <c r="G19" s="203"/>
      <c r="H19" s="233"/>
      <c r="I19" s="182"/>
      <c r="J19" s="196"/>
      <c r="K19" s="196"/>
      <c r="L19" s="231"/>
      <c r="M19" s="74"/>
    </row>
    <row r="20" spans="1:23" ht="18.75" customHeight="1" x14ac:dyDescent="0.3">
      <c r="A20" s="193" t="s">
        <v>123</v>
      </c>
      <c r="B20" s="104">
        <f>'Skjema total MA'!B10</f>
        <v>24891548.256353438</v>
      </c>
      <c r="C20" s="104">
        <f>'Skjema total MA'!C10</f>
        <v>23009416.501435529</v>
      </c>
      <c r="D20" s="233">
        <f>IF(B20=0, "    ---- ", IF(ABS(ROUND(100/B20*C20-100,1))&lt;999,ROUND(100/B20*C20-100,1),IF(ROUND(100/B20*C20-100,1)&gt;999,999,-999)))</f>
        <v>-7.6</v>
      </c>
      <c r="E20" s="182"/>
      <c r="F20" s="196">
        <f>'Skjema total MA'!E10</f>
        <v>29055196.927181602</v>
      </c>
      <c r="G20" s="196">
        <f>'Skjema total MA'!F10</f>
        <v>37662908.370349906</v>
      </c>
      <c r="H20" s="233">
        <f t="shared" si="2"/>
        <v>29.6</v>
      </c>
      <c r="I20" s="182"/>
      <c r="J20" s="196">
        <f t="shared" si="0"/>
        <v>53946745.183535039</v>
      </c>
      <c r="K20" s="196">
        <f t="shared" si="0"/>
        <v>60672324.871785432</v>
      </c>
      <c r="L20" s="231">
        <f t="shared" si="3"/>
        <v>12.5</v>
      </c>
      <c r="M20" s="74"/>
    </row>
    <row r="21" spans="1:23" ht="18.75" customHeight="1" x14ac:dyDescent="0.3">
      <c r="A21" s="193" t="s">
        <v>124</v>
      </c>
      <c r="B21" s="104">
        <f>'Skjema total MA'!B28</f>
        <v>52091228.016380668</v>
      </c>
      <c r="C21" s="104">
        <f>'Skjema total MA'!C28</f>
        <v>50951731.75711979</v>
      </c>
      <c r="D21" s="233">
        <f t="shared" ref="D21:D27" si="4">IF(B21=0, "    ---- ", IF(ABS(ROUND(100/B21*C21-100,1))&lt;999,ROUND(100/B21*C21-100,1),IF(ROUND(100/B21*C21-100,1)&gt;999,999,-999)))</f>
        <v>-2.2000000000000002</v>
      </c>
      <c r="E21" s="182"/>
      <c r="F21" s="196">
        <f>'Skjema total MA'!E28</f>
        <v>18713535.354049999</v>
      </c>
      <c r="G21" s="196">
        <f>'Skjema total MA'!F28</f>
        <v>19636367.939539999</v>
      </c>
      <c r="H21" s="233">
        <f t="shared" si="2"/>
        <v>4.9000000000000004</v>
      </c>
      <c r="I21" s="182"/>
      <c r="J21" s="196">
        <f t="shared" si="0"/>
        <v>70804763.370430663</v>
      </c>
      <c r="K21" s="196">
        <f t="shared" si="0"/>
        <v>70588099.696659788</v>
      </c>
      <c r="L21" s="231">
        <f t="shared" si="3"/>
        <v>-0.3</v>
      </c>
      <c r="M21" s="74"/>
    </row>
    <row r="22" spans="1:23" ht="18.75" x14ac:dyDescent="0.3">
      <c r="A22" s="193" t="s">
        <v>126</v>
      </c>
      <c r="B22" s="104">
        <f>'Skjema total MA'!B85</f>
        <v>374786691.41905582</v>
      </c>
      <c r="C22" s="104">
        <f>'Skjema total MA'!C85</f>
        <v>373810169.08005464</v>
      </c>
      <c r="D22" s="233">
        <f t="shared" si="4"/>
        <v>-0.3</v>
      </c>
      <c r="E22" s="182"/>
      <c r="F22" s="196">
        <f>'Skjema total MA'!E85</f>
        <v>156542547.97675839</v>
      </c>
      <c r="G22" s="196">
        <f>'Skjema total MA'!F85</f>
        <v>198886422.12118009</v>
      </c>
      <c r="H22" s="233">
        <f t="shared" si="2"/>
        <v>27</v>
      </c>
      <c r="I22" s="182"/>
      <c r="J22" s="196">
        <f t="shared" si="0"/>
        <v>531329239.39581418</v>
      </c>
      <c r="K22" s="196">
        <f t="shared" si="0"/>
        <v>572696591.2012347</v>
      </c>
      <c r="L22" s="231">
        <f t="shared" si="3"/>
        <v>7.8</v>
      </c>
      <c r="M22" s="74"/>
    </row>
    <row r="23" spans="1:23" ht="22.5" x14ac:dyDescent="0.3">
      <c r="A23" s="193" t="s">
        <v>131</v>
      </c>
      <c r="B23" s="104">
        <f>'Skjema total MA'!B87</f>
        <v>2226220.8276904603</v>
      </c>
      <c r="C23" s="104">
        <f>'Skjema total MA'!C87</f>
        <v>2499099.4692608798</v>
      </c>
      <c r="D23" s="233">
        <f t="shared" si="4"/>
        <v>12.3</v>
      </c>
      <c r="E23" s="182"/>
      <c r="F23" s="196">
        <f>'Skjema total MA'!E87</f>
        <v>156479466.57245839</v>
      </c>
      <c r="G23" s="196">
        <f>'Skjema total MA'!F87</f>
        <v>198527023.85459012</v>
      </c>
      <c r="H23" s="233">
        <f t="shared" si="2"/>
        <v>26.9</v>
      </c>
      <c r="I23" s="182"/>
      <c r="J23" s="196">
        <f t="shared" si="0"/>
        <v>158705687.40014884</v>
      </c>
      <c r="K23" s="196">
        <f t="shared" si="0"/>
        <v>201026123.32385099</v>
      </c>
      <c r="L23" s="231">
        <f t="shared" si="3"/>
        <v>26.7</v>
      </c>
      <c r="M23" s="74"/>
    </row>
    <row r="24" spans="1:23" ht="18.75" x14ac:dyDescent="0.3">
      <c r="A24" s="194" t="s">
        <v>128</v>
      </c>
      <c r="B24" s="104">
        <f>'Skjema total MA'!B94</f>
        <v>96134.063999999998</v>
      </c>
      <c r="C24" s="104">
        <f>'Skjema total MA'!C94</f>
        <v>242629.52984999999</v>
      </c>
      <c r="D24" s="233">
        <f t="shared" si="4"/>
        <v>152.4</v>
      </c>
      <c r="E24" s="182"/>
      <c r="F24" s="196">
        <f>'Skjema total MA'!E94</f>
        <v>63081.404300000002</v>
      </c>
      <c r="G24" s="196">
        <f>'Skjema total MA'!F94</f>
        <v>359398.26659000001</v>
      </c>
      <c r="H24" s="233">
        <f t="shared" si="2"/>
        <v>469.7</v>
      </c>
      <c r="I24" s="182"/>
      <c r="J24" s="196">
        <f t="shared" si="0"/>
        <v>159215.46830000001</v>
      </c>
      <c r="K24" s="196">
        <f t="shared" si="0"/>
        <v>602027.79643999995</v>
      </c>
      <c r="L24" s="231">
        <f t="shared" si="3"/>
        <v>278.10000000000002</v>
      </c>
      <c r="M24" s="74"/>
    </row>
    <row r="25" spans="1:23" ht="22.5" x14ac:dyDescent="0.3">
      <c r="A25" s="193" t="s">
        <v>403</v>
      </c>
      <c r="B25" s="104">
        <f>'Skjema total MA'!B133</f>
        <v>474446576.40594995</v>
      </c>
      <c r="C25" s="104">
        <f>'Skjema total MA'!C133</f>
        <v>501528009.73421001</v>
      </c>
      <c r="D25" s="233">
        <f t="shared" si="4"/>
        <v>5.7</v>
      </c>
      <c r="E25" s="182"/>
      <c r="F25" s="196">
        <f>'Skjema total MA'!E133</f>
        <v>2120218.96215</v>
      </c>
      <c r="G25" s="196">
        <f>'Skjema total MA'!F133</f>
        <v>2288839.25715</v>
      </c>
      <c r="H25" s="233">
        <f t="shared" si="2"/>
        <v>8</v>
      </c>
      <c r="I25" s="182"/>
      <c r="J25" s="196">
        <f t="shared" si="0"/>
        <v>476566795.36809993</v>
      </c>
      <c r="K25" s="196">
        <f t="shared" si="0"/>
        <v>503816848.99136001</v>
      </c>
      <c r="L25" s="231">
        <f t="shared" si="3"/>
        <v>5.7</v>
      </c>
      <c r="M25" s="74"/>
    </row>
    <row r="26" spans="1:23" ht="18.75" x14ac:dyDescent="0.3">
      <c r="A26" s="193" t="s">
        <v>129</v>
      </c>
      <c r="B26" s="104">
        <f>'Skjema total MA'!B35</f>
        <v>4193322.8560000001</v>
      </c>
      <c r="C26" s="104">
        <f>'Skjema total MA'!C35</f>
        <v>4064956.4709999999</v>
      </c>
      <c r="D26" s="233">
        <f t="shared" si="4"/>
        <v>-3.1</v>
      </c>
      <c r="E26" s="182"/>
      <c r="F26" s="196">
        <f>'Skjema total MA'!E35</f>
        <v>0</v>
      </c>
      <c r="G26" s="196">
        <f>'Skjema total MA'!F35</f>
        <v>0</v>
      </c>
      <c r="H26" s="233"/>
      <c r="I26" s="182"/>
      <c r="J26" s="196">
        <f t="shared" si="0"/>
        <v>4193322.8560000001</v>
      </c>
      <c r="K26" s="196">
        <f t="shared" si="0"/>
        <v>4064956.4709999999</v>
      </c>
      <c r="L26" s="231">
        <f t="shared" si="3"/>
        <v>-3.1</v>
      </c>
      <c r="M26" s="74"/>
    </row>
    <row r="27" spans="1:23" s="135" customFormat="1" ht="18.75" x14ac:dyDescent="0.3">
      <c r="A27" s="137" t="s">
        <v>132</v>
      </c>
      <c r="B27" s="110">
        <f>'Tabel 1.1'!G31</f>
        <v>930409366.95373988</v>
      </c>
      <c r="C27" s="198">
        <f>'Tabel 1.1'!H31</f>
        <v>953364283.5438199</v>
      </c>
      <c r="D27" s="233">
        <f t="shared" si="4"/>
        <v>2.5</v>
      </c>
      <c r="E27" s="138"/>
      <c r="F27" s="198">
        <f>'Tabel 1.1'!G45</f>
        <v>206431499.22013998</v>
      </c>
      <c r="G27" s="198">
        <f>'Tabel 1.1'!H45</f>
        <v>258474537.68822002</v>
      </c>
      <c r="H27" s="233">
        <f t="shared" si="2"/>
        <v>25.2</v>
      </c>
      <c r="I27" s="138"/>
      <c r="J27" s="198">
        <f t="shared" si="0"/>
        <v>1136840866.1738799</v>
      </c>
      <c r="K27" s="198">
        <f t="shared" si="0"/>
        <v>1211838821.2320399</v>
      </c>
      <c r="L27" s="231">
        <f t="shared" si="3"/>
        <v>6.6</v>
      </c>
      <c r="M27" s="75"/>
      <c r="N27" s="134"/>
      <c r="O27" s="134"/>
    </row>
    <row r="28" spans="1:23" ht="18.75" x14ac:dyDescent="0.3">
      <c r="A28" s="137"/>
      <c r="B28" s="104"/>
      <c r="C28" s="196"/>
      <c r="D28" s="233"/>
      <c r="E28" s="182"/>
      <c r="F28" s="196"/>
      <c r="G28" s="196"/>
      <c r="H28" s="233"/>
      <c r="I28" s="182"/>
      <c r="J28" s="196">
        <f t="shared" si="0"/>
        <v>0</v>
      </c>
      <c r="K28" s="196">
        <f t="shared" si="0"/>
        <v>0</v>
      </c>
      <c r="L28" s="231"/>
      <c r="M28" s="74"/>
    </row>
    <row r="29" spans="1:23" ht="22.5" x14ac:dyDescent="0.3">
      <c r="A29" s="192" t="s">
        <v>405</v>
      </c>
      <c r="B29" s="200"/>
      <c r="C29" s="203"/>
      <c r="D29" s="196"/>
      <c r="E29" s="182"/>
      <c r="F29" s="196"/>
      <c r="G29" s="196"/>
      <c r="H29" s="233"/>
      <c r="I29" s="182"/>
      <c r="J29" s="196"/>
      <c r="K29" s="196"/>
      <c r="L29" s="231"/>
      <c r="M29" s="74"/>
    </row>
    <row r="30" spans="1:23" ht="18.75" x14ac:dyDescent="0.3">
      <c r="A30" s="193" t="s">
        <v>123</v>
      </c>
      <c r="B30" s="104">
        <f>'Skjema total MA'!B11</f>
        <v>55105</v>
      </c>
      <c r="C30" s="104">
        <f>'Skjema total MA'!C11</f>
        <v>11125</v>
      </c>
      <c r="D30" s="233">
        <f>IF(B30=0, "    ---- ", IF(ABS(ROUND(100/B30*C30-100,1))&lt;999,ROUND(100/B30*C30-100,1),IF(ROUND(100/B30*C30-100,1)&gt;999,999,-999)))</f>
        <v>-79.8</v>
      </c>
      <c r="E30" s="182"/>
      <c r="F30" s="196">
        <f>'Skjema total MA'!E11</f>
        <v>239573.11532000001</v>
      </c>
      <c r="G30" s="196">
        <f>'Skjema total MA'!F11</f>
        <v>160937.64699000001</v>
      </c>
      <c r="H30" s="233">
        <f t="shared" si="2"/>
        <v>-32.799999999999997</v>
      </c>
      <c r="I30" s="182"/>
      <c r="J30" s="196">
        <f t="shared" si="0"/>
        <v>294678.11531999998</v>
      </c>
      <c r="K30" s="196">
        <f t="shared" si="0"/>
        <v>172062.64699000001</v>
      </c>
      <c r="L30" s="231">
        <f t="shared" si="3"/>
        <v>-41.6</v>
      </c>
      <c r="M30" s="74"/>
    </row>
    <row r="31" spans="1:23" ht="18.75" x14ac:dyDescent="0.3">
      <c r="A31" s="193" t="s">
        <v>124</v>
      </c>
      <c r="B31" s="104">
        <f>'Skjema total MA'!B32</f>
        <v>27549.156279999999</v>
      </c>
      <c r="C31" s="104">
        <f>'Skjema total MA'!C32</f>
        <v>23479.014999999999</v>
      </c>
      <c r="D31" s="233">
        <f t="shared" ref="D31:D38" si="5">IF(B31=0, "    ---- ", IF(ABS(ROUND(100/B31*C31-100,1))&lt;999,ROUND(100/B31*C31-100,1),IF(ROUND(100/B31*C31-100,1)&gt;999,999,-999)))</f>
        <v>-14.8</v>
      </c>
      <c r="E31" s="182"/>
      <c r="F31" s="196">
        <f>'Skjema total MA'!E32</f>
        <v>-2656.7276399999992</v>
      </c>
      <c r="G31" s="196">
        <f>'Skjema total MA'!F32</f>
        <v>18732.257140000002</v>
      </c>
      <c r="H31" s="233">
        <f t="shared" si="2"/>
        <v>-805.1</v>
      </c>
      <c r="I31" s="182"/>
      <c r="J31" s="196">
        <f t="shared" si="0"/>
        <v>24892.428639999998</v>
      </c>
      <c r="K31" s="196">
        <f t="shared" si="0"/>
        <v>42211.272140000001</v>
      </c>
      <c r="L31" s="231">
        <f t="shared" si="3"/>
        <v>69.599999999999994</v>
      </c>
      <c r="M31" s="74"/>
    </row>
    <row r="32" spans="1:23" ht="18.75" x14ac:dyDescent="0.3">
      <c r="A32" s="193" t="s">
        <v>126</v>
      </c>
      <c r="B32" s="104">
        <f>'Skjema total MA'!B109</f>
        <v>543703.61654000008</v>
      </c>
      <c r="C32" s="104">
        <f>'Skjema total MA'!C109</f>
        <v>348180.27505</v>
      </c>
      <c r="D32" s="233">
        <f t="shared" si="5"/>
        <v>-36</v>
      </c>
      <c r="E32" s="182"/>
      <c r="F32" s="196">
        <f>'Skjema total MA'!E109</f>
        <v>3032397.5708900001</v>
      </c>
      <c r="G32" s="196">
        <f>'Skjema total MA'!F109</f>
        <v>6470682.6570500005</v>
      </c>
      <c r="H32" s="233">
        <f t="shared" si="2"/>
        <v>113.4</v>
      </c>
      <c r="I32" s="182"/>
      <c r="J32" s="196">
        <f t="shared" si="0"/>
        <v>3576101.1874299999</v>
      </c>
      <c r="K32" s="196">
        <f t="shared" si="0"/>
        <v>6818862.9321000008</v>
      </c>
      <c r="L32" s="231">
        <f t="shared" si="3"/>
        <v>90.7</v>
      </c>
      <c r="M32" s="74"/>
    </row>
    <row r="33" spans="1:15" ht="22.5" x14ac:dyDescent="0.3">
      <c r="A33" s="193" t="s">
        <v>403</v>
      </c>
      <c r="B33" s="104">
        <f>'Skjema total MA'!B134</f>
        <v>1738468.5430000001</v>
      </c>
      <c r="C33" s="104">
        <f>'Skjema total MA'!C134</f>
        <v>183490.30300000001</v>
      </c>
      <c r="D33" s="233">
        <f t="shared" si="5"/>
        <v>-89.4</v>
      </c>
      <c r="E33" s="182"/>
      <c r="F33" s="196">
        <f>'Skjema total MA'!E134</f>
        <v>0</v>
      </c>
      <c r="G33" s="196">
        <f>'Skjema total MA'!F134</f>
        <v>24988.125</v>
      </c>
      <c r="H33" s="233"/>
      <c r="I33" s="182"/>
      <c r="J33" s="196">
        <f t="shared" si="0"/>
        <v>1738468.5430000001</v>
      </c>
      <c r="K33" s="196">
        <f t="shared" si="0"/>
        <v>208478.42800000001</v>
      </c>
      <c r="L33" s="231">
        <f t="shared" si="3"/>
        <v>-88</v>
      </c>
      <c r="M33" s="74"/>
    </row>
    <row r="34" spans="1:15" ht="18.75" x14ac:dyDescent="0.3">
      <c r="A34" s="193" t="s">
        <v>129</v>
      </c>
      <c r="B34" s="104">
        <f>'Skjema total MA'!B36</f>
        <v>0</v>
      </c>
      <c r="C34" s="104">
        <f>'Skjema total MA'!C36</f>
        <v>0</v>
      </c>
      <c r="D34" s="233"/>
      <c r="E34" s="182"/>
      <c r="F34" s="196">
        <f>'Skjema total MA'!E36</f>
        <v>0</v>
      </c>
      <c r="G34" s="196">
        <f>'Skjema total MA'!F36</f>
        <v>0</v>
      </c>
      <c r="H34" s="233"/>
      <c r="I34" s="182"/>
      <c r="J34" s="196">
        <f t="shared" si="0"/>
        <v>0</v>
      </c>
      <c r="K34" s="196">
        <f t="shared" si="0"/>
        <v>0</v>
      </c>
      <c r="L34" s="231"/>
      <c r="M34" s="74"/>
    </row>
    <row r="35" spans="1:15" s="135" customFormat="1" ht="18.75" x14ac:dyDescent="0.3">
      <c r="A35" s="137" t="s">
        <v>133</v>
      </c>
      <c r="B35" s="110">
        <f>SUM(B30:B34)</f>
        <v>2364826.3158200001</v>
      </c>
      <c r="C35" s="198">
        <f>SUM(C30:C34)</f>
        <v>566274.59305000002</v>
      </c>
      <c r="D35" s="233">
        <f t="shared" si="5"/>
        <v>-76.099999999999994</v>
      </c>
      <c r="E35" s="138"/>
      <c r="F35" s="198">
        <f>SUM(F30:F34)</f>
        <v>3269313.9585700002</v>
      </c>
      <c r="G35" s="198">
        <f>SUM(G30:G34)</f>
        <v>6675340.6861800002</v>
      </c>
      <c r="H35" s="233">
        <f t="shared" si="2"/>
        <v>104.2</v>
      </c>
      <c r="I35" s="138"/>
      <c r="J35" s="198">
        <f t="shared" si="0"/>
        <v>5634140.2743900008</v>
      </c>
      <c r="K35" s="198">
        <f t="shared" si="0"/>
        <v>7241615.2792300005</v>
      </c>
      <c r="L35" s="231">
        <f t="shared" si="3"/>
        <v>28.5</v>
      </c>
      <c r="M35" s="75"/>
    </row>
    <row r="36" spans="1:15" ht="18.75" x14ac:dyDescent="0.3">
      <c r="A36" s="137"/>
      <c r="B36" s="110"/>
      <c r="C36" s="198"/>
      <c r="D36" s="233"/>
      <c r="E36" s="138"/>
      <c r="F36" s="198"/>
      <c r="G36" s="198"/>
      <c r="H36" s="233"/>
      <c r="I36" s="138"/>
      <c r="J36" s="196"/>
      <c r="K36" s="196"/>
      <c r="L36" s="231"/>
      <c r="M36" s="74"/>
    </row>
    <row r="37" spans="1:15" ht="22.5" x14ac:dyDescent="0.3">
      <c r="A37" s="137" t="s">
        <v>406</v>
      </c>
      <c r="B37" s="110"/>
      <c r="C37" s="198"/>
      <c r="D37" s="196"/>
      <c r="E37" s="138"/>
      <c r="F37" s="198"/>
      <c r="G37" s="198"/>
      <c r="H37" s="233"/>
      <c r="I37" s="138"/>
      <c r="J37" s="196"/>
      <c r="K37" s="196"/>
      <c r="L37" s="231"/>
      <c r="M37" s="74"/>
    </row>
    <row r="38" spans="1:15" s="135" customFormat="1" ht="18.75" x14ac:dyDescent="0.3">
      <c r="A38" s="137" t="s">
        <v>125</v>
      </c>
      <c r="B38" s="110">
        <f>'Skjema total MA'!B51</f>
        <v>142588.90299999999</v>
      </c>
      <c r="C38" s="110">
        <f>'Skjema total MA'!C51</f>
        <v>141666.20300000001</v>
      </c>
      <c r="D38" s="233">
        <f t="shared" si="5"/>
        <v>-0.6</v>
      </c>
      <c r="E38" s="138"/>
      <c r="F38" s="198"/>
      <c r="G38" s="198"/>
      <c r="H38" s="233"/>
      <c r="I38" s="138"/>
      <c r="J38" s="198">
        <f t="shared" si="0"/>
        <v>142588.90299999999</v>
      </c>
      <c r="K38" s="198">
        <f t="shared" si="0"/>
        <v>141666.20300000001</v>
      </c>
      <c r="L38" s="231">
        <f t="shared" si="3"/>
        <v>-0.6</v>
      </c>
      <c r="M38" s="75"/>
    </row>
    <row r="39" spans="1:15" ht="18.75" x14ac:dyDescent="0.3">
      <c r="A39" s="137"/>
      <c r="B39" s="110"/>
      <c r="C39" s="198"/>
      <c r="D39" s="196"/>
      <c r="E39" s="138"/>
      <c r="F39" s="198"/>
      <c r="G39" s="198"/>
      <c r="H39" s="233"/>
      <c r="I39" s="138"/>
      <c r="J39" s="196"/>
      <c r="K39" s="196"/>
      <c r="L39" s="231"/>
      <c r="M39" s="74"/>
    </row>
    <row r="40" spans="1:15" ht="22.5" x14ac:dyDescent="0.3">
      <c r="A40" s="192" t="s">
        <v>407</v>
      </c>
      <c r="B40" s="200"/>
      <c r="C40" s="203"/>
      <c r="D40" s="196"/>
      <c r="E40" s="182"/>
      <c r="F40" s="196"/>
      <c r="G40" s="196"/>
      <c r="H40" s="233"/>
      <c r="I40" s="182"/>
      <c r="J40" s="196"/>
      <c r="K40" s="196"/>
      <c r="L40" s="231"/>
      <c r="M40" s="74"/>
    </row>
    <row r="41" spans="1:15" ht="18.75" x14ac:dyDescent="0.3">
      <c r="A41" s="193" t="s">
        <v>123</v>
      </c>
      <c r="B41" s="104">
        <f>'Skjema total MA'!B12</f>
        <v>26669.740440000001</v>
      </c>
      <c r="C41" s="104">
        <f>'Skjema total MA'!C12</f>
        <v>716</v>
      </c>
      <c r="D41" s="233">
        <f>IF(B41=0, "    ---- ", IF(ABS(ROUND(100/B41*C41-100,1))&lt;999,ROUND(100/B41*C41-100,1),IF(ROUND(100/B41*C41-100,1)&gt;999,999,-999)))</f>
        <v>-97.3</v>
      </c>
      <c r="E41" s="182"/>
      <c r="F41" s="196">
        <f>'Skjema total MA'!E12</f>
        <v>77556.113299999997</v>
      </c>
      <c r="G41" s="196">
        <f>'Skjema total MA'!F12</f>
        <v>73601.430009999996</v>
      </c>
      <c r="H41" s="233">
        <f t="shared" si="2"/>
        <v>-5.0999999999999996</v>
      </c>
      <c r="I41" s="182"/>
      <c r="J41" s="196">
        <f t="shared" si="0"/>
        <v>104225.85373999999</v>
      </c>
      <c r="K41" s="196">
        <f t="shared" si="0"/>
        <v>74317.430009999996</v>
      </c>
      <c r="L41" s="231">
        <f t="shared" si="3"/>
        <v>-28.7</v>
      </c>
      <c r="M41" s="74"/>
    </row>
    <row r="42" spans="1:15" ht="18.75" x14ac:dyDescent="0.3">
      <c r="A42" s="193" t="s">
        <v>124</v>
      </c>
      <c r="B42" s="104">
        <f>'Skjema total MA'!B33</f>
        <v>-49803.512549999999</v>
      </c>
      <c r="C42" s="104">
        <f>'Skjema total MA'!C33</f>
        <v>-31174.214189999999</v>
      </c>
      <c r="D42" s="233">
        <f t="shared" ref="D42:D46" si="6">IF(B42=0, "    ---- ", IF(ABS(ROUND(100/B42*C42-100,1))&lt;999,ROUND(100/B42*C42-100,1),IF(ROUND(100/B42*C42-100,1)&gt;999,999,-999)))</f>
        <v>-37.4</v>
      </c>
      <c r="E42" s="182"/>
      <c r="F42" s="196">
        <f>'Skjema total MA'!E33</f>
        <v>51565.633950000003</v>
      </c>
      <c r="G42" s="196">
        <f>'Skjema total MA'!F33</f>
        <v>65486.656130000003</v>
      </c>
      <c r="H42" s="233">
        <f t="shared" si="2"/>
        <v>27</v>
      </c>
      <c r="I42" s="182"/>
      <c r="J42" s="196">
        <f t="shared" si="0"/>
        <v>1762.1214000000036</v>
      </c>
      <c r="K42" s="196">
        <f t="shared" si="0"/>
        <v>34312.441940000004</v>
      </c>
      <c r="L42" s="231">
        <f t="shared" si="3"/>
        <v>999</v>
      </c>
      <c r="M42" s="74"/>
    </row>
    <row r="43" spans="1:15" ht="18.75" x14ac:dyDescent="0.3">
      <c r="A43" s="193" t="s">
        <v>126</v>
      </c>
      <c r="B43" s="104">
        <f>'Skjema total MA'!B117</f>
        <v>574390.6490199999</v>
      </c>
      <c r="C43" s="104">
        <f>'Skjema total MA'!C117</f>
        <v>293360.44446999981</v>
      </c>
      <c r="D43" s="233">
        <f t="shared" si="6"/>
        <v>-48.9</v>
      </c>
      <c r="E43" s="182"/>
      <c r="F43" s="196">
        <f>'Skjema total MA'!E117</f>
        <v>2923270.8830299997</v>
      </c>
      <c r="G43" s="196">
        <f>'Skjema total MA'!F117</f>
        <v>6447022.6469000001</v>
      </c>
      <c r="H43" s="233">
        <f t="shared" si="2"/>
        <v>120.5</v>
      </c>
      <c r="I43" s="182"/>
      <c r="J43" s="196">
        <f t="shared" si="0"/>
        <v>3497661.5320499996</v>
      </c>
      <c r="K43" s="196">
        <f t="shared" si="0"/>
        <v>6740383.0913699996</v>
      </c>
      <c r="L43" s="231">
        <f t="shared" si="3"/>
        <v>92.7</v>
      </c>
      <c r="M43" s="74"/>
    </row>
    <row r="44" spans="1:15" ht="22.5" x14ac:dyDescent="0.3">
      <c r="A44" s="193" t="s">
        <v>403</v>
      </c>
      <c r="B44" s="104">
        <f>'Skjema total MA'!B135</f>
        <v>1924172.7790000001</v>
      </c>
      <c r="C44" s="104">
        <f>'Skjema total MA'!C135</f>
        <v>354138.24600000004</v>
      </c>
      <c r="D44" s="233">
        <f t="shared" si="6"/>
        <v>-81.599999999999994</v>
      </c>
      <c r="E44" s="182"/>
      <c r="F44" s="196">
        <f>'Skjema total MA'!E135</f>
        <v>0</v>
      </c>
      <c r="G44" s="196">
        <f>'Skjema total MA'!F135</f>
        <v>0</v>
      </c>
      <c r="H44" s="233"/>
      <c r="I44" s="182"/>
      <c r="J44" s="196">
        <f t="shared" si="0"/>
        <v>1924172.7790000001</v>
      </c>
      <c r="K44" s="196">
        <f t="shared" si="0"/>
        <v>354138.24600000004</v>
      </c>
      <c r="L44" s="231">
        <f t="shared" si="3"/>
        <v>-81.599999999999994</v>
      </c>
      <c r="M44" s="74"/>
    </row>
    <row r="45" spans="1:15" ht="18.75" x14ac:dyDescent="0.3">
      <c r="A45" s="193" t="s">
        <v>129</v>
      </c>
      <c r="B45" s="104">
        <f>'Skjema total MA'!B37</f>
        <v>9</v>
      </c>
      <c r="C45" s="104">
        <f>'Skjema total MA'!C37</f>
        <v>4</v>
      </c>
      <c r="D45" s="233">
        <f t="shared" si="6"/>
        <v>-55.6</v>
      </c>
      <c r="E45" s="182"/>
      <c r="F45" s="196"/>
      <c r="G45" s="196"/>
      <c r="H45" s="233"/>
      <c r="I45" s="182"/>
      <c r="J45" s="196">
        <f t="shared" si="0"/>
        <v>9</v>
      </c>
      <c r="K45" s="196">
        <f t="shared" si="0"/>
        <v>4</v>
      </c>
      <c r="L45" s="231">
        <f t="shared" si="3"/>
        <v>-55.6</v>
      </c>
      <c r="M45" s="74"/>
    </row>
    <row r="46" spans="1:15" s="135" customFormat="1" ht="18.75" x14ac:dyDescent="0.3">
      <c r="A46" s="137" t="s">
        <v>134</v>
      </c>
      <c r="B46" s="110">
        <f>SUM(B41:B45)</f>
        <v>2475438.6559100002</v>
      </c>
      <c r="C46" s="198">
        <f>SUM(C41:C45)</f>
        <v>617044.47627999983</v>
      </c>
      <c r="D46" s="233">
        <f t="shared" si="6"/>
        <v>-75.099999999999994</v>
      </c>
      <c r="E46" s="138"/>
      <c r="F46" s="198">
        <f>SUM(F41:F45)</f>
        <v>3052392.6302799997</v>
      </c>
      <c r="G46" s="277">
        <f>SUM(G41:G45)</f>
        <v>6586110.7330400003</v>
      </c>
      <c r="H46" s="233">
        <f t="shared" si="2"/>
        <v>115.8</v>
      </c>
      <c r="I46" s="138"/>
      <c r="J46" s="198">
        <f t="shared" si="0"/>
        <v>5527831.2861899994</v>
      </c>
      <c r="K46" s="198">
        <f t="shared" si="0"/>
        <v>7203155.2093200004</v>
      </c>
      <c r="L46" s="231">
        <f t="shared" si="3"/>
        <v>30.3</v>
      </c>
      <c r="M46" s="75"/>
      <c r="N46" s="134"/>
      <c r="O46" s="134"/>
    </row>
    <row r="47" spans="1:15" ht="18.75" x14ac:dyDescent="0.3">
      <c r="A47" s="137"/>
      <c r="B47" s="110"/>
      <c r="C47" s="198"/>
      <c r="D47" s="196"/>
      <c r="E47" s="138"/>
      <c r="F47" s="198"/>
      <c r="G47" s="198"/>
      <c r="H47" s="233"/>
      <c r="I47" s="138"/>
      <c r="J47" s="196"/>
      <c r="K47" s="196"/>
      <c r="L47" s="231"/>
      <c r="M47" s="74"/>
    </row>
    <row r="48" spans="1:15" ht="22.5" x14ac:dyDescent="0.3">
      <c r="A48" s="137" t="s">
        <v>408</v>
      </c>
      <c r="B48" s="110"/>
      <c r="C48" s="198"/>
      <c r="D48" s="196"/>
      <c r="E48" s="138"/>
      <c r="F48" s="198"/>
      <c r="G48" s="198"/>
      <c r="H48" s="233"/>
      <c r="I48" s="138"/>
      <c r="J48" s="196"/>
      <c r="K48" s="196"/>
      <c r="L48" s="231"/>
      <c r="M48" s="74"/>
    </row>
    <row r="49" spans="1:15" s="135" customFormat="1" ht="18.75" x14ac:dyDescent="0.3">
      <c r="A49" s="137" t="s">
        <v>125</v>
      </c>
      <c r="B49" s="110">
        <f>'Skjema total MA'!B54</f>
        <v>131957.84700000001</v>
      </c>
      <c r="C49" s="110">
        <f>'Skjema total MA'!C54</f>
        <v>86314.465999999986</v>
      </c>
      <c r="D49" s="233">
        <f t="shared" ref="D49" si="7">IF(B49=0, "    ---- ", IF(ABS(ROUND(100/B49*C49-100,1))&lt;999,ROUND(100/B49*C49-100,1),IF(ROUND(100/B49*C49-100,1)&gt;999,999,-999)))</f>
        <v>-34.6</v>
      </c>
      <c r="E49" s="138"/>
      <c r="F49" s="198"/>
      <c r="G49" s="198"/>
      <c r="H49" s="233"/>
      <c r="I49" s="138"/>
      <c r="J49" s="198">
        <f>SUM(B49+F49)</f>
        <v>131957.84700000001</v>
      </c>
      <c r="K49" s="198">
        <f>SUM(C49+G49)</f>
        <v>86314.465999999986</v>
      </c>
      <c r="L49" s="231">
        <f t="shared" si="3"/>
        <v>-34.6</v>
      </c>
      <c r="M49" s="75"/>
    </row>
    <row r="50" spans="1:15" ht="18.75" x14ac:dyDescent="0.3">
      <c r="A50" s="137"/>
      <c r="B50" s="104"/>
      <c r="C50" s="196"/>
      <c r="D50" s="196"/>
      <c r="E50" s="182"/>
      <c r="F50" s="196"/>
      <c r="G50" s="196"/>
      <c r="H50" s="233"/>
      <c r="I50" s="182"/>
      <c r="J50" s="196"/>
      <c r="K50" s="196"/>
      <c r="L50" s="231"/>
      <c r="M50" s="74"/>
    </row>
    <row r="51" spans="1:15" ht="21.75" x14ac:dyDescent="0.3">
      <c r="A51" s="192" t="s">
        <v>409</v>
      </c>
      <c r="B51" s="104"/>
      <c r="C51" s="196"/>
      <c r="D51" s="196"/>
      <c r="E51" s="182"/>
      <c r="F51" s="196"/>
      <c r="G51" s="196"/>
      <c r="H51" s="233"/>
      <c r="I51" s="182"/>
      <c r="J51" s="196"/>
      <c r="K51" s="196"/>
      <c r="L51" s="231"/>
      <c r="M51" s="74"/>
    </row>
    <row r="52" spans="1:15" ht="18.75" x14ac:dyDescent="0.3">
      <c r="A52" s="193" t="s">
        <v>123</v>
      </c>
      <c r="B52" s="104">
        <f>B30-B41</f>
        <v>28435.259559999999</v>
      </c>
      <c r="C52" s="196">
        <f>C30-C41</f>
        <v>10409</v>
      </c>
      <c r="D52" s="233">
        <f>IF(B52=0, "    ---- ", IF(ABS(ROUND(100/B52*C52-100,1))&lt;999,ROUND(100/B52*C52-100,1),IF(ROUND(100/B52*C52-100,1)&gt;999,999,-999)))</f>
        <v>-63.4</v>
      </c>
      <c r="E52" s="182"/>
      <c r="F52" s="196">
        <f>F30-F41</f>
        <v>162017.00202000001</v>
      </c>
      <c r="G52" s="196">
        <f>G30-G41</f>
        <v>87336.216980000012</v>
      </c>
      <c r="H52" s="233">
        <f t="shared" si="2"/>
        <v>-46.1</v>
      </c>
      <c r="I52" s="182"/>
      <c r="J52" s="196">
        <f t="shared" si="0"/>
        <v>190452.26158000002</v>
      </c>
      <c r="K52" s="196">
        <f t="shared" si="0"/>
        <v>97745.216980000012</v>
      </c>
      <c r="L52" s="231">
        <f t="shared" si="3"/>
        <v>-48.7</v>
      </c>
      <c r="M52" s="74"/>
    </row>
    <row r="53" spans="1:15" ht="18.75" x14ac:dyDescent="0.3">
      <c r="A53" s="193" t="s">
        <v>124</v>
      </c>
      <c r="B53" s="104">
        <f t="shared" ref="B53:C56" si="8">B31-B42</f>
        <v>77352.668829999995</v>
      </c>
      <c r="C53" s="196">
        <f t="shared" si="8"/>
        <v>54653.229189999998</v>
      </c>
      <c r="D53" s="233">
        <f t="shared" ref="D53:D60" si="9">IF(B53=0, "    ---- ", IF(ABS(ROUND(100/B53*C53-100,1))&lt;999,ROUND(100/B53*C53-100,1),IF(ROUND(100/B53*C53-100,1)&gt;999,999,-999)))</f>
        <v>-29.3</v>
      </c>
      <c r="E53" s="182"/>
      <c r="F53" s="196">
        <f t="shared" ref="F53:G56" si="10">F31-F42</f>
        <v>-54222.36159</v>
      </c>
      <c r="G53" s="196">
        <f t="shared" si="10"/>
        <v>-46754.398990000002</v>
      </c>
      <c r="H53" s="233">
        <f t="shared" si="2"/>
        <v>-13.8</v>
      </c>
      <c r="I53" s="182"/>
      <c r="J53" s="196">
        <f t="shared" si="0"/>
        <v>23130.307239999995</v>
      </c>
      <c r="K53" s="196">
        <f t="shared" si="0"/>
        <v>7898.8301999999967</v>
      </c>
      <c r="L53" s="231">
        <f t="shared" si="3"/>
        <v>-65.900000000000006</v>
      </c>
      <c r="M53" s="74"/>
    </row>
    <row r="54" spans="1:15" ht="18.75" x14ac:dyDescent="0.3">
      <c r="A54" s="193" t="s">
        <v>126</v>
      </c>
      <c r="B54" s="104">
        <f t="shared" si="8"/>
        <v>-30687.03247999982</v>
      </c>
      <c r="C54" s="196">
        <f t="shared" si="8"/>
        <v>54819.830580000184</v>
      </c>
      <c r="D54" s="233">
        <f t="shared" si="9"/>
        <v>-278.60000000000002</v>
      </c>
      <c r="E54" s="182"/>
      <c r="F54" s="196">
        <f t="shared" si="10"/>
        <v>109126.68786000041</v>
      </c>
      <c r="G54" s="196">
        <f t="shared" si="10"/>
        <v>23660.010150000453</v>
      </c>
      <c r="H54" s="233">
        <f t="shared" si="2"/>
        <v>-78.3</v>
      </c>
      <c r="I54" s="182"/>
      <c r="J54" s="196">
        <f t="shared" si="0"/>
        <v>78439.655380000593</v>
      </c>
      <c r="K54" s="196">
        <f t="shared" si="0"/>
        <v>78479.840730000637</v>
      </c>
      <c r="L54" s="231">
        <f t="shared" si="3"/>
        <v>0.1</v>
      </c>
      <c r="M54" s="74"/>
    </row>
    <row r="55" spans="1:15" ht="22.5" x14ac:dyDescent="0.3">
      <c r="A55" s="193" t="s">
        <v>403</v>
      </c>
      <c r="B55" s="104">
        <f t="shared" si="8"/>
        <v>-185704.23600000003</v>
      </c>
      <c r="C55" s="196">
        <f t="shared" si="8"/>
        <v>-170647.94300000003</v>
      </c>
      <c r="D55" s="233">
        <f t="shared" si="9"/>
        <v>-8.1</v>
      </c>
      <c r="E55" s="182"/>
      <c r="F55" s="196">
        <f t="shared" si="10"/>
        <v>0</v>
      </c>
      <c r="G55" s="196">
        <f t="shared" si="10"/>
        <v>24988.125</v>
      </c>
      <c r="H55" s="233"/>
      <c r="I55" s="182"/>
      <c r="J55" s="196">
        <f t="shared" si="0"/>
        <v>-185704.23600000003</v>
      </c>
      <c r="K55" s="196">
        <f t="shared" si="0"/>
        <v>-145659.81800000003</v>
      </c>
      <c r="L55" s="231">
        <f t="shared" si="3"/>
        <v>-21.6</v>
      </c>
      <c r="M55" s="74"/>
    </row>
    <row r="56" spans="1:15" ht="18.75" x14ac:dyDescent="0.3">
      <c r="A56" s="193" t="s">
        <v>129</v>
      </c>
      <c r="B56" s="104">
        <f t="shared" si="8"/>
        <v>-9</v>
      </c>
      <c r="C56" s="196">
        <f t="shared" si="8"/>
        <v>-4</v>
      </c>
      <c r="D56" s="233">
        <f t="shared" si="9"/>
        <v>-55.6</v>
      </c>
      <c r="E56" s="182"/>
      <c r="F56" s="196">
        <f t="shared" si="10"/>
        <v>0</v>
      </c>
      <c r="G56" s="196">
        <f t="shared" si="10"/>
        <v>0</v>
      </c>
      <c r="H56" s="233"/>
      <c r="I56" s="182"/>
      <c r="J56" s="196">
        <f t="shared" si="0"/>
        <v>-9</v>
      </c>
      <c r="K56" s="196">
        <f t="shared" si="0"/>
        <v>-4</v>
      </c>
      <c r="L56" s="231">
        <f t="shared" si="3"/>
        <v>-55.6</v>
      </c>
      <c r="M56" s="74"/>
    </row>
    <row r="57" spans="1:15" s="135" customFormat="1" ht="18.75" x14ac:dyDescent="0.3">
      <c r="A57" s="137" t="s">
        <v>135</v>
      </c>
      <c r="B57" s="110">
        <f>SUM(B52:B56)</f>
        <v>-110612.34008999987</v>
      </c>
      <c r="C57" s="198">
        <f>SUM(C52:C56)</f>
        <v>-50769.883229999847</v>
      </c>
      <c r="D57" s="233">
        <f>IF(B57=0, "    ---- ", IF(ABS(ROUND(100/B57*C57-100,1))&lt;999,ROUND(100/B57*C57-100,1),IF(ROUND(100/B57*C57-100,1)&gt;999,999,-999)))</f>
        <v>-54.1</v>
      </c>
      <c r="E57" s="138"/>
      <c r="F57" s="198">
        <f>SUM(F52:F56)</f>
        <v>216921.32829000044</v>
      </c>
      <c r="G57" s="277">
        <f>SUM(G52:G56)</f>
        <v>89229.953140000463</v>
      </c>
      <c r="H57" s="233">
        <f t="shared" si="2"/>
        <v>-58.9</v>
      </c>
      <c r="I57" s="138"/>
      <c r="J57" s="198">
        <f t="shared" si="0"/>
        <v>106308.98820000057</v>
      </c>
      <c r="K57" s="196">
        <f t="shared" si="0"/>
        <v>38460.069910000617</v>
      </c>
      <c r="L57" s="231">
        <f t="shared" si="3"/>
        <v>-63.8</v>
      </c>
      <c r="M57" s="75"/>
      <c r="N57" s="134"/>
      <c r="O57" s="134"/>
    </row>
    <row r="58" spans="1:15" ht="18.75" x14ac:dyDescent="0.3">
      <c r="A58" s="137"/>
      <c r="B58" s="110"/>
      <c r="C58" s="198"/>
      <c r="D58" s="233"/>
      <c r="E58" s="138"/>
      <c r="F58" s="198"/>
      <c r="G58" s="198"/>
      <c r="H58" s="233"/>
      <c r="I58" s="138"/>
      <c r="J58" s="198"/>
      <c r="K58" s="196"/>
      <c r="L58" s="231"/>
      <c r="M58" s="74"/>
    </row>
    <row r="59" spans="1:15" ht="22.5" x14ac:dyDescent="0.3">
      <c r="A59" s="137" t="s">
        <v>410</v>
      </c>
      <c r="B59" s="110"/>
      <c r="C59" s="198"/>
      <c r="D59" s="233"/>
      <c r="E59" s="138"/>
      <c r="F59" s="198"/>
      <c r="G59" s="198"/>
      <c r="H59" s="233"/>
      <c r="I59" s="138"/>
      <c r="J59" s="198"/>
      <c r="K59" s="196"/>
      <c r="L59" s="231"/>
      <c r="M59" s="74"/>
    </row>
    <row r="60" spans="1:15" s="135" customFormat="1" ht="18.75" x14ac:dyDescent="0.3">
      <c r="A60" s="137" t="s">
        <v>125</v>
      </c>
      <c r="B60" s="110">
        <f>B38-B49</f>
        <v>10631.055999999982</v>
      </c>
      <c r="C60" s="198">
        <f>C38-C49</f>
        <v>55351.737000000023</v>
      </c>
      <c r="D60" s="233">
        <f t="shared" si="9"/>
        <v>420.7</v>
      </c>
      <c r="E60" s="138"/>
      <c r="F60" s="198">
        <f>F38-F49</f>
        <v>0</v>
      </c>
      <c r="G60" s="198">
        <f>G38-G49</f>
        <v>0</v>
      </c>
      <c r="H60" s="233"/>
      <c r="I60" s="138"/>
      <c r="J60" s="198">
        <f t="shared" si="0"/>
        <v>10631.055999999982</v>
      </c>
      <c r="K60" s="196">
        <f t="shared" si="0"/>
        <v>55351.737000000023</v>
      </c>
      <c r="L60" s="231">
        <f t="shared" si="3"/>
        <v>420.7</v>
      </c>
      <c r="M60" s="75"/>
    </row>
    <row r="61" spans="1:15" s="135" customFormat="1" ht="18.75" x14ac:dyDescent="0.3">
      <c r="A61" s="195"/>
      <c r="B61" s="115"/>
      <c r="C61" s="199"/>
      <c r="D61" s="204"/>
      <c r="E61" s="138"/>
      <c r="F61" s="199"/>
      <c r="G61" s="199"/>
      <c r="H61" s="204"/>
      <c r="I61" s="138"/>
      <c r="J61" s="204"/>
      <c r="K61" s="204"/>
      <c r="L61" s="204"/>
      <c r="M61" s="75"/>
    </row>
    <row r="62" spans="1:15" ht="18.75" x14ac:dyDescent="0.3">
      <c r="A62" s="112" t="s">
        <v>136</v>
      </c>
      <c r="C62" s="139"/>
      <c r="D62" s="139"/>
      <c r="E62" s="139"/>
      <c r="F62" s="139"/>
      <c r="G62" s="112"/>
      <c r="H62" s="74"/>
      <c r="I62" s="112"/>
      <c r="J62" s="112"/>
      <c r="K62" s="112"/>
      <c r="L62" s="74"/>
      <c r="M62" s="74"/>
    </row>
    <row r="63" spans="1:15" ht="18.75" x14ac:dyDescent="0.3">
      <c r="A63" s="112" t="s">
        <v>137</v>
      </c>
      <c r="C63" s="139"/>
      <c r="D63" s="139"/>
      <c r="E63" s="139"/>
      <c r="F63" s="139"/>
      <c r="G63" s="74"/>
      <c r="H63" s="74"/>
      <c r="I63" s="74"/>
      <c r="J63" s="74"/>
      <c r="K63" s="74"/>
      <c r="L63" s="74"/>
      <c r="M63" s="74"/>
    </row>
    <row r="64" spans="1:15" ht="18.75" x14ac:dyDescent="0.3">
      <c r="A64" s="112" t="s">
        <v>116</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showGridLines="0" zoomScale="80" zoomScaleNormal="8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85</v>
      </c>
      <c r="B1" s="73" t="s">
        <v>56</v>
      </c>
      <c r="C1" s="80"/>
      <c r="D1" s="80"/>
      <c r="E1" s="80"/>
      <c r="F1" s="74"/>
      <c r="G1" s="74"/>
      <c r="H1" s="74"/>
      <c r="I1" s="74"/>
      <c r="J1" s="74"/>
    </row>
    <row r="2" spans="1:10" ht="20.100000000000001" customHeight="1" x14ac:dyDescent="0.3">
      <c r="A2" s="80" t="s">
        <v>175</v>
      </c>
      <c r="B2" s="80"/>
      <c r="C2" s="80"/>
      <c r="D2" s="80"/>
      <c r="E2" s="80"/>
      <c r="F2" s="74"/>
      <c r="G2" s="74"/>
      <c r="H2" s="74"/>
      <c r="I2" s="74"/>
      <c r="J2" s="74"/>
    </row>
    <row r="3" spans="1:10" ht="20.100000000000001" customHeight="1" x14ac:dyDescent="0.3">
      <c r="A3" s="75"/>
      <c r="B3" s="75"/>
      <c r="C3" s="75"/>
      <c r="D3" s="75"/>
      <c r="E3" s="261"/>
      <c r="F3" s="74"/>
      <c r="G3" s="74"/>
      <c r="H3" s="74"/>
      <c r="I3" s="74"/>
      <c r="J3" s="74"/>
    </row>
    <row r="4" spans="1:10" ht="20.100000000000001" customHeight="1" x14ac:dyDescent="0.3">
      <c r="A4" s="262"/>
      <c r="B4" s="659" t="s">
        <v>176</v>
      </c>
      <c r="C4" s="659"/>
      <c r="D4" s="660"/>
      <c r="E4" s="89"/>
      <c r="F4" s="661" t="s">
        <v>176</v>
      </c>
      <c r="G4" s="659"/>
      <c r="H4" s="660"/>
      <c r="I4" s="74"/>
      <c r="J4" s="74"/>
    </row>
    <row r="5" spans="1:10" ht="18.75" customHeight="1" x14ac:dyDescent="0.3">
      <c r="A5" s="263" t="s">
        <v>421</v>
      </c>
      <c r="B5" s="662" t="s">
        <v>177</v>
      </c>
      <c r="C5" s="663"/>
      <c r="D5" s="664"/>
      <c r="E5" s="264"/>
      <c r="F5" s="665" t="s">
        <v>178</v>
      </c>
      <c r="G5" s="666"/>
      <c r="H5" s="667"/>
      <c r="I5" s="112"/>
      <c r="J5" s="74"/>
    </row>
    <row r="6" spans="1:10" ht="18.75" customHeight="1" x14ac:dyDescent="0.3">
      <c r="A6" s="122"/>
      <c r="B6" s="120"/>
      <c r="C6" s="192"/>
      <c r="D6" s="265" t="s">
        <v>90</v>
      </c>
      <c r="E6" s="265"/>
      <c r="F6" s="123"/>
      <c r="G6" s="124"/>
      <c r="H6" s="94" t="s">
        <v>90</v>
      </c>
      <c r="I6" s="100"/>
      <c r="J6" s="74"/>
    </row>
    <row r="7" spans="1:10" ht="18.75" customHeight="1" x14ac:dyDescent="0.3">
      <c r="A7" s="126"/>
      <c r="B7" s="97">
        <v>2016</v>
      </c>
      <c r="C7" s="97">
        <v>2017</v>
      </c>
      <c r="D7" s="266" t="s">
        <v>92</v>
      </c>
      <c r="E7" s="265"/>
      <c r="F7" s="97">
        <v>2016</v>
      </c>
      <c r="G7" s="127">
        <v>2017</v>
      </c>
      <c r="H7" s="267" t="s">
        <v>92</v>
      </c>
      <c r="I7" s="100"/>
      <c r="J7" s="74"/>
    </row>
    <row r="8" spans="1:10" ht="18.75" customHeight="1" x14ac:dyDescent="0.3">
      <c r="A8" s="101" t="s">
        <v>179</v>
      </c>
      <c r="B8" s="109">
        <f>SUM(B9:B14)</f>
        <v>126112.70013756999</v>
      </c>
      <c r="C8" s="109">
        <f>SUM(C9:C14)</f>
        <v>222095.05669204</v>
      </c>
      <c r="D8" s="268">
        <f t="shared" ref="D8:D38" si="0">IF(B8=0, "    ---- ", IF(ABS(ROUND(100/B8*C8-100,1))&lt;999,ROUND(100/B8*C8-100,1),IF(ROUND(100/B8*C8-100,1)&gt;999,999,-999)))</f>
        <v>76.099999999999994</v>
      </c>
      <c r="E8" s="269"/>
      <c r="F8" s="268">
        <f>SUM(F9:F14)</f>
        <v>99.977600455007504</v>
      </c>
      <c r="G8" s="268">
        <f>SUM(G9:G14)</f>
        <v>98.348239938439278</v>
      </c>
      <c r="H8" s="269">
        <f t="shared" ref="H8:H38" si="1">IF(F8=0, "    ---- ", IF(ABS(ROUND(100/F8*G8-100,1))&lt;999,ROUND(100/F8*G8-100,1),IF(ROUND(100/F8*G8-100,1)&gt;999,999,-999)))</f>
        <v>-1.6</v>
      </c>
      <c r="I8" s="104"/>
      <c r="J8" s="74"/>
    </row>
    <row r="9" spans="1:10" ht="18.75" customHeight="1" x14ac:dyDescent="0.3">
      <c r="A9" s="86" t="s">
        <v>180</v>
      </c>
      <c r="B9" s="106">
        <f>'Tabell 6'!AR21</f>
        <v>2447.4128499000003</v>
      </c>
      <c r="C9" s="106">
        <f>'Tabell 6'!AS21</f>
        <v>3141.672</v>
      </c>
      <c r="D9" s="270">
        <f t="shared" si="0"/>
        <v>28.4</v>
      </c>
      <c r="E9" s="270"/>
      <c r="F9" s="270">
        <f>'Tabell 6'!AR21/'Tabell 6'!AR29*100</f>
        <v>1.9402206422417201</v>
      </c>
      <c r="G9" s="270">
        <f>'Tabell 6'!AS21/'Tabell 6'!AS29*100</f>
        <v>1.3911967076885885</v>
      </c>
      <c r="H9" s="271">
        <f t="shared" si="1"/>
        <v>-28.3</v>
      </c>
      <c r="I9" s="104"/>
      <c r="J9" s="77"/>
    </row>
    <row r="10" spans="1:10" ht="18.75" customHeight="1" x14ac:dyDescent="0.3">
      <c r="A10" s="86" t="s">
        <v>181</v>
      </c>
      <c r="B10" s="105">
        <f>'Tabell 6'!AR18+'Tabell 6'!AR22</f>
        <v>65184.060890239998</v>
      </c>
      <c r="C10" s="105">
        <f>'Tabell 6'!AS18+'Tabell 6'!AS22</f>
        <v>129071.99631083</v>
      </c>
      <c r="D10" s="270">
        <f t="shared" si="0"/>
        <v>98</v>
      </c>
      <c r="E10" s="270"/>
      <c r="F10" s="270">
        <f>('Tabell 6'!AR18+'Tabell 6'!AR22)/'Tabell 6'!AR29*100</f>
        <v>51.675572631545329</v>
      </c>
      <c r="G10" s="270">
        <f>('Tabell 6'!AS18+'Tabell 6'!AS22)/'Tabell 6'!AS29*100</f>
        <v>57.155723551796726</v>
      </c>
      <c r="H10" s="271">
        <f t="shared" si="1"/>
        <v>10.6</v>
      </c>
      <c r="I10" s="104"/>
      <c r="J10" s="74"/>
    </row>
    <row r="11" spans="1:10" ht="18.75" customHeight="1" x14ac:dyDescent="0.3">
      <c r="A11" s="86" t="s">
        <v>182</v>
      </c>
      <c r="B11" s="105">
        <f>'Tabell 6'!AR14</f>
        <v>1003.0613467500001</v>
      </c>
      <c r="C11" s="105">
        <f>'Tabell 6'!AS14</f>
        <v>1004.6569507500001</v>
      </c>
      <c r="D11" s="270">
        <f t="shared" si="0"/>
        <v>0.2</v>
      </c>
      <c r="E11" s="270"/>
      <c r="F11" s="270">
        <f>'Tabell 6'!AR14/'Tabell 6'!AR29*100</f>
        <v>0.79519086061783506</v>
      </c>
      <c r="G11" s="270">
        <f>'Tabell 6'!AS14/'Tabell 6'!AS29*100</f>
        <v>0.44488267465217768</v>
      </c>
      <c r="H11" s="271">
        <f t="shared" si="1"/>
        <v>-44.1</v>
      </c>
      <c r="I11" s="104"/>
      <c r="J11" s="74"/>
    </row>
    <row r="12" spans="1:10" ht="18.75" customHeight="1" x14ac:dyDescent="0.3">
      <c r="A12" s="108" t="s">
        <v>183</v>
      </c>
      <c r="B12" s="105">
        <f>'Tabell 6'!AR15</f>
        <v>21017.737532120002</v>
      </c>
      <c r="C12" s="105">
        <f>'Tabell 6'!AS15</f>
        <v>36498.891418719999</v>
      </c>
      <c r="D12" s="272">
        <f t="shared" si="0"/>
        <v>73.7</v>
      </c>
      <c r="E12" s="272"/>
      <c r="F12" s="270">
        <f>'Tabell 6'!AR15/'Tabell 6'!AR29*100</f>
        <v>16.662104317505719</v>
      </c>
      <c r="G12" s="270">
        <f>'Tabell 6'!AS15/'Tabell 6'!AS29*100</f>
        <v>16.162456671481472</v>
      </c>
      <c r="H12" s="271">
        <f t="shared" si="1"/>
        <v>-3</v>
      </c>
      <c r="I12" s="104"/>
      <c r="J12" s="74"/>
    </row>
    <row r="13" spans="1:10" ht="18.75" customHeight="1" x14ac:dyDescent="0.3">
      <c r="A13" s="86" t="s">
        <v>184</v>
      </c>
      <c r="B13" s="105">
        <f>'Tabell 6'!AR19+'Tabell 6'!AR23</f>
        <v>16628.334153609998</v>
      </c>
      <c r="C13" s="105">
        <f>'Tabell 6'!AS19+'Tabell 6'!AS23</f>
        <v>29786.128811879997</v>
      </c>
      <c r="D13" s="270">
        <f t="shared" si="0"/>
        <v>79.099999999999994</v>
      </c>
      <c r="E13" s="270"/>
      <c r="F13" s="270">
        <f>('Tabell 6'!AR19+'Tabell 6'!AR23)/'Tabell 6'!AR29*100</f>
        <v>13.182343621447174</v>
      </c>
      <c r="G13" s="270">
        <f>('Tabell 6'!AS19+'Tabell 6'!AS23)/'Tabell 6'!AS29*100</f>
        <v>13.189907901867432</v>
      </c>
      <c r="H13" s="271">
        <f t="shared" si="1"/>
        <v>0.1</v>
      </c>
      <c r="I13" s="104"/>
      <c r="J13" s="74"/>
    </row>
    <row r="14" spans="1:10" ht="18.75" customHeight="1" x14ac:dyDescent="0.3">
      <c r="A14" s="86" t="s">
        <v>185</v>
      </c>
      <c r="B14" s="176">
        <f>'Tabell 6'!AR17-'Tabell 6'!AR18+'Tabell 6'!AR24+'Tabell 6'!AR25+'Tabell 6'!AR26+'Tabell 6'!AR28</f>
        <v>19832.093364949997</v>
      </c>
      <c r="C14" s="176">
        <f>'Tabell 6'!AS17-'Tabell 6'!AS18+'Tabell 6'!AS24+'Tabell 6'!AS25+'Tabell 6'!AS26+'Tabell 6'!AS28</f>
        <v>22591.711199859994</v>
      </c>
      <c r="D14" s="270">
        <f t="shared" si="0"/>
        <v>13.9</v>
      </c>
      <c r="E14" s="270"/>
      <c r="F14" s="270">
        <f>('Tabell 6'!AR17-'Tabell 6'!AR18+'Tabell 6'!AR24+'Tabell 6'!AR25+'Tabell 6'!AR26+'Tabell 6'!AR28)/'Tabell 6'!AR29*100</f>
        <v>15.722168381649727</v>
      </c>
      <c r="G14" s="270">
        <f>('Tabell 6'!AS17-'Tabell 6'!AS18+'Tabell 6'!AS24+'Tabell 6'!AS25+'Tabell 6'!AS26+'Tabell 6'!AS28)/'Tabell 6'!AS29*100</f>
        <v>10.004072430952892</v>
      </c>
      <c r="H14" s="271">
        <f t="shared" si="1"/>
        <v>-36.4</v>
      </c>
      <c r="I14" s="104"/>
      <c r="J14" s="74"/>
    </row>
    <row r="15" spans="1:10" ht="18.75" customHeight="1" x14ac:dyDescent="0.3">
      <c r="A15" s="193"/>
      <c r="B15" s="103"/>
      <c r="C15" s="176"/>
      <c r="D15" s="271"/>
      <c r="E15" s="271"/>
      <c r="F15" s="271"/>
      <c r="G15" s="270"/>
      <c r="H15" s="271"/>
      <c r="I15" s="104"/>
      <c r="J15" s="74"/>
    </row>
    <row r="16" spans="1:10" s="135" customFormat="1" ht="18.75" customHeight="1" x14ac:dyDescent="0.3">
      <c r="A16" s="101" t="s">
        <v>186</v>
      </c>
      <c r="B16" s="109">
        <f>SUM(B17:B22)</f>
        <v>997012.73976354988</v>
      </c>
      <c r="C16" s="109">
        <f>SUM(C17:C22)</f>
        <v>1588772.5298037801</v>
      </c>
      <c r="D16" s="268">
        <f t="shared" si="0"/>
        <v>59.4</v>
      </c>
      <c r="E16" s="268"/>
      <c r="F16" s="268">
        <f>SUM(F17:F22)</f>
        <v>100.00000351244572</v>
      </c>
      <c r="G16" s="268">
        <f>SUM(G17:G22)</f>
        <v>99.999999999752006</v>
      </c>
      <c r="H16" s="269">
        <f t="shared" si="1"/>
        <v>0</v>
      </c>
      <c r="I16" s="110"/>
      <c r="J16" s="75"/>
    </row>
    <row r="17" spans="1:10" ht="18.75" customHeight="1" x14ac:dyDescent="0.3">
      <c r="A17" s="86" t="s">
        <v>180</v>
      </c>
      <c r="B17" s="103">
        <f>'Tabell 6'!AR40</f>
        <v>136871.60286318001</v>
      </c>
      <c r="C17" s="103">
        <f>'Tabell 6'!AS40</f>
        <v>223768.84913120003</v>
      </c>
      <c r="D17" s="270">
        <f t="shared" si="0"/>
        <v>63.5</v>
      </c>
      <c r="E17" s="270"/>
      <c r="F17" s="270">
        <f>'Tabell 6'!AR40/('Tabell 6'!AR45+'Tabell 6'!AR46)*100</f>
        <v>13.728170384581148</v>
      </c>
      <c r="G17" s="270">
        <f>'Tabell 6'!AS40/('Tabell 6'!AS45+'Tabell 6'!AS46)*100</f>
        <v>14.084385582766934</v>
      </c>
      <c r="H17" s="271">
        <f t="shared" si="1"/>
        <v>2.6</v>
      </c>
      <c r="I17" s="104"/>
      <c r="J17" s="74"/>
    </row>
    <row r="18" spans="1:10" ht="18.75" customHeight="1" x14ac:dyDescent="0.3">
      <c r="A18" s="86" t="s">
        <v>181</v>
      </c>
      <c r="B18" s="103">
        <f>'Tabell 6'!AR37+'Tabell 6'!AR41</f>
        <v>402061.20431286999</v>
      </c>
      <c r="C18" s="103">
        <f>'Tabell 6'!AS37+'Tabell 6'!AS41</f>
        <v>588792.33853476006</v>
      </c>
      <c r="D18" s="270">
        <f t="shared" si="0"/>
        <v>46.4</v>
      </c>
      <c r="E18" s="270"/>
      <c r="F18" s="270">
        <f>('Tabell 6'!AR37+'Tabell 6'!AR41)/('Tabell 6'!AR45+'Tabell 6'!AR46)*100</f>
        <v>40.326587855878735</v>
      </c>
      <c r="G18" s="270">
        <f>('Tabell 6'!AS37+'Tabell 6'!AS41)/('Tabell 6'!AS45+'Tabell 6'!AS46)*100</f>
        <v>37.059574450599179</v>
      </c>
      <c r="H18" s="271">
        <f t="shared" si="1"/>
        <v>-8.1</v>
      </c>
      <c r="I18" s="104"/>
      <c r="J18" s="74"/>
    </row>
    <row r="19" spans="1:10" ht="18.75" customHeight="1" x14ac:dyDescent="0.3">
      <c r="A19" s="86" t="s">
        <v>182</v>
      </c>
      <c r="B19" s="103">
        <f>'Tabell 6'!AR33</f>
        <v>16.341999999999999</v>
      </c>
      <c r="C19" s="103">
        <f>'Tabell 6'!AS33</f>
        <v>68.91</v>
      </c>
      <c r="D19" s="270">
        <f t="shared" si="0"/>
        <v>321.7</v>
      </c>
      <c r="E19" s="270"/>
      <c r="F19" s="270">
        <f>'Tabell 6'!AR33/('Tabell 6'!AR45+'Tabell 6'!AR46)*100</f>
        <v>1.6390964650942696E-3</v>
      </c>
      <c r="G19" s="270">
        <f>'Tabell 6'!AS33/('Tabell 6'!AS45+'Tabell 6'!AS46)*100</f>
        <v>4.337310641211789E-3</v>
      </c>
      <c r="H19" s="271">
        <f t="shared" si="1"/>
        <v>164.6</v>
      </c>
      <c r="I19" s="104"/>
      <c r="J19" s="74"/>
    </row>
    <row r="20" spans="1:10" ht="18.75" customHeight="1" x14ac:dyDescent="0.3">
      <c r="A20" s="108" t="s">
        <v>183</v>
      </c>
      <c r="B20" s="105">
        <f>'Tabell 6'!AR34</f>
        <v>117178.70162666</v>
      </c>
      <c r="C20" s="105">
        <f>'Tabell 6'!AS34</f>
        <v>186969.55659456001</v>
      </c>
      <c r="D20" s="272">
        <f t="shared" si="0"/>
        <v>59.6</v>
      </c>
      <c r="E20" s="272"/>
      <c r="F20" s="270">
        <f>'Tabell 6'!AR34/('Tabell 6'!AR45+'Tabell 6'!AR46)*100</f>
        <v>11.752979783416629</v>
      </c>
      <c r="G20" s="270">
        <f>'Tabell 6'!AS34/('Tabell 6'!AS45+'Tabell 6'!AS46)*100</f>
        <v>11.76817656944181</v>
      </c>
      <c r="H20" s="271">
        <f t="shared" si="1"/>
        <v>0.1</v>
      </c>
      <c r="I20" s="104"/>
      <c r="J20" s="74"/>
    </row>
    <row r="21" spans="1:10" ht="18.75" customHeight="1" x14ac:dyDescent="0.3">
      <c r="A21" s="86" t="s">
        <v>184</v>
      </c>
      <c r="B21" s="103">
        <f>'Tabell 6'!AR38+'Tabell 6'!AR42</f>
        <v>311010.84268446988</v>
      </c>
      <c r="C21" s="103">
        <f>'Tabell 6'!AS38+'Tabell 6'!AS42</f>
        <v>567669.23431792005</v>
      </c>
      <c r="D21" s="270">
        <f t="shared" si="0"/>
        <v>82.5</v>
      </c>
      <c r="E21" s="270"/>
      <c r="F21" s="270">
        <f>('Tabell 6'!AR38+'Tabell 6'!AR42)/('Tabell 6'!AR45+'Tabell 6'!AR46)*100</f>
        <v>31.194270765518585</v>
      </c>
      <c r="G21" s="270">
        <f>('Tabell 6'!AS38+'Tabell 6'!AS42)/('Tabell 6'!AS45+'Tabell 6'!AS46)*100</f>
        <v>35.730050946098729</v>
      </c>
      <c r="H21" s="271">
        <f t="shared" si="1"/>
        <v>14.5</v>
      </c>
      <c r="I21" s="104"/>
      <c r="J21" s="74"/>
    </row>
    <row r="22" spans="1:10" ht="18.75" customHeight="1" x14ac:dyDescent="0.3">
      <c r="A22" s="193" t="s">
        <v>185</v>
      </c>
      <c r="B22" s="103">
        <f>'Tabell 6'!AR36-'Tabell 6'!AR37+'Tabell 6'!AR43+'Tabell 6'!AR44+'Tabell 6'!AR46</f>
        <v>29874.046276370009</v>
      </c>
      <c r="C22" s="103">
        <f>'Tabell 6'!AS36-'Tabell 6'!AS37+'Tabell 6'!AS43+'Tabell 6'!AS44+'Tabell 6'!AS46</f>
        <v>21503.641225340001</v>
      </c>
      <c r="D22" s="270">
        <f t="shared" si="0"/>
        <v>-28</v>
      </c>
      <c r="E22" s="270"/>
      <c r="F22" s="271">
        <f>('Tabell 6'!AR36-'Tabell 6'!AR37+'Tabell 6'!AR43+'Tabell 6'!AR44+'Tabell 6'!AR46)/('Tabell 6'!AR45+'Tabell 6'!AR46)*100</f>
        <v>2.9963556265855291</v>
      </c>
      <c r="G22" s="271">
        <f>('Tabell 6'!AS36-'Tabell 6'!AS37+'Tabell 6'!AS43+'Tabell 6'!AS44+'Tabell 6'!AS46)/('Tabell 6'!AS45+'Tabell 6'!AS46)*100</f>
        <v>1.3534751402041463</v>
      </c>
      <c r="H22" s="271">
        <f t="shared" si="1"/>
        <v>-54.8</v>
      </c>
      <c r="I22" s="104"/>
      <c r="J22" s="74"/>
    </row>
    <row r="23" spans="1:10" ht="18.75" customHeight="1" x14ac:dyDescent="0.3">
      <c r="A23" s="86"/>
      <c r="B23" s="176"/>
      <c r="C23" s="176"/>
      <c r="D23" s="271"/>
      <c r="E23" s="270"/>
      <c r="F23" s="270"/>
      <c r="G23" s="271"/>
      <c r="H23" s="271"/>
      <c r="I23" s="182"/>
      <c r="J23" s="74"/>
    </row>
    <row r="24" spans="1:10" ht="18.75" customHeight="1" x14ac:dyDescent="0.3">
      <c r="A24" s="137" t="s">
        <v>187</v>
      </c>
      <c r="B24" s="109">
        <f>SUM(B25:B30)</f>
        <v>206498.092065</v>
      </c>
      <c r="C24" s="109">
        <f>SUM(C25:C30)</f>
        <v>497184.10839228996</v>
      </c>
      <c r="D24" s="268">
        <f t="shared" si="0"/>
        <v>140.80000000000001</v>
      </c>
      <c r="E24" s="268"/>
      <c r="F24" s="269">
        <f>SUM(F25:F30)</f>
        <v>99.999999999999986</v>
      </c>
      <c r="G24" s="269">
        <f>SUM(G25:G30)</f>
        <v>99.999999999999986</v>
      </c>
      <c r="H24" s="271">
        <f t="shared" si="1"/>
        <v>0</v>
      </c>
      <c r="I24" s="182"/>
      <c r="J24" s="74"/>
    </row>
    <row r="25" spans="1:10" ht="18.75" customHeight="1" x14ac:dyDescent="0.3">
      <c r="A25" s="193" t="s">
        <v>180</v>
      </c>
      <c r="B25" s="103">
        <f>'Tabell 6'!AR55</f>
        <v>138958.63181255999</v>
      </c>
      <c r="C25" s="103">
        <f>'Tabell 6'!AS55</f>
        <v>344753.85301095998</v>
      </c>
      <c r="D25" s="270">
        <f t="shared" si="0"/>
        <v>148.1</v>
      </c>
      <c r="E25" s="270"/>
      <c r="F25" s="270">
        <f>'Tabell 6'!AR55/('Tabell 6'!AR60+'Tabell 6'!AR61)*100</f>
        <v>67.292937393736111</v>
      </c>
      <c r="G25" s="270">
        <f>'Tabell 6'!AS55/('Tabell 6'!AS60+'Tabell 6'!AS61)*100</f>
        <v>69.34128569108266</v>
      </c>
      <c r="H25" s="271">
        <f t="shared" si="1"/>
        <v>3</v>
      </c>
      <c r="I25" s="182"/>
      <c r="J25" s="74"/>
    </row>
    <row r="26" spans="1:10" ht="18.75" customHeight="1" x14ac:dyDescent="0.3">
      <c r="A26" s="193" t="s">
        <v>181</v>
      </c>
      <c r="B26" s="103">
        <f>'Tabell 6'!AR52+'Tabell 6'!AR56</f>
        <v>60685.866138779995</v>
      </c>
      <c r="C26" s="103">
        <f>'Tabell 6'!AS52+'Tabell 6'!AS56</f>
        <v>136477.48103249</v>
      </c>
      <c r="D26" s="270">
        <f t="shared" si="0"/>
        <v>124.9</v>
      </c>
      <c r="E26" s="270"/>
      <c r="F26" s="270">
        <f>('Tabell 6'!AR52+'Tabell 6'!AR56)/('Tabell 6'!AR60+'Tabell 6'!AR61)*100</f>
        <v>29.388100166890514</v>
      </c>
      <c r="G26" s="270">
        <f>('Tabell 6'!AS52+'Tabell 6'!AS56)/('Tabell 6'!AS60+'Tabell 6'!AS61)*100</f>
        <v>27.45008915787912</v>
      </c>
      <c r="H26" s="271">
        <f t="shared" si="1"/>
        <v>-6.6</v>
      </c>
      <c r="I26" s="182"/>
      <c r="J26" s="74"/>
    </row>
    <row r="27" spans="1:10" ht="18.75" customHeight="1" x14ac:dyDescent="0.3">
      <c r="A27" s="193" t="s">
        <v>182</v>
      </c>
      <c r="B27" s="103">
        <f>'Tabell 6'!AR48</f>
        <v>0</v>
      </c>
      <c r="C27" s="103">
        <f>'Tabell 6'!AS48</f>
        <v>0</v>
      </c>
      <c r="D27" s="270"/>
      <c r="E27" s="270"/>
      <c r="F27" s="270">
        <f>'Tabell 6'!AR48/('Tabell 6'!AR60+'Tabell 6'!AR61)*100</f>
        <v>0</v>
      </c>
      <c r="G27" s="270">
        <f>'Tabell 6'!AS48/('Tabell 6'!AS60+'Tabell 6'!AS61)*100</f>
        <v>0</v>
      </c>
      <c r="H27" s="271"/>
      <c r="I27" s="182"/>
      <c r="J27" s="74"/>
    </row>
    <row r="28" spans="1:10" ht="18.75" customHeight="1" x14ac:dyDescent="0.3">
      <c r="A28" s="108" t="s">
        <v>183</v>
      </c>
      <c r="B28" s="105">
        <f>'Tabell 6'!AR49</f>
        <v>2903.1306638799997</v>
      </c>
      <c r="C28" s="105">
        <f>'Tabell 6'!AS49</f>
        <v>6833.8019068800004</v>
      </c>
      <c r="D28" s="272">
        <f t="shared" si="0"/>
        <v>135.4</v>
      </c>
      <c r="E28" s="272"/>
      <c r="F28" s="270">
        <f>'Tabell 6'!AR49/('Tabell 6'!AR60+'Tabell 6'!AR61)*100</f>
        <v>1.4058874030497932</v>
      </c>
      <c r="G28" s="270">
        <f>'Tabell 6'!AS49/('Tabell 6'!AS60+'Tabell 6'!AS61)*100</f>
        <v>1.3745012745837741</v>
      </c>
      <c r="H28" s="271">
        <f t="shared" si="1"/>
        <v>-2.2000000000000002</v>
      </c>
      <c r="I28" s="182"/>
      <c r="J28" s="74"/>
    </row>
    <row r="29" spans="1:10" ht="18.75" customHeight="1" x14ac:dyDescent="0.3">
      <c r="A29" s="193" t="s">
        <v>184</v>
      </c>
      <c r="B29" s="103">
        <f>'Tabell 6'!AR53+'Tabell 6'!AR57</f>
        <v>2346.0410514700002</v>
      </c>
      <c r="C29" s="103">
        <f>'Tabell 6'!AS53+'Tabell 6'!AS57</f>
        <v>6279.2918545499997</v>
      </c>
      <c r="D29" s="270">
        <f t="shared" si="0"/>
        <v>167.7</v>
      </c>
      <c r="E29" s="270"/>
      <c r="F29" s="270">
        <f>('Tabell 6'!AR53+'Tabell 6'!AR57)/('Tabell 6'!AR60+'Tabell 6'!AR61)*100</f>
        <v>1.1361078584355782</v>
      </c>
      <c r="G29" s="270">
        <f>('Tabell 6'!AS53+'Tabell 6'!AS57)/('Tabell 6'!AS60+'Tabell 6'!AS61)*100</f>
        <v>1.262971150637721</v>
      </c>
      <c r="H29" s="271">
        <f t="shared" si="1"/>
        <v>11.2</v>
      </c>
      <c r="I29" s="182"/>
      <c r="J29" s="74"/>
    </row>
    <row r="30" spans="1:10" ht="18.75" customHeight="1" x14ac:dyDescent="0.3">
      <c r="A30" s="86" t="s">
        <v>185</v>
      </c>
      <c r="B30" s="103">
        <f>'Tabell 6'!AR51-'Tabell 6'!AR52+'Tabell 6'!AR58+'Tabell 6'!AR59+'Tabell 6'!AR61</f>
        <v>1604.4223983100003</v>
      </c>
      <c r="C30" s="103">
        <f>'Tabell 6'!AS51-'Tabell 6'!AS52+'Tabell 6'!AS58+'Tabell 6'!AS59+'Tabell 6'!AS61</f>
        <v>2839.6805874099996</v>
      </c>
      <c r="D30" s="271">
        <f t="shared" si="0"/>
        <v>77</v>
      </c>
      <c r="E30" s="271"/>
      <c r="F30" s="271">
        <f>('Tabell 6'!AR51-'Tabell 6'!AR52+'Tabell 6'!AR58+'Tabell 6'!AR59+'Tabell 6'!AR61)/('Tabell 6'!AR60+'Tabell 6'!AR61)*100</f>
        <v>0.77696717788800274</v>
      </c>
      <c r="G30" s="271">
        <f>('Tabell 6'!AS51-'Tabell 6'!AS52+'Tabell 6'!AS58+'Tabell 6'!AS59+'Tabell 6'!AS61)/('Tabell 6'!AS60+'Tabell 6'!AS61)*100</f>
        <v>0.57115272581669563</v>
      </c>
      <c r="H30" s="271">
        <f t="shared" si="1"/>
        <v>-26.5</v>
      </c>
      <c r="I30" s="182"/>
      <c r="J30" s="74"/>
    </row>
    <row r="31" spans="1:10" ht="18.75" customHeight="1" x14ac:dyDescent="0.3">
      <c r="A31" s="193"/>
      <c r="B31" s="176"/>
      <c r="C31" s="176"/>
      <c r="D31" s="270"/>
      <c r="E31" s="270"/>
      <c r="F31" s="270"/>
      <c r="G31" s="271"/>
      <c r="H31" s="271"/>
      <c r="I31" s="182"/>
      <c r="J31" s="74"/>
    </row>
    <row r="32" spans="1:10" ht="18.75" customHeight="1" x14ac:dyDescent="0.3">
      <c r="A32" s="137" t="s">
        <v>2</v>
      </c>
      <c r="B32" s="109">
        <f>SUM(B33:B38)</f>
        <v>1329623.5319661198</v>
      </c>
      <c r="C32" s="109">
        <f>SUM(C33:C38)</f>
        <v>2308051.6948881103</v>
      </c>
      <c r="D32" s="268">
        <f t="shared" si="0"/>
        <v>73.599999999999994</v>
      </c>
      <c r="E32" s="268"/>
      <c r="F32" s="268">
        <f>SUM(F33:F38)</f>
        <v>100</v>
      </c>
      <c r="G32" s="268">
        <f>SUM(G33:G38)</f>
        <v>99.999999999999986</v>
      </c>
      <c r="H32" s="269">
        <f t="shared" si="1"/>
        <v>0</v>
      </c>
      <c r="I32" s="182"/>
      <c r="J32" s="74"/>
    </row>
    <row r="33" spans="1:10" ht="18.75" customHeight="1" x14ac:dyDescent="0.3">
      <c r="A33" s="193" t="s">
        <v>180</v>
      </c>
      <c r="B33" s="103">
        <f>B9+B17+B25</f>
        <v>278277.64752563997</v>
      </c>
      <c r="C33" s="103">
        <f t="shared" ref="B33:C38" si="2">C9+C17+C25</f>
        <v>571664.37414215994</v>
      </c>
      <c r="D33" s="270">
        <f t="shared" si="0"/>
        <v>105.4</v>
      </c>
      <c r="E33" s="270"/>
      <c r="F33" s="270">
        <f>B33/B32*100</f>
        <v>20.929055543575529</v>
      </c>
      <c r="G33" s="270">
        <f>C33/C32*100</f>
        <v>24.768265607234291</v>
      </c>
      <c r="H33" s="271">
        <f t="shared" si="1"/>
        <v>18.3</v>
      </c>
      <c r="I33" s="182"/>
      <c r="J33" s="74"/>
    </row>
    <row r="34" spans="1:10" ht="18.75" customHeight="1" x14ac:dyDescent="0.3">
      <c r="A34" s="193" t="s">
        <v>181</v>
      </c>
      <c r="B34" s="103">
        <f t="shared" si="2"/>
        <v>527931.13134188997</v>
      </c>
      <c r="C34" s="103">
        <f t="shared" si="2"/>
        <v>854341.81587808009</v>
      </c>
      <c r="D34" s="270">
        <f t="shared" si="0"/>
        <v>61.8</v>
      </c>
      <c r="E34" s="270"/>
      <c r="F34" s="270">
        <f>B34/B32*100</f>
        <v>39.705308957734523</v>
      </c>
      <c r="G34" s="270">
        <f>C34/C32*100</f>
        <v>37.015714066122634</v>
      </c>
      <c r="H34" s="271">
        <f t="shared" si="1"/>
        <v>-6.8</v>
      </c>
      <c r="I34" s="182"/>
      <c r="J34" s="74"/>
    </row>
    <row r="35" spans="1:10" ht="18.75" customHeight="1" x14ac:dyDescent="0.3">
      <c r="A35" s="193" t="s">
        <v>182</v>
      </c>
      <c r="B35" s="103">
        <f t="shared" si="2"/>
        <v>1019.4033467500001</v>
      </c>
      <c r="C35" s="103">
        <f t="shared" si="2"/>
        <v>1073.5669507500002</v>
      </c>
      <c r="D35" s="270">
        <f t="shared" si="0"/>
        <v>5.3</v>
      </c>
      <c r="E35" s="270"/>
      <c r="F35" s="270">
        <f>B35/B32*100</f>
        <v>7.6668569880273124E-2</v>
      </c>
      <c r="G35" s="270">
        <f>C35/C32*100</f>
        <v>4.6513990701670331E-2</v>
      </c>
      <c r="H35" s="271">
        <f t="shared" si="1"/>
        <v>-39.299999999999997</v>
      </c>
      <c r="I35" s="182"/>
      <c r="J35" s="74"/>
    </row>
    <row r="36" spans="1:10" ht="18.75" customHeight="1" x14ac:dyDescent="0.3">
      <c r="A36" s="108" t="s">
        <v>183</v>
      </c>
      <c r="B36" s="105">
        <f t="shared" si="2"/>
        <v>141099.56982266001</v>
      </c>
      <c r="C36" s="105">
        <f t="shared" si="2"/>
        <v>230302.24992015999</v>
      </c>
      <c r="D36" s="272">
        <f t="shared" si="0"/>
        <v>63.2</v>
      </c>
      <c r="E36" s="272"/>
      <c r="F36" s="270">
        <f>B36/B32*100</f>
        <v>10.611994029168203</v>
      </c>
      <c r="G36" s="270">
        <f>C36/C32*100</f>
        <v>9.9782102121124545</v>
      </c>
      <c r="H36" s="271">
        <f t="shared" si="1"/>
        <v>-6</v>
      </c>
      <c r="I36" s="182"/>
      <c r="J36" s="74"/>
    </row>
    <row r="37" spans="1:10" ht="18.75" customHeight="1" x14ac:dyDescent="0.3">
      <c r="A37" s="193" t="s">
        <v>184</v>
      </c>
      <c r="B37" s="103">
        <f t="shared" si="2"/>
        <v>329985.21788954985</v>
      </c>
      <c r="C37" s="103">
        <f t="shared" si="2"/>
        <v>603734.65498435008</v>
      </c>
      <c r="D37" s="270">
        <f t="shared" si="0"/>
        <v>83</v>
      </c>
      <c r="E37" s="270"/>
      <c r="F37" s="270">
        <f>B37/B32*100</f>
        <v>24.817943572463655</v>
      </c>
      <c r="G37" s="270">
        <f>C37/C32*100</f>
        <v>26.157761384699747</v>
      </c>
      <c r="H37" s="271">
        <f t="shared" si="1"/>
        <v>5.4</v>
      </c>
      <c r="I37" s="182"/>
      <c r="J37" s="74"/>
    </row>
    <row r="38" spans="1:10" ht="18.75" customHeight="1" x14ac:dyDescent="0.3">
      <c r="A38" s="273" t="s">
        <v>185</v>
      </c>
      <c r="B38" s="274">
        <f t="shared" si="2"/>
        <v>51310.562039630007</v>
      </c>
      <c r="C38" s="274">
        <f t="shared" si="2"/>
        <v>46935.033012609994</v>
      </c>
      <c r="D38" s="275">
        <f t="shared" si="0"/>
        <v>-8.5</v>
      </c>
      <c r="E38" s="270"/>
      <c r="F38" s="275">
        <f>B38/B32*100</f>
        <v>3.859029327177812</v>
      </c>
      <c r="G38" s="275">
        <f>C38/C32*100</f>
        <v>2.0335347391291991</v>
      </c>
      <c r="H38" s="276">
        <f t="shared" si="1"/>
        <v>-47.3</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188</v>
      </c>
      <c r="B40" s="112"/>
      <c r="C40" s="112"/>
      <c r="D40" s="112"/>
      <c r="E40" s="112"/>
      <c r="F40" s="182"/>
      <c r="G40" s="182"/>
      <c r="H40" s="182"/>
      <c r="I40" s="182"/>
      <c r="J40" s="74"/>
    </row>
    <row r="41" spans="1:10" ht="18.75" x14ac:dyDescent="0.3">
      <c r="A41" s="112" t="s">
        <v>116</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N301"/>
  <sheetViews>
    <sheetView showGridLines="0" showZeros="0" zoomScaleNormal="100" zoomScaleSheetLayoutView="80" workbookViewId="0">
      <pane xSplit="1" topLeftCell="B1" activePane="topRight" state="frozen"/>
      <selection pane="topRight" activeCell="A4" sqref="A4"/>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45">
        <v>1</v>
      </c>
      <c r="B1" s="4"/>
      <c r="C1" s="4"/>
      <c r="D1" s="4"/>
      <c r="E1" s="4"/>
      <c r="F1" s="4"/>
      <c r="G1" s="4"/>
      <c r="H1" s="4"/>
      <c r="I1" s="4"/>
      <c r="J1" s="4"/>
    </row>
    <row r="2" spans="1:10" ht="15.75" customHeight="1" x14ac:dyDescent="0.25">
      <c r="A2" s="164" t="s">
        <v>32</v>
      </c>
      <c r="B2" s="671"/>
      <c r="C2" s="671"/>
      <c r="D2" s="671"/>
      <c r="E2" s="671"/>
      <c r="F2" s="671"/>
      <c r="G2" s="671"/>
      <c r="H2" s="671"/>
      <c r="I2" s="671"/>
      <c r="J2" s="671"/>
    </row>
    <row r="3" spans="1:10" ht="15.75" customHeight="1" x14ac:dyDescent="0.25">
      <c r="A3" s="162"/>
      <c r="B3" s="295"/>
      <c r="C3" s="295"/>
      <c r="D3" s="295"/>
      <c r="E3" s="295"/>
      <c r="F3" s="295"/>
      <c r="G3" s="295"/>
      <c r="H3" s="295"/>
      <c r="I3" s="295"/>
      <c r="J3" s="295"/>
    </row>
    <row r="4" spans="1:10" ht="15.75" customHeight="1" x14ac:dyDescent="0.2">
      <c r="A4" s="143"/>
      <c r="B4" s="668" t="s">
        <v>0</v>
      </c>
      <c r="C4" s="669"/>
      <c r="D4" s="669"/>
      <c r="E4" s="668" t="s">
        <v>1</v>
      </c>
      <c r="F4" s="669"/>
      <c r="G4" s="669"/>
      <c r="H4" s="668" t="s">
        <v>2</v>
      </c>
      <c r="I4" s="669"/>
      <c r="J4" s="670"/>
    </row>
    <row r="5" spans="1:10" ht="15.75" customHeight="1" x14ac:dyDescent="0.2">
      <c r="A5" s="157"/>
      <c r="B5" s="20" t="s">
        <v>411</v>
      </c>
      <c r="C5" s="20" t="s">
        <v>412</v>
      </c>
      <c r="D5" s="251" t="s">
        <v>3</v>
      </c>
      <c r="E5" s="20" t="s">
        <v>411</v>
      </c>
      <c r="F5" s="20" t="s">
        <v>412</v>
      </c>
      <c r="G5" s="251" t="s">
        <v>3</v>
      </c>
      <c r="H5" s="20" t="s">
        <v>411</v>
      </c>
      <c r="I5" s="20" t="s">
        <v>412</v>
      </c>
      <c r="J5" s="251" t="s">
        <v>3</v>
      </c>
    </row>
    <row r="6" spans="1:10" ht="15.75" customHeight="1" x14ac:dyDescent="0.2">
      <c r="A6" s="435"/>
      <c r="B6" s="15"/>
      <c r="C6" s="15"/>
      <c r="D6" s="17" t="s">
        <v>4</v>
      </c>
      <c r="E6" s="16"/>
      <c r="F6" s="16"/>
      <c r="G6" s="15" t="s">
        <v>4</v>
      </c>
      <c r="H6" s="16"/>
      <c r="I6" s="16"/>
      <c r="J6" s="15" t="s">
        <v>4</v>
      </c>
    </row>
    <row r="7" spans="1:10" s="43" customFormat="1" ht="15.75" customHeight="1" x14ac:dyDescent="0.2">
      <c r="A7" s="14" t="s">
        <v>27</v>
      </c>
      <c r="B7" s="236">
        <f>'ACE European Group'!B7+'Danica Pensjonsforsikring'!B7+'DNB Livsforsikring'!B7+'Eika Forsikring AS'!B7+'Frende Livsforsikring'!B7+'Frende Skadeforsikring'!B7+'Gjensidige Forsikring'!B7+'Gjensidige Pensjon'!B7+'Handelsbanken Liv'!B7+'If Skadeforsikring NUF'!B7+KLP!B7+'KLP Bedriftspensjon AS'!B7+'KLP Skadeforsikring AS'!B7+'Landbruksforsikring AS'!B7+'NEMI Forsikring'!B7+'Nordea Liv '!B7+'Oslo Pensjonsforsikring'!B7+'SHB Liv'!B7+'Silver Pensjonsforsikring AS'!B7+'Sparebank 1'!B7+'Storebrand Livsforsikring'!B7+'Telenor Forsikring'!B7+'Tryg Forsikring'!B7</f>
        <v>2947490.6381328413</v>
      </c>
      <c r="C7" s="236">
        <f>'ACE European Group'!C7+'Danica Pensjonsforsikring'!C7+'DNB Livsforsikring'!C7+'Eika Forsikring AS'!C7+'Frende Livsforsikring'!C7+'Frende Skadeforsikring'!C7+'Gjensidige Forsikring'!C7+'Gjensidige Pensjon'!C7+'Handelsbanken Liv'!C7+'If Skadeforsikring NUF'!C7+KLP!C7+'KLP Bedriftspensjon AS'!C7+'KLP Skadeforsikring AS'!C7+'Landbruksforsikring AS'!C7+'NEMI Forsikring'!C7+'Nordea Liv '!C7+'Oslo Pensjonsforsikring'!C7+'SHB Liv'!C7+'Silver Pensjonsforsikring AS'!C7+'Sparebank 1'!C7+'Storebrand Livsforsikring'!C7+'Telenor Forsikring'!C7+'Tryg Forsikring'!C7</f>
        <v>2722938.174325902</v>
      </c>
      <c r="D7" s="159">
        <f t="shared" ref="D7:D12" si="0">IF(B7=0, "    ---- ", IF(ABS(ROUND(100/B7*C7-100,1))&lt;999,ROUND(100/B7*C7-100,1),IF(ROUND(100/B7*C7-100,1)&gt;999,999,-999)))</f>
        <v>-7.6</v>
      </c>
      <c r="E7" s="236">
        <f>'ACE European Group'!F7+'Danica Pensjonsforsikring'!F7+'DNB Livsforsikring'!F7+'Eika Forsikring AS'!F7+'Frende Livsforsikring'!F7+'Frende Skadeforsikring'!F7+'Gjensidige Forsikring'!F7+'Gjensidige Pensjon'!F7+'Handelsbanken Liv'!F7+'If Skadeforsikring NUF'!F7+KLP!F7+'KLP Bedriftspensjon AS'!F7+'KLP Skadeforsikring AS'!F7+'Landbruksforsikring AS'!F7+'NEMI Forsikring'!F7+'Nordea Liv '!F7+'Oslo Pensjonsforsikring'!F7+'SHB Liv'!F7+'Silver Pensjonsforsikring AS'!F7+'Sparebank 1'!F7+'Storebrand Livsforsikring'!F7+'Telenor Forsikring'!F7+'Tryg Forsikring'!F7</f>
        <v>4917957.6875900002</v>
      </c>
      <c r="F7" s="236">
        <f>'ACE European Group'!G7+'Danica Pensjonsforsikring'!G7+'DNB Livsforsikring'!G7+'Eika Forsikring AS'!G7+'Frende Livsforsikring'!G7+'Frende Skadeforsikring'!G7+'Gjensidige Forsikring'!G7+'Gjensidige Pensjon'!G7+'Handelsbanken Liv'!G7+'If Skadeforsikring NUF'!G7+KLP!G7+'KLP Bedriftspensjon AS'!G7+'KLP Skadeforsikring AS'!G7+'Landbruksforsikring AS'!G7+'NEMI Forsikring'!G7+'Nordea Liv '!G7+'Oslo Pensjonsforsikring'!G7+'SHB Liv'!G7+'Silver Pensjonsforsikring AS'!G7+'Sparebank 1'!G7+'Storebrand Livsforsikring'!G7+'Telenor Forsikring'!G7+'Tryg Forsikring'!G7</f>
        <v>4542315.3688300001</v>
      </c>
      <c r="G7" s="159">
        <f t="shared" ref="G7:G12" si="1">IF(E7=0, "    ---- ", IF(ABS(ROUND(100/E7*F7-100,1))&lt;999,ROUND(100/E7*F7-100,1),IF(ROUND(100/E7*F7-100,1)&gt;999,999,-999)))</f>
        <v>-7.6</v>
      </c>
      <c r="H7" s="282">
        <f t="shared" ref="H7:H12" si="2">B7+E7</f>
        <v>7865448.3257228415</v>
      </c>
      <c r="I7" s="283">
        <f t="shared" ref="I7:I12" si="3">C7+F7</f>
        <v>7265253.5431559021</v>
      </c>
      <c r="J7" s="170">
        <f t="shared" ref="J7:J12" si="4">IF(H7=0, "    ---- ", IF(ABS(ROUND(100/H7*I7-100,1))&lt;999,ROUND(100/H7*I7-100,1),IF(ROUND(100/H7*I7-100,1)&gt;999,999,-999)))</f>
        <v>-7.6</v>
      </c>
    </row>
    <row r="8" spans="1:10" ht="15.75" customHeight="1" x14ac:dyDescent="0.2">
      <c r="A8" s="21" t="s">
        <v>29</v>
      </c>
      <c r="B8" s="44">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Pensjonsforsikring'!B8+'SHB Liv'!B8+'Silver Pensjonsforsikring AS'!B8+'Sparebank 1'!B8+'Storebrand Livsforsikring'!B8+'Telenor Forsikring'!B8+'Tryg Forsikring'!B8</f>
        <v>1471799.0544227564</v>
      </c>
      <c r="C8" s="44">
        <f>'ACE European Group'!C8+'Danica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Pensjonsforsikring'!C8+'SHB Liv'!C8+'Silver Pensjonsforsikring AS'!C8+'Sparebank 1'!C8+'Storebrand Livsforsikring'!C8+'Telenor Forsikring'!C8+'Tryg Forsikring'!C8</f>
        <v>1502538.2111488429</v>
      </c>
      <c r="D8" s="165">
        <f>IF(B8=0, "    ---- ", IF(ABS(ROUND(100/B8*C8-100,1))&lt;999,ROUND(100/B8*C8-100,1),IF(ROUND(100/B8*C8-100,1)&gt;999,999,-999)))</f>
        <v>2.1</v>
      </c>
      <c r="E8" s="187">
        <f>'ACE European Group'!F8+'Danica Pensjonsforsikring'!F8+'DNB Livsforsikring'!F8+'Eika Forsikring AS'!F8+'Frende Livsforsikring'!F8+'Frende Skadeforsikring'!F8+'Gjensidige Forsikring'!F8+'Gjensidige Pensjon'!F8+'Handelsbanken Liv'!F8+'If Skadeforsikring NUF'!F8+KLP!F8+'KLP Bedriftspensjon AS'!F8+'KLP Skadeforsikring AS'!F8+'Landbruksforsikring AS'!F8+'NEMI Forsikring'!F8+'Nordea Liv '!F8+'Oslo Pensjonsforsikring'!F8+'SHB Liv'!F8+'Silver Pensjonsforsikring AS'!F8+'Sparebank 1'!F8+'Storebrand Livsforsikring'!F8+'Telenor Forsikring'!F8+'Tryg Forsikring'!F8</f>
        <v>0</v>
      </c>
      <c r="F8" s="187">
        <f>'ACE European Group'!G8+'Danica Pensjonsforsikring'!G8+'DNB Livsforsikring'!G8+'Eika Forsikring AS'!G8+'Frende Livsforsikring'!G8+'Frende Skadeforsikring'!G8+'Gjensidige Forsikring'!G8+'Gjensidige Pensjon'!G8+'Handelsbanken Liv'!G8+'If Skadeforsikring NUF'!G8+KLP!G8+'KLP Bedriftspensjon AS'!G8+'KLP Skadeforsikring AS'!G8+'Landbruksforsikring AS'!G8+'NEMI Forsikring'!G8+'Nordea Liv '!G8+'Oslo Pensjonsforsikring'!G8+'SHB Liv'!G8+'Silver Pensjonsforsikring AS'!G8+'Sparebank 1'!G8+'Storebrand Livsforsikring'!G8+'Telenor Forsikring'!G8+'Tryg Forsikring'!G8</f>
        <v>0</v>
      </c>
      <c r="G8" s="175"/>
      <c r="H8" s="189">
        <f t="shared" si="2"/>
        <v>1471799.0544227564</v>
      </c>
      <c r="I8" s="190">
        <f t="shared" si="3"/>
        <v>1502538.2111488429</v>
      </c>
      <c r="J8" s="170">
        <f t="shared" si="4"/>
        <v>2.1</v>
      </c>
    </row>
    <row r="9" spans="1:10" ht="15.75" customHeight="1" x14ac:dyDescent="0.2">
      <c r="A9" s="21" t="s">
        <v>28</v>
      </c>
      <c r="B9" s="44">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Pensjonsforsikring'!B9+'SHB Liv'!B9+'Silver Pensjonsforsikring AS'!B9+'Sparebank 1'!B9+'Storebrand Livsforsikring'!B9+'Telenor Forsikring'!B9+'Tryg Forsikring'!B9</f>
        <v>772736.45498935098</v>
      </c>
      <c r="C9" s="44">
        <f>'ACE European Group'!C9+'Danica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Pensjonsforsikring'!C9+'SHB Liv'!C9+'Silver Pensjonsforsikring AS'!C9+'Sparebank 1'!C9+'Storebrand Livsforsikring'!C9+'Telenor Forsikring'!C9+'Tryg Forsikring'!C9</f>
        <v>723943.88079135027</v>
      </c>
      <c r="D9" s="175">
        <f t="shared" si="0"/>
        <v>-6.3</v>
      </c>
      <c r="E9" s="187">
        <f>'ACE European Group'!F9+'Danica Pensjonsforsikring'!F9+'DNB Livsforsikring'!F9+'Eika Forsikring AS'!F9+'Frende Livsforsikring'!F9+'Frende Skadeforsikring'!F9+'Gjensidige Forsikring'!F9+'Gjensidige Pensjon'!F9+'Handelsbanken Liv'!F9+'If Skadeforsikring NUF'!F9+KLP!F9+'KLP Bedriftspensjon AS'!F9+'KLP Skadeforsikring AS'!F9+'Landbruksforsikring AS'!F9+'NEMI Forsikring'!F9+'Nordea Liv '!F9+'Oslo Pensjonsforsikring'!F9+'SHB Liv'!F9+'Silver Pensjonsforsikring AS'!F9+'Sparebank 1'!F9+'Storebrand Livsforsikring'!F9+'Telenor Forsikring'!F9+'Tryg Forsikring'!F9</f>
        <v>0</v>
      </c>
      <c r="F9" s="187">
        <f>'ACE European Group'!G9+'Danica Pensjonsforsikring'!G9+'DNB Livsforsikring'!G9+'Eika Forsikring AS'!G9+'Frende Livsforsikring'!G9+'Frende Skadeforsikring'!G9+'Gjensidige Forsikring'!G9+'Gjensidige Pensjon'!G9+'Handelsbanken Liv'!G9+'If Skadeforsikring NUF'!G9+KLP!G9+'KLP Bedriftspensjon AS'!G9+'KLP Skadeforsikring AS'!G9+'Landbruksforsikring AS'!G9+'NEMI Forsikring'!G9+'Nordea Liv '!G9+'Oslo Pensjonsforsikring'!G9+'SHB Liv'!G9+'Silver Pensjonsforsikring AS'!G9+'Sparebank 1'!G9+'Storebrand Livsforsikring'!G9+'Telenor Forsikring'!G9+'Tryg Forsikring'!G9</f>
        <v>0</v>
      </c>
      <c r="G9" s="175"/>
      <c r="H9" s="189">
        <f t="shared" si="2"/>
        <v>772736.45498935098</v>
      </c>
      <c r="I9" s="190">
        <f t="shared" si="3"/>
        <v>723943.88079135027</v>
      </c>
      <c r="J9" s="170">
        <f t="shared" si="4"/>
        <v>-6.3</v>
      </c>
    </row>
    <row r="10" spans="1:10" s="43" customFormat="1" ht="15.75" customHeight="1" x14ac:dyDescent="0.2">
      <c r="A10" s="13" t="s">
        <v>26</v>
      </c>
      <c r="B10" s="236">
        <f>'ACE European Group'!B10+'Danica Pensjonsforsikring'!B10+'DNB Livsforsikring'!B10+'Eika Forsikring AS'!B10+'Frende Livsforsikring'!B10+'Frende Skadeforsikring'!B10+'Gjensidige Forsikring'!B10+'Gjensidige Pensjon'!B10+'Handelsbanken Liv'!B10+'If Skadeforsikring NUF'!B10+KLP!B10+'KLP Bedriftspensjon AS'!B10+'KLP Skadeforsikring AS'!B10+'Landbruksforsikring AS'!B10+'NEMI Forsikring'!B10+'Nordea Liv '!B10+'Oslo Pensjonsforsikring'!B10+'SHB Liv'!B10+'Silver Pensjonsforsikring AS'!B10+'Sparebank 1'!B10+'Storebrand Livsforsikring'!B10+'Telenor Forsikring'!B10+'Tryg Forsikring'!B10</f>
        <v>24891548.256353438</v>
      </c>
      <c r="C10" s="236">
        <f>'ACE European Group'!C10+'Danica Pensjonsforsikring'!C10+'DNB Livsforsikring'!C10+'Eika Forsikring AS'!C10+'Frende Livsforsikring'!C10+'Frende Skadeforsikring'!C10+'Gjensidige Forsikring'!C10+'Gjensidige Pensjon'!C10+'Handelsbanken Liv'!C10+'If Skadeforsikring NUF'!C10+KLP!C10+'KLP Bedriftspensjon AS'!C10+'KLP Skadeforsikring AS'!C10+'Landbruksforsikring AS'!C10+'NEMI Forsikring'!C10+'Nordea Liv '!C10+'Oslo Pensjonsforsikring'!C10+'SHB Liv'!C10+'Silver Pensjonsforsikring AS'!C10+'Sparebank 1'!C10+'Storebrand Livsforsikring'!C10+'Telenor Forsikring'!C10+'Tryg Forsikring'!C10</f>
        <v>23009416.501435529</v>
      </c>
      <c r="D10" s="159">
        <f t="shared" si="0"/>
        <v>-7.6</v>
      </c>
      <c r="E10" s="236">
        <f>'ACE European Group'!F10+'Danica Pensjonsforsikring'!F10+'DNB Livsforsikring'!F10+'Eika Forsikring AS'!F10+'Frende Livsforsikring'!F10+'Frende Skadeforsikring'!F10+'Gjensidige Forsikring'!F10+'Gjensidige Pensjon'!F10+'Handelsbanken Liv'!F10+'If Skadeforsikring NUF'!F10+KLP!F10+'KLP Bedriftspensjon AS'!F10+'KLP Skadeforsikring AS'!F10+'Landbruksforsikring AS'!F10+'NEMI Forsikring'!F10+'Nordea Liv '!F10+'Oslo Pensjonsforsikring'!F10+'SHB Liv'!F10+'Silver Pensjonsforsikring AS'!F10+'Sparebank 1'!F10+'Storebrand Livsforsikring'!F10+'Telenor Forsikring'!F10+'Tryg Forsikring'!F10</f>
        <v>29055196.927181602</v>
      </c>
      <c r="F10" s="236">
        <f>'ACE European Group'!G10+'Danica Pensjonsforsikring'!G10+'DNB Livsforsikring'!G10+'Eika Forsikring AS'!G10+'Frende Livsforsikring'!G10+'Frende Skadeforsikring'!G10+'Gjensidige Forsikring'!G10+'Gjensidige Pensjon'!G10+'Handelsbanken Liv'!G10+'If Skadeforsikring NUF'!G10+KLP!G10+'KLP Bedriftspensjon AS'!G10+'KLP Skadeforsikring AS'!G10+'Landbruksforsikring AS'!G10+'NEMI Forsikring'!G10+'Nordea Liv '!G10+'Oslo Pensjonsforsikring'!G10+'SHB Liv'!G10+'Silver Pensjonsforsikring AS'!G10+'Sparebank 1'!G10+'Storebrand Livsforsikring'!G10+'Telenor Forsikring'!G10+'Tryg Forsikring'!G10</f>
        <v>37662908.370349906</v>
      </c>
      <c r="G10" s="159">
        <f t="shared" si="1"/>
        <v>29.6</v>
      </c>
      <c r="H10" s="282">
        <f t="shared" si="2"/>
        <v>53946745.183535039</v>
      </c>
      <c r="I10" s="283">
        <f t="shared" si="3"/>
        <v>60672324.871785432</v>
      </c>
      <c r="J10" s="170">
        <f t="shared" si="4"/>
        <v>12.5</v>
      </c>
    </row>
    <row r="11" spans="1:10" s="43" customFormat="1" ht="15.75" customHeight="1" x14ac:dyDescent="0.2">
      <c r="A11" s="13" t="s">
        <v>25</v>
      </c>
      <c r="B11" s="236">
        <f>'ACE European Group'!B11+'Danica Pensjonsforsikring'!B11+'DNB Livsforsikring'!B11+'Eika Forsikring AS'!B11+'Frende Livsforsikring'!B11+'Frende Skadeforsikring'!B11+'Gjensidige Forsikring'!B11+'Gjensidige Pensjon'!B11+'Handelsbanken Liv'!B11+'If Skadeforsikring NUF'!B11+KLP!B11+'KLP Bedriftspensjon AS'!B11+'KLP Skadeforsikring AS'!B11+'Landbruksforsikring AS'!B11+'NEMI Forsikring'!B11+'Nordea Liv '!B11+'Oslo Pensjonsforsikring'!B11+'SHB Liv'!B11+'Silver Pensjonsforsikring AS'!B11+'Sparebank 1'!B11+'Storebrand Livsforsikring'!B11+'Telenor Forsikring'!B11+'Tryg Forsikring'!B11</f>
        <v>55105</v>
      </c>
      <c r="C11" s="236">
        <f>'ACE European Group'!C11+'Danica Pensjonsforsikring'!C11+'DNB Livsforsikring'!C11+'Eika Forsikring AS'!C11+'Frende Livsforsikring'!C11+'Frende Skadeforsikring'!C11+'Gjensidige Forsikring'!C11+'Gjensidige Pensjon'!C11+'Handelsbanken Liv'!C11+'If Skadeforsikring NUF'!C11+KLP!C11+'KLP Bedriftspensjon AS'!C11+'KLP Skadeforsikring AS'!C11+'Landbruksforsikring AS'!C11+'NEMI Forsikring'!C11+'Nordea Liv '!C11+'Oslo Pensjonsforsikring'!C11+'SHB Liv'!C11+'Silver Pensjonsforsikring AS'!C11+'Sparebank 1'!C11+'Storebrand Livsforsikring'!C11+'Telenor Forsikring'!C11+'Tryg Forsikring'!C11</f>
        <v>11125</v>
      </c>
      <c r="D11" s="170">
        <f t="shared" si="0"/>
        <v>-79.8</v>
      </c>
      <c r="E11" s="236">
        <f>'ACE European Group'!F11+'Danica Pensjonsforsikring'!F11+'DNB Livsforsikring'!F11+'Eika Forsikring AS'!F11+'Frende Livsforsikring'!F11+'Frende Skadeforsikring'!F11+'Gjensidige Forsikring'!F11+'Gjensidige Pensjon'!F11+'Handelsbanken Liv'!F11+'If Skadeforsikring NUF'!F11+KLP!F11+'KLP Bedriftspensjon AS'!F11+'KLP Skadeforsikring AS'!F11+'Landbruksforsikring AS'!F11+'NEMI Forsikring'!F11+'Nordea Liv '!F11+'Oslo Pensjonsforsikring'!F11+'SHB Liv'!F11+'Silver Pensjonsforsikring AS'!F11+'Sparebank 1'!F11+'Storebrand Livsforsikring'!F11+'Telenor Forsikring'!F11+'Tryg Forsikring'!F11</f>
        <v>239573.11532000001</v>
      </c>
      <c r="F11" s="236">
        <f>'ACE European Group'!G11+'Danica Pensjonsforsikring'!G11+'DNB Livsforsikring'!G11+'Eika Forsikring AS'!G11+'Frende Livsforsikring'!G11+'Frende Skadeforsikring'!G11+'Gjensidige Forsikring'!G11+'Gjensidige Pensjon'!G11+'Handelsbanken Liv'!G11+'If Skadeforsikring NUF'!G11+KLP!G11+'KLP Bedriftspensjon AS'!G11+'KLP Skadeforsikring AS'!G11+'Landbruksforsikring AS'!G11+'NEMI Forsikring'!G11+'Nordea Liv '!G11+'Oslo Pensjonsforsikring'!G11+'SHB Liv'!G11+'Silver Pensjonsforsikring AS'!G11+'Sparebank 1'!G11+'Storebrand Livsforsikring'!G11+'Telenor Forsikring'!G11+'Tryg Forsikring'!G11</f>
        <v>160937.64699000001</v>
      </c>
      <c r="G11" s="170">
        <f t="shared" si="1"/>
        <v>-32.799999999999997</v>
      </c>
      <c r="H11" s="282">
        <f t="shared" si="2"/>
        <v>294678.11531999998</v>
      </c>
      <c r="I11" s="283">
        <f t="shared" si="3"/>
        <v>172062.64699000001</v>
      </c>
      <c r="J11" s="170">
        <f t="shared" si="4"/>
        <v>-41.6</v>
      </c>
    </row>
    <row r="12" spans="1:10" s="43" customFormat="1" ht="15.75" customHeight="1" x14ac:dyDescent="0.2">
      <c r="A12" s="41" t="s">
        <v>24</v>
      </c>
      <c r="B12" s="281">
        <f>'ACE European Group'!B12+'Danica Pensjonsforsikring'!B12+'DNB Livsforsikring'!B12+'Eika Forsikring AS'!B12+'Frende Livsforsikring'!B12+'Frende Skadeforsikring'!B12+'Gjensidige Forsikring'!B12+'Gjensidige Pensjon'!B12+'Handelsbanken Liv'!B12+'If Skadeforsikring NUF'!B12+KLP!B12+'KLP Bedriftspensjon AS'!B12+'KLP Skadeforsikring AS'!B12+'Landbruksforsikring AS'!B12+'NEMI Forsikring'!B12+'Nordea Liv '!B12+'Oslo Pensjonsforsikring'!B12+'SHB Liv'!B12+'Silver Pensjonsforsikring AS'!B12+'Sparebank 1'!B12+'Storebrand Livsforsikring'!B12+'Telenor Forsikring'!B12+'Tryg Forsikring'!B12</f>
        <v>26669.740440000001</v>
      </c>
      <c r="C12" s="281">
        <f>'ACE European Group'!C12+'Danica Pensjonsforsikring'!C12+'DNB Livsforsikring'!C12+'Eika Forsikring AS'!C12+'Frende Livsforsikring'!C12+'Frende Skadeforsikring'!C12+'Gjensidige Forsikring'!C12+'Gjensidige Pensjon'!C12+'Handelsbanken Liv'!C12+'If Skadeforsikring NUF'!C12+KLP!C12+'KLP Bedriftspensjon AS'!C12+'KLP Skadeforsikring AS'!C12+'Landbruksforsikring AS'!C12+'NEMI Forsikring'!C12+'Nordea Liv '!C12+'Oslo Pensjonsforsikring'!C12+'SHB Liv'!C12+'Silver Pensjonsforsikring AS'!C12+'Sparebank 1'!C12+'Storebrand Livsforsikring'!C12+'Telenor Forsikring'!C12+'Tryg Forsikring'!C12</f>
        <v>716</v>
      </c>
      <c r="D12" s="169">
        <f t="shared" si="0"/>
        <v>-97.3</v>
      </c>
      <c r="E12" s="281">
        <f>'ACE European Group'!F12+'Danica Pensjonsforsikring'!F12+'DNB Livsforsikring'!F12+'Eika Forsikring AS'!F12+'Frende Livsforsikring'!F12+'Frende Skadeforsikring'!F12+'Gjensidige Forsikring'!F12+'Gjensidige Pensjon'!F12+'Handelsbanken Liv'!F12+'If Skadeforsikring NUF'!F12+KLP!F12+'KLP Bedriftspensjon AS'!F12+'KLP Skadeforsikring AS'!F12+'Landbruksforsikring AS'!F12+'NEMI Forsikring'!F12+'Nordea Liv '!F12+'Oslo Pensjonsforsikring'!F12+'SHB Liv'!F12+'Silver Pensjonsforsikring AS'!F12+'Sparebank 1'!F12+'Storebrand Livsforsikring'!F12+'Telenor Forsikring'!F12+'Tryg Forsikring'!F12</f>
        <v>77556.113299999997</v>
      </c>
      <c r="F12" s="281">
        <f>'ACE European Group'!G12+'Danica Pensjonsforsikring'!G12+'DNB Livsforsikring'!G12+'Eika Forsikring AS'!G12+'Frende Livsforsikring'!G12+'Frende Skadeforsikring'!G12+'Gjensidige Forsikring'!G12+'Gjensidige Pensjon'!G12+'Handelsbanken Liv'!G12+'If Skadeforsikring NUF'!G12+KLP!G12+'KLP Bedriftspensjon AS'!G12+'KLP Skadeforsikring AS'!G12+'Landbruksforsikring AS'!G12+'NEMI Forsikring'!G12+'Nordea Liv '!G12+'Oslo Pensjonsforsikring'!G12+'SHB Liv'!G12+'Silver Pensjonsforsikring AS'!G12+'Sparebank 1'!G12+'Storebrand Livsforsikring'!G12+'Telenor Forsikring'!G12+'Tryg Forsikring'!G12</f>
        <v>73601.430009999996</v>
      </c>
      <c r="G12" s="168">
        <f t="shared" si="1"/>
        <v>-5.0999999999999996</v>
      </c>
      <c r="H12" s="284">
        <f t="shared" si="2"/>
        <v>104225.85373999999</v>
      </c>
      <c r="I12" s="285">
        <f t="shared" si="3"/>
        <v>74317.430009999996</v>
      </c>
      <c r="J12" s="168">
        <f t="shared" si="4"/>
        <v>-28.7</v>
      </c>
    </row>
    <row r="13" spans="1:10" s="43" customFormat="1" ht="15.75" customHeight="1" x14ac:dyDescent="0.2">
      <c r="A13" s="167"/>
      <c r="B13" s="35"/>
      <c r="C13" s="5"/>
      <c r="D13" s="32"/>
      <c r="E13" s="35"/>
      <c r="F13" s="5"/>
      <c r="G13" s="32"/>
      <c r="H13" s="48"/>
      <c r="I13" s="48"/>
      <c r="J13" s="32"/>
    </row>
    <row r="14" spans="1:10" ht="15.75" customHeight="1" x14ac:dyDescent="0.2">
      <c r="A14" s="152" t="s">
        <v>296</v>
      </c>
    </row>
    <row r="15" spans="1:10" ht="15.75" customHeight="1" x14ac:dyDescent="0.2">
      <c r="A15" s="148"/>
      <c r="E15" s="7"/>
      <c r="F15" s="7"/>
      <c r="G15" s="7"/>
      <c r="H15" s="7"/>
      <c r="I15" s="7"/>
      <c r="J15" s="7"/>
    </row>
    <row r="16" spans="1:10" s="3" customFormat="1" ht="15.75" customHeight="1" x14ac:dyDescent="0.25">
      <c r="A16" s="163"/>
      <c r="C16" s="30"/>
      <c r="D16" s="30"/>
      <c r="E16" s="30"/>
      <c r="F16" s="30"/>
      <c r="G16" s="30"/>
      <c r="H16" s="30"/>
      <c r="I16" s="30"/>
      <c r="J16" s="30"/>
    </row>
    <row r="17" spans="1:11" ht="15.75" customHeight="1" x14ac:dyDescent="0.25">
      <c r="A17" s="146" t="s">
        <v>293</v>
      </c>
      <c r="B17" s="28"/>
      <c r="C17" s="28"/>
      <c r="D17" s="29"/>
      <c r="E17" s="28"/>
      <c r="F17" s="28"/>
      <c r="G17" s="28"/>
      <c r="H17" s="28"/>
      <c r="I17" s="28"/>
      <c r="J17" s="28"/>
    </row>
    <row r="18" spans="1:11" ht="15.75" customHeight="1" x14ac:dyDescent="0.25">
      <c r="A18" s="148"/>
      <c r="B18" s="671"/>
      <c r="C18" s="671"/>
      <c r="D18" s="671"/>
      <c r="E18" s="671"/>
      <c r="F18" s="671"/>
      <c r="G18" s="671"/>
      <c r="H18" s="671"/>
      <c r="I18" s="671"/>
      <c r="J18" s="671"/>
    </row>
    <row r="19" spans="1:11" ht="15.75" customHeight="1" x14ac:dyDescent="0.2">
      <c r="A19" s="143"/>
      <c r="B19" s="668" t="s">
        <v>0</v>
      </c>
      <c r="C19" s="669"/>
      <c r="D19" s="669"/>
      <c r="E19" s="668" t="s">
        <v>1</v>
      </c>
      <c r="F19" s="669"/>
      <c r="G19" s="670"/>
      <c r="H19" s="669" t="s">
        <v>2</v>
      </c>
      <c r="I19" s="669"/>
      <c r="J19" s="670"/>
    </row>
    <row r="20" spans="1:11" ht="15.75" customHeight="1" x14ac:dyDescent="0.2">
      <c r="A20" s="140" t="s">
        <v>5</v>
      </c>
      <c r="B20" s="20" t="s">
        <v>411</v>
      </c>
      <c r="C20" s="20" t="s">
        <v>412</v>
      </c>
      <c r="D20" s="251" t="s">
        <v>3</v>
      </c>
      <c r="E20" s="20" t="s">
        <v>411</v>
      </c>
      <c r="F20" s="20" t="s">
        <v>412</v>
      </c>
      <c r="G20" s="251" t="s">
        <v>3</v>
      </c>
      <c r="H20" s="20" t="s">
        <v>411</v>
      </c>
      <c r="I20" s="20" t="s">
        <v>412</v>
      </c>
      <c r="J20" s="251" t="s">
        <v>3</v>
      </c>
    </row>
    <row r="21" spans="1:11" ht="15.75" customHeight="1" x14ac:dyDescent="0.2">
      <c r="A21" s="436"/>
      <c r="B21" s="15"/>
      <c r="C21" s="15"/>
      <c r="D21" s="17" t="s">
        <v>4</v>
      </c>
      <c r="E21" s="16"/>
      <c r="F21" s="16"/>
      <c r="G21" s="15" t="s">
        <v>4</v>
      </c>
      <c r="H21" s="16"/>
      <c r="I21" s="16"/>
      <c r="J21" s="15" t="s">
        <v>4</v>
      </c>
    </row>
    <row r="22" spans="1:11" s="43" customFormat="1" ht="15.75" customHeight="1" x14ac:dyDescent="0.2">
      <c r="A22" s="14" t="s">
        <v>27</v>
      </c>
      <c r="B22" s="236">
        <f>'ACE European Group'!B22+'Danica Pensjonsforsikring'!B22+'DNB Livsforsikring'!B22+'Eika Forsikring AS'!B22+'Frende Livsforsikring'!B22+'Frende Skadeforsikring'!B22+'Gjensidige Forsikring'!B22+'Gjensidige Pensjon'!B22+'Handelsbanken Liv'!B22+'If Skadeforsikring NUF'!B22+KLP!B22+'KLP Bedriftspensjon AS'!B22+'KLP Skadeforsikring AS'!B22+'Landbruksforsikring AS'!B22+'NEMI Forsikring'!B22+'Nordea Liv '!B22+'Oslo Pensjonsforsikring'!B22+'SHB Liv'!B22+'Silver Pensjonsforsikring AS'!B22+'Sparebank 1'!B22+'Storebrand Livsforsikring'!B22+'Telenor Forsikring'!B22+'Tryg Forsikring'!B22</f>
        <v>746277.84198045172</v>
      </c>
      <c r="C22" s="236">
        <f>'ACE European Group'!C22+'Danica Pensjonsforsikring'!C22+'DNB Livsforsikring'!C22+'Eika Forsikring AS'!C22+'Frende Livsforsikring'!C22+'Frende Skadeforsikring'!C22+'Gjensidige Forsikring'!C22+'Gjensidige Pensjon'!C22+'Handelsbanken Liv'!C22+'If Skadeforsikring NUF'!C22+KLP!C22+'KLP Bedriftspensjon AS'!C22+'KLP Skadeforsikring AS'!C22+'Landbruksforsikring AS'!C22+'NEMI Forsikring'!C22+'Nordea Liv '!C22+'Oslo Pensjonsforsikring'!C22+'SHB Liv'!C22+'Silver Pensjonsforsikring AS'!C22+'Sparebank 1'!C22+'Storebrand Livsforsikring'!C22+'Telenor Forsikring'!C22+'Tryg Forsikring'!C22</f>
        <v>958903.54897960112</v>
      </c>
      <c r="D22" s="11">
        <f t="shared" ref="D22:D37" si="5">IF(B22=0, "    ---- ", IF(ABS(ROUND(100/B22*C22-100,1))&lt;999,ROUND(100/B22*C22-100,1),IF(ROUND(100/B22*C22-100,1)&gt;999,999,-999)))</f>
        <v>28.5</v>
      </c>
      <c r="E22" s="236">
        <f>'ACE European Group'!F22+'Danica Pensjonsforsikring'!F22+'DNB Livsforsikring'!F22+'Eika Forsikring AS'!F22+'Frende Livsforsikring'!F22+'Frende Skadeforsikring'!F22+'Gjensidige Forsikring'!F22+'Gjensidige Pensjon'!F22+'Handelsbanken Liv'!F22+'If Skadeforsikring NUF'!F22+KLP!F22+'KLP Bedriftspensjon AS'!F22+'KLP Skadeforsikring AS'!F22+'Landbruksforsikring AS'!F22+'NEMI Forsikring'!F22+'Nordea Liv '!F22+'Oslo Pensjonsforsikring'!F22+'SHB Liv'!F22+'Silver Pensjonsforsikring AS'!F22+'Sparebank 1'!F22+'Storebrand Livsforsikring'!F22+'Telenor Forsikring'!F22+'Tryg Forsikring'!F22</f>
        <v>221188.05156026001</v>
      </c>
      <c r="F22" s="306">
        <f>'ACE European Group'!G22+'Danica Pensjonsforsikring'!G22+'DNB Livsforsikring'!G22+'Eika Forsikring AS'!G22+'Frende Livsforsikring'!G22+'Frende Skadeforsikring'!G22+'Gjensidige Forsikring'!G22+'Gjensidige Pensjon'!G22+'Handelsbanken Liv'!G22+'If Skadeforsikring NUF'!G22+KLP!G22+'KLP Bedriftspensjon AS'!G22+'KLP Skadeforsikring AS'!G22+'Landbruksforsikring AS'!G22+'NEMI Forsikring'!G22+'Nordea Liv '!G22+'Oslo Pensjonsforsikring'!G22+'SHB Liv'!G22+'Silver Pensjonsforsikring AS'!G22+'Sparebank 1'!G22+'Storebrand Livsforsikring'!G22+'Telenor Forsikring'!G22+'Tryg Forsikring'!G22</f>
        <v>199375.40350000001</v>
      </c>
      <c r="G22" s="344">
        <f t="shared" ref="G22:G33" si="6">IF(E22=0, "    ---- ", IF(ABS(ROUND(100/E22*F22-100,1))&lt;999,ROUND(100/E22*F22-100,1),IF(ROUND(100/E22*F22-100,1)&gt;999,999,-999)))</f>
        <v>-9.9</v>
      </c>
      <c r="H22" s="306">
        <f>SUM(B22,E22)</f>
        <v>967465.89354071172</v>
      </c>
      <c r="I22" s="236">
        <f t="shared" ref="I22:I37" si="7">SUM(C22,F22)</f>
        <v>1158278.9524796011</v>
      </c>
      <c r="J22" s="24">
        <f t="shared" ref="J22:J37" si="8">IF(H22=0, "    ---- ", IF(ABS(ROUND(100/H22*I22-100,1))&lt;999,ROUND(100/H22*I22-100,1),IF(ROUND(100/H22*I22-100,1)&gt;999,999,-999)))</f>
        <v>19.7</v>
      </c>
    </row>
    <row r="23" spans="1:11" ht="15.75" customHeight="1" x14ac:dyDescent="0.2">
      <c r="A23" s="294" t="s">
        <v>305</v>
      </c>
      <c r="B23" s="44" t="str">
        <f>IF($A$1=4,'ACE European Group'!B23+'Danica Pensjonsforsikring'!B23+'DNB Livsforsikring'!B23+'Eika Forsikring AS'!B23+'Frende Livsforsikring'!B23+'Frende Skadeforsikring'!B23+'Gjensidige Forsikring'!B23+'Gjensidige Pensjon'!B23+'Handelsbanken Liv'!B23+'If Skadeforsikring NUF'!B23+KLP!B23+'KLP Bedriftspensjon AS'!B23+'KLP Skadeforsikring AS'!B23+'Landbruksforsikring AS'!B23+'NEMI Forsikring'!B23+'Nordea Liv '!B23+'Oslo Pensjonsforsikring'!B23+'SHB Liv'!B23+'Silver Pensjonsforsikring AS'!B23+'Sparebank 1'!B23+'Storebrand Livsforsikring'!B23+'Telenor Forsikring'!B23+'Tryg Forsikring'!B23,"")</f>
        <v/>
      </c>
      <c r="C23" s="44" t="str">
        <f>IF($A$1=4,'ACE European Group'!C23+'Danica Pensjonsforsikring'!C23+'DNB Livsforsikring'!C23+'Eika Forsikring AS'!C23+'Frende Livsforsikring'!C23+'Frende Skadeforsikring'!C23+'Gjensidige Forsikring'!C23+'Gjensidige Pensjon'!C23+'Handelsbanken Liv'!C23+'If Skadeforsikring NUF'!C23+KLP!C23+'KLP Bedriftspensjon AS'!C23+'KLP Skadeforsikring AS'!C23+'Landbruksforsikring AS'!C23+'NEMI Forsikring'!C23+'Nordea Liv '!C23+'Oslo Pensjonsforsikring'!C23+'SHB Liv'!C23+'Silver Pensjonsforsikring AS'!C23+'Sparebank 1'!C23+'Storebrand Livsforsikring'!C23+'Telenor Forsikring'!C23+'Tryg Forsikring'!C23,"")</f>
        <v/>
      </c>
      <c r="D23" s="27" t="str">
        <f>IF($A$1=4,IF(B23=0, "    ---- ", IF(ABS(ROUND(100/B23*C23-100,1))&lt;999,ROUND(100/B23*C23-100,1),IF(ROUND(100/B23*C23-100,1)&gt;999,999,-999))),"")</f>
        <v/>
      </c>
      <c r="E23" s="44" t="str">
        <f>IF($A$1=4,'ACE European Group'!F23+'Danica Pensjonsforsikring'!F23+'DNB Livsforsikring'!F23+'Eika Forsikring AS'!F23+'Frende Livsforsikring'!F23+'Frende Skadeforsikring'!F23+'Gjensidige Forsikring'!F23+'Gjensidige Pensjon'!F23+'Handelsbanken Liv'!F23+'If Skadeforsikring NUF'!F23+KLP!F23+'KLP Bedriftspensjon AS'!F23+'KLP Skadeforsikring AS'!F23+'Landbruksforsikring AS'!F23+'NEMI Forsikring'!F23+'Nordea Liv '!F23+'Oslo Pensjonsforsikring'!F23+'SHB Liv'!F23+'Silver Pensjonsforsikring AS'!F23+'Sparebank 1'!F23+'Storebrand Livsforsikring'!F23+'Telenor Forsikring'!F23+'Tryg Forsikring'!F23,"")</f>
        <v/>
      </c>
      <c r="F23" s="44" t="str">
        <f>IF($A$1=4,'ACE European Group'!G23+'Danica Pensjonsforsikring'!G23+'DNB Livsforsikring'!G23+'Eika Forsikring AS'!G23+'Frende Livsforsikring'!G23+'Frende Skadeforsikring'!G23+'Gjensidige Forsikring'!G23+'Gjensidige Pensjon'!G23+'Handelsbanken Liv'!G23+'If Skadeforsikring NUF'!G23+KLP!G23+'KLP Bedriftspensjon AS'!G23+'KLP Skadeforsikring AS'!G23+'Landbruksforsikring AS'!G23+'NEMI Forsikring'!G23+'Nordea Liv '!G23+'Oslo Pensjonsforsikring'!G23+'SHB Liv'!G23+'Silver Pensjonsforsikring AS'!G23+'Sparebank 1'!G23+'Storebrand Livsforsikring'!G23+'Telenor Forsikring'!G23+'Tryg Forsikring'!G23,"")</f>
        <v/>
      </c>
      <c r="G23" s="165" t="str">
        <f>IF($A$1=4,IF(E23=0, "    ---- ", IF(ABS(ROUND(100/E23*F23-100,1))&lt;999,ROUND(100/E23*F23-100,1),IF(ROUND(100/E23*F23-100,1)&gt;999,999,-999))),"")</f>
        <v/>
      </c>
      <c r="H23" s="234">
        <f t="shared" ref="H23:H37" si="9">SUM(B23,E23)</f>
        <v>0</v>
      </c>
      <c r="I23" s="44">
        <f t="shared" si="7"/>
        <v>0</v>
      </c>
      <c r="J23" s="23"/>
    </row>
    <row r="24" spans="1:11" ht="15.75" customHeight="1" x14ac:dyDescent="0.2">
      <c r="A24" s="294" t="s">
        <v>306</v>
      </c>
      <c r="B24" s="44" t="str">
        <f>IF($A$1=4,'ACE European Group'!B24+'Danica Pensjonsforsikring'!B24+'DNB Livsforsikring'!B24+'Eika Forsikring AS'!B24+'Frende Livsforsikring'!B24+'Frende Skadeforsikring'!B24+'Gjensidige Forsikring'!B24+'Gjensidige Pensjon'!B24+'Handelsbanken Liv'!B24+'If Skadeforsikring NUF'!B24+KLP!B24+'KLP Bedriftspensjon AS'!B24+'KLP Skadeforsikring AS'!B24+'Landbruksforsikring AS'!B24+'NEMI Forsikring'!B24+'Nordea Liv '!B24+'Oslo Pensjonsforsikring'!B24+'SHB Liv'!B24+'Silver Pensjonsforsikring AS'!B24+'Sparebank 1'!B24+'Storebrand Livsforsikring'!B24+'Telenor Forsikring'!B24+'Tryg Forsikring'!B24,"")</f>
        <v/>
      </c>
      <c r="C24" s="44" t="str">
        <f>IF($A$1=4,'ACE European Group'!C24+'Danica Pensjonsforsikring'!C24+'DNB Livsforsikring'!C24+'Eika Forsikring AS'!C24+'Frende Livsforsikring'!C24+'Frende Skadeforsikring'!C24+'Gjensidige Forsikring'!C24+'Gjensidige Pensjon'!C24+'Handelsbanken Liv'!C24+'If Skadeforsikring NUF'!C24+KLP!C24+'KLP Bedriftspensjon AS'!C24+'KLP Skadeforsikring AS'!C24+'Landbruksforsikring AS'!C24+'NEMI Forsikring'!C24+'Nordea Liv '!C24+'Oslo Pensjonsforsikring'!C24+'SHB Liv'!C24+'Silver Pensjonsforsikring AS'!C24+'Sparebank 1'!C24+'Storebrand Livsforsikring'!C24+'Telenor Forsikring'!C24+'Tryg Forsikring'!C24,"")</f>
        <v/>
      </c>
      <c r="D24" s="27" t="str">
        <f t="shared" ref="D24:D26" si="10">IF($A$1=4,IF(B24=0, "    ---- ", IF(ABS(ROUND(100/B24*C24-100,1))&lt;999,ROUND(100/B24*C24-100,1),IF(ROUND(100/B24*C24-100,1)&gt;999,999,-999))),"")</f>
        <v/>
      </c>
      <c r="E24" s="44" t="str">
        <f>IF($A$1=4,'ACE European Group'!F24+'Danica Pensjonsforsikring'!F24+'DNB Livsforsikring'!F24+'Eika Forsikring AS'!F24+'Frende Livsforsikring'!F24+'Frende Skadeforsikring'!F24+'Gjensidige Forsikring'!F24+'Gjensidige Pensjon'!F24+'Handelsbanken Liv'!F24+'If Skadeforsikring NUF'!F24+KLP!F24+'KLP Bedriftspensjon AS'!F24+'KLP Skadeforsikring AS'!F24+'Landbruksforsikring AS'!F24+'NEMI Forsikring'!F24+'Nordea Liv '!F24+'Oslo Pensjonsforsikring'!F24+'SHB Liv'!F24+'Silver Pensjonsforsikring AS'!F24+'Sparebank 1'!F24+'Storebrand Livsforsikring'!F24+'Telenor Forsikring'!F24+'Tryg Forsikring'!F24,"")</f>
        <v/>
      </c>
      <c r="F24" s="44" t="str">
        <f>IF($A$1=4,'ACE European Group'!G24+'Danica Pensjonsforsikring'!G24+'DNB Livsforsikring'!G24+'Eika Forsikring AS'!G24+'Frende Livsforsikring'!G24+'Frende Skadeforsikring'!G24+'Gjensidige Forsikring'!G24+'Gjensidige Pensjon'!G24+'Handelsbanken Liv'!G24+'If Skadeforsikring NUF'!G24+KLP!G24+'KLP Bedriftspensjon AS'!G24+'KLP Skadeforsikring AS'!G24+'Landbruksforsikring AS'!G24+'NEMI Forsikring'!G24+'Nordea Liv '!G24+'Oslo Pensjonsforsikring'!G24+'SHB Liv'!G24+'Silver Pensjonsforsikring AS'!G24+'Sparebank 1'!G24+'Storebrand Livsforsikring'!G24+'Telenor Forsikring'!G24+'Tryg Forsikring'!G24,"")</f>
        <v/>
      </c>
      <c r="G24" s="165" t="str">
        <f t="shared" ref="G24:G26" si="11">IF($A$1=4,IF(E24=0, "    ---- ", IF(ABS(ROUND(100/E24*F24-100,1))&lt;999,ROUND(100/E24*F24-100,1),IF(ROUND(100/E24*F24-100,1)&gt;999,999,-999))),"")</f>
        <v/>
      </c>
      <c r="H24" s="234">
        <f t="shared" si="9"/>
        <v>0</v>
      </c>
      <c r="I24" s="44">
        <f t="shared" si="7"/>
        <v>0</v>
      </c>
      <c r="J24" s="11"/>
    </row>
    <row r="25" spans="1:11" ht="15.75" customHeight="1" x14ac:dyDescent="0.2">
      <c r="A25" s="294" t="s">
        <v>307</v>
      </c>
      <c r="B25" s="44" t="str">
        <f>IF($A$1=4,'ACE European Group'!B25+'Danica Pensjonsforsikring'!B25+'DNB Livsforsikring'!B25+'Eika Forsikring AS'!B25+'Frende Livsforsikring'!B25+'Frende Skadeforsikring'!B25+'Gjensidige Forsikring'!B25+'Gjensidige Pensjon'!B25+'Handelsbanken Liv'!B25+'If Skadeforsikring NUF'!B25+KLP!B25+'KLP Bedriftspensjon AS'!B25+'KLP Skadeforsikring AS'!B25+'Landbruksforsikring AS'!B25+'NEMI Forsikring'!B25+'Nordea Liv '!B25+'Oslo Pensjonsforsikring'!B25+'SHB Liv'!B25+'Silver Pensjonsforsikring AS'!B25+'Sparebank 1'!B25+'Storebrand Livsforsikring'!B25+'Telenor Forsikring'!B25+'Tryg Forsikring'!B25,"")</f>
        <v/>
      </c>
      <c r="C25" s="44" t="str">
        <f>IF($A$1=4,'ACE European Group'!C25+'Danica Pensjonsforsikring'!C25+'DNB Livsforsikring'!C25+'Eika Forsikring AS'!C25+'Frende Livsforsikring'!C25+'Frende Skadeforsikring'!C25+'Gjensidige Forsikring'!C25+'Gjensidige Pensjon'!C25+'Handelsbanken Liv'!C25+'If Skadeforsikring NUF'!C25+KLP!C25+'KLP Bedriftspensjon AS'!C25+'KLP Skadeforsikring AS'!C25+'Landbruksforsikring AS'!C25+'NEMI Forsikring'!C25+'Nordea Liv '!C25+'Oslo Pensjonsforsikring'!C25+'SHB Liv'!C25+'Silver Pensjonsforsikring AS'!C25+'Sparebank 1'!C25+'Storebrand Livsforsikring'!C25+'Telenor Forsikring'!C25+'Tryg Forsikring'!C25,"")</f>
        <v/>
      </c>
      <c r="D25" s="27" t="str">
        <f t="shared" si="10"/>
        <v/>
      </c>
      <c r="E25" s="44" t="str">
        <f>IF($A$1=4,'ACE European Group'!F25+'Danica Pensjonsforsikring'!F25+'DNB Livsforsikring'!F25+'Eika Forsikring AS'!F25+'Frende Livsforsikring'!F25+'Frende Skadeforsikring'!F25+'Gjensidige Forsikring'!F25+'Gjensidige Pensjon'!F25+'Handelsbanken Liv'!F25+'If Skadeforsikring NUF'!F25+KLP!F25+'KLP Bedriftspensjon AS'!F25+'KLP Skadeforsikring AS'!F25+'Landbruksforsikring AS'!F25+'NEMI Forsikring'!F25+'Nordea Liv '!F25+'Oslo Pensjonsforsikring'!F25+'SHB Liv'!F25+'Silver Pensjonsforsikring AS'!F25+'Sparebank 1'!F25+'Storebrand Livsforsikring'!F25+'Telenor Forsikring'!F25+'Tryg Forsikring'!F25,"")</f>
        <v/>
      </c>
      <c r="F25" s="44" t="str">
        <f>IF($A$1=4,'ACE European Group'!G25+'Danica Pensjonsforsikring'!G25+'DNB Livsforsikring'!G25+'Eika Forsikring AS'!G25+'Frende Livsforsikring'!G25+'Frende Skadeforsikring'!G25+'Gjensidige Forsikring'!G25+'Gjensidige Pensjon'!G25+'Handelsbanken Liv'!G25+'If Skadeforsikring NUF'!G25+KLP!G25+'KLP Bedriftspensjon AS'!G25+'KLP Skadeforsikring AS'!G25+'Landbruksforsikring AS'!G25+'NEMI Forsikring'!G25+'Nordea Liv '!G25+'Oslo Pensjonsforsikring'!G25+'SHB Liv'!G25+'Silver Pensjonsforsikring AS'!G25+'Sparebank 1'!G25+'Storebrand Livsforsikring'!G25+'Telenor Forsikring'!G25+'Tryg Forsikring'!G25,"")</f>
        <v/>
      </c>
      <c r="G25" s="165" t="str">
        <f t="shared" si="11"/>
        <v/>
      </c>
      <c r="H25" s="234">
        <f t="shared" si="9"/>
        <v>0</v>
      </c>
      <c r="I25" s="44">
        <f t="shared" si="7"/>
        <v>0</v>
      </c>
      <c r="J25" s="27"/>
    </row>
    <row r="26" spans="1:11" ht="15.75" customHeight="1" x14ac:dyDescent="0.2">
      <c r="A26" s="294" t="s">
        <v>11</v>
      </c>
      <c r="B26" s="44" t="str">
        <f>IF($A$1=4,'ACE European Group'!B26+'Danica Pensjonsforsikring'!B26+'DNB Livsforsikring'!B26+'Eika Forsikring AS'!B26+'Frende Livsforsikring'!B26+'Frende Skadeforsikring'!B26+'Gjensidige Forsikring'!B26+'Gjensidige Pensjon'!B26+'Handelsbanken Liv'!B26+'If Skadeforsikring NUF'!B26+KLP!B26+'KLP Bedriftspensjon AS'!B26+'KLP Skadeforsikring AS'!B26+'Landbruksforsikring AS'!B26+'NEMI Forsikring'!B26+'Nordea Liv '!B26+'Oslo Pensjonsforsikring'!B26+'SHB Liv'!B26+'Silver Pensjonsforsikring AS'!B26+'Sparebank 1'!B26+'Storebrand Livsforsikring'!B26+'Telenor Forsikring'!B26+'Tryg Forsikring'!B26,"")</f>
        <v/>
      </c>
      <c r="C26" s="44" t="str">
        <f>IF($A$1=4,'ACE European Group'!C26+'Danica Pensjonsforsikring'!C26+'DNB Livsforsikring'!C26+'Eika Forsikring AS'!C26+'Frende Livsforsikring'!C26+'Frende Skadeforsikring'!C26+'Gjensidige Forsikring'!C26+'Gjensidige Pensjon'!C26+'Handelsbanken Liv'!C26+'If Skadeforsikring NUF'!C26+KLP!C26+'KLP Bedriftspensjon AS'!C26+'KLP Skadeforsikring AS'!C26+'Landbruksforsikring AS'!C26+'NEMI Forsikring'!C26+'Nordea Liv '!C26+'Oslo Pensjonsforsikring'!C26+'SHB Liv'!C26+'Silver Pensjonsforsikring AS'!C26+'Sparebank 1'!C26+'Storebrand Livsforsikring'!C26+'Telenor Forsikring'!C26+'Tryg Forsikring'!C26,"")</f>
        <v/>
      </c>
      <c r="D26" s="27" t="str">
        <f t="shared" si="10"/>
        <v/>
      </c>
      <c r="E26" s="44" t="str">
        <f>IF($A$1=4,'ACE European Group'!F26+'Danica Pensjonsforsikring'!F26+'DNB Livsforsikring'!F26+'Eika Forsikring AS'!F26+'Frende Livsforsikring'!F26+'Frende Skadeforsikring'!F26+'Gjensidige Forsikring'!F26+'Gjensidige Pensjon'!F26+'Handelsbanken Liv'!F26+'If Skadeforsikring NUF'!F26+KLP!F26+'KLP Bedriftspensjon AS'!F26+'KLP Skadeforsikring AS'!F26+'Landbruksforsikring AS'!F26+'NEMI Forsikring'!F26+'Nordea Liv '!F26+'Oslo Pensjonsforsikring'!F26+'SHB Liv'!F26+'Silver Pensjonsforsikring AS'!F26+'Sparebank 1'!F26+'Storebrand Livsforsikring'!F26+'Telenor Forsikring'!F26+'Tryg Forsikring'!F26,"")</f>
        <v/>
      </c>
      <c r="F26" s="44" t="str">
        <f>IF($A$1=4,'ACE European Group'!G26+'Danica Pensjonsforsikring'!G26+'DNB Livsforsikring'!G26+'Eika Forsikring AS'!G26+'Frende Livsforsikring'!G26+'Frende Skadeforsikring'!G26+'Gjensidige Forsikring'!G26+'Gjensidige Pensjon'!G26+'Handelsbanken Liv'!G26+'If Skadeforsikring NUF'!G26+KLP!G26+'KLP Bedriftspensjon AS'!G26+'KLP Skadeforsikring AS'!G26+'Landbruksforsikring AS'!G26+'NEMI Forsikring'!G26+'Nordea Liv '!G26+'Oslo Pensjonsforsikring'!G26+'SHB Liv'!G26+'Silver Pensjonsforsikring AS'!G26+'Sparebank 1'!G26+'Storebrand Livsforsikring'!G26+'Telenor Forsikring'!G26+'Tryg Forsikring'!G26,"")</f>
        <v/>
      </c>
      <c r="G26" s="165" t="str">
        <f t="shared" si="11"/>
        <v/>
      </c>
      <c r="H26" s="234">
        <f t="shared" si="9"/>
        <v>0</v>
      </c>
      <c r="I26" s="44">
        <f t="shared" si="7"/>
        <v>0</v>
      </c>
      <c r="J26" s="27"/>
    </row>
    <row r="27" spans="1:11" ht="15.75" customHeight="1" x14ac:dyDescent="0.2">
      <c r="A27" s="49" t="s">
        <v>297</v>
      </c>
      <c r="B27" s="44">
        <f>'ACE European Group'!B27+'Danica Pensjonsforsikring'!B27+'DNB Livsforsikring'!B27+'Eika Forsikring AS'!B27+'Frende Livsforsikring'!B27+'Frende Skadeforsikring'!B27+'Gjensidige Forsikring'!B27+'Gjensidige Pensjon'!B27+'Handelsbanken Liv'!B27+'If Skadeforsikring NUF'!B27+KLP!B27+'KLP Bedriftspensjon AS'!B27+'KLP Skadeforsikring AS'!B27+'Landbruksforsikring AS'!B27+'NEMI Forsikring'!B27+'Nordea Liv '!B27+'Oslo Pensjonsforsikring'!B27+'SHB Liv'!B27+'Silver Pensjonsforsikring AS'!B27+'Sparebank 1'!B27+'Storebrand Livsforsikring'!B27+'Telenor Forsikring'!B27+'Tryg Forsikring'!B27</f>
        <v>900482.91202757915</v>
      </c>
      <c r="C27" s="44">
        <f>'ACE European Group'!C27+'Danica Pensjonsforsikring'!C27+'DNB Livsforsikring'!C27+'Eika Forsikring AS'!C27+'Frende Livsforsikring'!C27+'Frende Skadeforsikring'!C27+'Gjensidige Forsikring'!C27+'Gjensidige Pensjon'!C27+'Handelsbanken Liv'!C27+'If Skadeforsikring NUF'!C27+KLP!C27+'KLP Bedriftspensjon AS'!C27+'KLP Skadeforsikring AS'!C27+'Landbruksforsikring AS'!C27+'NEMI Forsikring'!C27+'Nordea Liv '!C27+'Oslo Pensjonsforsikring'!C27+'SHB Liv'!C27+'Silver Pensjonsforsikring AS'!C27+'Sparebank 1'!C27+'Storebrand Livsforsikring'!C27+'Telenor Forsikring'!C27+'Tryg Forsikring'!C27</f>
        <v>989064.78877081024</v>
      </c>
      <c r="D27" s="23">
        <f t="shared" si="5"/>
        <v>9.8000000000000007</v>
      </c>
      <c r="E27" s="187">
        <f>'ACE European Group'!F27+'Danica Pensjonsforsikring'!F27+'DNB Livsforsikring'!F27+'Eika Forsikring AS'!F27+'Frende Livsforsikring'!F27+'Frende Skadeforsikring'!F27+'Gjensidige Forsikring'!F27+'Gjensidige Pensjon'!F27+'Handelsbanken Liv'!F27+'If Skadeforsikring NUF'!F27+KLP!F27+'KLP Bedriftspensjon AS'!F27+'KLP Skadeforsikring AS'!F27+'Landbruksforsikring AS'!F27+'NEMI Forsikring'!F27+'Nordea Liv '!F27+'Oslo Pensjonsforsikring'!F27+'SHB Liv'!F27+'Silver Pensjonsforsikring AS'!F27+'Sparebank 1'!F27+'Storebrand Livsforsikring'!F27+'Telenor Forsikring'!F27+'Tryg Forsikring'!F27</f>
        <v>0</v>
      </c>
      <c r="F27" s="187">
        <f>'ACE European Group'!G27+'Danica Pensjonsforsikring'!G27+'DNB Livsforsikring'!G27+'Eika Forsikring AS'!G27+'Frende Livsforsikring'!G27+'Frende Skadeforsikring'!G27+'Gjensidige Forsikring'!G27+'Gjensidige Pensjon'!G27+'Handelsbanken Liv'!G27+'If Skadeforsikring NUF'!G27+KLP!G27+'KLP Bedriftspensjon AS'!G27+'KLP Skadeforsikring AS'!G27+'Landbruksforsikring AS'!G27+'NEMI Forsikring'!G27+'Nordea Liv '!G27+'Oslo Pensjonsforsikring'!G27+'SHB Liv'!G27+'Silver Pensjonsforsikring AS'!G27+'Sparebank 1'!G27+'Storebrand Livsforsikring'!G27+'Telenor Forsikring'!G27+'Tryg Forsikring'!G27</f>
        <v>0</v>
      </c>
      <c r="G27" s="165"/>
      <c r="H27" s="234">
        <f t="shared" si="9"/>
        <v>900482.91202757915</v>
      </c>
      <c r="I27" s="44">
        <f t="shared" si="7"/>
        <v>989064.78877081024</v>
      </c>
      <c r="J27" s="23">
        <f t="shared" si="8"/>
        <v>9.8000000000000007</v>
      </c>
      <c r="K27" s="3"/>
    </row>
    <row r="28" spans="1:11" s="396" customFormat="1" ht="15.75" customHeight="1" x14ac:dyDescent="0.2">
      <c r="A28" s="13" t="s">
        <v>26</v>
      </c>
      <c r="B28" s="236">
        <f>'ACE European Group'!B28+'Danica Pensjonsforsikring'!B28+'DNB Livsforsikring'!B28+'Eika Forsikring AS'!B28+'Frende Livsforsikring'!B28+'Frende Skadeforsikring'!B28+'Gjensidige Forsikring'!B28+'Gjensidige Pensjon'!B28+'Handelsbanken Liv'!B28+'If Skadeforsikring NUF'!B28+KLP!B28+'KLP Bedriftspensjon AS'!B28+'KLP Skadeforsikring AS'!B28+'Landbruksforsikring AS'!B28+'NEMI Forsikring'!B28+'Nordea Liv '!B28+'Oslo Pensjonsforsikring'!B28+'SHB Liv'!B28+'Silver Pensjonsforsikring AS'!B28+'Sparebank 1'!B28+'Storebrand Livsforsikring'!B28+'Telenor Forsikring'!B28+'Tryg Forsikring'!B28</f>
        <v>52091228.016380668</v>
      </c>
      <c r="C28" s="236">
        <f>'ACE European Group'!C28+'Danica Pensjonsforsikring'!C28+'DNB Livsforsikring'!C28+'Eika Forsikring AS'!C28+'Frende Livsforsikring'!C28+'Frende Skadeforsikring'!C28+'Gjensidige Forsikring'!C28+'Gjensidige Pensjon'!C28+'Handelsbanken Liv'!C28+'If Skadeforsikring NUF'!C28+KLP!C28+'KLP Bedriftspensjon AS'!C28+'KLP Skadeforsikring AS'!C28+'Landbruksforsikring AS'!C28+'NEMI Forsikring'!C28+'Nordea Liv '!C28+'Oslo Pensjonsforsikring'!C28+'SHB Liv'!C28+'Silver Pensjonsforsikring AS'!C28+'Sparebank 1'!C28+'Storebrand Livsforsikring'!C28+'Telenor Forsikring'!C28+'Tryg Forsikring'!C28</f>
        <v>50951731.75711979</v>
      </c>
      <c r="D28" s="24">
        <f t="shared" si="5"/>
        <v>-2.2000000000000002</v>
      </c>
      <c r="E28" s="306">
        <f>'ACE European Group'!F28+'Danica Pensjonsforsikring'!F28+'DNB Livsforsikring'!F28+'Eika Forsikring AS'!F28+'Frende Livsforsikring'!F28+'Frende Skadeforsikring'!F28+'Gjensidige Forsikring'!F28+'Gjensidige Pensjon'!F28+'Handelsbanken Liv'!F28+'If Skadeforsikring NUF'!F28+KLP!F28+'KLP Bedriftspensjon AS'!F28+'KLP Skadeforsikring AS'!F28+'Landbruksforsikring AS'!F28+'NEMI Forsikring'!F28+'Nordea Liv '!F28+'Oslo Pensjonsforsikring'!F28+'SHB Liv'!F28+'Silver Pensjonsforsikring AS'!F28+'Sparebank 1'!F28+'Storebrand Livsforsikring'!F28+'Telenor Forsikring'!F28+'Tryg Forsikring'!F28</f>
        <v>18713535.354049999</v>
      </c>
      <c r="F28" s="306">
        <f>'ACE European Group'!G28+'Danica Pensjonsforsikring'!G28+'DNB Livsforsikring'!G28+'Eika Forsikring AS'!G28+'Frende Livsforsikring'!G28+'Frende Skadeforsikring'!G28+'Gjensidige Forsikring'!G28+'Gjensidige Pensjon'!G28+'Handelsbanken Liv'!G28+'If Skadeforsikring NUF'!G28+KLP!G28+'KLP Bedriftspensjon AS'!G28+'KLP Skadeforsikring AS'!G28+'Landbruksforsikring AS'!G28+'NEMI Forsikring'!G28+'Nordea Liv '!G28+'Oslo Pensjonsforsikring'!G28+'SHB Liv'!G28+'Silver Pensjonsforsikring AS'!G28+'Sparebank 1'!G28+'Storebrand Livsforsikring'!G28+'Telenor Forsikring'!G28+'Tryg Forsikring'!G28</f>
        <v>19636367.939539999</v>
      </c>
      <c r="G28" s="170">
        <f t="shared" si="6"/>
        <v>4.9000000000000004</v>
      </c>
      <c r="H28" s="306">
        <f t="shared" si="9"/>
        <v>70804763.370430663</v>
      </c>
      <c r="I28" s="236">
        <f t="shared" si="7"/>
        <v>70588099.696659788</v>
      </c>
      <c r="J28" s="24">
        <f t="shared" si="8"/>
        <v>-0.3</v>
      </c>
    </row>
    <row r="29" spans="1:11" s="3" customFormat="1" ht="15.75" customHeight="1" x14ac:dyDescent="0.2">
      <c r="A29" s="294" t="s">
        <v>305</v>
      </c>
      <c r="B29" s="44" t="str">
        <f>IF($A$1=4,'ACE European Group'!B29+'Danica Pensjonsforsikring'!B29+'DNB Livsforsikring'!B29+'Eika Forsikring AS'!B29+'Frende Livsforsikring'!B29+'Frende Skadeforsikring'!B29+'Gjensidige Forsikring'!B29+'Gjensidige Pensjon'!B29+'Handelsbanken Liv'!B29+'If Skadeforsikring NUF'!B29+KLP!B29+'KLP Bedriftspensjon AS'!B29+'KLP Skadeforsikring AS'!B29+'Landbruksforsikring AS'!B29+'NEMI Forsikring'!B29+'Nordea Liv '!B29+'Oslo Pensjonsforsikring'!B29+'SHB Liv'!B29+'Silver Pensjonsforsikring AS'!B29+'Sparebank 1'!B29+'Storebrand Livsforsikring'!B29+'Telenor Forsikring'!B29+'Tryg Forsikring'!B29,"")</f>
        <v/>
      </c>
      <c r="C29" s="44" t="str">
        <f>IF($A$1=4,'ACE European Group'!C29+'Danica Pensjonsforsikring'!C29+'DNB Livsforsikring'!C29+'Eika Forsikring AS'!C29+'Frende Livsforsikring'!C29+'Frende Skadeforsikring'!C29+'Gjensidige Forsikring'!C29+'Gjensidige Pensjon'!C29+'Handelsbanken Liv'!C29+'If Skadeforsikring NUF'!C29+KLP!C29+'KLP Bedriftspensjon AS'!C29+'KLP Skadeforsikring AS'!C29+'Landbruksforsikring AS'!C29+'NEMI Forsikring'!C29+'Nordea Liv '!C29+'Oslo Pensjonsforsikring'!C29+'SHB Liv'!C29+'Silver Pensjonsforsikring AS'!C29+'Sparebank 1'!C29+'Storebrand Livsforsikring'!C29+'Telenor Forsikring'!C29+'Tryg Forsikring'!C29,"")</f>
        <v/>
      </c>
      <c r="D29" s="27" t="str">
        <f t="shared" ref="D29:D31" si="12">IF($A$1=4,IF(B29=0, "    ---- ", IF(ABS(ROUND(100/B29*C29-100,1))&lt;999,ROUND(100/B29*C29-100,1),IF(ROUND(100/B29*C29-100,1)&gt;999,999,-999))),"")</f>
        <v/>
      </c>
      <c r="E29" s="44" t="str">
        <f>IF($A$1=4,'ACE European Group'!F29+'Danica Pensjonsforsikring'!F29+'DNB Livsforsikring'!F29+'Eika Forsikring AS'!F29+'Frende Livsforsikring'!F29+'Frende Skadeforsikring'!F29+'Gjensidige Forsikring'!F29+'Gjensidige Pensjon'!F29+'Handelsbanken Liv'!F29+'If Skadeforsikring NUF'!F29+KLP!F29+'KLP Bedriftspensjon AS'!F29+'KLP Skadeforsikring AS'!F29+'Landbruksforsikring AS'!F29+'NEMI Forsikring'!F29+'Nordea Liv '!F29+'Oslo Pensjonsforsikring'!F29+'SHB Liv'!F29+'Silver Pensjonsforsikring AS'!F29+'Sparebank 1'!F29+'Storebrand Livsforsikring'!F29+'Telenor Forsikring'!F29+'Tryg Forsikring'!F29,"")</f>
        <v/>
      </c>
      <c r="F29" s="44" t="str">
        <f>IF($A$1=4,'ACE European Group'!G29+'Danica Pensjonsforsikring'!G29+'DNB Livsforsikring'!G29+'Eika Forsikring AS'!G29+'Frende Livsforsikring'!G29+'Frende Skadeforsikring'!G29+'Gjensidige Forsikring'!G29+'Gjensidige Pensjon'!G29+'Handelsbanken Liv'!G29+'If Skadeforsikring NUF'!G29+KLP!G29+'KLP Bedriftspensjon AS'!G29+'KLP Skadeforsikring AS'!G29+'Landbruksforsikring AS'!G29+'NEMI Forsikring'!G29+'Nordea Liv '!G29+'Oslo Pensjonsforsikring'!G29+'SHB Liv'!G29+'Silver Pensjonsforsikring AS'!G29+'Sparebank 1'!G29+'Storebrand Livsforsikring'!G29+'Telenor Forsikring'!G29+'Tryg Forsikring'!G29,"")</f>
        <v/>
      </c>
      <c r="G29" s="165" t="str">
        <f t="shared" ref="G29:G31" si="13">IF($A$1=4,IF(E29=0, "    ---- ", IF(ABS(ROUND(100/E29*F29-100,1))&lt;999,ROUND(100/E29*F29-100,1),IF(ROUND(100/E29*F29-100,1)&gt;999,999,-999))),"")</f>
        <v/>
      </c>
      <c r="H29" s="234">
        <f t="shared" si="9"/>
        <v>0</v>
      </c>
      <c r="I29" s="44">
        <f t="shared" si="7"/>
        <v>0</v>
      </c>
      <c r="J29" s="23"/>
    </row>
    <row r="30" spans="1:11" s="3" customFormat="1" ht="15.75" customHeight="1" x14ac:dyDescent="0.2">
      <c r="A30" s="294" t="s">
        <v>306</v>
      </c>
      <c r="B30" s="44" t="str">
        <f>IF($A$1=4,'ACE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Pensjonsforsikring'!B30+'SHB Liv'!B30+'Silver Pensjonsforsikring AS'!B30+'Sparebank 1'!B30+'Storebrand Livsforsikring'!B30+'Telenor Forsikring'!B30+'Tryg Forsikring'!B30,"")</f>
        <v/>
      </c>
      <c r="C30" s="44" t="str">
        <f>IF($A$1=4,'ACE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Pensjonsforsikring'!C30+'SHB Liv'!C30+'Silver Pensjonsforsikring AS'!C30+'Sparebank 1'!C30+'Storebrand Livsforsikring'!C30+'Telenor Forsikring'!C30+'Tryg Forsikring'!C30,"")</f>
        <v/>
      </c>
      <c r="D30" s="27" t="str">
        <f t="shared" si="12"/>
        <v/>
      </c>
      <c r="E30" s="44" t="str">
        <f>IF($A$1=4,'ACE European Group'!F30+'Danica Pensjonsforsikring'!F30+'DNB Livsforsikring'!F30+'Eika Forsikring AS'!F30+'Frende Livsforsikring'!F30+'Frende Skadeforsikring'!F30+'Gjensidige Forsikring'!F30+'Gjensidige Pensjon'!F30+'Handelsbanken Liv'!F30+'If Skadeforsikring NUF'!F30+KLP!F30+'KLP Bedriftspensjon AS'!F30+'KLP Skadeforsikring AS'!F30+'Landbruksforsikring AS'!F30+'NEMI Forsikring'!F30+'Nordea Liv '!F30+'Oslo Pensjonsforsikring'!F30+'SHB Liv'!F30+'Silver Pensjonsforsikring AS'!F30+'Sparebank 1'!F30+'Storebrand Livsforsikring'!F30+'Telenor Forsikring'!F30+'Tryg Forsikring'!F30,"")</f>
        <v/>
      </c>
      <c r="F30" s="44" t="str">
        <f>IF($A$1=4,'ACE European Group'!G30+'Danica Pensjonsforsikring'!G30+'DNB Livsforsikring'!G30+'Eika Forsikring AS'!G30+'Frende Livsforsikring'!G30+'Frende Skadeforsikring'!G30+'Gjensidige Forsikring'!G30+'Gjensidige Pensjon'!G30+'Handelsbanken Liv'!G30+'If Skadeforsikring NUF'!G30+KLP!G30+'KLP Bedriftspensjon AS'!G30+'KLP Skadeforsikring AS'!G30+'Landbruksforsikring AS'!G30+'NEMI Forsikring'!G30+'Nordea Liv '!G30+'Oslo Pensjonsforsikring'!G30+'SHB Liv'!G30+'Silver Pensjonsforsikring AS'!G30+'Sparebank 1'!G30+'Storebrand Livsforsikring'!G30+'Telenor Forsikring'!G30+'Tryg Forsikring'!G30,"")</f>
        <v/>
      </c>
      <c r="G30" s="165" t="str">
        <f t="shared" si="13"/>
        <v/>
      </c>
      <c r="H30" s="234">
        <f t="shared" si="9"/>
        <v>0</v>
      </c>
      <c r="I30" s="44">
        <f t="shared" si="7"/>
        <v>0</v>
      </c>
      <c r="J30" s="23"/>
    </row>
    <row r="31" spans="1:11" ht="15.75" customHeight="1" x14ac:dyDescent="0.2">
      <c r="A31" s="294" t="s">
        <v>307</v>
      </c>
      <c r="B31" s="44" t="str">
        <f>IF($A$1=4,'ACE European Group'!B31+'Danica Pensjonsforsikring'!B31+'DNB Livsforsikring'!B31+'Eika Forsikring AS'!B31+'Frende Livsforsikring'!B31+'Frende Skadeforsikring'!B31+'Gjensidige Forsikring'!B31+'Gjensidige Pensjon'!B31+'Handelsbanken Liv'!B31+'If Skadeforsikring NUF'!B31+KLP!B31+'KLP Bedriftspensjon AS'!B31+'KLP Skadeforsikring AS'!B31+'Landbruksforsikring AS'!B31+'NEMI Forsikring'!B31+'Nordea Liv '!B31+'Oslo Pensjonsforsikring'!B31+'SHB Liv'!B31+'Silver Pensjonsforsikring AS'!B31+'Sparebank 1'!B31+'Storebrand Livsforsikring'!B31+'Telenor Forsikring'!B31+'Tryg Forsikring'!B31,"")</f>
        <v/>
      </c>
      <c r="C31" s="44" t="str">
        <f>IF($A$1=4,'ACE European Group'!C31+'Danica Pensjonsforsikring'!C31+'DNB Livsforsikring'!C31+'Eika Forsikring AS'!C31+'Frende Livsforsikring'!C31+'Frende Skadeforsikring'!C31+'Gjensidige Forsikring'!C31+'Gjensidige Pensjon'!C31+'Handelsbanken Liv'!C31+'If Skadeforsikring NUF'!C31+KLP!C31+'KLP Bedriftspensjon AS'!C31+'KLP Skadeforsikring AS'!C31+'Landbruksforsikring AS'!C31+'NEMI Forsikring'!C31+'Nordea Liv '!C31+'Oslo Pensjonsforsikring'!C31+'SHB Liv'!C31+'Silver Pensjonsforsikring AS'!C31+'Sparebank 1'!C31+'Storebrand Livsforsikring'!C31+'Telenor Forsikring'!C31+'Tryg Forsikring'!C31,"")</f>
        <v/>
      </c>
      <c r="D31" s="27" t="str">
        <f t="shared" si="12"/>
        <v/>
      </c>
      <c r="E31" s="44" t="str">
        <f>IF($A$1=4,'ACE European Group'!F31+'Danica Pensjonsforsikring'!F31+'DNB Livsforsikring'!F31+'Eika Forsikring AS'!F31+'Frende Livsforsikring'!F31+'Frende Skadeforsikring'!F31+'Gjensidige Forsikring'!F31+'Gjensidige Pensjon'!F31+'Handelsbanken Liv'!F31+'If Skadeforsikring NUF'!F31+KLP!F31+'KLP Bedriftspensjon AS'!F31+'KLP Skadeforsikring AS'!F31+'Landbruksforsikring AS'!F31+'NEMI Forsikring'!F31+'Nordea Liv '!F31+'Oslo Pensjonsforsikring'!F31+'SHB Liv'!F31+'Silver Pensjonsforsikring AS'!F31+'Sparebank 1'!F31+'Storebrand Livsforsikring'!F31+'Telenor Forsikring'!F31+'Tryg Forsikring'!F31,"")</f>
        <v/>
      </c>
      <c r="F31" s="44" t="str">
        <f>IF($A$1=4,'ACE European Group'!G31+'Danica Pensjonsforsikring'!G31+'DNB Livsforsikring'!G31+'Eika Forsikring AS'!G31+'Frende Livsforsikring'!G31+'Frende Skadeforsikring'!G31+'Gjensidige Forsikring'!G31+'Gjensidige Pensjon'!G31+'Handelsbanken Liv'!G31+'If Skadeforsikring NUF'!G31+KLP!G31+'KLP Bedriftspensjon AS'!G31+'KLP Skadeforsikring AS'!G31+'Landbruksforsikring AS'!G31+'NEMI Forsikring'!G31+'Nordea Liv '!G31+'Oslo Pensjonsforsikring'!G31+'SHB Liv'!G31+'Silver Pensjonsforsikring AS'!G31+'Sparebank 1'!G31+'Storebrand Livsforsikring'!G31+'Telenor Forsikring'!G31+'Tryg Forsikring'!G31,"")</f>
        <v/>
      </c>
      <c r="G31" s="165" t="str">
        <f t="shared" si="13"/>
        <v/>
      </c>
      <c r="H31" s="234">
        <f t="shared" si="9"/>
        <v>0</v>
      </c>
      <c r="I31" s="44">
        <f t="shared" si="7"/>
        <v>0</v>
      </c>
      <c r="J31" s="24"/>
    </row>
    <row r="32" spans="1:11" s="43" customFormat="1" ht="15.75" customHeight="1" x14ac:dyDescent="0.2">
      <c r="A32" s="13" t="s">
        <v>25</v>
      </c>
      <c r="B32" s="236">
        <f>'ACE European Group'!B32+'Danica Pensjonsforsikring'!B32+'DNB Livsforsikring'!B32+'Eika Forsikring AS'!B32+'Frende Livsforsikring'!B32+'Frende Skadeforsikring'!B32+'Gjensidige Forsikring'!B32+'Gjensidige Pensjon'!B32+'Handelsbanken Liv'!B32+'If Skadeforsikring NUF'!B32+KLP!B32+'KLP Bedriftspensjon AS'!B32+'KLP Skadeforsikring AS'!B32+'Landbruksforsikring AS'!B32+'NEMI Forsikring'!B32+'Nordea Liv '!B32+'Oslo Pensjonsforsikring'!B32+'SHB Liv'!B32+'Silver Pensjonsforsikring AS'!B32+'Sparebank 1'!B32+'Storebrand Livsforsikring'!B32+'Telenor Forsikring'!B32+'Tryg Forsikring'!B32</f>
        <v>27549.156279999999</v>
      </c>
      <c r="C32" s="236">
        <f>'ACE European Group'!C32+'Danica Pensjonsforsikring'!C32+'DNB Livsforsikring'!C32+'Eika Forsikring AS'!C32+'Frende Livsforsikring'!C32+'Frende Skadeforsikring'!C32+'Gjensidige Forsikring'!C32+'Gjensidige Pensjon'!C32+'Handelsbanken Liv'!C32+'If Skadeforsikring NUF'!C32+KLP!C32+'KLP Bedriftspensjon AS'!C32+'KLP Skadeforsikring AS'!C32+'Landbruksforsikring AS'!C32+'NEMI Forsikring'!C32+'Nordea Liv '!C32+'Oslo Pensjonsforsikring'!C32+'SHB Liv'!C32+'Silver Pensjonsforsikring AS'!C32+'Sparebank 1'!C32+'Storebrand Livsforsikring'!C32+'Telenor Forsikring'!C32+'Tryg Forsikring'!C32</f>
        <v>23479.014999999999</v>
      </c>
      <c r="D32" s="24">
        <f t="shared" si="5"/>
        <v>-14.8</v>
      </c>
      <c r="E32" s="306">
        <f>'ACE European Group'!F32+'Danica Pensjonsforsikring'!F32+'DNB Livsforsikring'!F32+'Eika Forsikring AS'!F32+'Frende Livsforsikring'!F32+'Frende Skadeforsikring'!F32+'Gjensidige Forsikring'!F32+'Gjensidige Pensjon'!F32+'Handelsbanken Liv'!F32+'If Skadeforsikring NUF'!F32+KLP!F32+'KLP Bedriftspensjon AS'!F32+'KLP Skadeforsikring AS'!F32+'Landbruksforsikring AS'!F32+'NEMI Forsikring'!F32+'Nordea Liv '!F32+'Oslo Pensjonsforsikring'!F32+'SHB Liv'!F32+'Silver Pensjonsforsikring AS'!F32+'Sparebank 1'!F32+'Storebrand Livsforsikring'!F32+'Telenor Forsikring'!F32+'Tryg Forsikring'!F32</f>
        <v>-2656.7276399999992</v>
      </c>
      <c r="F32" s="306">
        <f>'ACE European Group'!G32+'Danica Pensjonsforsikring'!G32+'DNB Livsforsikring'!G32+'Eika Forsikring AS'!G32+'Frende Livsforsikring'!G32+'Frende Skadeforsikring'!G32+'Gjensidige Forsikring'!G32+'Gjensidige Pensjon'!G32+'Handelsbanken Liv'!G32+'If Skadeforsikring NUF'!G32+KLP!G32+'KLP Bedriftspensjon AS'!G32+'KLP Skadeforsikring AS'!G32+'Landbruksforsikring AS'!G32+'NEMI Forsikring'!G32+'Nordea Liv '!G32+'Oslo Pensjonsforsikring'!G32+'SHB Liv'!G32+'Silver Pensjonsforsikring AS'!G32+'Sparebank 1'!G32+'Storebrand Livsforsikring'!G32+'Telenor Forsikring'!G32+'Tryg Forsikring'!G32</f>
        <v>18732.257140000002</v>
      </c>
      <c r="G32" s="170">
        <f t="shared" si="6"/>
        <v>-805.1</v>
      </c>
      <c r="H32" s="306">
        <f t="shared" si="9"/>
        <v>24892.428639999998</v>
      </c>
      <c r="I32" s="236">
        <f t="shared" si="7"/>
        <v>42211.272140000001</v>
      </c>
      <c r="J32" s="24">
        <f t="shared" si="8"/>
        <v>69.599999999999994</v>
      </c>
    </row>
    <row r="33" spans="1:10" s="43" customFormat="1" ht="15.75" customHeight="1" x14ac:dyDescent="0.2">
      <c r="A33" s="13" t="s">
        <v>24</v>
      </c>
      <c r="B33" s="236">
        <f>'ACE European Group'!B33+'Danica Pensjonsforsikring'!B33+'DNB Livsforsikring'!B33+'Eika Forsikring AS'!B33+'Frende Livsforsikring'!B33+'Frende Skadeforsikring'!B33+'Gjensidige Forsikring'!B33+'Gjensidige Pensjon'!B33+'Handelsbanken Liv'!B33+'If Skadeforsikring NUF'!B33+KLP!B33+'KLP Bedriftspensjon AS'!B33+'KLP Skadeforsikring AS'!B33+'Landbruksforsikring AS'!B33+'NEMI Forsikring'!B33+'Nordea Liv '!B33+'Oslo Pensjonsforsikring'!B33+'SHB Liv'!B33+'Silver Pensjonsforsikring AS'!B33+'Sparebank 1'!B33+'Storebrand Livsforsikring'!B33+'Telenor Forsikring'!B33+'Tryg Forsikring'!B33</f>
        <v>-49803.512549999999</v>
      </c>
      <c r="C33" s="236">
        <f>'ACE European Group'!C33+'Danica Pensjonsforsikring'!C33+'DNB Livsforsikring'!C33+'Eika Forsikring AS'!C33+'Frende Livsforsikring'!C33+'Frende Skadeforsikring'!C33+'Gjensidige Forsikring'!C33+'Gjensidige Pensjon'!C33+'Handelsbanken Liv'!C33+'If Skadeforsikring NUF'!C33+KLP!C33+'KLP Bedriftspensjon AS'!C33+'KLP Skadeforsikring AS'!C33+'Landbruksforsikring AS'!C33+'NEMI Forsikring'!C33+'Nordea Liv '!C33+'Oslo Pensjonsforsikring'!C33+'SHB Liv'!C33+'Silver Pensjonsforsikring AS'!C33+'Sparebank 1'!C33+'Storebrand Livsforsikring'!C33+'Telenor Forsikring'!C33+'Tryg Forsikring'!C33</f>
        <v>-31174.214189999999</v>
      </c>
      <c r="D33" s="24">
        <f t="shared" si="5"/>
        <v>-37.4</v>
      </c>
      <c r="E33" s="306">
        <f>'ACE European Group'!F33+'Danica Pensjonsforsikring'!F33+'DNB Livsforsikring'!F33+'Eika Forsikring AS'!F33+'Frende Livsforsikring'!F33+'Frende Skadeforsikring'!F33+'Gjensidige Forsikring'!F33+'Gjensidige Pensjon'!F33+'Handelsbanken Liv'!F33+'If Skadeforsikring NUF'!F33+KLP!F33+'KLP Bedriftspensjon AS'!F33+'KLP Skadeforsikring AS'!F33+'Landbruksforsikring AS'!F33+'NEMI Forsikring'!F33+'Nordea Liv '!F33+'Oslo Pensjonsforsikring'!F33+'SHB Liv'!F33+'Silver Pensjonsforsikring AS'!F33+'Sparebank 1'!F33+'Storebrand Livsforsikring'!F33+'Telenor Forsikring'!F33+'Tryg Forsikring'!F33</f>
        <v>51565.633950000003</v>
      </c>
      <c r="F33" s="306">
        <f>'ACE European Group'!G33+'Danica Pensjonsforsikring'!G33+'DNB Livsforsikring'!G33+'Eika Forsikring AS'!G33+'Frende Livsforsikring'!G33+'Frende Skadeforsikring'!G33+'Gjensidige Forsikring'!G33+'Gjensidige Pensjon'!G33+'Handelsbanken Liv'!G33+'If Skadeforsikring NUF'!G33+KLP!G33+'KLP Bedriftspensjon AS'!G33+'KLP Skadeforsikring AS'!G33+'Landbruksforsikring AS'!G33+'NEMI Forsikring'!G33+'Nordea Liv '!G33+'Oslo Pensjonsforsikring'!G33+'SHB Liv'!G33+'Silver Pensjonsforsikring AS'!G33+'Sparebank 1'!G33+'Storebrand Livsforsikring'!G33+'Telenor Forsikring'!G33+'Tryg Forsikring'!G33</f>
        <v>65486.656130000003</v>
      </c>
      <c r="G33" s="170">
        <f t="shared" si="6"/>
        <v>27</v>
      </c>
      <c r="H33" s="306">
        <f t="shared" si="9"/>
        <v>1762.1214000000036</v>
      </c>
      <c r="I33" s="236">
        <f t="shared" si="7"/>
        <v>34312.441940000004</v>
      </c>
      <c r="J33" s="24">
        <f t="shared" si="8"/>
        <v>999</v>
      </c>
    </row>
    <row r="34" spans="1:10" s="43" customFormat="1" ht="15.75" customHeight="1" x14ac:dyDescent="0.2">
      <c r="A34" s="12" t="s">
        <v>308</v>
      </c>
      <c r="B34" s="236">
        <f>'ACE European Group'!B34+'Danica Pensjonsforsikring'!B34+'DNB Livsforsikring'!B34+'Eika Forsikring AS'!B34+'Frende Livsforsikring'!B34+'Frende Skadeforsikring'!B34+'Gjensidige Forsikring'!B34+'Gjensidige Pensjon'!B34+'Handelsbanken Liv'!B34+'If Skadeforsikring NUF'!B34+KLP!B34+'KLP Bedriftspensjon AS'!B34+'KLP Skadeforsikring AS'!B34+'Landbruksforsikring AS'!B34+'NEMI Forsikring'!B34+'Nordea Liv '!B34+'Oslo Pensjonsforsikring'!B34+'SHB Liv'!B34+'Silver Pensjonsforsikring AS'!B34+'Sparebank 1'!B34+'Storebrand Livsforsikring'!B34+'Telenor Forsikring'!B34+'Tryg Forsikring'!B34</f>
        <v>2904.652</v>
      </c>
      <c r="C34" s="236">
        <f>'ACE European Group'!C34+'Danica Pensjonsforsikring'!C34+'DNB Livsforsikring'!C34+'Eika Forsikring AS'!C34+'Frende Livsforsikring'!C34+'Frende Skadeforsikring'!C34+'Gjensidige Forsikring'!C34+'Gjensidige Pensjon'!C34+'Handelsbanken Liv'!C34+'If Skadeforsikring NUF'!C34+KLP!C34+'KLP Bedriftspensjon AS'!C34+'KLP Skadeforsikring AS'!C34+'Landbruksforsikring AS'!C34+'NEMI Forsikring'!C34+'Nordea Liv '!C34+'Oslo Pensjonsforsikring'!C34+'SHB Liv'!C34+'Silver Pensjonsforsikring AS'!C34+'Sparebank 1'!C34+'Storebrand Livsforsikring'!C34+'Telenor Forsikring'!C34+'Tryg Forsikring'!C34</f>
        <v>2332.3380000000002</v>
      </c>
      <c r="D34" s="11">
        <f t="shared" si="5"/>
        <v>-19.7</v>
      </c>
      <c r="E34" s="317">
        <f>'ACE European Group'!F34+'Danica Pensjonsforsikring'!F34+'DNB Livsforsikring'!F34+'Eika Forsikring AS'!F34+'Frende Livsforsikring'!F34+'Frende Skadeforsikring'!F34+'Gjensidige Forsikring'!F34+'Gjensidige Pensjon'!F34+'Handelsbanken Liv'!F34+'If Skadeforsikring NUF'!F34+KLP!F34+'KLP Bedriftspensjon AS'!F34+'KLP Skadeforsikring AS'!F34+'Landbruksforsikring AS'!F34+'NEMI Forsikring'!F34+'Nordea Liv '!F34+'Oslo Pensjonsforsikring'!F34+'SHB Liv'!F34+'Silver Pensjonsforsikring AS'!F34+'Sparebank 1'!F34+'Storebrand Livsforsikring'!F34+'Telenor Forsikring'!F34+'Tryg Forsikring'!F34</f>
        <v>0</v>
      </c>
      <c r="F34" s="317">
        <f>'ACE European Group'!G34+'Danica Pensjonsforsikring'!G34+'DNB Livsforsikring'!G34+'Eika Forsikring AS'!G34+'Frende Livsforsikring'!G34+'Frende Skadeforsikring'!G34+'Gjensidige Forsikring'!G34+'Gjensidige Pensjon'!G34+'Handelsbanken Liv'!G34+'If Skadeforsikring NUF'!G34+KLP!G34+'KLP Bedriftspensjon AS'!G34+'KLP Skadeforsikring AS'!G34+'Landbruksforsikring AS'!G34+'NEMI Forsikring'!G34+'Nordea Liv '!G34+'Oslo Pensjonsforsikring'!G34+'SHB Liv'!G34+'Silver Pensjonsforsikring AS'!G34+'Sparebank 1'!G34+'Storebrand Livsforsikring'!G34+'Telenor Forsikring'!G34+'Tryg Forsikring'!G34</f>
        <v>0</v>
      </c>
      <c r="G34" s="170" t="str">
        <f t="shared" ref="G34:G37" si="14">IF($A$1=4,IF(E34=0, "    ---- ", IF(ABS(ROUND(100/E34*F34-100,1))&lt;999,ROUND(100/E34*F34-100,1),IF(ROUND(100/E34*F34-100,1)&gt;999,999,-999))),"")</f>
        <v/>
      </c>
      <c r="H34" s="306">
        <f t="shared" si="9"/>
        <v>2904.652</v>
      </c>
      <c r="I34" s="236">
        <f t="shared" si="7"/>
        <v>2332.3380000000002</v>
      </c>
      <c r="J34" s="11">
        <f t="shared" si="8"/>
        <v>-19.7</v>
      </c>
    </row>
    <row r="35" spans="1:10" s="43" customFormat="1" ht="15.75" customHeight="1" x14ac:dyDescent="0.2">
      <c r="A35" s="12" t="s">
        <v>309</v>
      </c>
      <c r="B35" s="236">
        <f>'ACE European Group'!B35+'Danica Pensjonsforsikring'!B35+'DNB Livsforsikring'!B35+'Eika Forsikring AS'!B35+'Frende Livsforsikring'!B35+'Frende Skadeforsikring'!B35+'Gjensidige Forsikring'!B35+'Gjensidige Pensjon'!B35+'Handelsbanken Liv'!B35+'If Skadeforsikring NUF'!B35+KLP!B35+'KLP Bedriftspensjon AS'!B35+'KLP Skadeforsikring AS'!B35+'Landbruksforsikring AS'!B35+'NEMI Forsikring'!B35+'Nordea Liv '!B35+'Oslo Pensjonsforsikring'!B35+'SHB Liv'!B35+'Silver Pensjonsforsikring AS'!B35+'Sparebank 1'!B35+'Storebrand Livsforsikring'!B35+'Telenor Forsikring'!B35+'Tryg Forsikring'!B35</f>
        <v>4193322.8560000001</v>
      </c>
      <c r="C35" s="236">
        <f>'ACE European Group'!C35+'Danica Pensjonsforsikring'!C35+'DNB Livsforsikring'!C35+'Eika Forsikring AS'!C35+'Frende Livsforsikring'!C35+'Frende Skadeforsikring'!C35+'Gjensidige Forsikring'!C35+'Gjensidige Pensjon'!C35+'Handelsbanken Liv'!C35+'If Skadeforsikring NUF'!C35+KLP!C35+'KLP Bedriftspensjon AS'!C35+'KLP Skadeforsikring AS'!C35+'Landbruksforsikring AS'!C35+'NEMI Forsikring'!C35+'Nordea Liv '!C35+'Oslo Pensjonsforsikring'!C35+'SHB Liv'!C35+'Silver Pensjonsforsikring AS'!C35+'Sparebank 1'!C35+'Storebrand Livsforsikring'!C35+'Telenor Forsikring'!C35+'Tryg Forsikring'!C35</f>
        <v>4064956.4709999999</v>
      </c>
      <c r="D35" s="24">
        <f t="shared" si="5"/>
        <v>-3.1</v>
      </c>
      <c r="E35" s="318">
        <f>'ACE European Group'!F35+'Danica Pensjonsforsikring'!F35+'DNB Livsforsikring'!F35+'Eika Forsikring AS'!F35+'Frende Livsforsikring'!F35+'Frende Skadeforsikring'!F35+'Gjensidige Forsikring'!F35+'Gjensidige Pensjon'!F35+'Handelsbanken Liv'!F35+'If Skadeforsikring NUF'!F35+KLP!F35+'KLP Bedriftspensjon AS'!F35+'KLP Skadeforsikring AS'!F35+'Landbruksforsikring AS'!F35+'NEMI Forsikring'!F35+'Nordea Liv '!F35+'Oslo Pensjonsforsikring'!F35+'SHB Liv'!F35+'Silver Pensjonsforsikring AS'!F35+'Sparebank 1'!F35+'Storebrand Livsforsikring'!F35+'Telenor Forsikring'!F35+'Tryg Forsikring'!F35</f>
        <v>0</v>
      </c>
      <c r="F35" s="318">
        <f>'ACE European Group'!G35+'Danica Pensjonsforsikring'!G35+'DNB Livsforsikring'!G35+'Eika Forsikring AS'!G35+'Frende Livsforsikring'!G35+'Frende Skadeforsikring'!G35+'Gjensidige Forsikring'!G35+'Gjensidige Pensjon'!G35+'Handelsbanken Liv'!G35+'If Skadeforsikring NUF'!G35+KLP!G35+'KLP Bedriftspensjon AS'!G35+'KLP Skadeforsikring AS'!G35+'Landbruksforsikring AS'!G35+'NEMI Forsikring'!G35+'Nordea Liv '!G35+'Oslo Pensjonsforsikring'!G35+'SHB Liv'!G35+'Silver Pensjonsforsikring AS'!G35+'Sparebank 1'!G35+'Storebrand Livsforsikring'!G35+'Telenor Forsikring'!G35+'Tryg Forsikring'!G35</f>
        <v>0</v>
      </c>
      <c r="G35" s="170" t="str">
        <f t="shared" si="14"/>
        <v/>
      </c>
      <c r="H35" s="306">
        <f t="shared" si="9"/>
        <v>4193322.8560000001</v>
      </c>
      <c r="I35" s="236">
        <f t="shared" si="7"/>
        <v>4064956.4709999999</v>
      </c>
      <c r="J35" s="24">
        <f t="shared" si="8"/>
        <v>-3.1</v>
      </c>
    </row>
    <row r="36" spans="1:10" s="43" customFormat="1" ht="15.75" customHeight="1" x14ac:dyDescent="0.2">
      <c r="A36" s="12" t="s">
        <v>310</v>
      </c>
      <c r="B36" s="236">
        <f>'ACE European Group'!B36+'Danica Pensjonsforsikring'!B36+'DNB Livsforsikring'!B36+'Eika Forsikring AS'!B36+'Frende Livsforsikring'!B36+'Frende Skadeforsikring'!B36+'Gjensidige Forsikring'!B36+'Gjensidige Pensjon'!B36+'Handelsbanken Liv'!B36+'If Skadeforsikring NUF'!B36+KLP!B36+'KLP Bedriftspensjon AS'!B36+'KLP Skadeforsikring AS'!B36+'Landbruksforsikring AS'!B36+'NEMI Forsikring'!B36+'Nordea Liv '!B36+'Oslo Pensjonsforsikring'!B36+'SHB Liv'!B36+'Silver Pensjonsforsikring AS'!B36+'Sparebank 1'!B36+'Storebrand Livsforsikring'!B36+'Telenor Forsikring'!B36+'Tryg Forsikring'!B36</f>
        <v>0</v>
      </c>
      <c r="C36" s="236">
        <f>'ACE European Group'!C36+'Danica Pensjonsforsikring'!C36+'DNB Livsforsikring'!C36+'Eika Forsikring AS'!C36+'Frende Livsforsikring'!C36+'Frende Skadeforsikring'!C36+'Gjensidige Forsikring'!C36+'Gjensidige Pensjon'!C36+'Handelsbanken Liv'!C36+'If Skadeforsikring NUF'!C36+KLP!C36+'KLP Bedriftspensjon AS'!C36+'KLP Skadeforsikring AS'!C36+'Landbruksforsikring AS'!C36+'NEMI Forsikring'!C36+'Nordea Liv '!C36+'Oslo Pensjonsforsikring'!C36+'SHB Liv'!C36+'Silver Pensjonsforsikring AS'!C36+'Sparebank 1'!C36+'Storebrand Livsforsikring'!C36+'Telenor Forsikring'!C36+'Tryg Forsikring'!C36</f>
        <v>0</v>
      </c>
      <c r="D36" s="24"/>
      <c r="E36" s="317">
        <f>'ACE European Group'!F36+'Danica Pensjonsforsikring'!F36+'DNB Livsforsikring'!F36+'Eika Forsikring AS'!F36+'Frende Livsforsikring'!F36+'Frende Skadeforsikring'!F36+'Gjensidige Forsikring'!F36+'Gjensidige Pensjon'!F36+'Handelsbanken Liv'!F36+'If Skadeforsikring NUF'!F36+KLP!F36+'KLP Bedriftspensjon AS'!F36+'KLP Skadeforsikring AS'!F36+'Landbruksforsikring AS'!F36+'NEMI Forsikring'!F36+'Nordea Liv '!F36+'Oslo Pensjonsforsikring'!F36+'SHB Liv'!F36+'Silver Pensjonsforsikring AS'!F36+'Sparebank 1'!F36+'Storebrand Livsforsikring'!F36+'Telenor Forsikring'!F36+'Tryg Forsikring'!F36</f>
        <v>0</v>
      </c>
      <c r="F36" s="319">
        <f>'ACE European Group'!G36+'Danica Pensjonsforsikring'!G36+'DNB Livsforsikring'!G36+'Eika Forsikring AS'!G36+'Frende Livsforsikring'!G36+'Frende Skadeforsikring'!G36+'Gjensidige Forsikring'!G36+'Gjensidige Pensjon'!G36+'Handelsbanken Liv'!G36+'If Skadeforsikring NUF'!G36+KLP!G36+'KLP Bedriftspensjon AS'!G36+'KLP Skadeforsikring AS'!G36+'Landbruksforsikring AS'!G36+'NEMI Forsikring'!G36+'Nordea Liv '!G36+'Oslo Pensjonsforsikring'!G36+'SHB Liv'!G36+'Silver Pensjonsforsikring AS'!G36+'Sparebank 1'!G36+'Storebrand Livsforsikring'!G36+'Telenor Forsikring'!G36+'Tryg Forsikring'!G36</f>
        <v>0</v>
      </c>
      <c r="G36" s="170" t="str">
        <f t="shared" si="14"/>
        <v/>
      </c>
      <c r="H36" s="306">
        <f t="shared" si="9"/>
        <v>0</v>
      </c>
      <c r="I36" s="236">
        <f t="shared" si="7"/>
        <v>0</v>
      </c>
      <c r="J36" s="24"/>
    </row>
    <row r="37" spans="1:10" s="43" customFormat="1" ht="15.75" customHeight="1" x14ac:dyDescent="0.2">
      <c r="A37" s="18" t="s">
        <v>311</v>
      </c>
      <c r="B37" s="281">
        <f>'ACE European Group'!B37+'Danica Pensjonsforsikring'!B37+'DNB Livsforsikring'!B37+'Eika Forsikring AS'!B37+'Frende Livsforsikring'!B37+'Frende Skadeforsikring'!B37+'Gjensidige Forsikring'!B37+'Gjensidige Pensjon'!B37+'Handelsbanken Liv'!B37+'If Skadeforsikring NUF'!B37+KLP!B37+'KLP Bedriftspensjon AS'!B37+'KLP Skadeforsikring AS'!B37+'Landbruksforsikring AS'!B37+'NEMI Forsikring'!B37+'Nordea Liv '!B37+'Oslo Pensjonsforsikring'!B37+'SHB Liv'!B37+'Silver Pensjonsforsikring AS'!B37+'Sparebank 1'!B37+'Storebrand Livsforsikring'!B37+'Telenor Forsikring'!B37+'Tryg Forsikring'!B37</f>
        <v>9</v>
      </c>
      <c r="C37" s="281">
        <f>'ACE European Group'!C37+'Danica Pensjonsforsikring'!C37+'DNB Livsforsikring'!C37+'Eika Forsikring AS'!C37+'Frende Livsforsikring'!C37+'Frende Skadeforsikring'!C37+'Gjensidige Forsikring'!C37+'Gjensidige Pensjon'!C37+'Handelsbanken Liv'!C37+'If Skadeforsikring NUF'!C37+KLP!C37+'KLP Bedriftspensjon AS'!C37+'KLP Skadeforsikring AS'!C37+'Landbruksforsikring AS'!C37+'NEMI Forsikring'!C37+'Nordea Liv '!C37+'Oslo Pensjonsforsikring'!C37+'SHB Liv'!C37+'Silver Pensjonsforsikring AS'!C37+'Sparebank 1'!C37+'Storebrand Livsforsikring'!C37+'Telenor Forsikring'!C37+'Tryg Forsikring'!C37</f>
        <v>4</v>
      </c>
      <c r="D37" s="36">
        <f t="shared" si="5"/>
        <v>-55.6</v>
      </c>
      <c r="E37" s="320">
        <f>'ACE European Group'!F37+'Danica Pensjonsforsikring'!F37+'DNB Livsforsikring'!F37+'Eika Forsikring AS'!F37+'Frende Livsforsikring'!F37+'Frende Skadeforsikring'!F37+'Gjensidige Forsikring'!F37+'Gjensidige Pensjon'!F37+'Handelsbanken Liv'!F37+'If Skadeforsikring NUF'!F37+KLP!F37+'KLP Bedriftspensjon AS'!F37+'KLP Skadeforsikring AS'!F37+'Landbruksforsikring AS'!F37+'NEMI Forsikring'!F37+'Nordea Liv '!F37+'Oslo Pensjonsforsikring'!F37+'SHB Liv'!F37+'Silver Pensjonsforsikring AS'!F37+'Sparebank 1'!F37+'Storebrand Livsforsikring'!F37+'Telenor Forsikring'!F37+'Tryg Forsikring'!F37</f>
        <v>0</v>
      </c>
      <c r="F37" s="320">
        <f>'ACE European Group'!G37+'Danica Pensjonsforsikring'!G37+'DNB Livsforsikring'!G37+'Eika Forsikring AS'!G37+'Frende Livsforsikring'!G37+'Frende Skadeforsikring'!G37+'Gjensidige Forsikring'!G37+'Gjensidige Pensjon'!G37+'Handelsbanken Liv'!G37+'If Skadeforsikring NUF'!G37+KLP!G37+'KLP Bedriftspensjon AS'!G37+'KLP Skadeforsikring AS'!G37+'Landbruksforsikring AS'!G37+'NEMI Forsikring'!G37+'Nordea Liv '!G37+'Oslo Pensjonsforsikring'!G37+'SHB Liv'!G37+'Silver Pensjonsforsikring AS'!G37+'Sparebank 1'!G37+'Storebrand Livsforsikring'!G37+'Telenor Forsikring'!G37+'Tryg Forsikring'!G37</f>
        <v>0</v>
      </c>
      <c r="G37" s="168" t="str">
        <f t="shared" si="14"/>
        <v/>
      </c>
      <c r="H37" s="312">
        <f t="shared" si="9"/>
        <v>9</v>
      </c>
      <c r="I37" s="281">
        <f t="shared" si="7"/>
        <v>4</v>
      </c>
      <c r="J37" s="36">
        <f t="shared" si="8"/>
        <v>-55.6</v>
      </c>
    </row>
    <row r="38" spans="1:10" ht="15.75" customHeight="1" x14ac:dyDescent="0.2">
      <c r="A38" s="47"/>
    </row>
    <row r="39" spans="1:10" ht="15.75" customHeight="1" x14ac:dyDescent="0.2">
      <c r="A39" s="154"/>
    </row>
    <row r="40" spans="1:10" ht="15.75" customHeight="1" x14ac:dyDescent="0.25">
      <c r="A40" s="146" t="s">
        <v>294</v>
      </c>
      <c r="B40" s="671"/>
      <c r="C40" s="671"/>
      <c r="D40" s="671"/>
      <c r="E40" s="672"/>
      <c r="F40" s="672"/>
      <c r="G40" s="672"/>
      <c r="H40" s="672"/>
      <c r="I40" s="672"/>
      <c r="J40" s="672"/>
    </row>
    <row r="41" spans="1:10" ht="15.75" customHeight="1" x14ac:dyDescent="0.25">
      <c r="A41" s="162"/>
      <c r="B41" s="295"/>
      <c r="C41" s="295"/>
      <c r="D41" s="295"/>
      <c r="E41" s="296"/>
      <c r="F41" s="296"/>
      <c r="G41" s="296"/>
      <c r="H41" s="296"/>
      <c r="I41" s="296"/>
      <c r="J41" s="296"/>
    </row>
    <row r="42" spans="1:10" s="3" customFormat="1" ht="15.75" customHeight="1" x14ac:dyDescent="0.25">
      <c r="A42" s="249"/>
      <c r="B42" s="321" t="s">
        <v>0</v>
      </c>
      <c r="C42" s="322"/>
      <c r="D42" s="257"/>
      <c r="E42" s="42"/>
      <c r="F42" s="42"/>
      <c r="G42" s="40"/>
      <c r="H42" s="42"/>
      <c r="I42" s="42"/>
      <c r="J42" s="40"/>
    </row>
    <row r="43" spans="1:10" s="3" customFormat="1" ht="15.75" customHeight="1" x14ac:dyDescent="0.2">
      <c r="A43" s="140"/>
      <c r="B43" s="254" t="s">
        <v>411</v>
      </c>
      <c r="C43" s="255" t="s">
        <v>412</v>
      </c>
      <c r="D43" s="252" t="s">
        <v>3</v>
      </c>
      <c r="E43" s="42"/>
      <c r="F43" s="42"/>
      <c r="G43" s="40"/>
      <c r="H43" s="42"/>
      <c r="I43" s="42"/>
      <c r="J43" s="40"/>
    </row>
    <row r="44" spans="1:10" s="3" customFormat="1" ht="15.75" customHeight="1" x14ac:dyDescent="0.2">
      <c r="A44" s="436"/>
      <c r="B44" s="46"/>
      <c r="C44" s="256"/>
      <c r="D44" s="17" t="s">
        <v>4</v>
      </c>
      <c r="E44" s="40"/>
      <c r="F44" s="40"/>
      <c r="G44" s="40"/>
      <c r="H44" s="40"/>
      <c r="I44" s="40"/>
      <c r="J44" s="40"/>
    </row>
    <row r="45" spans="1:10" s="396" customFormat="1" ht="15.75" customHeight="1" x14ac:dyDescent="0.2">
      <c r="A45" s="14" t="s">
        <v>27</v>
      </c>
      <c r="B45" s="236">
        <f>'ACE European Group'!B45+'Danica Pensjonsforsikring'!B45+'DNB Livsforsikring'!B45+'Eika Forsikring AS'!B45+'Frende Livsforsikring'!B45+'Frende Skadeforsikring'!B45+'Gjensidige Forsikring'!B45+'Gjensidige Pensjon'!B45+'Handelsbanken Liv'!B45+'If Skadeforsikring NUF'!B45+KLP!B45+'KLP Bedriftspensjon AS'!B45+'KLP Skadeforsikring AS'!B45+'Landbruksforsikring AS'!B45+'NEMI Forsikring'!B45+'Nordea Liv '!B45+'Oslo Pensjonsforsikring'!B45+'SHB Liv'!B45+'Silver Pensjonsforsikring AS'!B45+'Sparebank 1'!B45+'Storebrand Livsforsikring'!B45+'Telenor Forsikring'!B45+'Tryg Forsikring'!B45</f>
        <v>2682270.9502600003</v>
      </c>
      <c r="C45" s="323">
        <f>'ACE European Group'!C45+'Danica Pensjonsforsikring'!C45+'DNB Livsforsikring'!C45+'Eika Forsikring AS'!C45+'Frende Livsforsikring'!C45+'Frende Skadeforsikring'!C45+'Gjensidige Forsikring'!C45+'Gjensidige Pensjon'!C45+'Handelsbanken Liv'!C45+'If Skadeforsikring NUF'!C45+KLP!C45+'KLP Bedriftspensjon AS'!C45+'KLP Skadeforsikring AS'!C45+'Landbruksforsikring AS'!C45+'NEMI Forsikring'!C45+'Nordea Liv '!C45+'Oslo Pensjonsforsikring'!C45+'SHB Liv'!C45+'Silver Pensjonsforsikring AS'!C45+'Sparebank 1'!C45+'Storebrand Livsforsikring'!C45+'Telenor Forsikring'!C45+'Tryg Forsikring'!C45</f>
        <v>2741998.0199699998</v>
      </c>
      <c r="D45" s="24">
        <f t="shared" ref="D45:D56" si="15">IF(B45=0, "    ---- ", IF(ABS(ROUND(100/B45*C45-100,1))&lt;999,ROUND(100/B45*C45-100,1),IF(ROUND(100/B45*C45-100,1)&gt;999,999,-999)))</f>
        <v>2.2000000000000002</v>
      </c>
      <c r="E45" s="397"/>
      <c r="F45" s="398"/>
      <c r="G45" s="32"/>
      <c r="H45" s="399"/>
      <c r="I45" s="399"/>
      <c r="J45" s="32"/>
    </row>
    <row r="46" spans="1:10" s="3" customFormat="1" ht="15.75" customHeight="1" x14ac:dyDescent="0.2">
      <c r="A46" s="38" t="s">
        <v>312</v>
      </c>
      <c r="B46" s="44">
        <f>'ACE European Group'!B46+'Danica Pensjonsforsikring'!B46+'DNB Livsforsikring'!B46+'Eika Forsikring AS'!B46+'Frende Livsforsikring'!B46+'Frende Skadeforsikring'!B46+'Gjensidige Forsikring'!B46+'Gjensidige Pensjon'!B46+'Handelsbanken Liv'!B46+'If Skadeforsikring NUF'!B46+KLP!B46+'KLP Bedriftspensjon AS'!B46+'KLP Skadeforsikring AS'!B46+'Landbruksforsikring AS'!B46+'NEMI Forsikring'!B46+'Nordea Liv '!B46+'Oslo Pensjonsforsikring'!B46+'SHB Liv'!B46+'Silver Pensjonsforsikring AS'!B46+'Sparebank 1'!B46+'Storebrand Livsforsikring'!B46+'Telenor Forsikring'!B46+'Tryg Forsikring'!B46</f>
        <v>1507213.1267599999</v>
      </c>
      <c r="C46" s="44">
        <f>'ACE European Group'!C46+'Danica Pensjonsforsikring'!C46+'DNB Livsforsikring'!C46+'Eika Forsikring AS'!C46+'Frende Livsforsikring'!C46+'Frende Skadeforsikring'!C46+'Gjensidige Forsikring'!C46+'Gjensidige Pensjon'!C46+'Handelsbanken Liv'!C46+'If Skadeforsikring NUF'!C46+KLP!C46+'KLP Bedriftspensjon AS'!C46+'KLP Skadeforsikring AS'!C46+'Landbruksforsikring AS'!C46+'NEMI Forsikring'!C46+'Nordea Liv '!C46+'Oslo Pensjonsforsikring'!C46+'SHB Liv'!C46+'Silver Pensjonsforsikring AS'!C46+'Sparebank 1'!C46+'Storebrand Livsforsikring'!C46+'Telenor Forsikring'!C46+'Tryg Forsikring'!C46</f>
        <v>1455530.23911</v>
      </c>
      <c r="D46" s="24">
        <f t="shared" si="15"/>
        <v>-3.4</v>
      </c>
      <c r="E46" s="35"/>
      <c r="F46" s="5"/>
      <c r="G46" s="34"/>
      <c r="H46" s="33"/>
      <c r="I46" s="33"/>
      <c r="J46" s="32"/>
    </row>
    <row r="47" spans="1:10" s="3" customFormat="1" ht="15.75" customHeight="1" x14ac:dyDescent="0.2">
      <c r="A47" s="38" t="s">
        <v>313</v>
      </c>
      <c r="B47" s="191">
        <f>'ACE European Group'!B47+'Danica Pensjonsforsikring'!B47+'DNB Livsforsikring'!B47+'Eika Forsikring AS'!B47+'Frende Livsforsikring'!B47+'Frende Skadeforsikring'!B47+'Gjensidige Forsikring'!B47+'Gjensidige Pensjon'!B47+'Handelsbanken Liv'!B47+'If Skadeforsikring NUF'!B47+KLP!B47+'KLP Bedriftspensjon AS'!B47+'KLP Skadeforsikring AS'!B47+'Landbruksforsikring AS'!B47+'NEMI Forsikring'!B47+'Nordea Liv '!B47+'Oslo Pensjonsforsikring'!B47+'SHB Liv'!B47+'Silver Pensjonsforsikring AS'!B47+'Sparebank 1'!B47+'Storebrand Livsforsikring'!B47+'Telenor Forsikring'!B47+'Tryg Forsikring'!B47</f>
        <v>1175057.8234999999</v>
      </c>
      <c r="C47" s="191">
        <f>'ACE European Group'!C47+'Danica Pensjonsforsikring'!C47+'DNB Livsforsikring'!C47+'Eika Forsikring AS'!C47+'Frende Livsforsikring'!C47+'Frende Skadeforsikring'!C47+'Gjensidige Forsikring'!C47+'Gjensidige Pensjon'!C47+'Handelsbanken Liv'!C47+'If Skadeforsikring NUF'!C47+KLP!C47+'KLP Bedriftspensjon AS'!C47+'KLP Skadeforsikring AS'!C47+'Landbruksforsikring AS'!C47+'NEMI Forsikring'!C47+'Nordea Liv '!C47+'Oslo Pensjonsforsikring'!C47+'SHB Liv'!C47+'Silver Pensjonsforsikring AS'!C47+'Sparebank 1'!C47+'Storebrand Livsforsikring'!C47+'Telenor Forsikring'!C47+'Tryg Forsikring'!C47</f>
        <v>1286467.7808600001</v>
      </c>
      <c r="D47" s="24">
        <f t="shared" si="15"/>
        <v>9.5</v>
      </c>
      <c r="E47" s="35"/>
      <c r="F47" s="5"/>
      <c r="G47" s="34"/>
      <c r="H47" s="37"/>
      <c r="I47" s="37"/>
      <c r="J47" s="32"/>
    </row>
    <row r="48" spans="1:10" s="3" customFormat="1" ht="15.75" customHeight="1" x14ac:dyDescent="0.2">
      <c r="A48" s="294" t="s">
        <v>6</v>
      </c>
      <c r="B48" s="44" t="str">
        <f>IF($A$1=4,'ACE European Group'!B48+'Danica Pensjonsforsikring'!B48+'DNB Livsforsikring'!B48+'Eika Forsikring AS'!B48+'Frende Livsforsikring'!B48+'Frende Skadeforsikring'!B48+'Gjensidige Forsikring'!B48+'Gjensidige Pensjon'!B48+'Handelsbanken Liv'!B48+'If Skadeforsikring NUF'!B48+KLP!B48+'KLP Bedriftspensjon AS'!B48+'KLP Skadeforsikring AS'!B48+'Landbruksforsikring AS'!B48+'NEMI Forsikring'!B48+'Nordea Liv '!B48+'Oslo Pensjonsforsikring'!B48+'SHB Liv'!B48+'Silver Pensjonsforsikring AS'!B48+'Sparebank 1'!B48+'Storebrand Livsforsikring'!B48+'Telenor Forsikring'!B48+'Tryg Forsikring'!B48,"")</f>
        <v/>
      </c>
      <c r="C48" s="44" t="str">
        <f>IF($A$1=4,'ACE European Group'!C48+'Danica Pensjonsforsikring'!C48+'DNB Livsforsikring'!C48+'Eika Forsikring AS'!C48+'Frende Livsforsikring'!C48+'Frende Skadeforsikring'!C48+'Gjensidige Forsikring'!C48+'Gjensidige Pensjon'!C48+'Handelsbanken Liv'!C48+'If Skadeforsikring NUF'!C48+KLP!C48+'KLP Bedriftspensjon AS'!C48+'KLP Skadeforsikring AS'!C48+'Landbruksforsikring AS'!C48+'NEMI Forsikring'!C48+'Nordea Liv '!C48+'Oslo Pensjonsforsikring'!C48+'SHB Liv'!C48+'Silver Pensjonsforsikring AS'!C48+'Sparebank 1'!C48+'Storebrand Livsforsikring'!C48+'Telenor Forsikring'!C48+'Tryg Forsikring'!C48,"")</f>
        <v/>
      </c>
      <c r="D48" s="27" t="str">
        <f t="shared" ref="D48:D50" si="16">IF($A$1=4,IF(B48=0, "    ---- ", IF(ABS(ROUND(100/B48*C48-100,1))&lt;999,ROUND(100/B48*C48-100,1),IF(ROUND(100/B48*C48-100,1)&gt;999,999,-999))),"")</f>
        <v/>
      </c>
      <c r="E48" s="35"/>
      <c r="F48" s="5"/>
      <c r="G48" s="34"/>
      <c r="H48" s="33"/>
      <c r="I48" s="33"/>
      <c r="J48" s="32"/>
    </row>
    <row r="49" spans="1:10" s="3" customFormat="1" ht="15.75" customHeight="1" x14ac:dyDescent="0.2">
      <c r="A49" s="294" t="s">
        <v>7</v>
      </c>
      <c r="B49" s="44" t="str">
        <f>IF($A$1=4,'ACE European Group'!B49+'Danica Pensjonsforsikring'!B49+'DNB Livsforsikring'!B49+'Eika Forsikring AS'!B49+'Frende Livsforsikring'!B49+'Frende Skadeforsikring'!B49+'Gjensidige Forsikring'!B49+'Gjensidige Pensjon'!B49+'Handelsbanken Liv'!B49+'If Skadeforsikring NUF'!B49+KLP!B49+'KLP Bedriftspensjon AS'!B49+'KLP Skadeforsikring AS'!B49+'Landbruksforsikring AS'!B49+'NEMI Forsikring'!B49+'Nordea Liv '!B49+'Oslo Pensjonsforsikring'!B49+'SHB Liv'!B49+'Silver Pensjonsforsikring AS'!B49+'Sparebank 1'!B49+'Storebrand Livsforsikring'!B49+'Telenor Forsikring'!B49+'Tryg Forsikring'!B49,"")</f>
        <v/>
      </c>
      <c r="C49" s="44" t="str">
        <f>IF($A$1=4,'ACE European Group'!C49+'Danica Pensjonsforsikring'!C49+'DNB Livsforsikring'!C49+'Eika Forsikring AS'!C49+'Frende Livsforsikring'!C49+'Frende Skadeforsikring'!C49+'Gjensidige Forsikring'!C49+'Gjensidige Pensjon'!C49+'Handelsbanken Liv'!C49+'If Skadeforsikring NUF'!C49+KLP!C49+'KLP Bedriftspensjon AS'!C49+'KLP Skadeforsikring AS'!C49+'Landbruksforsikring AS'!C49+'NEMI Forsikring'!C49+'Nordea Liv '!C49+'Oslo Pensjonsforsikring'!C49+'SHB Liv'!C49+'Silver Pensjonsforsikring AS'!C49+'Sparebank 1'!C49+'Storebrand Livsforsikring'!C49+'Telenor Forsikring'!C49+'Tryg Forsikring'!C49,"")</f>
        <v/>
      </c>
      <c r="D49" s="27" t="str">
        <f t="shared" si="16"/>
        <v/>
      </c>
      <c r="E49" s="35"/>
      <c r="F49" s="5"/>
      <c r="G49" s="34"/>
      <c r="H49" s="33"/>
      <c r="I49" s="33"/>
      <c r="J49" s="32"/>
    </row>
    <row r="50" spans="1:10" s="3" customFormat="1" ht="15.75" customHeight="1" x14ac:dyDescent="0.2">
      <c r="A50" s="294" t="s">
        <v>8</v>
      </c>
      <c r="B50" s="44" t="str">
        <f>IF($A$1=4,'ACE European Group'!B50+'Danica Pensjonsforsikring'!B50+'DNB Livsforsikring'!B50+'Eika Forsikring AS'!B50+'Frende Livsforsikring'!B50+'Frende Skadeforsikring'!B50+'Gjensidige Forsikring'!B50+'Gjensidige Pensjon'!B50+'Handelsbanken Liv'!B50+'If Skadeforsikring NUF'!B50+KLP!B50+'KLP Bedriftspensjon AS'!B50+'KLP Skadeforsikring AS'!B50+'Landbruksforsikring AS'!B50+'NEMI Forsikring'!B50+'Nordea Liv '!B50+'Oslo Pensjonsforsikring'!B50+'SHB Liv'!B50+'Silver Pensjonsforsikring AS'!B50+'Sparebank 1'!B50+'Storebrand Livsforsikring'!B50+'Telenor Forsikring'!B50+'Tryg Forsikring'!B50,"")</f>
        <v/>
      </c>
      <c r="C50" s="44" t="str">
        <f>IF($A$1=4,'ACE European Group'!C50+'Danica Pensjonsforsikring'!C50+'DNB Livsforsikring'!C50+'Eika Forsikring AS'!C50+'Frende Livsforsikring'!C50+'Frende Skadeforsikring'!C50+'Gjensidige Forsikring'!C50+'Gjensidige Pensjon'!C50+'Handelsbanken Liv'!C50+'If Skadeforsikring NUF'!C50+KLP!C50+'KLP Bedriftspensjon AS'!C50+'KLP Skadeforsikring AS'!C50+'Landbruksforsikring AS'!C50+'NEMI Forsikring'!C50+'Nordea Liv '!C50+'Oslo Pensjonsforsikring'!C50+'SHB Liv'!C50+'Silver Pensjonsforsikring AS'!C50+'Sparebank 1'!C50+'Storebrand Livsforsikring'!C50+'Telenor Forsikring'!C50+'Tryg Forsikring'!C50,"")</f>
        <v/>
      </c>
      <c r="D50" s="27" t="str">
        <f t="shared" si="16"/>
        <v/>
      </c>
      <c r="E50" s="35"/>
      <c r="F50" s="5"/>
      <c r="G50" s="34"/>
      <c r="H50" s="33"/>
      <c r="I50" s="33"/>
      <c r="J50" s="32"/>
    </row>
    <row r="51" spans="1:10" s="396" customFormat="1" ht="15.75" customHeight="1" x14ac:dyDescent="0.2">
      <c r="A51" s="39" t="s">
        <v>314</v>
      </c>
      <c r="B51" s="236">
        <f>'ACE European Group'!B51+'Danica Pensjonsforsikring'!B51+'DNB Livsforsikring'!B51+'Eika Forsikring AS'!B51+'Frende Livsforsikring'!B51+'Frende Skadeforsikring'!B51+'Gjensidige Forsikring'!B51+'Gjensidige Pensjon'!B51+'Handelsbanken Liv'!B51+'If Skadeforsikring NUF'!B51+KLP!B51+'KLP Bedriftspensjon AS'!B51+'KLP Skadeforsikring AS'!B51+'Landbruksforsikring AS'!B51+'NEMI Forsikring'!B51+'Nordea Liv '!B51+'Oslo Pensjonsforsikring'!B51+'SHB Liv'!B51+'Silver Pensjonsforsikring AS'!B51+'Sparebank 1'!B51+'Storebrand Livsforsikring'!B51+'Telenor Forsikring'!B51+'Tryg Forsikring'!B51</f>
        <v>142588.90299999999</v>
      </c>
      <c r="C51" s="236">
        <f>'ACE European Group'!C51+'Danica Pensjonsforsikring'!C51+'DNB Livsforsikring'!C51+'Eika Forsikring AS'!C51+'Frende Livsforsikring'!C51+'Frende Skadeforsikring'!C51+'Gjensidige Forsikring'!C51+'Gjensidige Pensjon'!C51+'Handelsbanken Liv'!C51+'If Skadeforsikring NUF'!C51+KLP!C51+'KLP Bedriftspensjon AS'!C51+'KLP Skadeforsikring AS'!C51+'Landbruksforsikring AS'!C51+'NEMI Forsikring'!C51+'Nordea Liv '!C51+'Oslo Pensjonsforsikring'!C51+'SHB Liv'!C51+'Silver Pensjonsforsikring AS'!C51+'Sparebank 1'!C51+'Storebrand Livsforsikring'!C51+'Telenor Forsikring'!C51+'Tryg Forsikring'!C51</f>
        <v>141666.20300000001</v>
      </c>
      <c r="D51" s="24">
        <f t="shared" si="15"/>
        <v>-0.6</v>
      </c>
      <c r="E51" s="397"/>
      <c r="F51" s="398"/>
      <c r="G51" s="32"/>
      <c r="H51" s="173"/>
      <c r="I51" s="173"/>
      <c r="J51" s="32"/>
    </row>
    <row r="52" spans="1:10" s="3" customFormat="1" ht="15.75" customHeight="1" x14ac:dyDescent="0.2">
      <c r="A52" s="38" t="s">
        <v>312</v>
      </c>
      <c r="B52" s="44">
        <f>'ACE European Group'!B52+'Danica Pensjonsforsikring'!B52+'DNB Livsforsikring'!B52+'Eika Forsikring AS'!B52+'Frende Livsforsikring'!B52+'Frende Skadeforsikring'!B52+'Gjensidige Forsikring'!B52+'Gjensidige Pensjon'!B52+'Handelsbanken Liv'!B52+'If Skadeforsikring NUF'!B52+KLP!B52+'KLP Bedriftspensjon AS'!B52+'KLP Skadeforsikring AS'!B52+'Landbruksforsikring AS'!B52+'NEMI Forsikring'!B52+'Nordea Liv '!B52+'Oslo Pensjonsforsikring'!B52+'SHB Liv'!B52+'Silver Pensjonsforsikring AS'!B52+'Sparebank 1'!B52+'Storebrand Livsforsikring'!B52+'Telenor Forsikring'!B52+'Tryg Forsikring'!B52</f>
        <v>114692.512</v>
      </c>
      <c r="C52" s="44">
        <f>'ACE European Group'!C52+'Danica Pensjonsforsikring'!C52+'DNB Livsforsikring'!C52+'Eika Forsikring AS'!C52+'Frende Livsforsikring'!C52+'Frende Skadeforsikring'!C52+'Gjensidige Forsikring'!C52+'Gjensidige Pensjon'!C52+'Handelsbanken Liv'!C52+'If Skadeforsikring NUF'!C52+KLP!C52+'KLP Bedriftspensjon AS'!C52+'KLP Skadeforsikring AS'!C52+'Landbruksforsikring AS'!C52+'NEMI Forsikring'!C52+'Nordea Liv '!C52+'Oslo Pensjonsforsikring'!C52+'SHB Liv'!C52+'Silver Pensjonsforsikring AS'!C52+'Sparebank 1'!C52+'Storebrand Livsforsikring'!C52+'Telenor Forsikring'!C52+'Tryg Forsikring'!C52</f>
        <v>84317.303</v>
      </c>
      <c r="D52" s="24">
        <f t="shared" si="15"/>
        <v>-26.5</v>
      </c>
      <c r="E52" s="35"/>
      <c r="F52" s="5"/>
      <c r="G52" s="34"/>
      <c r="H52" s="33"/>
      <c r="I52" s="33"/>
      <c r="J52" s="32"/>
    </row>
    <row r="53" spans="1:10" s="3" customFormat="1" ht="15.75" customHeight="1" x14ac:dyDescent="0.2">
      <c r="A53" s="38" t="s">
        <v>313</v>
      </c>
      <c r="B53" s="44">
        <f>'ACE European Group'!B53+'Danica Pensjonsforsikring'!B53+'DNB Livsforsikring'!B53+'Eika Forsikring AS'!B53+'Frende Livsforsikring'!B53+'Frende Skadeforsikring'!B53+'Gjensidige Forsikring'!B53+'Gjensidige Pensjon'!B53+'Handelsbanken Liv'!B53+'If Skadeforsikring NUF'!B53+KLP!B53+'KLP Bedriftspensjon AS'!B53+'KLP Skadeforsikring AS'!B53+'Landbruksforsikring AS'!B53+'NEMI Forsikring'!B53+'Nordea Liv '!B53+'Oslo Pensjonsforsikring'!B53+'SHB Liv'!B53+'Silver Pensjonsforsikring AS'!B53+'Sparebank 1'!B53+'Storebrand Livsforsikring'!B53+'Telenor Forsikring'!B53+'Tryg Forsikring'!B53</f>
        <v>27896.391000000003</v>
      </c>
      <c r="C53" s="44">
        <f>'ACE European Group'!C53+'Danica Pensjonsforsikring'!C53+'DNB Livsforsikring'!C53+'Eika Forsikring AS'!C53+'Frende Livsforsikring'!C53+'Frende Skadeforsikring'!C53+'Gjensidige Forsikring'!C53+'Gjensidige Pensjon'!C53+'Handelsbanken Liv'!C53+'If Skadeforsikring NUF'!C53+KLP!C53+'KLP Bedriftspensjon AS'!C53+'KLP Skadeforsikring AS'!C53+'Landbruksforsikring AS'!C53+'NEMI Forsikring'!C53+'Nordea Liv '!C53+'Oslo Pensjonsforsikring'!C53+'SHB Liv'!C53+'Silver Pensjonsforsikring AS'!C53+'Sparebank 1'!C53+'Storebrand Livsforsikring'!C53+'Telenor Forsikring'!C53+'Tryg Forsikring'!C53</f>
        <v>57348.9</v>
      </c>
      <c r="D53" s="24">
        <f t="shared" si="15"/>
        <v>105.6</v>
      </c>
      <c r="E53" s="35"/>
      <c r="F53" s="5"/>
      <c r="G53" s="34"/>
      <c r="H53" s="33"/>
      <c r="I53" s="33"/>
      <c r="J53" s="32"/>
    </row>
    <row r="54" spans="1:10" s="396" customFormat="1" ht="15.75" customHeight="1" x14ac:dyDescent="0.2">
      <c r="A54" s="39" t="s">
        <v>315</v>
      </c>
      <c r="B54" s="236">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Pensjonsforsikring'!B54+'SHB Liv'!B54+'Silver Pensjonsforsikring AS'!B54+'Sparebank 1'!B54+'Storebrand Livsforsikring'!B54+'Telenor Forsikring'!B54+'Tryg Forsikring'!B54</f>
        <v>131957.84700000001</v>
      </c>
      <c r="C54" s="236">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Pensjonsforsikring'!C54+'SHB Liv'!C54+'Silver Pensjonsforsikring AS'!C54+'Sparebank 1'!C54+'Storebrand Livsforsikring'!C54+'Telenor Forsikring'!C54+'Tryg Forsikring'!C54</f>
        <v>86314.465999999986</v>
      </c>
      <c r="D54" s="24">
        <f t="shared" si="15"/>
        <v>-34.6</v>
      </c>
      <c r="E54" s="397"/>
      <c r="F54" s="398"/>
      <c r="G54" s="32"/>
      <c r="H54" s="173"/>
      <c r="I54" s="173"/>
      <c r="J54" s="32"/>
    </row>
    <row r="55" spans="1:10" s="3" customFormat="1" ht="15.75" customHeight="1" x14ac:dyDescent="0.2">
      <c r="A55" s="38" t="s">
        <v>312</v>
      </c>
      <c r="B55" s="44">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Pensjonsforsikring'!B55+'SHB Liv'!B55+'Silver Pensjonsforsikring AS'!B55+'Sparebank 1'!B55+'Storebrand Livsforsikring'!B55+'Telenor Forsikring'!B55+'Tryg Forsikring'!B55</f>
        <v>131877.54699999999</v>
      </c>
      <c r="C55" s="44">
        <f>'ACE European Group'!C55+'Danica Pensjonsforsikring'!C55+'DNB Livsforsikring'!C55+'Eika Forsikring AS'!C55+'Frende Livsforsikring'!C55+'Frende Skadeforsikring'!C55+'Gjensidige Forsikring'!C55+'Gjensidige Pensjon'!C55+'Handelsbanken Liv'!C55+'If Skadeforsikring NUF'!C55+KLP!C55+'KLP Bedriftspensjon AS'!C55+'KLP Skadeforsikring AS'!C55+'Landbruksforsikring AS'!C55+'NEMI Forsikring'!C55+'Nordea Liv '!C55+'Oslo Pensjonsforsikring'!C55+'SHB Liv'!C55+'Silver Pensjonsforsikring AS'!C55+'Sparebank 1'!C55+'Storebrand Livsforsikring'!C55+'Telenor Forsikring'!C55+'Tryg Forsikring'!C55</f>
        <v>86314.465999999986</v>
      </c>
      <c r="D55" s="24">
        <f t="shared" si="15"/>
        <v>-34.5</v>
      </c>
      <c r="E55" s="35"/>
      <c r="F55" s="5"/>
      <c r="G55" s="34"/>
      <c r="H55" s="33"/>
      <c r="I55" s="33"/>
      <c r="J55" s="32"/>
    </row>
    <row r="56" spans="1:10" s="3" customFormat="1" ht="15.75" customHeight="1" x14ac:dyDescent="0.2">
      <c r="A56" s="46" t="s">
        <v>313</v>
      </c>
      <c r="B56" s="45">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Pensjonsforsikring'!B56+'SHB Liv'!B56+'Silver Pensjonsforsikring AS'!B56+'Sparebank 1'!B56+'Storebrand Livsforsikring'!B56+'Telenor Forsikring'!B56+'Tryg Forsikring'!B56</f>
        <v>80.3</v>
      </c>
      <c r="C56" s="45">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Pensjonsforsikring'!C56+'SHB Liv'!C56+'Silver Pensjonsforsikring AS'!C56+'Sparebank 1'!C56+'Storebrand Livsforsikring'!C56+'Telenor Forsikring'!C56+'Tryg Forsikring'!C56</f>
        <v>0</v>
      </c>
      <c r="D56" s="36">
        <f t="shared" si="15"/>
        <v>-100</v>
      </c>
      <c r="E56" s="35"/>
      <c r="F56" s="5"/>
      <c r="G56" s="34"/>
      <c r="H56" s="33"/>
      <c r="I56" s="33"/>
      <c r="J56" s="32"/>
    </row>
    <row r="57" spans="1:10" s="3" customFormat="1" ht="15.75" customHeight="1" x14ac:dyDescent="0.25">
      <c r="A57" s="163"/>
      <c r="B57" s="30"/>
      <c r="C57" s="30"/>
      <c r="D57" s="30"/>
      <c r="E57" s="31"/>
      <c r="F57" s="31"/>
      <c r="G57" s="31"/>
      <c r="H57" s="31"/>
      <c r="I57" s="31"/>
      <c r="J57" s="31"/>
    </row>
    <row r="58" spans="1:10" ht="15.75" customHeight="1" x14ac:dyDescent="0.2">
      <c r="A58" s="154"/>
    </row>
    <row r="59" spans="1:10" ht="15.75" customHeight="1" x14ac:dyDescent="0.25">
      <c r="A59" s="146" t="s">
        <v>295</v>
      </c>
      <c r="C59" s="26"/>
      <c r="D59" s="25"/>
      <c r="E59" s="26"/>
      <c r="F59" s="26"/>
      <c r="G59" s="25"/>
      <c r="H59" s="26"/>
      <c r="I59" s="26"/>
      <c r="J59" s="25"/>
    </row>
    <row r="60" spans="1:10" ht="20.100000000000001" customHeight="1" x14ac:dyDescent="0.25">
      <c r="A60" s="148"/>
      <c r="B60" s="671"/>
      <c r="C60" s="671"/>
      <c r="D60" s="671"/>
      <c r="E60" s="671"/>
      <c r="F60" s="671"/>
      <c r="G60" s="671"/>
      <c r="H60" s="671"/>
      <c r="I60" s="671"/>
      <c r="J60" s="671"/>
    </row>
    <row r="61" spans="1:10" ht="15.75" customHeight="1" x14ac:dyDescent="0.2">
      <c r="A61" s="143"/>
      <c r="B61" s="668" t="s">
        <v>0</v>
      </c>
      <c r="C61" s="669"/>
      <c r="D61" s="669"/>
      <c r="E61" s="668" t="s">
        <v>1</v>
      </c>
      <c r="F61" s="669"/>
      <c r="G61" s="670"/>
      <c r="H61" s="669" t="s">
        <v>2</v>
      </c>
      <c r="I61" s="669"/>
      <c r="J61" s="670"/>
    </row>
    <row r="62" spans="1:10" ht="15.75" customHeight="1" x14ac:dyDescent="0.2">
      <c r="A62" s="140"/>
      <c r="B62" s="253" t="s">
        <v>411</v>
      </c>
      <c r="C62" s="253" t="s">
        <v>412</v>
      </c>
      <c r="D62" s="19" t="s">
        <v>3</v>
      </c>
      <c r="E62" s="253" t="s">
        <v>411</v>
      </c>
      <c r="F62" s="253" t="s">
        <v>412</v>
      </c>
      <c r="G62" s="19" t="s">
        <v>3</v>
      </c>
      <c r="H62" s="253" t="s">
        <v>411</v>
      </c>
      <c r="I62" s="253" t="s">
        <v>412</v>
      </c>
      <c r="J62" s="19" t="s">
        <v>3</v>
      </c>
    </row>
    <row r="63" spans="1:10" ht="15.75" customHeight="1" x14ac:dyDescent="0.2">
      <c r="A63" s="436"/>
      <c r="B63" s="15"/>
      <c r="C63" s="15"/>
      <c r="D63" s="17" t="s">
        <v>4</v>
      </c>
      <c r="E63" s="16"/>
      <c r="F63" s="16"/>
      <c r="G63" s="15" t="s">
        <v>4</v>
      </c>
      <c r="H63" s="16"/>
      <c r="I63" s="16"/>
      <c r="J63" s="15" t="s">
        <v>4</v>
      </c>
    </row>
    <row r="64" spans="1:10" s="43" customFormat="1" ht="15.75" customHeight="1" x14ac:dyDescent="0.2">
      <c r="A64" s="14" t="s">
        <v>27</v>
      </c>
      <c r="B64" s="324">
        <f>'ACE European Group'!B64+'Danica Pensjonsforsikring'!B64+'DNB Livsforsikring'!B64+'Eika Forsikring AS'!B64+'Frende Livsforsikring'!B64+'Frende Skadeforsikring'!B64+'Gjensidige Forsikring'!B64+'Gjensidige Pensjon'!B64+'Handelsbanken Liv'!B64+'If Skadeforsikring NUF'!B64+KLP!B64+'KLP Bedriftspensjon AS'!B64+'KLP Skadeforsikring AS'!B64+'Landbruksforsikring AS'!B64+'NEMI Forsikring'!B64+'Nordea Liv '!B64+'Oslo Pensjonsforsikring'!B64+'SHB Liv'!B64+'Silver Pensjonsforsikring AS'!B64+'Sparebank 1'!B64+'Storebrand Livsforsikring'!B64+'Telenor Forsikring'!B64+'Tryg Forsikring'!B64</f>
        <v>8244721.4609099999</v>
      </c>
      <c r="C64" s="324">
        <f>'ACE European Group'!C64+'Danica Pensjonsforsikring'!C64+'DNB Livsforsikring'!C64+'Eika Forsikring AS'!C64+'Frende Livsforsikring'!C64+'Frende Skadeforsikring'!C64+'Gjensidige Forsikring'!C64+'Gjensidige Pensjon'!C64+'Handelsbanken Liv'!C64+'If Skadeforsikring NUF'!C64+KLP!C64+'KLP Bedriftspensjon AS'!C64+'KLP Skadeforsikring AS'!C64+'Landbruksforsikring AS'!C64+'NEMI Forsikring'!C64+'Nordea Liv '!C64+'Oslo Pensjonsforsikring'!C64+'SHB Liv'!C64+'Silver Pensjonsforsikring AS'!C64+'Sparebank 1'!C64+'Storebrand Livsforsikring'!C64+'Telenor Forsikring'!C64+'Tryg Forsikring'!C64</f>
        <v>5371254.9564800002</v>
      </c>
      <c r="D64" s="24">
        <f t="shared" ref="D64:D109" si="17">IF(B64=0, "    ---- ", IF(ABS(ROUND(100/B64*C64-100,1))&lt;999,ROUND(100/B64*C64-100,1),IF(ROUND(100/B64*C64-100,1)&gt;999,999,-999)))</f>
        <v>-34.9</v>
      </c>
      <c r="E64" s="236">
        <f>'ACE European Group'!F64+'Danica Pensjonsforsikring'!F64+'DNB Livsforsikring'!F64+'Eika Forsikring AS'!F64+'Frende Livsforsikring'!F64+'Frende Skadeforsikring'!F64+'Gjensidige Forsikring'!F64+'Gjensidige Pensjon'!F64+'Handelsbanken Liv'!F64+'If Skadeforsikring NUF'!F64+KLP!F64+'KLP Bedriftspensjon AS'!F64+'KLP Skadeforsikring AS'!F64+'Landbruksforsikring AS'!F64+'NEMI Forsikring'!F64+'Nordea Liv '!F64+'Oslo Pensjonsforsikring'!F64+'SHB Liv'!F64+'Silver Pensjonsforsikring AS'!F64+'Sparebank 1'!F64+'Storebrand Livsforsikring'!F64+'Telenor Forsikring'!F64+'Tryg Forsikring'!F64</f>
        <v>11203988.1823</v>
      </c>
      <c r="F64" s="236">
        <f>'ACE European Group'!G64+'Danica Pensjonsforsikring'!G64+'DNB Livsforsikring'!G64+'Eika Forsikring AS'!G64+'Frende Livsforsikring'!G64+'Frende Skadeforsikring'!G64+'Gjensidige Forsikring'!G64+'Gjensidige Pensjon'!G64+'Handelsbanken Liv'!G64+'If Skadeforsikring NUF'!G64+KLP!G64+'KLP Bedriftspensjon AS'!G64+'KLP Skadeforsikring AS'!G64+'Landbruksforsikring AS'!G64+'NEMI Forsikring'!G64+'Nordea Liv '!G64+'Oslo Pensjonsforsikring'!G64+'SHB Liv'!G64+'Silver Pensjonsforsikring AS'!G64+'Sparebank 1'!G64+'Storebrand Livsforsikring'!G64+'Telenor Forsikring'!G64+'Tryg Forsikring'!G64</f>
        <v>12983353.548999999</v>
      </c>
      <c r="G64" s="170">
        <f t="shared" ref="G64:G109" si="18">IF(E64=0, "    ---- ", IF(ABS(ROUND(100/E64*F64-100,1))&lt;999,ROUND(100/E64*F64-100,1),IF(ROUND(100/E64*F64-100,1)&gt;999,999,-999)))</f>
        <v>15.9</v>
      </c>
      <c r="H64" s="324">
        <f t="shared" ref="H64:H84" si="19">SUM(B64,E64)</f>
        <v>19448709.643210001</v>
      </c>
      <c r="I64" s="324">
        <f t="shared" ref="I64:I84" si="20">SUM(C64,F64)</f>
        <v>18354608.505479999</v>
      </c>
      <c r="J64" s="24">
        <f t="shared" ref="J64:J109" si="21">IF(H64=0, "    ---- ", IF(ABS(ROUND(100/H64*I64-100,1))&lt;999,ROUND(100/H64*I64-100,1),IF(ROUND(100/H64*I64-100,1)&gt;999,999,-999)))</f>
        <v>-5.6</v>
      </c>
    </row>
    <row r="65" spans="1:10" ht="15.75" customHeight="1" x14ac:dyDescent="0.25">
      <c r="A65" s="21" t="s">
        <v>9</v>
      </c>
      <c r="B65" s="234">
        <f>'ACE European Group'!B65+'Danica Pensjonsforsikring'!B65+'DNB Livsforsikring'!B65+'Eika Forsikring AS'!B65+'Frende Livsforsikring'!B65+'Frende Skadeforsikring'!B65+'Gjensidige Forsikring'!B65+'Gjensidige Pensjon'!B65+'Handelsbanken Liv'!B65+'If Skadeforsikring NUF'!B65+KLP!B65+'KLP Bedriftspensjon AS'!B65+'KLP Skadeforsikring AS'!B65+'Landbruksforsikring AS'!B65+'NEMI Forsikring'!B65+'Nordea Liv '!B65+'Oslo Pensjonsforsikring'!B65+'SHB Liv'!B65+'Silver Pensjonsforsikring AS'!B65+'Sparebank 1'!B65+'Storebrand Livsforsikring'!B65+'Telenor Forsikring'!B65+'Tryg Forsikring'!B65</f>
        <v>8016021.2718099989</v>
      </c>
      <c r="C65" s="234">
        <f>'ACE European Group'!C65+'Danica Pensjonsforsikring'!C65+'DNB Livsforsikring'!C65+'Eika Forsikring AS'!C65+'Frende Livsforsikring'!C65+'Frende Skadeforsikring'!C65+'Gjensidige Forsikring'!C65+'Gjensidige Pensjon'!C65+'Handelsbanken Liv'!C65+'If Skadeforsikring NUF'!C65+KLP!C65+'KLP Bedriftspensjon AS'!C65+'KLP Skadeforsikring AS'!C65+'Landbruksforsikring AS'!C65+'NEMI Forsikring'!C65+'Nordea Liv '!C65+'Oslo Pensjonsforsikring'!C65+'SHB Liv'!C65+'Silver Pensjonsforsikring AS'!C65+'Sparebank 1'!C65+'Storebrand Livsforsikring'!C65+'Telenor Forsikring'!C65+'Tryg Forsikring'!C65</f>
        <v>5131744.1606900003</v>
      </c>
      <c r="D65" s="241">
        <f t="shared" si="17"/>
        <v>-36</v>
      </c>
      <c r="E65" s="44">
        <f>'ACE European Group'!F65+'Danica Pensjonsforsikring'!F65+'DNB Livsforsikring'!F65+'Eika Forsikring AS'!F65+'Frende Livsforsikring'!F65+'Frende Skadeforsikring'!F65+'Gjensidige Forsikring'!F65+'Gjensidige Pensjon'!F65+'Handelsbanken Liv'!F65+'If Skadeforsikring NUF'!F65+KLP!F65+'KLP Bedriftspensjon AS'!F65+'KLP Skadeforsikring AS'!F65+'Landbruksforsikring AS'!F65+'NEMI Forsikring'!F65+'Nordea Liv '!F65+'Oslo Pensjonsforsikring'!F65+'SHB Liv'!F65+'Silver Pensjonsforsikring AS'!F65+'Sparebank 1'!F65+'Storebrand Livsforsikring'!F65+'Telenor Forsikring'!F65+'Tryg Forsikring'!F65</f>
        <v>0</v>
      </c>
      <c r="F65" s="44">
        <f>'ACE European Group'!G65+'Danica Pensjonsforsikring'!G65+'DNB Livsforsikring'!G65+'Eika Forsikring AS'!G65+'Frende Livsforsikring'!G65+'Frende Skadeforsikring'!G65+'Gjensidige Forsikring'!G65+'Gjensidige Pensjon'!G65+'Handelsbanken Liv'!G65+'If Skadeforsikring NUF'!G65+KLP!G65+'KLP Bedriftspensjon AS'!G65+'KLP Skadeforsikring AS'!G65+'Landbruksforsikring AS'!G65+'NEMI Forsikring'!G65+'Nordea Liv '!G65+'Oslo Pensjonsforsikring'!G65+'SHB Liv'!G65+'Silver Pensjonsforsikring AS'!G65+'Sparebank 1'!G65+'Storebrand Livsforsikring'!G65+'Telenor Forsikring'!G65+'Tryg Forsikring'!G65</f>
        <v>0</v>
      </c>
      <c r="G65" s="165"/>
      <c r="H65" s="237">
        <f t="shared" si="19"/>
        <v>8016021.2718099989</v>
      </c>
      <c r="I65" s="237">
        <f t="shared" si="20"/>
        <v>5131744.1606900003</v>
      </c>
      <c r="J65" s="23">
        <f t="shared" si="21"/>
        <v>-36</v>
      </c>
    </row>
    <row r="66" spans="1:10" ht="15.75" customHeight="1" x14ac:dyDescent="0.25">
      <c r="A66" s="21" t="s">
        <v>10</v>
      </c>
      <c r="B66" s="234">
        <f>'ACE European Group'!B66+'Danica Pensjonsforsikring'!B66+'DNB Livsforsikring'!B66+'Eika Forsikring AS'!B66+'Frende Livsforsikring'!B66+'Frende Skadeforsikring'!B66+'Gjensidige Forsikring'!B66+'Gjensidige Pensjon'!B66+'Handelsbanken Liv'!B66+'If Skadeforsikring NUF'!B66+KLP!B66+'KLP Bedriftspensjon AS'!B66+'KLP Skadeforsikring AS'!B66+'Landbruksforsikring AS'!B66+'NEMI Forsikring'!B66+'Nordea Liv '!B66+'Oslo Pensjonsforsikring'!B66+'SHB Liv'!B66+'Silver Pensjonsforsikring AS'!B66+'Sparebank 1'!B66+'Storebrand Livsforsikring'!B66+'Telenor Forsikring'!B66+'Tryg Forsikring'!B66</f>
        <v>120147.6707</v>
      </c>
      <c r="C66" s="234">
        <f>'ACE European Group'!C66+'Danica Pensjonsforsikring'!C66+'DNB Livsforsikring'!C66+'Eika Forsikring AS'!C66+'Frende Livsforsikring'!C66+'Frende Skadeforsikring'!C66+'Gjensidige Forsikring'!C66+'Gjensidige Pensjon'!C66+'Handelsbanken Liv'!C66+'If Skadeforsikring NUF'!C66+KLP!C66+'KLP Bedriftspensjon AS'!C66+'KLP Skadeforsikring AS'!C66+'Landbruksforsikring AS'!C66+'NEMI Forsikring'!C66+'Nordea Liv '!C66+'Oslo Pensjonsforsikring'!C66+'SHB Liv'!C66+'Silver Pensjonsforsikring AS'!C66+'Sparebank 1'!C66+'Storebrand Livsforsikring'!C66+'Telenor Forsikring'!C66+'Tryg Forsikring'!C66</f>
        <v>117473.33254999999</v>
      </c>
      <c r="D66" s="241">
        <f t="shared" si="17"/>
        <v>-2.2000000000000002</v>
      </c>
      <c r="E66" s="44">
        <f>'ACE European Group'!F66+'Danica Pensjonsforsikring'!F66+'DNB Livsforsikring'!F66+'Eika Forsikring AS'!F66+'Frende Livsforsikring'!F66+'Frende Skadeforsikring'!F66+'Gjensidige Forsikring'!F66+'Gjensidige Pensjon'!F66+'Handelsbanken Liv'!F66+'If Skadeforsikring NUF'!F66+KLP!F66+'KLP Bedriftspensjon AS'!F66+'KLP Skadeforsikring AS'!F66+'Landbruksforsikring AS'!F66+'NEMI Forsikring'!F66+'Nordea Liv '!F66+'Oslo Pensjonsforsikring'!F66+'SHB Liv'!F66+'Silver Pensjonsforsikring AS'!F66+'Sparebank 1'!F66+'Storebrand Livsforsikring'!F66+'Telenor Forsikring'!F66+'Tryg Forsikring'!F66</f>
        <v>11122093.612299999</v>
      </c>
      <c r="F66" s="44">
        <f>'ACE European Group'!G66+'Danica Pensjonsforsikring'!G66+'DNB Livsforsikring'!G66+'Eika Forsikring AS'!G66+'Frende Livsforsikring'!G66+'Frende Skadeforsikring'!G66+'Gjensidige Forsikring'!G66+'Gjensidige Pensjon'!G66+'Handelsbanken Liv'!G66+'If Skadeforsikring NUF'!G66+KLP!G66+'KLP Bedriftspensjon AS'!G66+'KLP Skadeforsikring AS'!G66+'Landbruksforsikring AS'!G66+'NEMI Forsikring'!G66+'Nordea Liv '!G66+'Oslo Pensjonsforsikring'!G66+'SHB Liv'!G66+'Silver Pensjonsforsikring AS'!G66+'Sparebank 1'!G66+'Storebrand Livsforsikring'!G66+'Telenor Forsikring'!G66+'Tryg Forsikring'!G66</f>
        <v>12854109.17182</v>
      </c>
      <c r="G66" s="165">
        <f t="shared" si="18"/>
        <v>15.6</v>
      </c>
      <c r="H66" s="237">
        <f t="shared" si="19"/>
        <v>11242241.283</v>
      </c>
      <c r="I66" s="237">
        <f t="shared" si="20"/>
        <v>12971582.50437</v>
      </c>
      <c r="J66" s="23">
        <f t="shared" si="21"/>
        <v>15.4</v>
      </c>
    </row>
    <row r="67" spans="1:10" ht="15.75" customHeight="1" x14ac:dyDescent="0.2">
      <c r="A67" s="294" t="s">
        <v>316</v>
      </c>
      <c r="B67" s="44" t="str">
        <f>IF($A$1=4,'ACE European Group'!B67+'Danica Pensjonsforsikring'!B67+'DNB Livsforsikring'!B67+'Eika Forsikring AS'!B67+'Frende Livsforsikring'!B67+'Frende Skadeforsikring'!B67+'Gjensidige Forsikring'!B67+'Gjensidige Pensjon'!B67+'Handelsbanken Liv'!B67+'If Skadeforsikring NUF'!B67+KLP!B67+'KLP Bedriftspensjon AS'!B67+'KLP Skadeforsikring AS'!B67+'Landbruksforsikring AS'!B67+'NEMI Forsikring'!B67+'Nordea Liv '!B67+'Oslo Pensjonsforsikring'!B67+'SHB Liv'!B67+'Silver Pensjonsforsikring AS'!B67+'Sparebank 1'!B67+'Storebrand Livsforsikring'!B67+'Telenor Forsikring'!B67+'Tryg Forsikring'!B67,"")</f>
        <v/>
      </c>
      <c r="C67" s="44" t="str">
        <f>IF($A$1=4,'ACE European Group'!C67+'Danica Pensjonsforsikring'!C67+'DNB Livsforsikring'!C67+'Eika Forsikring AS'!C67+'Frende Livsforsikring'!C67+'Frende Skadeforsikring'!C67+'Gjensidige Forsikring'!C67+'Gjensidige Pensjon'!C67+'Handelsbanken Liv'!C67+'If Skadeforsikring NUF'!C67+KLP!C67+'KLP Bedriftspensjon AS'!C67+'KLP Skadeforsikring AS'!C67+'Landbruksforsikring AS'!C67+'NEMI Forsikring'!C67+'Nordea Liv '!C67+'Oslo Pensjonsforsikring'!C67+'SHB Liv'!C67+'Silver Pensjonsforsikring AS'!C67+'Sparebank 1'!C67+'Storebrand Livsforsikring'!C67+'Telenor Forsikring'!C67+'Tryg Forsikring'!C67,"")</f>
        <v/>
      </c>
      <c r="D67" s="27" t="str">
        <f>IF($A$1=4,IF(B67=0, "    ---- ", IF(ABS(ROUND(100/B67*C67-100,1))&lt;999,ROUND(100/B67*C67-100,1),IF(ROUND(100/B67*C67-100,1)&gt;999,999,-999))),"")</f>
        <v/>
      </c>
      <c r="E67" s="44" t="str">
        <f>IF($A$1=4,'ACE European Group'!F67+'Danica Pensjonsforsikring'!F67+'DNB Livsforsikring'!F67+'Eika Forsikring AS'!F67+'Frende Livsforsikring'!F67+'Frende Skadeforsikring'!F67+'Gjensidige Forsikring'!F67+'Gjensidige Pensjon'!F67+'Handelsbanken Liv'!F67+'If Skadeforsikring NUF'!F67+KLP!F67+'KLP Bedriftspensjon AS'!F67+'KLP Skadeforsikring AS'!F67+'Landbruksforsikring AS'!F67+'NEMI Forsikring'!F67+'Nordea Liv '!F67+'Oslo Pensjonsforsikring'!F67+'SHB Liv'!F67+'Silver Pensjonsforsikring AS'!F67+'Sparebank 1'!F67+'Storebrand Livsforsikring'!F67+'Telenor Forsikring'!F67+'Tryg Forsikring'!F67,"")</f>
        <v/>
      </c>
      <c r="F67" s="44" t="str">
        <f>IF($A$1=4,'ACE European Group'!G67+'Danica Pensjonsforsikring'!G67+'DNB Livsforsikring'!G67+'Eika Forsikring AS'!G67+'Frende Livsforsikring'!G67+'Frende Skadeforsikring'!G67+'Gjensidige Forsikring'!G67+'Gjensidige Pensjon'!G67+'Handelsbanken Liv'!G67+'If Skadeforsikring NUF'!G67+KLP!G67+'KLP Bedriftspensjon AS'!G67+'KLP Skadeforsikring AS'!G67+'Landbruksforsikring AS'!G67+'NEMI Forsikring'!G67+'Nordea Liv '!G67+'Oslo Pensjonsforsikring'!G67+'SHB Liv'!G67+'Silver Pensjonsforsikring AS'!G67+'Sparebank 1'!G67+'Storebrand Livsforsikring'!G67+'Telenor Forsikring'!G67+'Tryg Forsikring'!G67,"")</f>
        <v/>
      </c>
      <c r="G67" s="165" t="str">
        <f t="shared" ref="G67:G72" si="22">IF($A$1=4,IF(E67=0, "    ---- ", IF(ABS(ROUND(100/E67*F67-100,1))&lt;999,ROUND(100/E67*F67-100,1),IF(ROUND(100/E67*F67-100,1)&gt;999,999,-999))),"")</f>
        <v/>
      </c>
      <c r="H67" s="237">
        <f t="shared" si="19"/>
        <v>0</v>
      </c>
      <c r="I67" s="237">
        <f t="shared" si="20"/>
        <v>0</v>
      </c>
      <c r="J67" s="23"/>
    </row>
    <row r="68" spans="1:10" ht="15.75" customHeight="1" x14ac:dyDescent="0.2">
      <c r="A68" s="294" t="s">
        <v>12</v>
      </c>
      <c r="B68" s="235">
        <f>'ACE European Group'!B68+'Danica Pensjonsforsikring'!B68+'DNB Livsforsikring'!B68+'Eika Forsikring AS'!B68+'Frende Livsforsikring'!B68+'Frende Skadeforsikring'!B68+'Gjensidige Forsikring'!B68+'Gjensidige Pensjon'!B68+'Handelsbanken Liv'!B68+'If Skadeforsikring NUF'!B68+KLP!B68+'KLP Bedriftspensjon AS'!B68+'KLP Skadeforsikring AS'!B68+'Landbruksforsikring AS'!B68+'NEMI Forsikring'!B68+'Nordea Liv '!B68+'Oslo Pensjonsforsikring'!B68+'SHB Liv'!B68+'Silver Pensjonsforsikring AS'!B68+'Sparebank 1'!B68+'Storebrand Livsforsikring'!B68+'Telenor Forsikring'!B68+'Tryg Forsikring'!B68</f>
        <v>0</v>
      </c>
      <c r="C68" s="235">
        <f>'ACE European Group'!C68+'Danica Pensjonsforsikring'!C68+'DNB Livsforsikring'!C68+'Eika Forsikring AS'!C68+'Frende Livsforsikring'!C68+'Frende Skadeforsikring'!C68+'Gjensidige Forsikring'!C68+'Gjensidige Pensjon'!C68+'Handelsbanken Liv'!C68+'If Skadeforsikring NUF'!C68+KLP!C68+'KLP Bedriftspensjon AS'!C68+'KLP Skadeforsikring AS'!C68+'Landbruksforsikring AS'!C68+'NEMI Forsikring'!C68+'Nordea Liv '!C68+'Oslo Pensjonsforsikring'!C68+'SHB Liv'!C68+'Silver Pensjonsforsikring AS'!C68+'Sparebank 1'!C68+'Storebrand Livsforsikring'!C68+'Telenor Forsikring'!C68+'Tryg Forsikring'!C68</f>
        <v>0</v>
      </c>
      <c r="D68" s="27" t="str">
        <f t="shared" ref="D68:D69" si="23">IF($A$1=4,IF(B68=0, "    ---- ", IF(ABS(ROUND(100/B68*C68-100,1))&lt;999,ROUND(100/B68*C68-100,1),IF(ROUND(100/B68*C68-100,1)&gt;999,999,-999))),"")</f>
        <v/>
      </c>
      <c r="E68" s="44" t="str">
        <f>IF($A$1=4,'ACE European Group'!F68+'Danica Pensjonsforsikring'!F68+'DNB Livsforsikring'!F68+'Eika Forsikring AS'!F68+'Frende Livsforsikring'!F68+'Frende Skadeforsikring'!F68+'Gjensidige Forsikring'!F68+'Gjensidige Pensjon'!F68+'Handelsbanken Liv'!F68+'If Skadeforsikring NUF'!F68+KLP!F68+'KLP Bedriftspensjon AS'!F68+'KLP Skadeforsikring AS'!F68+'Landbruksforsikring AS'!F68+'NEMI Forsikring'!F68+'Nordea Liv '!F68+'Oslo Pensjonsforsikring'!F68+'SHB Liv'!F68+'Silver Pensjonsforsikring AS'!F68+'Sparebank 1'!F68+'Storebrand Livsforsikring'!F68+'Telenor Forsikring'!F68+'Tryg Forsikring'!F68,"")</f>
        <v/>
      </c>
      <c r="F68" s="44" t="str">
        <f>IF($A$1=4,'ACE European Group'!G68+'Danica Pensjonsforsikring'!G68+'DNB Livsforsikring'!G68+'Eika Forsikring AS'!G68+'Frende Livsforsikring'!G68+'Frende Skadeforsikring'!G68+'Gjensidige Forsikring'!G68+'Gjensidige Pensjon'!G68+'Handelsbanken Liv'!G68+'If Skadeforsikring NUF'!G68+KLP!G68+'KLP Bedriftspensjon AS'!G68+'KLP Skadeforsikring AS'!G68+'Landbruksforsikring AS'!G68+'NEMI Forsikring'!G68+'Nordea Liv '!G68+'Oslo Pensjonsforsikring'!G68+'SHB Liv'!G68+'Silver Pensjonsforsikring AS'!G68+'Sparebank 1'!G68+'Storebrand Livsforsikring'!G68+'Telenor Forsikring'!G68+'Tryg Forsikring'!G68,"")</f>
        <v/>
      </c>
      <c r="G68" s="165" t="str">
        <f t="shared" si="22"/>
        <v/>
      </c>
      <c r="H68" s="237">
        <f t="shared" si="19"/>
        <v>0</v>
      </c>
      <c r="I68" s="237">
        <f t="shared" si="20"/>
        <v>0</v>
      </c>
      <c r="J68" s="23"/>
    </row>
    <row r="69" spans="1:10" ht="15.75" customHeight="1" x14ac:dyDescent="0.2">
      <c r="A69" s="294" t="s">
        <v>13</v>
      </c>
      <c r="B69" s="235">
        <f>'ACE European Group'!B69+'Danica Pensjonsforsikring'!B69+'DNB Livsforsikring'!B69+'Eika Forsikring AS'!B69+'Frende Livsforsikring'!B69+'Frende Skadeforsikring'!B69+'Gjensidige Forsikring'!B69+'Gjensidige Pensjon'!B69+'Handelsbanken Liv'!B69+'If Skadeforsikring NUF'!B69+KLP!B69+'KLP Bedriftspensjon AS'!B69+'KLP Skadeforsikring AS'!B69+'Landbruksforsikring AS'!B69+'NEMI Forsikring'!B69+'Nordea Liv '!B69+'Oslo Pensjonsforsikring'!B69+'SHB Liv'!B69+'Silver Pensjonsforsikring AS'!B69+'Sparebank 1'!B69+'Storebrand Livsforsikring'!B69+'Telenor Forsikring'!B69+'Tryg Forsikring'!B69</f>
        <v>0</v>
      </c>
      <c r="C69" s="235">
        <f>'ACE European Group'!C69+'Danica Pensjonsforsikring'!C69+'DNB Livsforsikring'!C69+'Eika Forsikring AS'!C69+'Frende Livsforsikring'!C69+'Frende Skadeforsikring'!C69+'Gjensidige Forsikring'!C69+'Gjensidige Pensjon'!C69+'Handelsbanken Liv'!C69+'If Skadeforsikring NUF'!C69+KLP!C69+'KLP Bedriftspensjon AS'!C69+'KLP Skadeforsikring AS'!C69+'Landbruksforsikring AS'!C69+'NEMI Forsikring'!C69+'Nordea Liv '!C69+'Oslo Pensjonsforsikring'!C69+'SHB Liv'!C69+'Silver Pensjonsforsikring AS'!C69+'Sparebank 1'!C69+'Storebrand Livsforsikring'!C69+'Telenor Forsikring'!C69+'Tryg Forsikring'!C69</f>
        <v>0</v>
      </c>
      <c r="D69" s="27" t="str">
        <f t="shared" si="23"/>
        <v/>
      </c>
      <c r="E69" s="44" t="str">
        <f>IF($A$1=4,'ACE European Group'!F69+'Danica Pensjonsforsikring'!F69+'DNB Livsforsikring'!F69+'Eika Forsikring AS'!F69+'Frende Livsforsikring'!F69+'Frende Skadeforsikring'!F69+'Gjensidige Forsikring'!F69+'Gjensidige Pensjon'!F69+'Handelsbanken Liv'!F69+'If Skadeforsikring NUF'!F69+KLP!F69+'KLP Bedriftspensjon AS'!F69+'KLP Skadeforsikring AS'!F69+'Landbruksforsikring AS'!F69+'NEMI Forsikring'!F69+'Nordea Liv '!F69+'Oslo Pensjonsforsikring'!F69+'SHB Liv'!F69+'Silver Pensjonsforsikring AS'!F69+'Sparebank 1'!F69+'Storebrand Livsforsikring'!F69+'Telenor Forsikring'!F69+'Tryg Forsikring'!F69,"")</f>
        <v/>
      </c>
      <c r="F69" s="44" t="str">
        <f>IF($A$1=4,'ACE European Group'!G69+'Danica Pensjonsforsikring'!G69+'DNB Livsforsikring'!G69+'Eika Forsikring AS'!G69+'Frende Livsforsikring'!G69+'Frende Skadeforsikring'!G69+'Gjensidige Forsikring'!G69+'Gjensidige Pensjon'!G69+'Handelsbanken Liv'!G69+'If Skadeforsikring NUF'!G69+KLP!G69+'KLP Bedriftspensjon AS'!G69+'KLP Skadeforsikring AS'!G69+'Landbruksforsikring AS'!G69+'NEMI Forsikring'!G69+'Nordea Liv '!G69+'Oslo Pensjonsforsikring'!G69+'SHB Liv'!G69+'Silver Pensjonsforsikring AS'!G69+'Sparebank 1'!G69+'Storebrand Livsforsikring'!G69+'Telenor Forsikring'!G69+'Tryg Forsikring'!G69,"")</f>
        <v/>
      </c>
      <c r="G69" s="165" t="str">
        <f t="shared" si="22"/>
        <v/>
      </c>
      <c r="H69" s="237">
        <f t="shared" si="19"/>
        <v>0</v>
      </c>
      <c r="I69" s="237">
        <f t="shared" si="20"/>
        <v>0</v>
      </c>
      <c r="J69" s="23"/>
    </row>
    <row r="70" spans="1:10" ht="15.75" customHeight="1" x14ac:dyDescent="0.2">
      <c r="A70" s="294" t="s">
        <v>317</v>
      </c>
      <c r="B70" s="44" t="str">
        <f>IF($A$1=4,'ACE European Group'!B70+'Danica Pensjonsforsikring'!B70+'DNB Livsforsikring'!B70+'Eika Forsikring AS'!B70+'Frende Livsforsikring'!B70+'Frende Skadeforsikring'!B70+'Gjensidige Forsikring'!B70+'Gjensidige Pensjon'!B70+'Handelsbanken Liv'!B70+'If Skadeforsikring NUF'!B70+KLP!B70+'KLP Bedriftspensjon AS'!B70+'KLP Skadeforsikring AS'!B70+'Landbruksforsikring AS'!B70+'NEMI Forsikring'!B70+'Nordea Liv '!B70+'Oslo Pensjonsforsikring'!B70+'SHB Liv'!B70+'Silver Pensjonsforsikring AS'!B70+'Sparebank 1'!B70+'Storebrand Livsforsikring'!B70+'Telenor Forsikring'!B70+'Tryg Forsikring'!B70,"")</f>
        <v/>
      </c>
      <c r="C70" s="44" t="str">
        <f>IF($A$1=4,'ACE European Group'!C70+'Danica Pensjonsforsikring'!C70+'DNB Livsforsikring'!C70+'Eika Forsikring AS'!C70+'Frende Livsforsikring'!C70+'Frende Skadeforsikring'!C70+'Gjensidige Forsikring'!C70+'Gjensidige Pensjon'!C70+'Handelsbanken Liv'!C70+'If Skadeforsikring NUF'!C70+KLP!C70+'KLP Bedriftspensjon AS'!C70+'KLP Skadeforsikring AS'!C70+'Landbruksforsikring AS'!C70+'NEMI Forsikring'!C70+'Nordea Liv '!C70+'Oslo Pensjonsforsikring'!C70+'SHB Liv'!C70+'Silver Pensjonsforsikring AS'!C70+'Sparebank 1'!C70+'Storebrand Livsforsikring'!C70+'Telenor Forsikring'!C70+'Tryg Forsikring'!C70,"")</f>
        <v/>
      </c>
      <c r="D70" s="27" t="str">
        <f>IF($A$1=4,IF(B70=0, "    ---- ", IF(ABS(ROUND(100/B70*C70-100,1))&lt;999,ROUND(100/B70*C70-100,1),IF(ROUND(100/B70*C70-100,1)&gt;999,999,-999))),"")</f>
        <v/>
      </c>
      <c r="E70" s="44" t="str">
        <f>IF($A$1=4,'ACE European Group'!F70+'Danica Pensjonsforsikring'!F70+'DNB Livsforsikring'!F70+'Eika Forsikring AS'!F70+'Frende Livsforsikring'!F70+'Frende Skadeforsikring'!F70+'Gjensidige Forsikring'!F70+'Gjensidige Pensjon'!F70+'Handelsbanken Liv'!F70+'If Skadeforsikring NUF'!F70+KLP!F70+'KLP Bedriftspensjon AS'!F70+'KLP Skadeforsikring AS'!F70+'Landbruksforsikring AS'!F70+'NEMI Forsikring'!F70+'Nordea Liv '!F70+'Oslo Pensjonsforsikring'!F70+'SHB Liv'!F70+'Silver Pensjonsforsikring AS'!F70+'Sparebank 1'!F70+'Storebrand Livsforsikring'!F70+'Telenor Forsikring'!F70+'Tryg Forsikring'!F70,"")</f>
        <v/>
      </c>
      <c r="F70" s="44" t="str">
        <f>IF($A$1=4,'ACE European Group'!G70+'Danica Pensjonsforsikring'!G70+'DNB Livsforsikring'!G70+'Eika Forsikring AS'!G70+'Frende Livsforsikring'!G70+'Frende Skadeforsikring'!G70+'Gjensidige Forsikring'!G70+'Gjensidige Pensjon'!G70+'Handelsbanken Liv'!G70+'If Skadeforsikring NUF'!G70+KLP!G70+'KLP Bedriftspensjon AS'!G70+'KLP Skadeforsikring AS'!G70+'Landbruksforsikring AS'!G70+'NEMI Forsikring'!G70+'Nordea Liv '!G70+'Oslo Pensjonsforsikring'!G70+'SHB Liv'!G70+'Silver Pensjonsforsikring AS'!G70+'Sparebank 1'!G70+'Storebrand Livsforsikring'!G70+'Telenor Forsikring'!G70+'Tryg Forsikring'!G70,"")</f>
        <v/>
      </c>
      <c r="G70" s="165" t="str">
        <f t="shared" si="22"/>
        <v/>
      </c>
      <c r="H70" s="237">
        <f t="shared" si="19"/>
        <v>0</v>
      </c>
      <c r="I70" s="237">
        <f t="shared" si="20"/>
        <v>0</v>
      </c>
      <c r="J70" s="24"/>
    </row>
    <row r="71" spans="1:10" ht="15.75" customHeight="1" x14ac:dyDescent="0.2">
      <c r="A71" s="294" t="s">
        <v>12</v>
      </c>
      <c r="B71" s="235">
        <f>'ACE European Group'!B71+'Danica Pensjonsforsikring'!B71+'DNB Livsforsikring'!B71+'Eika Forsikring AS'!B71+'Frende Livsforsikring'!B71+'Frende Skadeforsikring'!B71+'Gjensidige Forsikring'!B71+'Gjensidige Pensjon'!B71+'Handelsbanken Liv'!B71+'If Skadeforsikring NUF'!B71+KLP!B71+'KLP Bedriftspensjon AS'!B71+'KLP Skadeforsikring AS'!B71+'Landbruksforsikring AS'!B71+'NEMI Forsikring'!B71+'Nordea Liv '!B71+'Oslo Pensjonsforsikring'!B71+'SHB Liv'!B71+'Silver Pensjonsforsikring AS'!B71+'Sparebank 1'!B71+'Storebrand Livsforsikring'!B71+'Telenor Forsikring'!B71+'Tryg Forsikring'!B71</f>
        <v>0</v>
      </c>
      <c r="C71" s="235">
        <f>'ACE European Group'!C71+'Danica Pensjonsforsikring'!C71+'DNB Livsforsikring'!C71+'Eika Forsikring AS'!C71+'Frende Livsforsikring'!C71+'Frende Skadeforsikring'!C71+'Gjensidige Forsikring'!C71+'Gjensidige Pensjon'!C71+'Handelsbanken Liv'!C71+'If Skadeforsikring NUF'!C71+KLP!C71+'KLP Bedriftspensjon AS'!C71+'KLP Skadeforsikring AS'!C71+'Landbruksforsikring AS'!C71+'NEMI Forsikring'!C71+'Nordea Liv '!C71+'Oslo Pensjonsforsikring'!C71+'SHB Liv'!C71+'Silver Pensjonsforsikring AS'!C71+'Sparebank 1'!C71+'Storebrand Livsforsikring'!C71+'Telenor Forsikring'!C71+'Tryg Forsikring'!C71</f>
        <v>0</v>
      </c>
      <c r="D71" s="27" t="str">
        <f t="shared" ref="D71:D72" si="24">IF($A$1=4,IF(B71=0, "    ---- ", IF(ABS(ROUND(100/B71*C71-100,1))&lt;999,ROUND(100/B71*C71-100,1),IF(ROUND(100/B71*C71-100,1)&gt;999,999,-999))),"")</f>
        <v/>
      </c>
      <c r="E71" s="44" t="str">
        <f>IF($A$1=4,'ACE European Group'!F71+'Danica Pensjonsforsikring'!F71+'DNB Livsforsikring'!F71+'Eika Forsikring AS'!F71+'Frende Livsforsikring'!F71+'Frende Skadeforsikring'!F71+'Gjensidige Forsikring'!F71+'Gjensidige Pensjon'!F71+'Handelsbanken Liv'!F71+'If Skadeforsikring NUF'!F71+KLP!F71+'KLP Bedriftspensjon AS'!F71+'KLP Skadeforsikring AS'!F71+'Landbruksforsikring AS'!F71+'NEMI Forsikring'!F71+'Nordea Liv '!F71+'Oslo Pensjonsforsikring'!F71+'SHB Liv'!F71+'Silver Pensjonsforsikring AS'!F71+'Sparebank 1'!F71+'Storebrand Livsforsikring'!F71+'Telenor Forsikring'!F71+'Tryg Forsikring'!F71,"")</f>
        <v/>
      </c>
      <c r="F71" s="44" t="str">
        <f>IF($A$1=4,'ACE European Group'!G71+'Danica Pensjonsforsikring'!G71+'DNB Livsforsikring'!G71+'Eika Forsikring AS'!G71+'Frende Livsforsikring'!G71+'Frende Skadeforsikring'!G71+'Gjensidige Forsikring'!G71+'Gjensidige Pensjon'!G71+'Handelsbanken Liv'!G71+'If Skadeforsikring NUF'!G71+KLP!G71+'KLP Bedriftspensjon AS'!G71+'KLP Skadeforsikring AS'!G71+'Landbruksforsikring AS'!G71+'NEMI Forsikring'!G71+'Nordea Liv '!G71+'Oslo Pensjonsforsikring'!G71+'SHB Liv'!G71+'Silver Pensjonsforsikring AS'!G71+'Sparebank 1'!G71+'Storebrand Livsforsikring'!G71+'Telenor Forsikring'!G71+'Tryg Forsikring'!G71,"")</f>
        <v/>
      </c>
      <c r="G71" s="165" t="str">
        <f t="shared" si="22"/>
        <v/>
      </c>
      <c r="H71" s="237">
        <f t="shared" si="19"/>
        <v>0</v>
      </c>
      <c r="I71" s="237">
        <f t="shared" si="20"/>
        <v>0</v>
      </c>
      <c r="J71" s="23"/>
    </row>
    <row r="72" spans="1:10" s="3" customFormat="1" ht="15.75" customHeight="1" x14ac:dyDescent="0.2">
      <c r="A72" s="294" t="s">
        <v>13</v>
      </c>
      <c r="B72" s="235">
        <f>'ACE European Group'!B72+'Danica Pensjonsforsikring'!B72+'DNB Livsforsikring'!B72+'Eika Forsikring AS'!B72+'Frende Livsforsikring'!B72+'Frende Skadeforsikring'!B72+'Gjensidige Forsikring'!B72+'Gjensidige Pensjon'!B72+'Handelsbanken Liv'!B72+'If Skadeforsikring NUF'!B72+KLP!B72+'KLP Bedriftspensjon AS'!B72+'KLP Skadeforsikring AS'!B72+'Landbruksforsikring AS'!B72+'NEMI Forsikring'!B72+'Nordea Liv '!B72+'Oslo Pensjonsforsikring'!B72+'SHB Liv'!B72+'Silver Pensjonsforsikring AS'!B72+'Sparebank 1'!B72+'Storebrand Livsforsikring'!B72+'Telenor Forsikring'!B72+'Tryg Forsikring'!B72</f>
        <v>0</v>
      </c>
      <c r="C72" s="235">
        <f>'ACE European Group'!C72+'Danica Pensjonsforsikring'!C72+'DNB Livsforsikring'!C72+'Eika Forsikring AS'!C72+'Frende Livsforsikring'!C72+'Frende Skadeforsikring'!C72+'Gjensidige Forsikring'!C72+'Gjensidige Pensjon'!C72+'Handelsbanken Liv'!C72+'If Skadeforsikring NUF'!C72+KLP!C72+'KLP Bedriftspensjon AS'!C72+'KLP Skadeforsikring AS'!C72+'Landbruksforsikring AS'!C72+'NEMI Forsikring'!C72+'Nordea Liv '!C72+'Oslo Pensjonsforsikring'!C72+'SHB Liv'!C72+'Silver Pensjonsforsikring AS'!C72+'Sparebank 1'!C72+'Storebrand Livsforsikring'!C72+'Telenor Forsikring'!C72+'Tryg Forsikring'!C72</f>
        <v>0</v>
      </c>
      <c r="D72" s="27" t="str">
        <f t="shared" si="24"/>
        <v/>
      </c>
      <c r="E72" s="44" t="str">
        <f>IF($A$1=4,'ACE European Group'!F72+'Danica Pensjonsforsikring'!F72+'DNB Livsforsikring'!F72+'Eika Forsikring AS'!F72+'Frende Livsforsikring'!F72+'Frende Skadeforsikring'!F72+'Gjensidige Forsikring'!F72+'Gjensidige Pensjon'!F72+'Handelsbanken Liv'!F72+'If Skadeforsikring NUF'!F72+KLP!F72+'KLP Bedriftspensjon AS'!F72+'KLP Skadeforsikring AS'!F72+'Landbruksforsikring AS'!F72+'NEMI Forsikring'!F72+'Nordea Liv '!F72+'Oslo Pensjonsforsikring'!F72+'SHB Liv'!F72+'Silver Pensjonsforsikring AS'!F72+'Sparebank 1'!F72+'Storebrand Livsforsikring'!F72+'Telenor Forsikring'!F72+'Tryg Forsikring'!F72,"")</f>
        <v/>
      </c>
      <c r="F72" s="44" t="str">
        <f>IF($A$1=4,'ACE European Group'!G72+'Danica Pensjonsforsikring'!G72+'DNB Livsforsikring'!G72+'Eika Forsikring AS'!G72+'Frende Livsforsikring'!G72+'Frende Skadeforsikring'!G72+'Gjensidige Forsikring'!G72+'Gjensidige Pensjon'!G72+'Handelsbanken Liv'!G72+'If Skadeforsikring NUF'!G72+KLP!G72+'KLP Bedriftspensjon AS'!G72+'KLP Skadeforsikring AS'!G72+'Landbruksforsikring AS'!G72+'NEMI Forsikring'!G72+'Nordea Liv '!G72+'Oslo Pensjonsforsikring'!G72+'SHB Liv'!G72+'Silver Pensjonsforsikring AS'!G72+'Sparebank 1'!G72+'Storebrand Livsforsikring'!G72+'Telenor Forsikring'!G72+'Tryg Forsikring'!G72,"")</f>
        <v/>
      </c>
      <c r="G72" s="165" t="str">
        <f t="shared" si="22"/>
        <v/>
      </c>
      <c r="H72" s="237">
        <f t="shared" si="19"/>
        <v>0</v>
      </c>
      <c r="I72" s="237">
        <f t="shared" si="20"/>
        <v>0</v>
      </c>
      <c r="J72" s="23"/>
    </row>
    <row r="73" spans="1:10" s="3" customFormat="1" ht="15.75" customHeight="1" x14ac:dyDescent="0.2">
      <c r="A73" s="21" t="s">
        <v>400</v>
      </c>
      <c r="B73" s="44">
        <f>'ACE European Group'!B73+'Danica Pensjonsforsikring'!B73+'DNB Livsforsikring'!B73+'Eika Forsikring AS'!B73+'Frende Livsforsikring'!B73+'Frende Skadeforsikring'!B73+'Gjensidige Forsikring'!B73+'Gjensidige Pensjon'!B73+'Handelsbanken Liv'!B73+'If Skadeforsikring NUF'!B73+KLP!B73+'KLP Bedriftspensjon AS'!B73+'KLP Skadeforsikring AS'!B73+'Landbruksforsikring AS'!B73+'NEMI Forsikring'!B73+'Nordea Liv '!B73+'Oslo Pensjonsforsikring'!B73+'SHB Liv'!B73+'Silver Pensjonsforsikring AS'!B73+'Sparebank 1'!B73+'Storebrand Livsforsikring'!B73+'Telenor Forsikring'!B73+'Tryg Forsikring'!B73</f>
        <v>108552.5184</v>
      </c>
      <c r="C73" s="44">
        <f>'ACE European Group'!C73+'Danica Pensjonsforsikring'!C73+'DNB Livsforsikring'!C73+'Eika Forsikring AS'!C73+'Frende Livsforsikring'!C73+'Frende Skadeforsikring'!C73+'Gjensidige Forsikring'!C73+'Gjensidige Pensjon'!C73+'Handelsbanken Liv'!C73+'If Skadeforsikring NUF'!C73+KLP!C73+'KLP Bedriftspensjon AS'!C73+'KLP Skadeforsikring AS'!C73+'Landbruksforsikring AS'!C73+'NEMI Forsikring'!C73+'Nordea Liv '!C73+'Oslo Pensjonsforsikring'!C73+'SHB Liv'!C73+'Silver Pensjonsforsikring AS'!C73+'Sparebank 1'!C73+'Storebrand Livsforsikring'!C73+'Telenor Forsikring'!C73+'Tryg Forsikring'!C73</f>
        <v>122037.46324000001</v>
      </c>
      <c r="D73" s="23">
        <f t="shared" si="17"/>
        <v>12.4</v>
      </c>
      <c r="E73" s="44">
        <f>'ACE European Group'!F73+'Danica Pensjonsforsikring'!F73+'DNB Livsforsikring'!F73+'Eika Forsikring AS'!F73+'Frende Livsforsikring'!F73+'Frende Skadeforsikring'!F73+'Gjensidige Forsikring'!F73+'Gjensidige Pensjon'!F73+'Handelsbanken Liv'!F73+'If Skadeforsikring NUF'!F73+KLP!F73+'KLP Bedriftspensjon AS'!F73+'KLP Skadeforsikring AS'!F73+'Landbruksforsikring AS'!F73+'NEMI Forsikring'!F73+'Nordea Liv '!F73+'Oslo Pensjonsforsikring'!F73+'SHB Liv'!F73+'Silver Pensjonsforsikring AS'!F73+'Sparebank 1'!F73+'Storebrand Livsforsikring'!F73+'Telenor Forsikring'!F73+'Tryg Forsikring'!F73</f>
        <v>81894.570000000007</v>
      </c>
      <c r="F73" s="44">
        <f>'ACE European Group'!G73+'Danica Pensjonsforsikring'!G73+'DNB Livsforsikring'!G73+'Eika Forsikring AS'!G73+'Frende Livsforsikring'!G73+'Frende Skadeforsikring'!G73+'Gjensidige Forsikring'!G73+'Gjensidige Pensjon'!G73+'Handelsbanken Liv'!G73+'If Skadeforsikring NUF'!G73+KLP!G73+'KLP Bedriftspensjon AS'!G73+'KLP Skadeforsikring AS'!G73+'Landbruksforsikring AS'!G73+'NEMI Forsikring'!G73+'Nordea Liv '!G73+'Oslo Pensjonsforsikring'!G73+'SHB Liv'!G73+'Silver Pensjonsforsikring AS'!G73+'Sparebank 1'!G73+'Storebrand Livsforsikring'!G73+'Telenor Forsikring'!G73+'Tryg Forsikring'!G73</f>
        <v>129244.37718</v>
      </c>
      <c r="G73" s="165">
        <f t="shared" si="18"/>
        <v>57.8</v>
      </c>
      <c r="H73" s="237">
        <f t="shared" si="19"/>
        <v>190447.08840000001</v>
      </c>
      <c r="I73" s="237">
        <f t="shared" si="20"/>
        <v>251281.84042000002</v>
      </c>
      <c r="J73" s="23">
        <f t="shared" si="21"/>
        <v>31.9</v>
      </c>
    </row>
    <row r="74" spans="1:10" s="3" customFormat="1" ht="15.75" customHeight="1" x14ac:dyDescent="0.2">
      <c r="A74" s="21" t="s">
        <v>399</v>
      </c>
      <c r="B74" s="44">
        <f>'ACE European Group'!B74+'Danica Pensjonsforsikring'!B74+'DNB Livsforsikring'!B74+'Eika Forsikring AS'!B74+'Frende Livsforsikring'!B74+'Frende Skadeforsikring'!B74+'Gjensidige Forsikring'!B74+'Gjensidige Pensjon'!B74+'Handelsbanken Liv'!B74+'If Skadeforsikring NUF'!B74+KLP!B74+'KLP Bedriftspensjon AS'!B74+'KLP Skadeforsikring AS'!B74+'Landbruksforsikring AS'!B74+'NEMI Forsikring'!B74+'Nordea Liv '!B74+'Oslo Pensjonsforsikring'!B74+'SHB Liv'!B74+'Silver Pensjonsforsikring AS'!B74+'Sparebank 1'!B74+'Storebrand Livsforsikring'!B74+'Telenor Forsikring'!B74+'Tryg Forsikring'!B74</f>
        <v>0</v>
      </c>
      <c r="C74" s="44">
        <f>'ACE European Group'!C74+'Danica Pensjonsforsikring'!C74+'DNB Livsforsikring'!C74+'Eika Forsikring AS'!C74+'Frende Livsforsikring'!C74+'Frende Skadeforsikring'!C74+'Gjensidige Forsikring'!C74+'Gjensidige Pensjon'!C74+'Handelsbanken Liv'!C74+'If Skadeforsikring NUF'!C74+KLP!C74+'KLP Bedriftspensjon AS'!C74+'KLP Skadeforsikring AS'!C74+'Landbruksforsikring AS'!C74+'NEMI Forsikring'!C74+'Nordea Liv '!C74+'Oslo Pensjonsforsikring'!C74+'SHB Liv'!C74+'Silver Pensjonsforsikring AS'!C74+'Sparebank 1'!C74+'Storebrand Livsforsikring'!C74+'Telenor Forsikring'!C74+'Tryg Forsikring'!C74</f>
        <v>740857.6015600001</v>
      </c>
      <c r="D74" s="23" t="str">
        <f t="shared" ref="D74" si="25">IF(B74=0, "    ---- ", IF(ABS(ROUND(100/B74*C74-100,1))&lt;999,ROUND(100/B74*C74-100,1),IF(ROUND(100/B74*C74-100,1)&gt;999,999,-999)))</f>
        <v xml:space="preserve">    ---- </v>
      </c>
      <c r="E74" s="44">
        <f>'ACE European Group'!F74+'Danica Pensjonsforsikring'!F74+'DNB Livsforsikring'!F74+'Eika Forsikring AS'!F74+'Frende Livsforsikring'!F74+'Frende Skadeforsikring'!F74+'Gjensidige Forsikring'!F74+'Gjensidige Pensjon'!F74+'Handelsbanken Liv'!F74+'If Skadeforsikring NUF'!F74+KLP!F74+'KLP Bedriftspensjon AS'!F74+'KLP Skadeforsikring AS'!F74+'Landbruksforsikring AS'!F74+'NEMI Forsikring'!F74+'Nordea Liv '!F74+'Oslo Pensjonsforsikring'!F74+'SHB Liv'!F74+'Silver Pensjonsforsikring AS'!F74+'Sparebank 1'!F74+'Storebrand Livsforsikring'!F74+'Telenor Forsikring'!F74+'Tryg Forsikring'!F74</f>
        <v>0</v>
      </c>
      <c r="F74" s="44">
        <f>'ACE European Group'!G74+'Danica Pensjonsforsikring'!G74+'DNB Livsforsikring'!G74+'Eika Forsikring AS'!G74+'Frende Livsforsikring'!G74+'Frende Skadeforsikring'!G74+'Gjensidige Forsikring'!G74+'Gjensidige Pensjon'!G74+'Handelsbanken Liv'!G74+'If Skadeforsikring NUF'!G74+KLP!G74+'KLP Bedriftspensjon AS'!G74+'KLP Skadeforsikring AS'!G74+'Landbruksforsikring AS'!G74+'NEMI Forsikring'!G74+'Nordea Liv '!G74+'Oslo Pensjonsforsikring'!G74+'SHB Liv'!G74+'Silver Pensjonsforsikring AS'!G74+'Sparebank 1'!G74+'Storebrand Livsforsikring'!G74+'Telenor Forsikring'!G74+'Tryg Forsikring'!G74</f>
        <v>0</v>
      </c>
      <c r="G74" s="165"/>
      <c r="H74" s="237">
        <f t="shared" ref="H74" si="26">SUM(B74,E74)</f>
        <v>0</v>
      </c>
      <c r="I74" s="237">
        <f t="shared" ref="I74" si="27">SUM(C74,F74)</f>
        <v>740857.6015600001</v>
      </c>
      <c r="J74" s="23" t="str">
        <f t="shared" ref="J74" si="28">IF(H74=0, "    ---- ", IF(ABS(ROUND(100/H74*I74-100,1))&lt;999,ROUND(100/H74*I74-100,1),IF(ROUND(100/H74*I74-100,1)&gt;999,999,-999)))</f>
        <v xml:space="preserve">    ---- </v>
      </c>
    </row>
    <row r="75" spans="1:10" ht="15.75" customHeight="1" x14ac:dyDescent="0.2">
      <c r="A75" s="21" t="s">
        <v>318</v>
      </c>
      <c r="B75" s="44">
        <f>'ACE European Group'!B75+'Danica Pensjonsforsikring'!B75+'DNB Livsforsikring'!B75+'Eika Forsikring AS'!B75+'Frende Livsforsikring'!B75+'Frende Skadeforsikring'!B75+'Gjensidige Forsikring'!B75+'Gjensidige Pensjon'!B75+'Handelsbanken Liv'!B75+'If Skadeforsikring NUF'!B75+KLP!B75+'KLP Bedriftspensjon AS'!B75+'KLP Skadeforsikring AS'!B75+'Landbruksforsikring AS'!B75+'NEMI Forsikring'!B75+'Nordea Liv '!B75+'Oslo Pensjonsforsikring'!B75+'SHB Liv'!B75+'Silver Pensjonsforsikring AS'!B75+'Sparebank 1'!B75+'Storebrand Livsforsikring'!B75+'Telenor Forsikring'!B75+'Tryg Forsikring'!B75</f>
        <v>7898861.0505100004</v>
      </c>
      <c r="C75" s="234">
        <f>'ACE European Group'!C75+'Danica Pensjonsforsikring'!C75+'DNB Livsforsikring'!C75+'Eika Forsikring AS'!C75+'Frende Livsforsikring'!C75+'Frende Skadeforsikring'!C75+'Gjensidige Forsikring'!C75+'Gjensidige Pensjon'!C75+'Handelsbanken Liv'!C75+'If Skadeforsikring NUF'!C75+KLP!C75+'KLP Bedriftspensjon AS'!C75+'KLP Skadeforsikring AS'!C75+'Landbruksforsikring AS'!C75+'NEMI Forsikring'!C75+'Nordea Liv '!C75+'Oslo Pensjonsforsikring'!C75+'SHB Liv'!C75+'Silver Pensjonsforsikring AS'!C75+'Sparebank 1'!C75+'Storebrand Livsforsikring'!C75+'Telenor Forsikring'!C75+'Tryg Forsikring'!C75</f>
        <v>5104266.2472400004</v>
      </c>
      <c r="D75" s="23">
        <f t="shared" si="17"/>
        <v>-35.4</v>
      </c>
      <c r="E75" s="44">
        <f>'ACE European Group'!F75+'Danica Pensjonsforsikring'!F75+'DNB Livsforsikring'!F75+'Eika Forsikring AS'!F75+'Frende Livsforsikring'!F75+'Frende Skadeforsikring'!F75+'Gjensidige Forsikring'!F75+'Gjensidige Pensjon'!F75+'Handelsbanken Liv'!F75+'If Skadeforsikring NUF'!F75+KLP!F75+'KLP Bedriftspensjon AS'!F75+'KLP Skadeforsikring AS'!F75+'Landbruksforsikring AS'!F75+'NEMI Forsikring'!F75+'Nordea Liv '!F75+'Oslo Pensjonsforsikring'!F75+'SHB Liv'!F75+'Silver Pensjonsforsikring AS'!F75+'Sparebank 1'!F75+'Storebrand Livsforsikring'!F75+'Telenor Forsikring'!F75+'Tryg Forsikring'!F75</f>
        <v>11114587.491249999</v>
      </c>
      <c r="F75" s="44">
        <f>'ACE European Group'!G75+'Danica Pensjonsforsikring'!G75+'DNB Livsforsikring'!G75+'Eika Forsikring AS'!G75+'Frende Livsforsikring'!G75+'Frende Skadeforsikring'!G75+'Gjensidige Forsikring'!G75+'Gjensidige Pensjon'!G75+'Handelsbanken Liv'!G75+'If Skadeforsikring NUF'!G75+KLP!G75+'KLP Bedriftspensjon AS'!G75+'KLP Skadeforsikring AS'!G75+'Landbruksforsikring AS'!G75+'NEMI Forsikring'!G75+'Nordea Liv '!G75+'Oslo Pensjonsforsikring'!G75+'SHB Liv'!G75+'Silver Pensjonsforsikring AS'!G75+'Sparebank 1'!G75+'Storebrand Livsforsikring'!G75+'Telenor Forsikring'!G75+'Tryg Forsikring'!G75</f>
        <v>12845716.86881</v>
      </c>
      <c r="G75" s="165">
        <f t="shared" si="18"/>
        <v>15.6</v>
      </c>
      <c r="H75" s="237">
        <f t="shared" si="19"/>
        <v>19013448.541759998</v>
      </c>
      <c r="I75" s="237">
        <f t="shared" si="20"/>
        <v>17949983.116050001</v>
      </c>
      <c r="J75" s="23">
        <f t="shared" si="21"/>
        <v>-5.6</v>
      </c>
    </row>
    <row r="76" spans="1:10" ht="15.75" customHeight="1" x14ac:dyDescent="0.2">
      <c r="A76" s="21" t="s">
        <v>9</v>
      </c>
      <c r="B76" s="44">
        <f>'ACE European Group'!B76+'Danica Pensjonsforsikring'!B76+'DNB Livsforsikring'!B76+'Eika Forsikring AS'!B76+'Frende Livsforsikring'!B76+'Frende Skadeforsikring'!B76+'Gjensidige Forsikring'!B76+'Gjensidige Pensjon'!B76+'Handelsbanken Liv'!B76+'If Skadeforsikring NUF'!B76+KLP!B76+'KLP Bedriftspensjon AS'!B76+'KLP Skadeforsikring AS'!B76+'Landbruksforsikring AS'!B76+'NEMI Forsikring'!B76+'Nordea Liv '!B76+'Oslo Pensjonsforsikring'!B76+'SHB Liv'!B76+'Silver Pensjonsforsikring AS'!B76+'Sparebank 1'!B76+'Storebrand Livsforsikring'!B76+'Telenor Forsikring'!B76+'Tryg Forsikring'!B76</f>
        <v>7780794.4458099995</v>
      </c>
      <c r="C76" s="234">
        <f>'ACE European Group'!C76+'Danica Pensjonsforsikring'!C76+'DNB Livsforsikring'!C76+'Eika Forsikring AS'!C76+'Frende Livsforsikring'!C76+'Frende Skadeforsikring'!C76+'Gjensidige Forsikring'!C76+'Gjensidige Pensjon'!C76+'Handelsbanken Liv'!C76+'If Skadeforsikring NUF'!C76+KLP!C76+'KLP Bedriftspensjon AS'!C76+'KLP Skadeforsikring AS'!C76+'Landbruksforsikring AS'!C76+'NEMI Forsikring'!C76+'Nordea Liv '!C76+'Oslo Pensjonsforsikring'!C76+'SHB Liv'!C76+'Silver Pensjonsforsikring AS'!C76+'Sparebank 1'!C76+'Storebrand Livsforsikring'!C76+'Telenor Forsikring'!C76+'Tryg Forsikring'!C76</f>
        <v>4989012.7676899992</v>
      </c>
      <c r="D76" s="23">
        <f t="shared" si="17"/>
        <v>-35.9</v>
      </c>
      <c r="E76" s="44">
        <f>'ACE European Group'!F76+'Danica Pensjonsforsikring'!F76+'DNB Livsforsikring'!F76+'Eika Forsikring AS'!F76+'Frende Livsforsikring'!F76+'Frende Skadeforsikring'!F76+'Gjensidige Forsikring'!F76+'Gjensidige Pensjon'!F76+'Handelsbanken Liv'!F76+'If Skadeforsikring NUF'!F76+KLP!F76+'KLP Bedriftspensjon AS'!F76+'KLP Skadeforsikring AS'!F76+'Landbruksforsikring AS'!F76+'NEMI Forsikring'!F76+'Nordea Liv '!F76+'Oslo Pensjonsforsikring'!F76+'SHB Liv'!F76+'Silver Pensjonsforsikring AS'!F76+'Sparebank 1'!F76+'Storebrand Livsforsikring'!F76+'Telenor Forsikring'!F76+'Tryg Forsikring'!F76</f>
        <v>0</v>
      </c>
      <c r="F76" s="44">
        <f>'ACE European Group'!G76+'Danica Pensjonsforsikring'!G76+'DNB Livsforsikring'!G76+'Eika Forsikring AS'!G76+'Frende Livsforsikring'!G76+'Frende Skadeforsikring'!G76+'Gjensidige Forsikring'!G76+'Gjensidige Pensjon'!G76+'Handelsbanken Liv'!G76+'If Skadeforsikring NUF'!G76+KLP!G76+'KLP Bedriftspensjon AS'!G76+'KLP Skadeforsikring AS'!G76+'Landbruksforsikring AS'!G76+'NEMI Forsikring'!G76+'Nordea Liv '!G76+'Oslo Pensjonsforsikring'!G76+'SHB Liv'!G76+'Silver Pensjonsforsikring AS'!G76+'Sparebank 1'!G76+'Storebrand Livsforsikring'!G76+'Telenor Forsikring'!G76+'Tryg Forsikring'!G76</f>
        <v>0</v>
      </c>
      <c r="G76" s="165"/>
      <c r="H76" s="237">
        <f t="shared" si="19"/>
        <v>7780794.4458099995</v>
      </c>
      <c r="I76" s="237">
        <f t="shared" si="20"/>
        <v>4989012.7676899992</v>
      </c>
      <c r="J76" s="23">
        <f t="shared" si="21"/>
        <v>-35.9</v>
      </c>
    </row>
    <row r="77" spans="1:10" ht="15.75" customHeight="1" x14ac:dyDescent="0.2">
      <c r="A77" s="21" t="s">
        <v>10</v>
      </c>
      <c r="B77" s="44">
        <f>'ACE European Group'!B77+'Danica Pensjonsforsikring'!B77+'DNB Livsforsikring'!B77+'Eika Forsikring AS'!B77+'Frende Livsforsikring'!B77+'Frende Skadeforsikring'!B77+'Gjensidige Forsikring'!B77+'Gjensidige Pensjon'!B77+'Handelsbanken Liv'!B77+'If Skadeforsikring NUF'!B77+KLP!B77+'KLP Bedriftspensjon AS'!B77+'KLP Skadeforsikring AS'!B77+'Landbruksforsikring AS'!B77+'NEMI Forsikring'!B77+'Nordea Liv '!B77+'Oslo Pensjonsforsikring'!B77+'SHB Liv'!B77+'Silver Pensjonsforsikring AS'!B77+'Sparebank 1'!B77+'Storebrand Livsforsikring'!B77+'Telenor Forsikring'!B77+'Tryg Forsikring'!B77</f>
        <v>118066.60470000001</v>
      </c>
      <c r="C77" s="144">
        <f>'ACE European Group'!C77+'Danica Pensjonsforsikring'!C77+'DNB Livsforsikring'!C77+'Eika Forsikring AS'!C77+'Frende Livsforsikring'!C77+'Frende Skadeforsikring'!C77+'Gjensidige Forsikring'!C77+'Gjensidige Pensjon'!C77+'Handelsbanken Liv'!C77+'If Skadeforsikring NUF'!C77+KLP!C77+'KLP Bedriftspensjon AS'!C77+'KLP Skadeforsikring AS'!C77+'Landbruksforsikring AS'!C77+'NEMI Forsikring'!C77+'Nordea Liv '!C77+'Oslo Pensjonsforsikring'!C77+'SHB Liv'!C77+'Silver Pensjonsforsikring AS'!C77+'Sparebank 1'!C77+'Storebrand Livsforsikring'!C77+'Telenor Forsikring'!C77+'Tryg Forsikring'!C77</f>
        <v>115253.47954999999</v>
      </c>
      <c r="D77" s="23">
        <f t="shared" si="17"/>
        <v>-2.4</v>
      </c>
      <c r="E77" s="44">
        <f>'ACE European Group'!F77+'Danica Pensjonsforsikring'!F77+'DNB Livsforsikring'!F77+'Eika Forsikring AS'!F77+'Frende Livsforsikring'!F77+'Frende Skadeforsikring'!F77+'Gjensidige Forsikring'!F77+'Gjensidige Pensjon'!F77+'Handelsbanken Liv'!F77+'If Skadeforsikring NUF'!F77+KLP!F77+'KLP Bedriftspensjon AS'!F77+'KLP Skadeforsikring AS'!F77+'Landbruksforsikring AS'!F77+'NEMI Forsikring'!F77+'Nordea Liv '!F77+'Oslo Pensjonsforsikring'!F77+'SHB Liv'!F77+'Silver Pensjonsforsikring AS'!F77+'Sparebank 1'!F77+'Storebrand Livsforsikring'!F77+'Telenor Forsikring'!F77+'Tryg Forsikring'!F77</f>
        <v>11114587.491249999</v>
      </c>
      <c r="F77" s="44">
        <f>'ACE European Group'!G77+'Danica Pensjonsforsikring'!G77+'DNB Livsforsikring'!G77+'Eika Forsikring AS'!G77+'Frende Livsforsikring'!G77+'Frende Skadeforsikring'!G77+'Gjensidige Forsikring'!G77+'Gjensidige Pensjon'!G77+'Handelsbanken Liv'!G77+'If Skadeforsikring NUF'!G77+KLP!G77+'KLP Bedriftspensjon AS'!G77+'KLP Skadeforsikring AS'!G77+'Landbruksforsikring AS'!G77+'NEMI Forsikring'!G77+'Nordea Liv '!G77+'Oslo Pensjonsforsikring'!G77+'SHB Liv'!G77+'Silver Pensjonsforsikring AS'!G77+'Sparebank 1'!G77+'Storebrand Livsforsikring'!G77+'Telenor Forsikring'!G77+'Tryg Forsikring'!G77</f>
        <v>12845716.86881</v>
      </c>
      <c r="G77" s="165">
        <f t="shared" si="18"/>
        <v>15.6</v>
      </c>
      <c r="H77" s="237">
        <f t="shared" si="19"/>
        <v>11232654.095949998</v>
      </c>
      <c r="I77" s="237">
        <f t="shared" si="20"/>
        <v>12960970.34836</v>
      </c>
      <c r="J77" s="23">
        <f t="shared" si="21"/>
        <v>15.4</v>
      </c>
    </row>
    <row r="78" spans="1:10" ht="15.75" customHeight="1" x14ac:dyDescent="0.2">
      <c r="A78" s="294" t="s">
        <v>316</v>
      </c>
      <c r="B78" s="44" t="str">
        <f>IF($A$1=4,'ACE European Group'!B78+'Danica Pensjonsforsikring'!B78+'DNB Livsforsikring'!B78+'Eika Forsikring AS'!B78+'Frende Livsforsikring'!B78+'Frende Skadeforsikring'!B78+'Gjensidige Forsikring'!B78+'Gjensidige Pensjon'!B78+'Handelsbanken Liv'!B78+'If Skadeforsikring NUF'!B78+KLP!B78+'KLP Bedriftspensjon AS'!B78+'KLP Skadeforsikring AS'!B78+'Landbruksforsikring AS'!B78+'NEMI Forsikring'!B78+'Nordea Liv '!B78+'Oslo Pensjonsforsikring'!B78+'SHB Liv'!B78+'Silver Pensjonsforsikring AS'!B78+'Sparebank 1'!B78+'Storebrand Livsforsikring'!B78+'Telenor Forsikring'!B78+'Tryg Forsikring'!B78,"")</f>
        <v/>
      </c>
      <c r="C78" s="44" t="str">
        <f>IF($A$1=4,'ACE European Group'!C78+'Danica Pensjonsforsikring'!C78+'DNB Livsforsikring'!C78+'Eika Forsikring AS'!C78+'Frende Livsforsikring'!C78+'Frende Skadeforsikring'!C78+'Gjensidige Forsikring'!C78+'Gjensidige Pensjon'!C78+'Handelsbanken Liv'!C78+'If Skadeforsikring NUF'!C78+KLP!C78+'KLP Bedriftspensjon AS'!C78+'KLP Skadeforsikring AS'!C78+'Landbruksforsikring AS'!C78+'NEMI Forsikring'!C78+'Nordea Liv '!C78+'Oslo Pensjonsforsikring'!C78+'SHB Liv'!C78+'Silver Pensjonsforsikring AS'!C78+'Sparebank 1'!C78+'Storebrand Livsforsikring'!C78+'Telenor Forsikring'!C78+'Tryg Forsikring'!C78,"")</f>
        <v/>
      </c>
      <c r="D78" s="27" t="str">
        <f>IF($A$1=4,IF(B78=0, "    ---- ", IF(ABS(ROUND(100/B78*C78-100,1))&lt;999,ROUND(100/B78*C78-100,1),IF(ROUND(100/B78*C78-100,1)&gt;999,999,-999))),"")</f>
        <v/>
      </c>
      <c r="E78" s="44" t="str">
        <f>IF($A$1=4,'ACE European Group'!F78+'Danica Pensjonsforsikring'!F78+'DNB Livsforsikring'!F78+'Eika Forsikring AS'!F78+'Frende Livsforsikring'!F78+'Frende Skadeforsikring'!F78+'Gjensidige Forsikring'!F78+'Gjensidige Pensjon'!F78+'Handelsbanken Liv'!F78+'If Skadeforsikring NUF'!F78+KLP!F78+'KLP Bedriftspensjon AS'!F78+'KLP Skadeforsikring AS'!F78+'Landbruksforsikring AS'!F78+'NEMI Forsikring'!F78+'Nordea Liv '!F78+'Oslo Pensjonsforsikring'!F78+'SHB Liv'!F78+'Silver Pensjonsforsikring AS'!F78+'Sparebank 1'!F78+'Storebrand Livsforsikring'!F78+'Telenor Forsikring'!F78+'Tryg Forsikring'!F78,"")</f>
        <v/>
      </c>
      <c r="F78" s="44" t="str">
        <f>IF($A$1=4,'ACE European Group'!G78+'Danica Pensjonsforsikring'!G78+'DNB Livsforsikring'!G78+'Eika Forsikring AS'!G78+'Frende Livsforsikring'!G78+'Frende Skadeforsikring'!G78+'Gjensidige Forsikring'!G78+'Gjensidige Pensjon'!G78+'Handelsbanken Liv'!G78+'If Skadeforsikring NUF'!G78+KLP!G78+'KLP Bedriftspensjon AS'!G78+'KLP Skadeforsikring AS'!G78+'Landbruksforsikring AS'!G78+'NEMI Forsikring'!G78+'Nordea Liv '!G78+'Oslo Pensjonsforsikring'!G78+'SHB Liv'!G78+'Silver Pensjonsforsikring AS'!G78+'Sparebank 1'!G78+'Storebrand Livsforsikring'!G78+'Telenor Forsikring'!G78+'Tryg Forsikring'!G78,"")</f>
        <v/>
      </c>
      <c r="G78" s="165" t="str">
        <f t="shared" ref="G78:G83" si="29">IF($A$1=4,IF(E78=0, "    ---- ", IF(ABS(ROUND(100/E78*F78-100,1))&lt;999,ROUND(100/E78*F78-100,1),IF(ROUND(100/E78*F78-100,1)&gt;999,999,-999))),"")</f>
        <v/>
      </c>
      <c r="H78" s="237">
        <f t="shared" si="19"/>
        <v>0</v>
      </c>
      <c r="I78" s="237">
        <f t="shared" si="20"/>
        <v>0</v>
      </c>
      <c r="J78" s="23"/>
    </row>
    <row r="79" spans="1:10" ht="15.75" customHeight="1" x14ac:dyDescent="0.2">
      <c r="A79" s="294" t="s">
        <v>12</v>
      </c>
      <c r="B79" s="235">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Pensjonsforsikring'!B79+'SHB Liv'!B79+'Silver Pensjonsforsikring AS'!B79+'Sparebank 1'!B79+'Storebrand Livsforsikring'!B79+'Telenor Forsikring'!B79+'Tryg Forsikring'!B79</f>
        <v>0</v>
      </c>
      <c r="C79" s="235">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Pensjonsforsikring'!C79+'SHB Liv'!C79+'Silver Pensjonsforsikring AS'!C79+'Sparebank 1'!C79+'Storebrand Livsforsikring'!C79+'Telenor Forsikring'!C79+'Tryg Forsikring'!C79</f>
        <v>0</v>
      </c>
      <c r="D79" s="27" t="str">
        <f t="shared" ref="D79:D83" si="30">IF($A$1=4,IF(B79=0, "    ---- ", IF(ABS(ROUND(100/B79*C79-100,1))&lt;999,ROUND(100/B79*C79-100,1),IF(ROUND(100/B79*C79-100,1)&gt;999,999,-999))),"")</f>
        <v/>
      </c>
      <c r="E79" s="44" t="str">
        <f>IF($A$1=4,'ACE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Pensjonsforsikring'!F79+'SHB Liv'!F79+'Silver Pensjonsforsikring AS'!F79+'Sparebank 1'!F79+'Storebrand Livsforsikring'!F79+'Telenor Forsikring'!F79+'Tryg Forsikring'!F79,"")</f>
        <v/>
      </c>
      <c r="F79" s="44" t="str">
        <f>IF($A$1=4,'ACE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Pensjonsforsikring'!G79+'SHB Liv'!G79+'Silver Pensjonsforsikring AS'!G79+'Sparebank 1'!G79+'Storebrand Livsforsikring'!G79+'Telenor Forsikring'!G79+'Tryg Forsikring'!G79,"")</f>
        <v/>
      </c>
      <c r="G79" s="165" t="str">
        <f t="shared" si="29"/>
        <v/>
      </c>
      <c r="H79" s="237">
        <f t="shared" si="19"/>
        <v>0</v>
      </c>
      <c r="I79" s="237">
        <f t="shared" si="20"/>
        <v>0</v>
      </c>
      <c r="J79" s="23"/>
    </row>
    <row r="80" spans="1:10" ht="15.75" customHeight="1" x14ac:dyDescent="0.2">
      <c r="A80" s="294" t="s">
        <v>13</v>
      </c>
      <c r="B80" s="235">
        <f>'ACE European Group'!B80+'Danica Pensjonsforsikring'!B80+'DNB Livsforsikring'!B80+'Eika Forsikring AS'!B80+'Frende Livsforsikring'!B80+'Frende Skadeforsikring'!B80+'Gjensidige Forsikring'!B80+'Gjensidige Pensjon'!B80+'Handelsbanken Liv'!B80+'If Skadeforsikring NUF'!B80+KLP!B80+'KLP Bedriftspensjon AS'!B80+'KLP Skadeforsikring AS'!B80+'Landbruksforsikring AS'!B80+'NEMI Forsikring'!B80+'Nordea Liv '!B80+'Oslo Pensjonsforsikring'!B80+'SHB Liv'!B80+'Silver Pensjonsforsikring AS'!B80+'Sparebank 1'!B80+'Storebrand Livsforsikring'!B80+'Telenor Forsikring'!B80+'Tryg Forsikring'!B80</f>
        <v>0</v>
      </c>
      <c r="C80" s="235">
        <f>'ACE European Group'!C80+'Danica Pensjonsforsikring'!C80+'DNB Livsforsikring'!C80+'Eika Forsikring AS'!C80+'Frende Livsforsikring'!C80+'Frende Skadeforsikring'!C80+'Gjensidige Forsikring'!C80+'Gjensidige Pensjon'!C80+'Handelsbanken Liv'!C80+'If Skadeforsikring NUF'!C80+KLP!C80+'KLP Bedriftspensjon AS'!C80+'KLP Skadeforsikring AS'!C80+'Landbruksforsikring AS'!C80+'NEMI Forsikring'!C80+'Nordea Liv '!C80+'Oslo Pensjonsforsikring'!C80+'SHB Liv'!C80+'Silver Pensjonsforsikring AS'!C80+'Sparebank 1'!C80+'Storebrand Livsforsikring'!C80+'Telenor Forsikring'!C80+'Tryg Forsikring'!C80</f>
        <v>0</v>
      </c>
      <c r="D80" s="27" t="str">
        <f t="shared" si="30"/>
        <v/>
      </c>
      <c r="E80" s="44" t="str">
        <f>IF($A$1=4,'ACE European Group'!F80+'Danica Pensjonsforsikring'!F80+'DNB Livsforsikring'!F80+'Eika Forsikring AS'!F80+'Frende Livsforsikring'!F80+'Frende Skadeforsikring'!F80+'Gjensidige Forsikring'!F80+'Gjensidige Pensjon'!F80+'Handelsbanken Liv'!F80+'If Skadeforsikring NUF'!F80+KLP!F80+'KLP Bedriftspensjon AS'!F80+'KLP Skadeforsikring AS'!F80+'Landbruksforsikring AS'!F80+'NEMI Forsikring'!F80+'Nordea Liv '!F80+'Oslo Pensjonsforsikring'!F80+'SHB Liv'!F80+'Silver Pensjonsforsikring AS'!F80+'Sparebank 1'!F80+'Storebrand Livsforsikring'!F80+'Telenor Forsikring'!F80+'Tryg Forsikring'!F80,"")</f>
        <v/>
      </c>
      <c r="F80" s="44" t="str">
        <f>IF($A$1=4,'ACE European Group'!G80+'Danica Pensjonsforsikring'!G80+'DNB Livsforsikring'!G80+'Eika Forsikring AS'!G80+'Frende Livsforsikring'!G80+'Frende Skadeforsikring'!G80+'Gjensidige Forsikring'!G80+'Gjensidige Pensjon'!G80+'Handelsbanken Liv'!G80+'If Skadeforsikring NUF'!G80+KLP!G80+'KLP Bedriftspensjon AS'!G80+'KLP Skadeforsikring AS'!G80+'Landbruksforsikring AS'!G80+'NEMI Forsikring'!G80+'Nordea Liv '!G80+'Oslo Pensjonsforsikring'!G80+'SHB Liv'!G80+'Silver Pensjonsforsikring AS'!G80+'Sparebank 1'!G80+'Storebrand Livsforsikring'!G80+'Telenor Forsikring'!G80+'Tryg Forsikring'!G80,"")</f>
        <v/>
      </c>
      <c r="G80" s="165" t="str">
        <f t="shared" si="29"/>
        <v/>
      </c>
      <c r="H80" s="237">
        <f t="shared" si="19"/>
        <v>0</v>
      </c>
      <c r="I80" s="237">
        <f t="shared" si="20"/>
        <v>0</v>
      </c>
      <c r="J80" s="23"/>
    </row>
    <row r="81" spans="1:10" ht="15.75" customHeight="1" x14ac:dyDescent="0.2">
      <c r="A81" s="294" t="s">
        <v>317</v>
      </c>
      <c r="B81" s="44" t="str">
        <f>IF($A$1=4,'ACE European Group'!B81+'Danica Pensjonsforsikring'!B81+'DNB Livsforsikring'!B81+'Eika Forsikring AS'!B81+'Frende Livsforsikring'!B81+'Frende Skadeforsikring'!B81+'Gjensidige Forsikring'!B81+'Gjensidige Pensjon'!B81+'Handelsbanken Liv'!B81+'If Skadeforsikring NUF'!B81+KLP!B81+'KLP Bedriftspensjon AS'!B81+'KLP Skadeforsikring AS'!B81+'Landbruksforsikring AS'!B81+'NEMI Forsikring'!B81+'Nordea Liv '!B81+'Oslo Pensjonsforsikring'!B81+'SHB Liv'!B81+'Silver Pensjonsforsikring AS'!B81+'Sparebank 1'!B81+'Storebrand Livsforsikring'!B81+'Telenor Forsikring'!B81+'Tryg Forsikring'!B81,"")</f>
        <v/>
      </c>
      <c r="C81" s="44" t="str">
        <f>IF($A$1=4,'ACE European Group'!C81+'Danica Pensjonsforsikring'!C81+'DNB Livsforsikring'!C81+'Eika Forsikring AS'!C81+'Frende Livsforsikring'!C81+'Frende Skadeforsikring'!C81+'Gjensidige Forsikring'!C81+'Gjensidige Pensjon'!C81+'Handelsbanken Liv'!C81+'If Skadeforsikring NUF'!C81+KLP!C81+'KLP Bedriftspensjon AS'!C81+'KLP Skadeforsikring AS'!C81+'Landbruksforsikring AS'!C81+'NEMI Forsikring'!C81+'Nordea Liv '!C81+'Oslo Pensjonsforsikring'!C81+'SHB Liv'!C81+'Silver Pensjonsforsikring AS'!C81+'Sparebank 1'!C81+'Storebrand Livsforsikring'!C81+'Telenor Forsikring'!C81+'Tryg Forsikring'!C81,"")</f>
        <v/>
      </c>
      <c r="D81" s="27" t="str">
        <f t="shared" si="30"/>
        <v/>
      </c>
      <c r="E81" s="44" t="str">
        <f>IF($A$1=4,'ACE European Group'!F81+'Danica Pensjonsforsikring'!F81+'DNB Livsforsikring'!F81+'Eika Forsikring AS'!F81+'Frende Livsforsikring'!F81+'Frende Skadeforsikring'!F81+'Gjensidige Forsikring'!F81+'Gjensidige Pensjon'!F81+'Handelsbanken Liv'!F81+'If Skadeforsikring NUF'!F81+KLP!F81+'KLP Bedriftspensjon AS'!F81+'KLP Skadeforsikring AS'!F81+'Landbruksforsikring AS'!F81+'NEMI Forsikring'!F81+'Nordea Liv '!F81+'Oslo Pensjonsforsikring'!F81+'SHB Liv'!F81+'Silver Pensjonsforsikring AS'!F81+'Sparebank 1'!F81+'Storebrand Livsforsikring'!F81+'Telenor Forsikring'!F81+'Tryg Forsikring'!F81,"")</f>
        <v/>
      </c>
      <c r="F81" s="44" t="str">
        <f>IF($A$1=4,'ACE European Group'!G81+'Danica Pensjonsforsikring'!G81+'DNB Livsforsikring'!G81+'Eika Forsikring AS'!G81+'Frende Livsforsikring'!G81+'Frende Skadeforsikring'!G81+'Gjensidige Forsikring'!G81+'Gjensidige Pensjon'!G81+'Handelsbanken Liv'!G81+'If Skadeforsikring NUF'!G81+KLP!G81+'KLP Bedriftspensjon AS'!G81+'KLP Skadeforsikring AS'!G81+'Landbruksforsikring AS'!G81+'NEMI Forsikring'!G81+'Nordea Liv '!G81+'Oslo Pensjonsforsikring'!G81+'SHB Liv'!G81+'Silver Pensjonsforsikring AS'!G81+'Sparebank 1'!G81+'Storebrand Livsforsikring'!G81+'Telenor Forsikring'!G81+'Tryg Forsikring'!G81,"")</f>
        <v/>
      </c>
      <c r="G81" s="165" t="str">
        <f t="shared" si="29"/>
        <v/>
      </c>
      <c r="H81" s="237">
        <f t="shared" si="19"/>
        <v>0</v>
      </c>
      <c r="I81" s="237">
        <f t="shared" si="20"/>
        <v>0</v>
      </c>
      <c r="J81" s="24"/>
    </row>
    <row r="82" spans="1:10" ht="15.75" customHeight="1" x14ac:dyDescent="0.2">
      <c r="A82" s="294" t="s">
        <v>12</v>
      </c>
      <c r="B82" s="235">
        <f>'ACE European Group'!B82+'Danica Pensjonsforsikring'!B82+'DNB Livsforsikring'!B82+'Eika Forsikring AS'!B82+'Frende Livsforsikring'!B82+'Frende Skadeforsikring'!B82+'Gjensidige Forsikring'!B82+'Gjensidige Pensjon'!B82+'Handelsbanken Liv'!B82+'If Skadeforsikring NUF'!B82+KLP!B82+'KLP Bedriftspensjon AS'!B82+'KLP Skadeforsikring AS'!B82+'Landbruksforsikring AS'!B82+'NEMI Forsikring'!B82+'Nordea Liv '!B82+'Oslo Pensjonsforsikring'!B82+'SHB Liv'!B82+'Silver Pensjonsforsikring AS'!B82+'Sparebank 1'!B82+'Storebrand Livsforsikring'!B82+'Telenor Forsikring'!B82+'Tryg Forsikring'!B82</f>
        <v>0</v>
      </c>
      <c r="C82" s="235">
        <f>'ACE European Group'!C82+'Danica Pensjonsforsikring'!C82+'DNB Livsforsikring'!C82+'Eika Forsikring AS'!C82+'Frende Livsforsikring'!C82+'Frende Skadeforsikring'!C82+'Gjensidige Forsikring'!C82+'Gjensidige Pensjon'!C82+'Handelsbanken Liv'!C82+'If Skadeforsikring NUF'!C82+KLP!C82+'KLP Bedriftspensjon AS'!C82+'KLP Skadeforsikring AS'!C82+'Landbruksforsikring AS'!C82+'NEMI Forsikring'!C82+'Nordea Liv '!C82+'Oslo Pensjonsforsikring'!C82+'SHB Liv'!C82+'Silver Pensjonsforsikring AS'!C82+'Sparebank 1'!C82+'Storebrand Livsforsikring'!C82+'Telenor Forsikring'!C82+'Tryg Forsikring'!C82</f>
        <v>0</v>
      </c>
      <c r="D82" s="27" t="str">
        <f t="shared" si="30"/>
        <v/>
      </c>
      <c r="E82" s="44" t="str">
        <f>IF($A$1=4,'ACE European Group'!F82+'Danica Pensjonsforsikring'!F82+'DNB Livsforsikring'!F82+'Eika Forsikring AS'!F82+'Frende Livsforsikring'!F82+'Frende Skadeforsikring'!F82+'Gjensidige Forsikring'!F82+'Gjensidige Pensjon'!F82+'Handelsbanken Liv'!F82+'If Skadeforsikring NUF'!F82+KLP!F82+'KLP Bedriftspensjon AS'!F82+'KLP Skadeforsikring AS'!F82+'Landbruksforsikring AS'!F82+'NEMI Forsikring'!F82+'Nordea Liv '!F82+'Oslo Pensjonsforsikring'!F82+'SHB Liv'!F82+'Silver Pensjonsforsikring AS'!F82+'Sparebank 1'!F82+'Storebrand Livsforsikring'!F82+'Telenor Forsikring'!F82+'Tryg Forsikring'!F82,"")</f>
        <v/>
      </c>
      <c r="F82" s="44" t="str">
        <f>IF($A$1=4,'ACE European Group'!G82+'Danica Pensjonsforsikring'!G82+'DNB Livsforsikring'!G82+'Eika Forsikring AS'!G82+'Frende Livsforsikring'!G82+'Frende Skadeforsikring'!G82+'Gjensidige Forsikring'!G82+'Gjensidige Pensjon'!G82+'Handelsbanken Liv'!G82+'If Skadeforsikring NUF'!G82+KLP!G82+'KLP Bedriftspensjon AS'!G82+'KLP Skadeforsikring AS'!G82+'Landbruksforsikring AS'!G82+'NEMI Forsikring'!G82+'Nordea Liv '!G82+'Oslo Pensjonsforsikring'!G82+'SHB Liv'!G82+'Silver Pensjonsforsikring AS'!G82+'Sparebank 1'!G82+'Storebrand Livsforsikring'!G82+'Telenor Forsikring'!G82+'Tryg Forsikring'!G82,"")</f>
        <v/>
      </c>
      <c r="G82" s="165" t="str">
        <f t="shared" si="29"/>
        <v/>
      </c>
      <c r="H82" s="237">
        <f t="shared" si="19"/>
        <v>0</v>
      </c>
      <c r="I82" s="237">
        <f t="shared" si="20"/>
        <v>0</v>
      </c>
      <c r="J82" s="23"/>
    </row>
    <row r="83" spans="1:10" ht="15.75" customHeight="1" x14ac:dyDescent="0.2">
      <c r="A83" s="294" t="s">
        <v>13</v>
      </c>
      <c r="B83" s="235">
        <f>'ACE European Group'!B83+'Danica Pensjonsforsikring'!B83+'DNB Livsforsikring'!B83+'Eika Forsikring AS'!B83+'Frende Livsforsikring'!B83+'Frende Skadeforsikring'!B83+'Gjensidige Forsikring'!B83+'Gjensidige Pensjon'!B83+'Handelsbanken Liv'!B83+'If Skadeforsikring NUF'!B83+KLP!B83+'KLP Bedriftspensjon AS'!B83+'KLP Skadeforsikring AS'!B83+'Landbruksforsikring AS'!B83+'NEMI Forsikring'!B83+'Nordea Liv '!B83+'Oslo Pensjonsforsikring'!B83+'SHB Liv'!B83+'Silver Pensjonsforsikring AS'!B83+'Sparebank 1'!B83+'Storebrand Livsforsikring'!B83+'Telenor Forsikring'!B83+'Tryg Forsikring'!B83</f>
        <v>0</v>
      </c>
      <c r="C83" s="235">
        <f>'ACE European Group'!C83+'Danica Pensjonsforsikring'!C83+'DNB Livsforsikring'!C83+'Eika Forsikring AS'!C83+'Frende Livsforsikring'!C83+'Frende Skadeforsikring'!C83+'Gjensidige Forsikring'!C83+'Gjensidige Pensjon'!C83+'Handelsbanken Liv'!C83+'If Skadeforsikring NUF'!C83+KLP!C83+'KLP Bedriftspensjon AS'!C83+'KLP Skadeforsikring AS'!C83+'Landbruksforsikring AS'!C83+'NEMI Forsikring'!C83+'Nordea Liv '!C83+'Oslo Pensjonsforsikring'!C83+'SHB Liv'!C83+'Silver Pensjonsforsikring AS'!C83+'Sparebank 1'!C83+'Storebrand Livsforsikring'!C83+'Telenor Forsikring'!C83+'Tryg Forsikring'!C83</f>
        <v>0</v>
      </c>
      <c r="D83" s="27" t="str">
        <f t="shared" si="30"/>
        <v/>
      </c>
      <c r="E83" s="44" t="str">
        <f>IF($A$1=4,'ACE European Group'!F83+'Danica Pensjonsforsikring'!F83+'DNB Livsforsikring'!F83+'Eika Forsikring AS'!F83+'Frende Livsforsikring'!F83+'Frende Skadeforsikring'!F83+'Gjensidige Forsikring'!F83+'Gjensidige Pensjon'!F83+'Handelsbanken Liv'!F83+'If Skadeforsikring NUF'!F83+KLP!F83+'KLP Bedriftspensjon AS'!F83+'KLP Skadeforsikring AS'!F83+'Landbruksforsikring AS'!F83+'NEMI Forsikring'!F83+'Nordea Liv '!F83+'Oslo Pensjonsforsikring'!F83+'SHB Liv'!F83+'Silver Pensjonsforsikring AS'!F83+'Sparebank 1'!F83+'Storebrand Livsforsikring'!F83+'Telenor Forsikring'!F83+'Tryg Forsikring'!F83,"")</f>
        <v/>
      </c>
      <c r="F83" s="44" t="str">
        <f>IF($A$1=4,'ACE European Group'!G83+'Danica Pensjonsforsikring'!G83+'DNB Livsforsikring'!G83+'Eika Forsikring AS'!G83+'Frende Livsforsikring'!G83+'Frende Skadeforsikring'!G83+'Gjensidige Forsikring'!G83+'Gjensidige Pensjon'!G83+'Handelsbanken Liv'!G83+'If Skadeforsikring NUF'!G83+KLP!G83+'KLP Bedriftspensjon AS'!G83+'KLP Skadeforsikring AS'!G83+'Landbruksforsikring AS'!G83+'NEMI Forsikring'!G83+'Nordea Liv '!G83+'Oslo Pensjonsforsikring'!G83+'SHB Liv'!G83+'Silver Pensjonsforsikring AS'!G83+'Sparebank 1'!G83+'Storebrand Livsforsikring'!G83+'Telenor Forsikring'!G83+'Tryg Forsikring'!G83,"")</f>
        <v/>
      </c>
      <c r="G83" s="165" t="str">
        <f t="shared" si="29"/>
        <v/>
      </c>
      <c r="H83" s="237">
        <f t="shared" si="19"/>
        <v>0</v>
      </c>
      <c r="I83" s="237">
        <f t="shared" si="20"/>
        <v>0</v>
      </c>
      <c r="J83" s="23"/>
    </row>
    <row r="84" spans="1:10" ht="15.75" customHeight="1" x14ac:dyDescent="0.2">
      <c r="A84" s="21" t="s">
        <v>327</v>
      </c>
      <c r="B84" s="234">
        <f>'ACE European Group'!B84+'Danica Pensjonsforsikring'!B84+'DNB Livsforsikring'!B84+'Eika Forsikring AS'!B84+'Frende Livsforsikring'!B84+'Frende Skadeforsikring'!B84+'Gjensidige Forsikring'!B84+'Gjensidige Pensjon'!B84+'Handelsbanken Liv'!B84+'If Skadeforsikring NUF'!B84+KLP!B84+'KLP Bedriftspensjon AS'!B84+'KLP Skadeforsikring AS'!B84+'Landbruksforsikring AS'!B84+'NEMI Forsikring'!B84+'Nordea Liv '!B84+'Oslo Pensjonsforsikring'!B84+'SHB Liv'!B84+'Silver Pensjonsforsikring AS'!B84+'Sparebank 1'!B84+'Storebrand Livsforsikring'!B84+'Telenor Forsikring'!B84+'Tryg Forsikring'!B84</f>
        <v>237307.89200000002</v>
      </c>
      <c r="C84" s="234">
        <f>'ACE European Group'!C84+'Danica Pensjonsforsikring'!C84+'DNB Livsforsikring'!C84+'Eika Forsikring AS'!C84+'Frende Livsforsikring'!C84+'Frende Skadeforsikring'!C84+'Gjensidige Forsikring'!C84+'Gjensidige Pensjon'!C84+'Handelsbanken Liv'!C84+'If Skadeforsikring NUF'!C84+KLP!C84+'KLP Bedriftspensjon AS'!C84+'KLP Skadeforsikring AS'!C84+'Landbruksforsikring AS'!C84+'NEMI Forsikring'!C84+'Nordea Liv '!C84+'Oslo Pensjonsforsikring'!C84+'SHB Liv'!C84+'Silver Pensjonsforsikring AS'!C84+'Sparebank 1'!C84+'Storebrand Livsforsikring'!C84+'Telenor Forsikring'!C84+'Tryg Forsikring'!C84</f>
        <v>144951.24599999998</v>
      </c>
      <c r="D84" s="23">
        <f t="shared" si="17"/>
        <v>-38.9</v>
      </c>
      <c r="E84" s="44">
        <f>'ACE European Group'!F84+'Danica Pensjonsforsikring'!F84+'DNB Livsforsikring'!F84+'Eika Forsikring AS'!F84+'Frende Livsforsikring'!F84+'Frende Skadeforsikring'!F84+'Gjensidige Forsikring'!F84+'Gjensidige Pensjon'!F84+'Handelsbanken Liv'!F84+'If Skadeforsikring NUF'!F84+KLP!F84+'KLP Bedriftspensjon AS'!F84+'KLP Skadeforsikring AS'!F84+'Landbruksforsikring AS'!F84+'NEMI Forsikring'!F84+'Nordea Liv '!F84+'Oslo Pensjonsforsikring'!F84+'SHB Liv'!F84+'Silver Pensjonsforsikring AS'!F84+'Sparebank 1'!F84+'Storebrand Livsforsikring'!F84+'Telenor Forsikring'!F84+'Tryg Forsikring'!F84</f>
        <v>7506.1210499999997</v>
      </c>
      <c r="F84" s="44">
        <f>'ACE European Group'!G84+'Danica Pensjonsforsikring'!G84+'DNB Livsforsikring'!G84+'Eika Forsikring AS'!G84+'Frende Livsforsikring'!G84+'Frende Skadeforsikring'!G84+'Gjensidige Forsikring'!G84+'Gjensidige Pensjon'!G84+'Handelsbanken Liv'!G84+'If Skadeforsikring NUF'!G84+KLP!G84+'KLP Bedriftspensjon AS'!G84+'KLP Skadeforsikring AS'!G84+'Landbruksforsikring AS'!G84+'NEMI Forsikring'!G84+'Nordea Liv '!G84+'Oslo Pensjonsforsikring'!G84+'SHB Liv'!G84+'Silver Pensjonsforsikring AS'!G84+'Sparebank 1'!G84+'Storebrand Livsforsikring'!G84+'Telenor Forsikring'!G84+'Tryg Forsikring'!G84</f>
        <v>8392.3030099999996</v>
      </c>
      <c r="G84" s="165">
        <f t="shared" si="18"/>
        <v>11.8</v>
      </c>
      <c r="H84" s="237">
        <f t="shared" si="19"/>
        <v>244814.01305000001</v>
      </c>
      <c r="I84" s="237">
        <f t="shared" si="20"/>
        <v>153343.54900999999</v>
      </c>
      <c r="J84" s="23">
        <f t="shared" si="21"/>
        <v>-37.4</v>
      </c>
    </row>
    <row r="85" spans="1:10" s="43" customFormat="1" ht="15.75" customHeight="1" x14ac:dyDescent="0.2">
      <c r="A85" s="13" t="s">
        <v>26</v>
      </c>
      <c r="B85" s="306">
        <f>'ACE European Group'!B85+'Danica Pensjonsforsikring'!B85+'DNB Livsforsikring'!B85+'Eika Forsikring AS'!B85+'Frende Livsforsikring'!B85+'Frende Skadeforsikring'!B85+'Gjensidige Forsikring'!B85+'Gjensidige Pensjon'!B85+'Handelsbanken Liv'!B85+'If Skadeforsikring NUF'!B85+KLP!B85+'KLP Bedriftspensjon AS'!B85+'KLP Skadeforsikring AS'!B85+'Landbruksforsikring AS'!B85+'NEMI Forsikring'!B85+'Nordea Liv '!B85+'Oslo Pensjonsforsikring'!B85+'SHB Liv'!B85+'Silver Pensjonsforsikring AS'!B85+'Sparebank 1'!B85+'Storebrand Livsforsikring'!B85+'Telenor Forsikring'!B85+'Tryg Forsikring'!B85</f>
        <v>374786691.41905582</v>
      </c>
      <c r="C85" s="306">
        <f>'ACE European Group'!C85+'Danica Pensjonsforsikring'!C85+'DNB Livsforsikring'!C85+'Eika Forsikring AS'!C85+'Frende Livsforsikring'!C85+'Frende Skadeforsikring'!C85+'Gjensidige Forsikring'!C85+'Gjensidige Pensjon'!C85+'Handelsbanken Liv'!C85+'If Skadeforsikring NUF'!C85+KLP!C85+'KLP Bedriftspensjon AS'!C85+'KLP Skadeforsikring AS'!C85+'Landbruksforsikring AS'!C85+'NEMI Forsikring'!C85+'Nordea Liv '!C85+'Oslo Pensjonsforsikring'!C85+'SHB Liv'!C85+'Silver Pensjonsforsikring AS'!C85+'Sparebank 1'!C85+'Storebrand Livsforsikring'!C85+'Telenor Forsikring'!C85+'Tryg Forsikring'!C85</f>
        <v>373810169.08005464</v>
      </c>
      <c r="D85" s="24">
        <f t="shared" si="17"/>
        <v>-0.3</v>
      </c>
      <c r="E85" s="236">
        <f>'ACE European Group'!F85+'Danica Pensjonsforsikring'!F85+'DNB Livsforsikring'!F85+'Eika Forsikring AS'!F85+'Frende Livsforsikring'!F85+'Frende Skadeforsikring'!F85+'Gjensidige Forsikring'!F85+'Gjensidige Pensjon'!F85+'Handelsbanken Liv'!F85+'If Skadeforsikring NUF'!F85+KLP!F85+'KLP Bedriftspensjon AS'!F85+'KLP Skadeforsikring AS'!F85+'Landbruksforsikring AS'!F85+'NEMI Forsikring'!F85+'Nordea Liv '!F85+'Oslo Pensjonsforsikring'!F85+'SHB Liv'!F85+'Silver Pensjonsforsikring AS'!F85+'Sparebank 1'!F85+'Storebrand Livsforsikring'!F85+'Telenor Forsikring'!F85+'Tryg Forsikring'!F85</f>
        <v>156542547.97675839</v>
      </c>
      <c r="F85" s="236">
        <f>'ACE European Group'!G85+'Danica Pensjonsforsikring'!G85+'DNB Livsforsikring'!G85+'Eika Forsikring AS'!G85+'Frende Livsforsikring'!G85+'Frende Skadeforsikring'!G85+'Gjensidige Forsikring'!G85+'Gjensidige Pensjon'!G85+'Handelsbanken Liv'!G85+'If Skadeforsikring NUF'!G85+KLP!G85+'KLP Bedriftspensjon AS'!G85+'KLP Skadeforsikring AS'!G85+'Landbruksforsikring AS'!G85+'NEMI Forsikring'!G85+'Nordea Liv '!G85+'Oslo Pensjonsforsikring'!G85+'SHB Liv'!G85+'Silver Pensjonsforsikring AS'!G85+'Sparebank 1'!G85+'Storebrand Livsforsikring'!G85+'Telenor Forsikring'!G85+'Tryg Forsikring'!G85</f>
        <v>198886422.12118009</v>
      </c>
      <c r="G85" s="170">
        <f t="shared" si="18"/>
        <v>27</v>
      </c>
      <c r="H85" s="324">
        <f t="shared" ref="H85:H109" si="31">SUM(B85,E85)</f>
        <v>531329239.39581418</v>
      </c>
      <c r="I85" s="324">
        <f t="shared" ref="I85:I109" si="32">SUM(C85,F85)</f>
        <v>572696591.2012347</v>
      </c>
      <c r="J85" s="24">
        <f t="shared" si="21"/>
        <v>7.8</v>
      </c>
    </row>
    <row r="86" spans="1:10" ht="15.75" customHeight="1" x14ac:dyDescent="0.2">
      <c r="A86" s="21" t="s">
        <v>9</v>
      </c>
      <c r="B86" s="234">
        <f>'ACE European Group'!B86+'Danica Pensjonsforsikring'!B86+'DNB Livsforsikring'!B86+'Eika Forsikring AS'!B86+'Frende Livsforsikring'!B86+'Frende Skadeforsikring'!B86+'Gjensidige Forsikring'!B86+'Gjensidige Pensjon'!B86+'Handelsbanken Liv'!B86+'If Skadeforsikring NUF'!B86+KLP!B86+'KLP Bedriftspensjon AS'!B86+'KLP Skadeforsikring AS'!B86+'Landbruksforsikring AS'!B86+'NEMI Forsikring'!B86+'Nordea Liv '!B86+'Oslo Pensjonsforsikring'!B86+'SHB Liv'!B86+'Silver Pensjonsforsikring AS'!B86+'Sparebank 1'!B86+'Storebrand Livsforsikring'!B86+'Telenor Forsikring'!B86+'Tryg Forsikring'!B86</f>
        <v>372464336.52736533</v>
      </c>
      <c r="C86" s="234">
        <f>'ACE European Group'!C86+'Danica Pensjonsforsikring'!C86+'DNB Livsforsikring'!C86+'Eika Forsikring AS'!C86+'Frende Livsforsikring'!C86+'Frende Skadeforsikring'!C86+'Gjensidige Forsikring'!C86+'Gjensidige Pensjon'!C86+'Handelsbanken Liv'!C86+'If Skadeforsikring NUF'!C86+KLP!C86+'KLP Bedriftspensjon AS'!C86+'KLP Skadeforsikring AS'!C86+'Landbruksforsikring AS'!C86+'NEMI Forsikring'!C86+'Nordea Liv '!C86+'Oslo Pensjonsforsikring'!C86+'SHB Liv'!C86+'Silver Pensjonsforsikring AS'!C86+'Sparebank 1'!C86+'Storebrand Livsforsikring'!C86+'Telenor Forsikring'!C86+'Tryg Forsikring'!C86</f>
        <v>371068440.08094376</v>
      </c>
      <c r="D86" s="23">
        <f t="shared" si="17"/>
        <v>-0.4</v>
      </c>
      <c r="E86" s="44">
        <f>'ACE European Group'!F86+'Danica Pensjonsforsikring'!F86+'DNB Livsforsikring'!F86+'Eika Forsikring AS'!F86+'Frende Livsforsikring'!F86+'Frende Skadeforsikring'!F86+'Gjensidige Forsikring'!F86+'Gjensidige Pensjon'!F86+'Handelsbanken Liv'!F86+'If Skadeforsikring NUF'!F86+KLP!F86+'KLP Bedriftspensjon AS'!F86+'KLP Skadeforsikring AS'!F86+'Landbruksforsikring AS'!F86+'NEMI Forsikring'!F86+'Nordea Liv '!F86+'Oslo Pensjonsforsikring'!F86+'SHB Liv'!F86+'Silver Pensjonsforsikring AS'!F86+'Sparebank 1'!F86+'Storebrand Livsforsikring'!F86+'Telenor Forsikring'!F86+'Tryg Forsikring'!F86</f>
        <v>0</v>
      </c>
      <c r="F86" s="44">
        <f>'ACE European Group'!G86+'Danica Pensjonsforsikring'!G86+'DNB Livsforsikring'!G86+'Eika Forsikring AS'!G86+'Frende Livsforsikring'!G86+'Frende Skadeforsikring'!G86+'Gjensidige Forsikring'!G86+'Gjensidige Pensjon'!G86+'Handelsbanken Liv'!G86+'If Skadeforsikring NUF'!G86+KLP!G86+'KLP Bedriftspensjon AS'!G86+'KLP Skadeforsikring AS'!G86+'Landbruksforsikring AS'!G86+'NEMI Forsikring'!G86+'Nordea Liv '!G86+'Oslo Pensjonsforsikring'!G86+'SHB Liv'!G86+'Silver Pensjonsforsikring AS'!G86+'Sparebank 1'!G86+'Storebrand Livsforsikring'!G86+'Telenor Forsikring'!G86+'Tryg Forsikring'!G86</f>
        <v>0</v>
      </c>
      <c r="G86" s="165"/>
      <c r="H86" s="237">
        <f t="shared" si="31"/>
        <v>372464336.52736533</v>
      </c>
      <c r="I86" s="237">
        <f t="shared" si="32"/>
        <v>371068440.08094376</v>
      </c>
      <c r="J86" s="23">
        <f t="shared" si="21"/>
        <v>-0.4</v>
      </c>
    </row>
    <row r="87" spans="1:10" ht="15.75" customHeight="1" x14ac:dyDescent="0.2">
      <c r="A87" s="21" t="s">
        <v>10</v>
      </c>
      <c r="B87" s="234">
        <f>'ACE European Group'!B87+'Danica Pensjonsforsikring'!B87+'DNB Livsforsikring'!B87+'Eika Forsikring AS'!B87+'Frende Livsforsikring'!B87+'Frende Skadeforsikring'!B87+'Gjensidige Forsikring'!B87+'Gjensidige Pensjon'!B87+'Handelsbanken Liv'!B87+'If Skadeforsikring NUF'!B87+KLP!B87+'KLP Bedriftspensjon AS'!B87+'KLP Skadeforsikring AS'!B87+'Landbruksforsikring AS'!B87+'NEMI Forsikring'!B87+'Nordea Liv '!B87+'Oslo Pensjonsforsikring'!B87+'SHB Liv'!B87+'Silver Pensjonsforsikring AS'!B87+'Sparebank 1'!B87+'Storebrand Livsforsikring'!B87+'Telenor Forsikring'!B87+'Tryg Forsikring'!B87</f>
        <v>2226220.8276904603</v>
      </c>
      <c r="C87" s="234">
        <f>'ACE European Group'!C87+'Danica Pensjonsforsikring'!C87+'DNB Livsforsikring'!C87+'Eika Forsikring AS'!C87+'Frende Livsforsikring'!C87+'Frende Skadeforsikring'!C87+'Gjensidige Forsikring'!C87+'Gjensidige Pensjon'!C87+'Handelsbanken Liv'!C87+'If Skadeforsikring NUF'!C87+KLP!C87+'KLP Bedriftspensjon AS'!C87+'KLP Skadeforsikring AS'!C87+'Landbruksforsikring AS'!C87+'NEMI Forsikring'!C87+'Nordea Liv '!C87+'Oslo Pensjonsforsikring'!C87+'SHB Liv'!C87+'Silver Pensjonsforsikring AS'!C87+'Sparebank 1'!C87+'Storebrand Livsforsikring'!C87+'Telenor Forsikring'!C87+'Tryg Forsikring'!C87</f>
        <v>2499099.4692608798</v>
      </c>
      <c r="D87" s="23">
        <f t="shared" si="17"/>
        <v>12.3</v>
      </c>
      <c r="E87" s="44">
        <f>'ACE European Group'!F87+'Danica Pensjonsforsikring'!F87+'DNB Livsforsikring'!F87+'Eika Forsikring AS'!F87+'Frende Livsforsikring'!F87+'Frende Skadeforsikring'!F87+'Gjensidige Forsikring'!F87+'Gjensidige Pensjon'!F87+'Handelsbanken Liv'!F87+'If Skadeforsikring NUF'!F87+KLP!F87+'KLP Bedriftspensjon AS'!F87+'KLP Skadeforsikring AS'!F87+'Landbruksforsikring AS'!F87+'NEMI Forsikring'!F87+'Nordea Liv '!F87+'Oslo Pensjonsforsikring'!F87+'SHB Liv'!F87+'Silver Pensjonsforsikring AS'!F87+'Sparebank 1'!F87+'Storebrand Livsforsikring'!F87+'Telenor Forsikring'!F87+'Tryg Forsikring'!F87</f>
        <v>156479466.57245839</v>
      </c>
      <c r="F87" s="44">
        <f>'ACE European Group'!G87+'Danica Pensjonsforsikring'!G87+'DNB Livsforsikring'!G87+'Eika Forsikring AS'!G87+'Frende Livsforsikring'!G87+'Frende Skadeforsikring'!G87+'Gjensidige Forsikring'!G87+'Gjensidige Pensjon'!G87+'Handelsbanken Liv'!G87+'If Skadeforsikring NUF'!G87+KLP!G87+'KLP Bedriftspensjon AS'!G87+'KLP Skadeforsikring AS'!G87+'Landbruksforsikring AS'!G87+'NEMI Forsikring'!G87+'Nordea Liv '!G87+'Oslo Pensjonsforsikring'!G87+'SHB Liv'!G87+'Silver Pensjonsforsikring AS'!G87+'Sparebank 1'!G87+'Storebrand Livsforsikring'!G87+'Telenor Forsikring'!G87+'Tryg Forsikring'!G87</f>
        <v>198527023.85459012</v>
      </c>
      <c r="G87" s="165">
        <f t="shared" si="18"/>
        <v>26.9</v>
      </c>
      <c r="H87" s="237">
        <f t="shared" si="31"/>
        <v>158705687.40014884</v>
      </c>
      <c r="I87" s="237">
        <f t="shared" si="32"/>
        <v>201026123.32385099</v>
      </c>
      <c r="J87" s="23">
        <f t="shared" si="21"/>
        <v>26.7</v>
      </c>
    </row>
    <row r="88" spans="1:10" ht="15.75" customHeight="1" x14ac:dyDescent="0.2">
      <c r="A88" s="294" t="s">
        <v>316</v>
      </c>
      <c r="B88" s="44" t="str">
        <f>IF($A$1=4,'ACE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Pensjonsforsikring'!B88+'SHB Liv'!B88+'Silver Pensjonsforsikring AS'!B88+'Sparebank 1'!B88+'Storebrand Livsforsikring'!B88+'Telenor Forsikring'!B88+'Tryg Forsikring'!B88,"")</f>
        <v/>
      </c>
      <c r="C88" s="44" t="str">
        <f>IF($A$1=4,'ACE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Pensjonsforsikring'!C88+'SHB Liv'!C88+'Silver Pensjonsforsikring AS'!C88+'Sparebank 1'!C88+'Storebrand Livsforsikring'!C88+'Telenor Forsikring'!C88+'Tryg Forsikring'!C88,"")</f>
        <v/>
      </c>
      <c r="D88" s="27" t="str">
        <f t="shared" ref="D88:D93" si="33">IF($A$1=4,IF(B88=0, "    ---- ", IF(ABS(ROUND(100/B88*C88-100,1))&lt;999,ROUND(100/B88*C88-100,1),IF(ROUND(100/B88*C88-100,1)&gt;999,999,-999))),"")</f>
        <v/>
      </c>
      <c r="E88" s="44" t="str">
        <f>IF($A$1=4,'ACE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Pensjonsforsikring'!F88+'SHB Liv'!F88+'Silver Pensjonsforsikring AS'!F88+'Sparebank 1'!F88+'Storebrand Livsforsikring'!F88+'Telenor Forsikring'!F88+'Tryg Forsikring'!F88,"")</f>
        <v/>
      </c>
      <c r="F88" s="44" t="str">
        <f>IF($A$1=4,'ACE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Pensjonsforsikring'!G88+'SHB Liv'!G88+'Silver Pensjonsforsikring AS'!G88+'Sparebank 1'!G88+'Storebrand Livsforsikring'!G88+'Telenor Forsikring'!G88+'Tryg Forsikring'!G88,"")</f>
        <v/>
      </c>
      <c r="G88" s="165" t="str">
        <f t="shared" ref="G88:G93" si="34">IF($A$1=4,IF(E88=0, "    ---- ", IF(ABS(ROUND(100/E88*F88-100,1))&lt;999,ROUND(100/E88*F88-100,1),IF(ROUND(100/E88*F88-100,1)&gt;999,999,-999))),"")</f>
        <v/>
      </c>
      <c r="H88" s="237">
        <f t="shared" si="31"/>
        <v>0</v>
      </c>
      <c r="I88" s="237">
        <f t="shared" si="32"/>
        <v>0</v>
      </c>
      <c r="J88" s="23"/>
    </row>
    <row r="89" spans="1:10" ht="15.75" customHeight="1" x14ac:dyDescent="0.2">
      <c r="A89" s="294" t="s">
        <v>12</v>
      </c>
      <c r="B89" s="235">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Pensjonsforsikring'!B89+'SHB Liv'!B89+'Silver Pensjonsforsikring AS'!B89+'Sparebank 1'!B89+'Storebrand Livsforsikring'!B89+'Telenor Forsikring'!B89+'Tryg Forsikring'!B89</f>
        <v>0</v>
      </c>
      <c r="C89" s="235">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Pensjonsforsikring'!C89+'SHB Liv'!C89+'Silver Pensjonsforsikring AS'!C89+'Sparebank 1'!C89+'Storebrand Livsforsikring'!C89+'Telenor Forsikring'!C89+'Tryg Forsikring'!C89</f>
        <v>0</v>
      </c>
      <c r="D89" s="27" t="str">
        <f t="shared" si="33"/>
        <v/>
      </c>
      <c r="E89" s="44" t="str">
        <f>IF($A$1=4,'ACE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Pensjonsforsikring'!F89+'SHB Liv'!F89+'Silver Pensjonsforsikring AS'!F89+'Sparebank 1'!F89+'Storebrand Livsforsikring'!F89+'Telenor Forsikring'!F89+'Tryg Forsikring'!F89,"")</f>
        <v/>
      </c>
      <c r="F89" s="44" t="str">
        <f>IF($A$1=4,'ACE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Pensjonsforsikring'!G89+'SHB Liv'!G89+'Silver Pensjonsforsikring AS'!G89+'Sparebank 1'!G89+'Storebrand Livsforsikring'!G89+'Telenor Forsikring'!G89+'Tryg Forsikring'!G89,"")</f>
        <v/>
      </c>
      <c r="G89" s="165" t="str">
        <f t="shared" si="34"/>
        <v/>
      </c>
      <c r="H89" s="237">
        <f t="shared" si="31"/>
        <v>0</v>
      </c>
      <c r="I89" s="237">
        <f t="shared" si="32"/>
        <v>0</v>
      </c>
      <c r="J89" s="23"/>
    </row>
    <row r="90" spans="1:10" ht="15.75" customHeight="1" x14ac:dyDescent="0.2">
      <c r="A90" s="294" t="s">
        <v>13</v>
      </c>
      <c r="B90" s="235">
        <f>'ACE European Group'!B90+'Danica Pensjonsforsikring'!B90+'DNB Livsforsikring'!B90+'Eika Forsikring AS'!B90+'Frende Livsforsikring'!B90+'Frende Skadeforsikring'!B90+'Gjensidige Forsikring'!B90+'Gjensidige Pensjon'!B90+'Handelsbanken Liv'!B90+'If Skadeforsikring NUF'!B90+KLP!B90+'KLP Bedriftspensjon AS'!B90+'KLP Skadeforsikring AS'!B90+'Landbruksforsikring AS'!B90+'NEMI Forsikring'!B90+'Nordea Liv '!B90+'Oslo Pensjonsforsikring'!B90+'SHB Liv'!B90+'Silver Pensjonsforsikring AS'!B90+'Sparebank 1'!B90+'Storebrand Livsforsikring'!B90+'Telenor Forsikring'!B90+'Tryg Forsikring'!B90</f>
        <v>0</v>
      </c>
      <c r="C90" s="235">
        <f>'ACE European Group'!C90+'Danica Pensjonsforsikring'!C90+'DNB Livsforsikring'!C90+'Eika Forsikring AS'!C90+'Frende Livsforsikring'!C90+'Frende Skadeforsikring'!C90+'Gjensidige Forsikring'!C90+'Gjensidige Pensjon'!C90+'Handelsbanken Liv'!C90+'If Skadeforsikring NUF'!C90+KLP!C90+'KLP Bedriftspensjon AS'!C90+'KLP Skadeforsikring AS'!C90+'Landbruksforsikring AS'!C90+'NEMI Forsikring'!C90+'Nordea Liv '!C90+'Oslo Pensjonsforsikring'!C90+'SHB Liv'!C90+'Silver Pensjonsforsikring AS'!C90+'Sparebank 1'!C90+'Storebrand Livsforsikring'!C90+'Telenor Forsikring'!C90+'Tryg Forsikring'!C90</f>
        <v>0</v>
      </c>
      <c r="D90" s="27" t="str">
        <f t="shared" si="33"/>
        <v/>
      </c>
      <c r="E90" s="44" t="str">
        <f>IF($A$1=4,'ACE European Group'!F90+'Danica Pensjonsforsikring'!F90+'DNB Livsforsikring'!F90+'Eika Forsikring AS'!F90+'Frende Livsforsikring'!F90+'Frende Skadeforsikring'!F90+'Gjensidige Forsikring'!F90+'Gjensidige Pensjon'!F90+'Handelsbanken Liv'!F90+'If Skadeforsikring NUF'!F90+KLP!F90+'KLP Bedriftspensjon AS'!F90+'KLP Skadeforsikring AS'!F90+'Landbruksforsikring AS'!F90+'NEMI Forsikring'!F90+'Nordea Liv '!F90+'Oslo Pensjonsforsikring'!F90+'SHB Liv'!F90+'Silver Pensjonsforsikring AS'!F90+'Sparebank 1'!F90+'Storebrand Livsforsikring'!F90+'Telenor Forsikring'!F90+'Tryg Forsikring'!F90,"")</f>
        <v/>
      </c>
      <c r="F90" s="44" t="str">
        <f>IF($A$1=4,'ACE European Group'!G90+'Danica Pensjonsforsikring'!G90+'DNB Livsforsikring'!G90+'Eika Forsikring AS'!G90+'Frende Livsforsikring'!G90+'Frende Skadeforsikring'!G90+'Gjensidige Forsikring'!G90+'Gjensidige Pensjon'!G90+'Handelsbanken Liv'!G90+'If Skadeforsikring NUF'!G90+KLP!G90+'KLP Bedriftspensjon AS'!G90+'KLP Skadeforsikring AS'!G90+'Landbruksforsikring AS'!G90+'NEMI Forsikring'!G90+'Nordea Liv '!G90+'Oslo Pensjonsforsikring'!G90+'SHB Liv'!G90+'Silver Pensjonsforsikring AS'!G90+'Sparebank 1'!G90+'Storebrand Livsforsikring'!G90+'Telenor Forsikring'!G90+'Tryg Forsikring'!G90,"")</f>
        <v/>
      </c>
      <c r="G90" s="165" t="str">
        <f t="shared" si="34"/>
        <v/>
      </c>
      <c r="H90" s="237">
        <f t="shared" si="31"/>
        <v>0</v>
      </c>
      <c r="I90" s="237">
        <f t="shared" si="32"/>
        <v>0</v>
      </c>
      <c r="J90" s="23"/>
    </row>
    <row r="91" spans="1:10" ht="15.75" customHeight="1" x14ac:dyDescent="0.2">
      <c r="A91" s="294" t="s">
        <v>317</v>
      </c>
      <c r="B91" s="44" t="str">
        <f>IF($A$1=4,'ACE European Group'!B91+'Danica Pensjonsforsikring'!B91+'DNB Livsforsikring'!B91+'Eika Forsikring AS'!B91+'Frende Livsforsikring'!B91+'Frende Skadeforsikring'!B91+'Gjensidige Forsikring'!B91+'Gjensidige Pensjon'!B91+'Handelsbanken Liv'!B91+'If Skadeforsikring NUF'!B91+KLP!B91+'KLP Bedriftspensjon AS'!B91+'KLP Skadeforsikring AS'!B91+'Landbruksforsikring AS'!B91+'NEMI Forsikring'!B91+'Nordea Liv '!B91+'Oslo Pensjonsforsikring'!B91+'SHB Liv'!B91+'Silver Pensjonsforsikring AS'!B91+'Sparebank 1'!B91+'Storebrand Livsforsikring'!B91+'Telenor Forsikring'!B91+'Tryg Forsikring'!B91,"")</f>
        <v/>
      </c>
      <c r="C91" s="44" t="str">
        <f>IF($A$1=4,'ACE European Group'!C91+'Danica Pensjonsforsikring'!C91+'DNB Livsforsikring'!C91+'Eika Forsikring AS'!C91+'Frende Livsforsikring'!C91+'Frende Skadeforsikring'!C91+'Gjensidige Forsikring'!C91+'Gjensidige Pensjon'!C91+'Handelsbanken Liv'!C91+'If Skadeforsikring NUF'!C91+KLP!C91+'KLP Bedriftspensjon AS'!C91+'KLP Skadeforsikring AS'!C91+'Landbruksforsikring AS'!C91+'NEMI Forsikring'!C91+'Nordea Liv '!C91+'Oslo Pensjonsforsikring'!C91+'SHB Liv'!C91+'Silver Pensjonsforsikring AS'!C91+'Sparebank 1'!C91+'Storebrand Livsforsikring'!C91+'Telenor Forsikring'!C91+'Tryg Forsikring'!C91,"")</f>
        <v/>
      </c>
      <c r="D91" s="27" t="str">
        <f t="shared" si="33"/>
        <v/>
      </c>
      <c r="E91" s="44" t="str">
        <f>IF($A$1=4,'ACE European Group'!F91+'Danica Pensjonsforsikring'!F91+'DNB Livsforsikring'!F91+'Eika Forsikring AS'!F91+'Frende Livsforsikring'!F91+'Frende Skadeforsikring'!F91+'Gjensidige Forsikring'!F91+'Gjensidige Pensjon'!F91+'Handelsbanken Liv'!F91+'If Skadeforsikring NUF'!F91+KLP!F91+'KLP Bedriftspensjon AS'!F91+'KLP Skadeforsikring AS'!F91+'Landbruksforsikring AS'!F91+'NEMI Forsikring'!F91+'Nordea Liv '!F91+'Oslo Pensjonsforsikring'!F91+'SHB Liv'!F91+'Silver Pensjonsforsikring AS'!F91+'Sparebank 1'!F91+'Storebrand Livsforsikring'!F91+'Telenor Forsikring'!F91+'Tryg Forsikring'!F91,"")</f>
        <v/>
      </c>
      <c r="F91" s="44" t="str">
        <f>IF($A$1=4,'ACE European Group'!G91+'Danica Pensjonsforsikring'!G91+'DNB Livsforsikring'!G91+'Eika Forsikring AS'!G91+'Frende Livsforsikring'!G91+'Frende Skadeforsikring'!G91+'Gjensidige Forsikring'!G91+'Gjensidige Pensjon'!G91+'Handelsbanken Liv'!G91+'If Skadeforsikring NUF'!G91+KLP!G91+'KLP Bedriftspensjon AS'!G91+'KLP Skadeforsikring AS'!G91+'Landbruksforsikring AS'!G91+'NEMI Forsikring'!G91+'Nordea Liv '!G91+'Oslo Pensjonsforsikring'!G91+'SHB Liv'!G91+'Silver Pensjonsforsikring AS'!G91+'Sparebank 1'!G91+'Storebrand Livsforsikring'!G91+'Telenor Forsikring'!G91+'Tryg Forsikring'!G91,"")</f>
        <v/>
      </c>
      <c r="G91" s="165" t="str">
        <f t="shared" si="34"/>
        <v/>
      </c>
      <c r="H91" s="237">
        <f t="shared" si="31"/>
        <v>0</v>
      </c>
      <c r="I91" s="237">
        <f t="shared" si="32"/>
        <v>0</v>
      </c>
      <c r="J91" s="23"/>
    </row>
    <row r="92" spans="1:10" ht="15.75" customHeight="1" x14ac:dyDescent="0.2">
      <c r="A92" s="294" t="s">
        <v>12</v>
      </c>
      <c r="B92" s="235">
        <f>'ACE European Group'!B92+'Danica Pensjonsforsikring'!B92+'DNB Livsforsikring'!B92+'Eika Forsikring AS'!B92+'Frende Livsforsikring'!B92+'Frende Skadeforsikring'!B92+'Gjensidige Forsikring'!B92+'Gjensidige Pensjon'!B92+'Handelsbanken Liv'!B92+'If Skadeforsikring NUF'!B92+KLP!B92+'KLP Bedriftspensjon AS'!B92+'KLP Skadeforsikring AS'!B92+'Landbruksforsikring AS'!B92+'NEMI Forsikring'!B92+'Nordea Liv '!B92+'Oslo Pensjonsforsikring'!B92+'SHB Liv'!B92+'Silver Pensjonsforsikring AS'!B92+'Sparebank 1'!B92+'Storebrand Livsforsikring'!B92+'Telenor Forsikring'!B92+'Tryg Forsikring'!B92</f>
        <v>0</v>
      </c>
      <c r="C92" s="235">
        <f>'ACE European Group'!C92+'Danica Pensjonsforsikring'!C92+'DNB Livsforsikring'!C92+'Eika Forsikring AS'!C92+'Frende Livsforsikring'!C92+'Frende Skadeforsikring'!C92+'Gjensidige Forsikring'!C92+'Gjensidige Pensjon'!C92+'Handelsbanken Liv'!C92+'If Skadeforsikring NUF'!C92+KLP!C92+'KLP Bedriftspensjon AS'!C92+'KLP Skadeforsikring AS'!C92+'Landbruksforsikring AS'!C92+'NEMI Forsikring'!C92+'Nordea Liv '!C92+'Oslo Pensjonsforsikring'!C92+'SHB Liv'!C92+'Silver Pensjonsforsikring AS'!C92+'Sparebank 1'!C92+'Storebrand Livsforsikring'!C92+'Telenor Forsikring'!C92+'Tryg Forsikring'!C92</f>
        <v>0</v>
      </c>
      <c r="D92" s="27" t="str">
        <f t="shared" si="33"/>
        <v/>
      </c>
      <c r="E92" s="44" t="str">
        <f>IF($A$1=4,'ACE European Group'!F92+'Danica Pensjonsforsikring'!F92+'DNB Livsforsikring'!F92+'Eika Forsikring AS'!F92+'Frende Livsforsikring'!F92+'Frende Skadeforsikring'!F92+'Gjensidige Forsikring'!F92+'Gjensidige Pensjon'!F92+'Handelsbanken Liv'!F92+'If Skadeforsikring NUF'!F92+KLP!F92+'KLP Bedriftspensjon AS'!F92+'KLP Skadeforsikring AS'!F92+'Landbruksforsikring AS'!F92+'NEMI Forsikring'!F92+'Nordea Liv '!F92+'Oslo Pensjonsforsikring'!F92+'SHB Liv'!F92+'Silver Pensjonsforsikring AS'!F92+'Sparebank 1'!F92+'Storebrand Livsforsikring'!F92+'Telenor Forsikring'!F92+'Tryg Forsikring'!F92,"")</f>
        <v/>
      </c>
      <c r="F92" s="44" t="str">
        <f>IF($A$1=4,'ACE European Group'!G92+'Danica Pensjonsforsikring'!G92+'DNB Livsforsikring'!G92+'Eika Forsikring AS'!G92+'Frende Livsforsikring'!G92+'Frende Skadeforsikring'!G92+'Gjensidige Forsikring'!G92+'Gjensidige Pensjon'!G92+'Handelsbanken Liv'!G92+'If Skadeforsikring NUF'!G92+KLP!G92+'KLP Bedriftspensjon AS'!G92+'KLP Skadeforsikring AS'!G92+'Landbruksforsikring AS'!G92+'NEMI Forsikring'!G92+'Nordea Liv '!G92+'Oslo Pensjonsforsikring'!G92+'SHB Liv'!G92+'Silver Pensjonsforsikring AS'!G92+'Sparebank 1'!G92+'Storebrand Livsforsikring'!G92+'Telenor Forsikring'!G92+'Tryg Forsikring'!G92,"")</f>
        <v/>
      </c>
      <c r="G92" s="165" t="str">
        <f t="shared" si="34"/>
        <v/>
      </c>
      <c r="H92" s="237">
        <f t="shared" si="31"/>
        <v>0</v>
      </c>
      <c r="I92" s="237">
        <f t="shared" si="32"/>
        <v>0</v>
      </c>
      <c r="J92" s="23"/>
    </row>
    <row r="93" spans="1:10" ht="15.75" customHeight="1" x14ac:dyDescent="0.2">
      <c r="A93" s="294" t="s">
        <v>13</v>
      </c>
      <c r="B93" s="235">
        <f>'ACE European Group'!B93+'Danica Pensjonsforsikring'!B93+'DNB Livsforsikring'!B93+'Eika Forsikring AS'!B93+'Frende Livsforsikring'!B93+'Frende Skadeforsikring'!B93+'Gjensidige Forsikring'!B93+'Gjensidige Pensjon'!B93+'Handelsbanken Liv'!B93+'If Skadeforsikring NUF'!B93+KLP!B93+'KLP Bedriftspensjon AS'!B93+'KLP Skadeforsikring AS'!B93+'Landbruksforsikring AS'!B93+'NEMI Forsikring'!B93+'Nordea Liv '!B93+'Oslo Pensjonsforsikring'!B93+'SHB Liv'!B93+'Silver Pensjonsforsikring AS'!B93+'Sparebank 1'!B93+'Storebrand Livsforsikring'!B93+'Telenor Forsikring'!B93+'Tryg Forsikring'!B93</f>
        <v>0</v>
      </c>
      <c r="C93" s="235">
        <f>'ACE European Group'!C93+'Danica Pensjonsforsikring'!C93+'DNB Livsforsikring'!C93+'Eika Forsikring AS'!C93+'Frende Livsforsikring'!C93+'Frende Skadeforsikring'!C93+'Gjensidige Forsikring'!C93+'Gjensidige Pensjon'!C93+'Handelsbanken Liv'!C93+'If Skadeforsikring NUF'!C93+KLP!C93+'KLP Bedriftspensjon AS'!C93+'KLP Skadeforsikring AS'!C93+'Landbruksforsikring AS'!C93+'NEMI Forsikring'!C93+'Nordea Liv '!C93+'Oslo Pensjonsforsikring'!C93+'SHB Liv'!C93+'Silver Pensjonsforsikring AS'!C93+'Sparebank 1'!C93+'Storebrand Livsforsikring'!C93+'Telenor Forsikring'!C93+'Tryg Forsikring'!C93</f>
        <v>0</v>
      </c>
      <c r="D93" s="27" t="str">
        <f t="shared" si="33"/>
        <v/>
      </c>
      <c r="E93" s="44" t="str">
        <f>IF($A$1=4,'ACE European Group'!F93+'Danica Pensjonsforsikring'!F93+'DNB Livsforsikring'!F93+'Eika Forsikring AS'!F93+'Frende Livsforsikring'!F93+'Frende Skadeforsikring'!F93+'Gjensidige Forsikring'!F93+'Gjensidige Pensjon'!F93+'Handelsbanken Liv'!F93+'If Skadeforsikring NUF'!F93+KLP!F93+'KLP Bedriftspensjon AS'!F93+'KLP Skadeforsikring AS'!F93+'Landbruksforsikring AS'!F93+'NEMI Forsikring'!F93+'Nordea Liv '!F93+'Oslo Pensjonsforsikring'!F93+'SHB Liv'!F93+'Silver Pensjonsforsikring AS'!F93+'Sparebank 1'!F93+'Storebrand Livsforsikring'!F93+'Telenor Forsikring'!F93+'Tryg Forsikring'!F93,"")</f>
        <v/>
      </c>
      <c r="F93" s="44" t="str">
        <f>IF($A$1=4,'ACE European Group'!G93+'Danica Pensjonsforsikring'!G93+'DNB Livsforsikring'!G93+'Eika Forsikring AS'!G93+'Frende Livsforsikring'!G93+'Frende Skadeforsikring'!G93+'Gjensidige Forsikring'!G93+'Gjensidige Pensjon'!G93+'Handelsbanken Liv'!G93+'If Skadeforsikring NUF'!G93+KLP!G93+'KLP Bedriftspensjon AS'!G93+'KLP Skadeforsikring AS'!G93+'Landbruksforsikring AS'!G93+'NEMI Forsikring'!G93+'Nordea Liv '!G93+'Oslo Pensjonsforsikring'!G93+'SHB Liv'!G93+'Silver Pensjonsforsikring AS'!G93+'Sparebank 1'!G93+'Storebrand Livsforsikring'!G93+'Telenor Forsikring'!G93+'Tryg Forsikring'!G93,"")</f>
        <v/>
      </c>
      <c r="G93" s="165" t="str">
        <f t="shared" si="34"/>
        <v/>
      </c>
      <c r="H93" s="237">
        <f t="shared" si="31"/>
        <v>0</v>
      </c>
      <c r="I93" s="237">
        <f t="shared" si="32"/>
        <v>0</v>
      </c>
      <c r="J93" s="23"/>
    </row>
    <row r="94" spans="1:10" ht="15.75" customHeight="1" x14ac:dyDescent="0.2">
      <c r="A94" s="21" t="s">
        <v>400</v>
      </c>
      <c r="B94" s="234">
        <f>'ACE European Group'!B94+'Danica Pensjonsforsikring'!B94+'DNB Livsforsikring'!B94+'Eika Forsikring AS'!B94+'Frende Livsforsikring'!B94+'Frende Skadeforsikring'!B94+'Gjensidige Forsikring'!B94+'Gjensidige Pensjon'!B94+'Handelsbanken Liv'!B94+'If Skadeforsikring NUF'!B94+KLP!B94+'KLP Bedriftspensjon AS'!B94+'KLP Skadeforsikring AS'!B94+'Landbruksforsikring AS'!B94+'NEMI Forsikring'!B94+'Nordea Liv '!B94+'Oslo Pensjonsforsikring'!B94+'SHB Liv'!B94+'Silver Pensjonsforsikring AS'!B94+'Sparebank 1'!B94+'Storebrand Livsforsikring'!B94+'Telenor Forsikring'!B94+'Tryg Forsikring'!B94</f>
        <v>96134.063999999998</v>
      </c>
      <c r="C94" s="234">
        <f>'ACE European Group'!C94+'Danica Pensjonsforsikring'!C94+'DNB Livsforsikring'!C94+'Eika Forsikring AS'!C94+'Frende Livsforsikring'!C94+'Frende Skadeforsikring'!C94+'Gjensidige Forsikring'!C94+'Gjensidige Pensjon'!C94+'Handelsbanken Liv'!C94+'If Skadeforsikring NUF'!C94+KLP!C94+'KLP Bedriftspensjon AS'!C94+'KLP Skadeforsikring AS'!C94+'Landbruksforsikring AS'!C94+'NEMI Forsikring'!C94+'Nordea Liv '!C94+'Oslo Pensjonsforsikring'!C94+'SHB Liv'!C94+'Silver Pensjonsforsikring AS'!C94+'Sparebank 1'!C94+'Storebrand Livsforsikring'!C94+'Telenor Forsikring'!C94+'Tryg Forsikring'!C94</f>
        <v>242629.52984999999</v>
      </c>
      <c r="D94" s="23">
        <f t="shared" si="17"/>
        <v>152.4</v>
      </c>
      <c r="E94" s="44">
        <f>'ACE European Group'!F94+'Danica Pensjonsforsikring'!F94+'DNB Livsforsikring'!F94+'Eika Forsikring AS'!F94+'Frende Livsforsikring'!F94+'Frende Skadeforsikring'!F94+'Gjensidige Forsikring'!F94+'Gjensidige Pensjon'!F94+'Handelsbanken Liv'!F94+'If Skadeforsikring NUF'!F94+KLP!F94+'KLP Bedriftspensjon AS'!F94+'KLP Skadeforsikring AS'!F94+'Landbruksforsikring AS'!F94+'NEMI Forsikring'!F94+'Nordea Liv '!F94+'Oslo Pensjonsforsikring'!F94+'SHB Liv'!F94+'Silver Pensjonsforsikring AS'!F94+'Sparebank 1'!F94+'Storebrand Livsforsikring'!F94+'Telenor Forsikring'!F94+'Tryg Forsikring'!F94</f>
        <v>63081.404300000002</v>
      </c>
      <c r="F94" s="44">
        <f>'ACE European Group'!G94+'Danica Pensjonsforsikring'!G94+'DNB Livsforsikring'!G94+'Eika Forsikring AS'!G94+'Frende Livsforsikring'!G94+'Frende Skadeforsikring'!G94+'Gjensidige Forsikring'!G94+'Gjensidige Pensjon'!G94+'Handelsbanken Liv'!G94+'If Skadeforsikring NUF'!G94+KLP!G94+'KLP Bedriftspensjon AS'!G94+'KLP Skadeforsikring AS'!G94+'Landbruksforsikring AS'!G94+'NEMI Forsikring'!G94+'Nordea Liv '!G94+'Oslo Pensjonsforsikring'!G94+'SHB Liv'!G94+'Silver Pensjonsforsikring AS'!G94+'Sparebank 1'!G94+'Storebrand Livsforsikring'!G94+'Telenor Forsikring'!G94+'Tryg Forsikring'!G94</f>
        <v>359398.26659000001</v>
      </c>
      <c r="G94" s="165">
        <f t="shared" si="18"/>
        <v>469.7</v>
      </c>
      <c r="H94" s="237">
        <f t="shared" si="31"/>
        <v>159215.46830000001</v>
      </c>
      <c r="I94" s="237">
        <f t="shared" si="32"/>
        <v>602027.79643999995</v>
      </c>
      <c r="J94" s="23">
        <f t="shared" si="21"/>
        <v>278.10000000000002</v>
      </c>
    </row>
    <row r="95" spans="1:10" ht="15.75" customHeight="1" x14ac:dyDescent="0.2">
      <c r="A95" s="21" t="s">
        <v>399</v>
      </c>
      <c r="B95" s="234">
        <f>'ACE European Group'!B95+'Danica Pensjonsforsikring'!B95+'DNB Livsforsikring'!B95+'Eika Forsikring AS'!B95+'Frende Livsforsikring'!B95+'Frende Skadeforsikring'!B95+'Gjensidige Forsikring'!B95+'Gjensidige Pensjon'!B95+'Handelsbanken Liv'!B95+'If Skadeforsikring NUF'!B95+KLP!B95+'KLP Bedriftspensjon AS'!B95+'KLP Skadeforsikring AS'!B95+'Landbruksforsikring AS'!B95+'NEMI Forsikring'!B95+'Nordea Liv '!B95+'Oslo Pensjonsforsikring'!B95+'SHB Liv'!B95+'Silver Pensjonsforsikring AS'!B95+'Sparebank 1'!B95+'Storebrand Livsforsikring'!B95+'Telenor Forsikring'!B95+'Tryg Forsikring'!B95</f>
        <v>0</v>
      </c>
      <c r="C95" s="234">
        <f>'ACE European Group'!C95+'Danica Pensjonsforsikring'!C95+'DNB Livsforsikring'!C95+'Eika Forsikring AS'!C95+'Frende Livsforsikring'!C95+'Frende Skadeforsikring'!C95+'Gjensidige Forsikring'!C95+'Gjensidige Pensjon'!C95+'Handelsbanken Liv'!C95+'If Skadeforsikring NUF'!C95+KLP!C95+'KLP Bedriftspensjon AS'!C95+'KLP Skadeforsikring AS'!C95+'Landbruksforsikring AS'!C95+'NEMI Forsikring'!C95+'Nordea Liv '!C95+'Oslo Pensjonsforsikring'!C95+'SHB Liv'!C95+'Silver Pensjonsforsikring AS'!C95+'Sparebank 1'!C95+'Storebrand Livsforsikring'!C95+'Telenor Forsikring'!C95+'Tryg Forsikring'!C95</f>
        <v>4607671.1940399995</v>
      </c>
      <c r="D95" s="23" t="str">
        <f t="shared" ref="D95" si="35">IF(B95=0, "    ---- ", IF(ABS(ROUND(100/B95*C95-100,1))&lt;999,ROUND(100/B95*C95-100,1),IF(ROUND(100/B95*C95-100,1)&gt;999,999,-999)))</f>
        <v xml:space="preserve">    ---- </v>
      </c>
      <c r="E95" s="44">
        <f>'ACE European Group'!F95+'Danica Pensjonsforsikring'!F95+'DNB Livsforsikring'!F95+'Eika Forsikring AS'!F95+'Frende Livsforsikring'!F95+'Frende Skadeforsikring'!F95+'Gjensidige Forsikring'!F95+'Gjensidige Pensjon'!F95+'Handelsbanken Liv'!F95+'If Skadeforsikring NUF'!F95+KLP!F95+'KLP Bedriftspensjon AS'!F95+'KLP Skadeforsikring AS'!F95+'Landbruksforsikring AS'!F95+'NEMI Forsikring'!F95+'Nordea Liv '!F95+'Oslo Pensjonsforsikring'!F95+'SHB Liv'!F95+'Silver Pensjonsforsikring AS'!F95+'Sparebank 1'!F95+'Storebrand Livsforsikring'!F95+'Telenor Forsikring'!F95+'Tryg Forsikring'!F95</f>
        <v>0</v>
      </c>
      <c r="F95" s="44">
        <f>'ACE European Group'!G95+'Danica Pensjonsforsikring'!G95+'DNB Livsforsikring'!G95+'Eika Forsikring AS'!G95+'Frende Livsforsikring'!G95+'Frende Skadeforsikring'!G95+'Gjensidige Forsikring'!G95+'Gjensidige Pensjon'!G95+'Handelsbanken Liv'!G95+'If Skadeforsikring NUF'!G95+KLP!G95+'KLP Bedriftspensjon AS'!G95+'KLP Skadeforsikring AS'!G95+'Landbruksforsikring AS'!G95+'NEMI Forsikring'!G95+'Nordea Liv '!G95+'Oslo Pensjonsforsikring'!G95+'SHB Liv'!G95+'Silver Pensjonsforsikring AS'!G95+'Sparebank 1'!G95+'Storebrand Livsforsikring'!G95+'Telenor Forsikring'!G95+'Tryg Forsikring'!G95</f>
        <v>0</v>
      </c>
      <c r="G95" s="165"/>
      <c r="H95" s="237">
        <f t="shared" ref="H95" si="36">SUM(B95,E95)</f>
        <v>0</v>
      </c>
      <c r="I95" s="237">
        <f t="shared" ref="I95" si="37">SUM(C95,F95)</f>
        <v>4607671.1940399995</v>
      </c>
      <c r="J95" s="23" t="str">
        <f t="shared" ref="J95" si="38">IF(H95=0, "    ---- ", IF(ABS(ROUND(100/H95*I95-100,1))&lt;999,ROUND(100/H95*I95-100,1),IF(ROUND(100/H95*I95-100,1)&gt;999,999,-999)))</f>
        <v xml:space="preserve">    ---- </v>
      </c>
    </row>
    <row r="96" spans="1:10" ht="15.75" customHeight="1" x14ac:dyDescent="0.2">
      <c r="A96" s="21" t="s">
        <v>318</v>
      </c>
      <c r="B96" s="234">
        <f>'ACE European Group'!B96+'Danica Pensjonsforsikring'!B96+'DNB Livsforsikring'!B96+'Eika Forsikring AS'!B96+'Frende Livsforsikring'!B96+'Frende Skadeforsikring'!B96+'Gjensidige Forsikring'!B96+'Gjensidige Pensjon'!B96+'Handelsbanken Liv'!B96+'If Skadeforsikring NUF'!B96+KLP!B96+'KLP Bedriftspensjon AS'!B96+'KLP Skadeforsikring AS'!B96+'Landbruksforsikring AS'!B96+'NEMI Forsikring'!B96+'Nordea Liv '!B96+'Oslo Pensjonsforsikring'!B96+'SHB Liv'!B96+'Silver Pensjonsforsikring AS'!B96+'Sparebank 1'!B96+'Storebrand Livsforsikring'!B96+'Telenor Forsikring'!B96+'Tryg Forsikring'!B96</f>
        <v>369745544.82205582</v>
      </c>
      <c r="C96" s="234">
        <f>'ACE European Group'!C96+'Danica Pensjonsforsikring'!C96+'DNB Livsforsikring'!C96+'Eika Forsikring AS'!C96+'Frende Livsforsikring'!C96+'Frende Skadeforsikring'!C96+'Gjensidige Forsikring'!C96+'Gjensidige Pensjon'!C96+'Handelsbanken Liv'!C96+'If Skadeforsikring NUF'!C96+KLP!C96+'KLP Bedriftspensjon AS'!C96+'KLP Skadeforsikring AS'!C96+'Landbruksforsikring AS'!C96+'NEMI Forsikring'!C96+'Nordea Liv '!C96+'Oslo Pensjonsforsikring'!C96+'SHB Liv'!C96+'Silver Pensjonsforsikring AS'!C96+'Sparebank 1'!C96+'Storebrand Livsforsikring'!C96+'Telenor Forsikring'!C96+'Tryg Forsikring'!C96</f>
        <v>368658581.98620462</v>
      </c>
      <c r="D96" s="23">
        <f t="shared" si="17"/>
        <v>-0.3</v>
      </c>
      <c r="E96" s="44">
        <f>'ACE European Group'!F96+'Danica Pensjonsforsikring'!F96+'DNB Livsforsikring'!F96+'Eika Forsikring AS'!F96+'Frende Livsforsikring'!F96+'Frende Skadeforsikring'!F96+'Gjensidige Forsikring'!F96+'Gjensidige Pensjon'!F96+'Handelsbanken Liv'!F96+'If Skadeforsikring NUF'!F96+KLP!F96+'KLP Bedriftspensjon AS'!F96+'KLP Skadeforsikring AS'!F96+'Landbruksforsikring AS'!F96+'NEMI Forsikring'!F96+'Nordea Liv '!F96+'Oslo Pensjonsforsikring'!F96+'SHB Liv'!F96+'Silver Pensjonsforsikring AS'!F96+'Sparebank 1'!F96+'Storebrand Livsforsikring'!F96+'Telenor Forsikring'!F96+'Tryg Forsikring'!F96</f>
        <v>156046719.15310842</v>
      </c>
      <c r="F96" s="44">
        <f>'ACE European Group'!G96+'Danica Pensjonsforsikring'!G96+'DNB Livsforsikring'!G96+'Eika Forsikring AS'!G96+'Frende Livsforsikring'!G96+'Frende Skadeforsikring'!G96+'Gjensidige Forsikring'!G96+'Gjensidige Pensjon'!G96+'Handelsbanken Liv'!G96+'If Skadeforsikring NUF'!G96+KLP!G96+'KLP Bedriftspensjon AS'!G96+'KLP Skadeforsikring AS'!G96+'Landbruksforsikring AS'!G96+'NEMI Forsikring'!G96+'Nordea Liv '!G96+'Oslo Pensjonsforsikring'!G96+'SHB Liv'!G96+'Silver Pensjonsforsikring AS'!G96+'Sparebank 1'!G96+'Storebrand Livsforsikring'!G96+'Telenor Forsikring'!G96+'Tryg Forsikring'!G96</f>
        <v>197994235.41630009</v>
      </c>
      <c r="G96" s="165">
        <f t="shared" si="18"/>
        <v>26.9</v>
      </c>
      <c r="H96" s="237">
        <f t="shared" si="31"/>
        <v>525792263.97516423</v>
      </c>
      <c r="I96" s="237">
        <f t="shared" si="32"/>
        <v>566652817.40250468</v>
      </c>
      <c r="J96" s="23">
        <f t="shared" si="21"/>
        <v>7.8</v>
      </c>
    </row>
    <row r="97" spans="1:10" ht="15.75" customHeight="1" x14ac:dyDescent="0.2">
      <c r="A97" s="21" t="s">
        <v>9</v>
      </c>
      <c r="B97" s="234">
        <f>'ACE European Group'!B97+'Danica Pensjonsforsikring'!B97+'DNB Livsforsikring'!B97+'Eika Forsikring AS'!B97+'Frende Livsforsikring'!B97+'Frende Skadeforsikring'!B97+'Gjensidige Forsikring'!B97+'Gjensidige Pensjon'!B97+'Handelsbanken Liv'!B97+'If Skadeforsikring NUF'!B97+KLP!B97+'KLP Bedriftspensjon AS'!B97+'KLP Skadeforsikring AS'!B97+'Landbruksforsikring AS'!B97+'NEMI Forsikring'!B97+'Nordea Liv '!B97+'Oslo Pensjonsforsikring'!B97+'SHB Liv'!B97+'Silver Pensjonsforsikring AS'!B97+'Sparebank 1'!B97+'Storebrand Livsforsikring'!B97+'Telenor Forsikring'!B97+'Tryg Forsikring'!B97</f>
        <v>367519323.99436533</v>
      </c>
      <c r="C97" s="234">
        <f>'ACE European Group'!C97+'Danica Pensjonsforsikring'!C97+'DNB Livsforsikring'!C97+'Eika Forsikring AS'!C97+'Frende Livsforsikring'!C97+'Frende Skadeforsikring'!C97+'Gjensidige Forsikring'!C97+'Gjensidige Pensjon'!C97+'Handelsbanken Liv'!C97+'If Skadeforsikring NUF'!C97+KLP!C97+'KLP Bedriftspensjon AS'!C97+'KLP Skadeforsikring AS'!C97+'Landbruksforsikring AS'!C97+'NEMI Forsikring'!C97+'Nordea Liv '!C97+'Oslo Pensjonsforsikring'!C97+'SHB Liv'!C97+'Silver Pensjonsforsikring AS'!C97+'Sparebank 1'!C97+'Storebrand Livsforsikring'!C97+'Telenor Forsikring'!C97+'Tryg Forsikring'!C97</f>
        <v>366159482.51694381</v>
      </c>
      <c r="D97" s="23">
        <f t="shared" si="17"/>
        <v>-0.4</v>
      </c>
      <c r="E97" s="44">
        <f>'ACE European Group'!F97+'Danica Pensjonsforsikring'!F97+'DNB Livsforsikring'!F97+'Eika Forsikring AS'!F97+'Frende Livsforsikring'!F97+'Frende Skadeforsikring'!F97+'Gjensidige Forsikring'!F97+'Gjensidige Pensjon'!F97+'Handelsbanken Liv'!F97+'If Skadeforsikring NUF'!F97+KLP!F97+'KLP Bedriftspensjon AS'!F97+'KLP Skadeforsikring AS'!F97+'Landbruksforsikring AS'!F97+'NEMI Forsikring'!F97+'Nordea Liv '!F97+'Oslo Pensjonsforsikring'!F97+'SHB Liv'!F97+'Silver Pensjonsforsikring AS'!F97+'Sparebank 1'!F97+'Storebrand Livsforsikring'!F97+'Telenor Forsikring'!F97+'Tryg Forsikring'!F97</f>
        <v>0</v>
      </c>
      <c r="F97" s="44">
        <f>'ACE European Group'!G97+'Danica Pensjonsforsikring'!G97+'DNB Livsforsikring'!G97+'Eika Forsikring AS'!G97+'Frende Livsforsikring'!G97+'Frende Skadeforsikring'!G97+'Gjensidige Forsikring'!G97+'Gjensidige Pensjon'!G97+'Handelsbanken Liv'!G97+'If Skadeforsikring NUF'!G97+KLP!G97+'KLP Bedriftspensjon AS'!G97+'KLP Skadeforsikring AS'!G97+'Landbruksforsikring AS'!G97+'NEMI Forsikring'!G97+'Nordea Liv '!G97+'Oslo Pensjonsforsikring'!G97+'SHB Liv'!G97+'Silver Pensjonsforsikring AS'!G97+'Sparebank 1'!G97+'Storebrand Livsforsikring'!G97+'Telenor Forsikring'!G97+'Tryg Forsikring'!G97</f>
        <v>0</v>
      </c>
      <c r="G97" s="165"/>
      <c r="H97" s="237">
        <f t="shared" si="31"/>
        <v>367519323.99436533</v>
      </c>
      <c r="I97" s="237">
        <f t="shared" si="32"/>
        <v>366159482.51694381</v>
      </c>
      <c r="J97" s="23">
        <f t="shared" si="21"/>
        <v>-0.4</v>
      </c>
    </row>
    <row r="98" spans="1:10" ht="15.75" customHeight="1" x14ac:dyDescent="0.2">
      <c r="A98" s="21" t="s">
        <v>10</v>
      </c>
      <c r="B98" s="234">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Pensjonsforsikring'!B98+'SHB Liv'!B98+'Silver Pensjonsforsikring AS'!B98+'Sparebank 1'!B98+'Storebrand Livsforsikring'!B98+'Telenor Forsikring'!B98+'Tryg Forsikring'!B98</f>
        <v>2226220.8276904603</v>
      </c>
      <c r="C98" s="234">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Pensjonsforsikring'!C98+'SHB Liv'!C98+'Silver Pensjonsforsikring AS'!C98+'Sparebank 1'!C98+'Storebrand Livsforsikring'!C98+'Telenor Forsikring'!C98+'Tryg Forsikring'!C98</f>
        <v>2499099.4692608798</v>
      </c>
      <c r="D98" s="23">
        <f t="shared" si="17"/>
        <v>12.3</v>
      </c>
      <c r="E98" s="44">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Pensjonsforsikring'!F98+'SHB Liv'!F98+'Silver Pensjonsforsikring AS'!F98+'Sparebank 1'!F98+'Storebrand Livsforsikring'!F98+'Telenor Forsikring'!F98+'Tryg Forsikring'!F98</f>
        <v>156046719.15310842</v>
      </c>
      <c r="F98" s="44">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Pensjonsforsikring'!G98+'SHB Liv'!G98+'Silver Pensjonsforsikring AS'!G98+'Sparebank 1'!G98+'Storebrand Livsforsikring'!G98+'Telenor Forsikring'!G98+'Tryg Forsikring'!G98</f>
        <v>197994235.41630009</v>
      </c>
      <c r="G98" s="165">
        <f t="shared" si="18"/>
        <v>26.9</v>
      </c>
      <c r="H98" s="237">
        <f t="shared" si="31"/>
        <v>158272939.98079887</v>
      </c>
      <c r="I98" s="237">
        <f t="shared" si="32"/>
        <v>200493334.88556096</v>
      </c>
      <c r="J98" s="23">
        <f t="shared" si="21"/>
        <v>26.7</v>
      </c>
    </row>
    <row r="99" spans="1:10" ht="15.75" customHeight="1" x14ac:dyDescent="0.2">
      <c r="A99" s="294" t="s">
        <v>316</v>
      </c>
      <c r="B99" s="44" t="str">
        <f>IF($A$1=4,'ACE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Pensjonsforsikring'!B99+'SHB Liv'!B99+'Silver Pensjonsforsikring AS'!B99+'Sparebank 1'!B99+'Storebrand Livsforsikring'!B99+'Telenor Forsikring'!B99+'Tryg Forsikring'!B99,"")</f>
        <v/>
      </c>
      <c r="C99" s="44" t="str">
        <f>IF($A$1=4,'ACE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Pensjonsforsikring'!C99+'SHB Liv'!C99+'Silver Pensjonsforsikring AS'!C99+'Sparebank 1'!C99+'Storebrand Livsforsikring'!C99+'Telenor Forsikring'!C99+'Tryg Forsikring'!C99,"")</f>
        <v/>
      </c>
      <c r="D99" s="27" t="str">
        <f t="shared" ref="D99:D104" si="39">IF($A$1=4,IF(B99=0, "    ---- ", IF(ABS(ROUND(100/B99*C99-100,1))&lt;999,ROUND(100/B99*C99-100,1),IF(ROUND(100/B99*C99-100,1)&gt;999,999,-999))),"")</f>
        <v/>
      </c>
      <c r="E99" s="44" t="str">
        <f>IF($A$1=4,'ACE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Pensjonsforsikring'!F99+'SHB Liv'!F99+'Silver Pensjonsforsikring AS'!F99+'Sparebank 1'!F99+'Storebrand Livsforsikring'!F99+'Telenor Forsikring'!F99+'Tryg Forsikring'!F99,"")</f>
        <v/>
      </c>
      <c r="F99" s="44" t="str">
        <f>IF($A$1=4,'ACE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Pensjonsforsikring'!G99+'SHB Liv'!G99+'Silver Pensjonsforsikring AS'!G99+'Sparebank 1'!G99+'Storebrand Livsforsikring'!G99+'Telenor Forsikring'!G99+'Tryg Forsikring'!G99,"")</f>
        <v/>
      </c>
      <c r="G99" s="165" t="str">
        <f t="shared" ref="G99:G104" si="40">IF($A$1=4,IF(E99=0, "    ---- ", IF(ABS(ROUND(100/E99*F99-100,1))&lt;999,ROUND(100/E99*F99-100,1),IF(ROUND(100/E99*F99-100,1)&gt;999,999,-999))),"")</f>
        <v/>
      </c>
      <c r="H99" s="237">
        <f t="shared" si="31"/>
        <v>0</v>
      </c>
      <c r="I99" s="237">
        <f t="shared" si="32"/>
        <v>0</v>
      </c>
      <c r="J99" s="23"/>
    </row>
    <row r="100" spans="1:10" ht="15.75" customHeight="1" x14ac:dyDescent="0.2">
      <c r="A100" s="294" t="s">
        <v>12</v>
      </c>
      <c r="B100" s="235">
        <f>'ACE European Group'!B100+'Danica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AS'!B100+'Landbruksforsikring AS'!B100+'NEMI Forsikring'!B100+'Nordea Liv '!B100+'Oslo Pensjonsforsikring'!B100+'SHB Liv'!B100+'Silver Pensjonsforsikring AS'!B100+'Sparebank 1'!B100+'Storebrand Livsforsikring'!B100+'Telenor Forsikring'!B100+'Tryg Forsikring'!B100</f>
        <v>0</v>
      </c>
      <c r="C100" s="235">
        <f>'ACE European Group'!C100+'Danica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AS'!C100+'Landbruksforsikring AS'!C100+'NEMI Forsikring'!C100+'Nordea Liv '!C100+'Oslo Pensjonsforsikring'!C100+'SHB Liv'!C100+'Silver Pensjonsforsikring AS'!C100+'Sparebank 1'!C100+'Storebrand Livsforsikring'!C100+'Telenor Forsikring'!C100+'Tryg Forsikring'!C100</f>
        <v>0</v>
      </c>
      <c r="D100" s="27" t="str">
        <f t="shared" si="39"/>
        <v/>
      </c>
      <c r="E100" s="44" t="str">
        <f>IF($A$1=4,'ACE European Group'!F100+'Danica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AS'!F100+'Landbruksforsikring AS'!F100+'NEMI Forsikring'!F100+'Nordea Liv '!F100+'Oslo Pensjonsforsikring'!F100+'SHB Liv'!F100+'Silver Pensjonsforsikring AS'!F100+'Sparebank 1'!F100+'Storebrand Livsforsikring'!F100+'Telenor Forsikring'!F100+'Tryg Forsikring'!F100,"")</f>
        <v/>
      </c>
      <c r="F100" s="44" t="str">
        <f>IF($A$1=4,'ACE European Group'!G100+'Danica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AS'!G100+'Landbruksforsikring AS'!G100+'NEMI Forsikring'!G100+'Nordea Liv '!G100+'Oslo Pensjonsforsikring'!G100+'SHB Liv'!G100+'Silver Pensjonsforsikring AS'!G100+'Sparebank 1'!G100+'Storebrand Livsforsikring'!G100+'Telenor Forsikring'!G100+'Tryg Forsikring'!G100,"")</f>
        <v/>
      </c>
      <c r="G100" s="165" t="str">
        <f t="shared" si="40"/>
        <v/>
      </c>
      <c r="H100" s="237">
        <f t="shared" si="31"/>
        <v>0</v>
      </c>
      <c r="I100" s="237">
        <f t="shared" si="32"/>
        <v>0</v>
      </c>
      <c r="J100" s="23"/>
    </row>
    <row r="101" spans="1:10" ht="15.75" customHeight="1" x14ac:dyDescent="0.2">
      <c r="A101" s="294" t="s">
        <v>13</v>
      </c>
      <c r="B101" s="235">
        <f>'ACE European Group'!B101+'Danica Pensjonsforsikring'!B101+'DNB Livsforsikring'!B101+'Eika Forsikring AS'!B101+'Frende Livsforsikring'!B101+'Frende Skadeforsikring'!B101+'Gjensidige Forsikring'!B101+'Gjensidige Pensjon'!B101+'Handelsbanken Liv'!B101+'If Skadeforsikring NUF'!B101+KLP!B101+'KLP Bedriftspensjon AS'!B101+'KLP Skadeforsikring AS'!B101+'Landbruksforsikring AS'!B101+'NEMI Forsikring'!B101+'Nordea Liv '!B101+'Oslo Pensjonsforsikring'!B101+'SHB Liv'!B101+'Silver Pensjonsforsikring AS'!B101+'Sparebank 1'!B101+'Storebrand Livsforsikring'!B101+'Telenor Forsikring'!B101+'Tryg Forsikring'!B101</f>
        <v>0</v>
      </c>
      <c r="C101" s="235">
        <f>'ACE European Group'!C101+'Danica Pensjonsforsikring'!C101+'DNB Livsforsikring'!C101+'Eika Forsikring AS'!C101+'Frende Livsforsikring'!C101+'Frende Skadeforsikring'!C101+'Gjensidige Forsikring'!C101+'Gjensidige Pensjon'!C101+'Handelsbanken Liv'!C101+'If Skadeforsikring NUF'!C101+KLP!C101+'KLP Bedriftspensjon AS'!C101+'KLP Skadeforsikring AS'!C101+'Landbruksforsikring AS'!C101+'NEMI Forsikring'!C101+'Nordea Liv '!C101+'Oslo Pensjonsforsikring'!C101+'SHB Liv'!C101+'Silver Pensjonsforsikring AS'!C101+'Sparebank 1'!C101+'Storebrand Livsforsikring'!C101+'Telenor Forsikring'!C101+'Tryg Forsikring'!C101</f>
        <v>0</v>
      </c>
      <c r="D101" s="27" t="str">
        <f t="shared" si="39"/>
        <v/>
      </c>
      <c r="E101" s="44" t="str">
        <f>IF($A$1=4,'ACE European Group'!F101+'Danica Pensjonsforsikring'!F101+'DNB Livsforsikring'!F101+'Eika Forsikring AS'!F101+'Frende Livsforsikring'!F101+'Frende Skadeforsikring'!F101+'Gjensidige Forsikring'!F101+'Gjensidige Pensjon'!F101+'Handelsbanken Liv'!F101+'If Skadeforsikring NUF'!F101+KLP!F101+'KLP Bedriftspensjon AS'!F101+'KLP Skadeforsikring AS'!F101+'Landbruksforsikring AS'!F101+'NEMI Forsikring'!F101+'Nordea Liv '!F101+'Oslo Pensjonsforsikring'!F101+'SHB Liv'!F101+'Silver Pensjonsforsikring AS'!F101+'Sparebank 1'!F101+'Storebrand Livsforsikring'!F101+'Telenor Forsikring'!F101+'Tryg Forsikring'!F101,"")</f>
        <v/>
      </c>
      <c r="F101" s="44" t="str">
        <f>IF($A$1=4,'ACE European Group'!G101+'Danica Pensjonsforsikring'!G101+'DNB Livsforsikring'!G101+'Eika Forsikring AS'!G101+'Frende Livsforsikring'!G101+'Frende Skadeforsikring'!G101+'Gjensidige Forsikring'!G101+'Gjensidige Pensjon'!G101+'Handelsbanken Liv'!G101+'If Skadeforsikring NUF'!G101+KLP!G101+'KLP Bedriftspensjon AS'!G101+'KLP Skadeforsikring AS'!G101+'Landbruksforsikring AS'!G101+'NEMI Forsikring'!G101+'Nordea Liv '!G101+'Oslo Pensjonsforsikring'!G101+'SHB Liv'!G101+'Silver Pensjonsforsikring AS'!G101+'Sparebank 1'!G101+'Storebrand Livsforsikring'!G101+'Telenor Forsikring'!G101+'Tryg Forsikring'!G101,"")</f>
        <v/>
      </c>
      <c r="G101" s="165" t="str">
        <f t="shared" si="40"/>
        <v/>
      </c>
      <c r="H101" s="237">
        <f t="shared" si="31"/>
        <v>0</v>
      </c>
      <c r="I101" s="237">
        <f t="shared" si="32"/>
        <v>0</v>
      </c>
      <c r="J101" s="23"/>
    </row>
    <row r="102" spans="1:10" ht="15.75" customHeight="1" x14ac:dyDescent="0.2">
      <c r="A102" s="294" t="s">
        <v>317</v>
      </c>
      <c r="B102" s="44" t="str">
        <f>IF($A$1=4,'ACE European Group'!B102+'Danica Pensjonsforsikring'!B102+'DNB Livsforsikring'!B102+'Eika Forsikring AS'!B102+'Frende Livsforsikring'!B102+'Frende Skadeforsikring'!B102+'Gjensidige Forsikring'!B102+'Gjensidige Pensjon'!B102+'Handelsbanken Liv'!B102+'If Skadeforsikring NUF'!B102+KLP!B102+'KLP Bedriftspensjon AS'!B102+'KLP Skadeforsikring AS'!B102+'Landbruksforsikring AS'!B102+'NEMI Forsikring'!B102+'Nordea Liv '!B102+'Oslo Pensjonsforsikring'!B102+'SHB Liv'!B102+'Silver Pensjonsforsikring AS'!B102+'Sparebank 1'!B102+'Storebrand Livsforsikring'!B102+'Telenor Forsikring'!B102+'Tryg Forsikring'!B102,"")</f>
        <v/>
      </c>
      <c r="C102" s="44" t="str">
        <f>IF($A$1=4,'ACE European Group'!C102+'Danica Pensjonsforsikring'!C102+'DNB Livsforsikring'!C102+'Eika Forsikring AS'!C102+'Frende Livsforsikring'!C102+'Frende Skadeforsikring'!C102+'Gjensidige Forsikring'!C102+'Gjensidige Pensjon'!C102+'Handelsbanken Liv'!C102+'If Skadeforsikring NUF'!C102+KLP!C102+'KLP Bedriftspensjon AS'!C102+'KLP Skadeforsikring AS'!C102+'Landbruksforsikring AS'!C102+'NEMI Forsikring'!C102+'Nordea Liv '!C102+'Oslo Pensjonsforsikring'!C102+'SHB Liv'!C102+'Silver Pensjonsforsikring AS'!C102+'Sparebank 1'!C102+'Storebrand Livsforsikring'!C102+'Telenor Forsikring'!C102+'Tryg Forsikring'!C102,"")</f>
        <v/>
      </c>
      <c r="D102" s="27" t="str">
        <f t="shared" si="39"/>
        <v/>
      </c>
      <c r="E102" s="44" t="str">
        <f>IF($A$1=4,'ACE European Group'!F102+'Danica Pensjonsforsikring'!F102+'DNB Livsforsikring'!F102+'Eika Forsikring AS'!F102+'Frende Livsforsikring'!F102+'Frende Skadeforsikring'!F102+'Gjensidige Forsikring'!F102+'Gjensidige Pensjon'!F102+'Handelsbanken Liv'!F102+'If Skadeforsikring NUF'!F102+KLP!F102+'KLP Bedriftspensjon AS'!F102+'KLP Skadeforsikring AS'!F102+'Landbruksforsikring AS'!F102+'NEMI Forsikring'!F102+'Nordea Liv '!F102+'Oslo Pensjonsforsikring'!F102+'SHB Liv'!F102+'Silver Pensjonsforsikring AS'!F102+'Sparebank 1'!F102+'Storebrand Livsforsikring'!F102+'Telenor Forsikring'!F102+'Tryg Forsikring'!F102,"")</f>
        <v/>
      </c>
      <c r="F102" s="44" t="str">
        <f>IF($A$1=4,'ACE European Group'!G102+'Danica Pensjonsforsikring'!G102+'DNB Livsforsikring'!G102+'Eika Forsikring AS'!G102+'Frende Livsforsikring'!G102+'Frende Skadeforsikring'!G102+'Gjensidige Forsikring'!G102+'Gjensidige Pensjon'!G102+'Handelsbanken Liv'!G102+'If Skadeforsikring NUF'!G102+KLP!G102+'KLP Bedriftspensjon AS'!G102+'KLP Skadeforsikring AS'!G102+'Landbruksforsikring AS'!G102+'NEMI Forsikring'!G102+'Nordea Liv '!G102+'Oslo Pensjonsforsikring'!G102+'SHB Liv'!G102+'Silver Pensjonsforsikring AS'!G102+'Sparebank 1'!G102+'Storebrand Livsforsikring'!G102+'Telenor Forsikring'!G102+'Tryg Forsikring'!G102,"")</f>
        <v/>
      </c>
      <c r="G102" s="165" t="str">
        <f t="shared" si="40"/>
        <v/>
      </c>
      <c r="H102" s="237">
        <f t="shared" si="31"/>
        <v>0</v>
      </c>
      <c r="I102" s="237">
        <f t="shared" si="32"/>
        <v>0</v>
      </c>
      <c r="J102" s="23"/>
    </row>
    <row r="103" spans="1:10" ht="15.75" customHeight="1" x14ac:dyDescent="0.2">
      <c r="A103" s="294" t="s">
        <v>12</v>
      </c>
      <c r="B103" s="235">
        <f>'ACE European Group'!B103+'Danica Pensjonsforsikring'!B103+'DNB Livsforsikring'!B103+'Eika Forsikring AS'!B103+'Frende Livsforsikring'!B103+'Frende Skadeforsikring'!B103+'Gjensidige Forsikring'!B103+'Gjensidige Pensjon'!B103+'Handelsbanken Liv'!B103+'If Skadeforsikring NUF'!B103+KLP!B103+'KLP Bedriftspensjon AS'!B103+'KLP Skadeforsikring AS'!B103+'Landbruksforsikring AS'!B103+'NEMI Forsikring'!B103+'Nordea Liv '!B103+'Oslo Pensjonsforsikring'!B103+'SHB Liv'!B103+'Silver Pensjonsforsikring AS'!B103+'Sparebank 1'!B103+'Storebrand Livsforsikring'!B103+'Telenor Forsikring'!B103+'Tryg Forsikring'!B103</f>
        <v>0</v>
      </c>
      <c r="C103" s="235">
        <f>'ACE European Group'!C103+'Danica Pensjonsforsikring'!C103+'DNB Livsforsikring'!C103+'Eika Forsikring AS'!C103+'Frende Livsforsikring'!C103+'Frende Skadeforsikring'!C103+'Gjensidige Forsikring'!C103+'Gjensidige Pensjon'!C103+'Handelsbanken Liv'!C103+'If Skadeforsikring NUF'!C103+KLP!C103+'KLP Bedriftspensjon AS'!C103+'KLP Skadeforsikring AS'!C103+'Landbruksforsikring AS'!C103+'NEMI Forsikring'!C103+'Nordea Liv '!C103+'Oslo Pensjonsforsikring'!C103+'SHB Liv'!C103+'Silver Pensjonsforsikring AS'!C103+'Sparebank 1'!C103+'Storebrand Livsforsikring'!C103+'Telenor Forsikring'!C103+'Tryg Forsikring'!C103</f>
        <v>0</v>
      </c>
      <c r="D103" s="27" t="str">
        <f t="shared" si="39"/>
        <v/>
      </c>
      <c r="E103" s="44" t="str">
        <f>IF($A$1=4,'ACE European Group'!F103+'Danica Pensjonsforsikring'!F103+'DNB Livsforsikring'!F103+'Eika Forsikring AS'!F103+'Frende Livsforsikring'!F103+'Frende Skadeforsikring'!F103+'Gjensidige Forsikring'!F103+'Gjensidige Pensjon'!F103+'Handelsbanken Liv'!F103+'If Skadeforsikring NUF'!F103+KLP!F103+'KLP Bedriftspensjon AS'!F103+'KLP Skadeforsikring AS'!F103+'Landbruksforsikring AS'!F103+'NEMI Forsikring'!F103+'Nordea Liv '!F103+'Oslo Pensjonsforsikring'!F103+'SHB Liv'!F103+'Silver Pensjonsforsikring AS'!F103+'Sparebank 1'!F103+'Storebrand Livsforsikring'!F103+'Telenor Forsikring'!F103+'Tryg Forsikring'!F103,"")</f>
        <v/>
      </c>
      <c r="F103" s="44" t="str">
        <f>IF($A$1=4,'ACE European Group'!G103+'Danica Pensjonsforsikring'!G103+'DNB Livsforsikring'!G103+'Eika Forsikring AS'!G103+'Frende Livsforsikring'!G103+'Frende Skadeforsikring'!G103+'Gjensidige Forsikring'!G103+'Gjensidige Pensjon'!G103+'Handelsbanken Liv'!G103+'If Skadeforsikring NUF'!G103+KLP!G103+'KLP Bedriftspensjon AS'!G103+'KLP Skadeforsikring AS'!G103+'Landbruksforsikring AS'!G103+'NEMI Forsikring'!G103+'Nordea Liv '!G103+'Oslo Pensjonsforsikring'!G103+'SHB Liv'!G103+'Silver Pensjonsforsikring AS'!G103+'Sparebank 1'!G103+'Storebrand Livsforsikring'!G103+'Telenor Forsikring'!G103+'Tryg Forsikring'!G103,"")</f>
        <v/>
      </c>
      <c r="G103" s="165" t="str">
        <f t="shared" si="40"/>
        <v/>
      </c>
      <c r="H103" s="237">
        <f t="shared" si="31"/>
        <v>0</v>
      </c>
      <c r="I103" s="237">
        <f t="shared" si="32"/>
        <v>0</v>
      </c>
      <c r="J103" s="23"/>
    </row>
    <row r="104" spans="1:10" ht="15.75" customHeight="1" x14ac:dyDescent="0.2">
      <c r="A104" s="294" t="s">
        <v>13</v>
      </c>
      <c r="B104" s="235">
        <f>'ACE European Group'!B104+'Danica Pensjonsforsikring'!B104+'DNB Livsforsikring'!B104+'Eika Forsikring AS'!B104+'Frende Livsforsikring'!B104+'Frende Skadeforsikring'!B104+'Gjensidige Forsikring'!B104+'Gjensidige Pensjon'!B104+'Handelsbanken Liv'!B104+'If Skadeforsikring NUF'!B104+KLP!B104+'KLP Bedriftspensjon AS'!B104+'KLP Skadeforsikring AS'!B104+'Landbruksforsikring AS'!B104+'NEMI Forsikring'!B104+'Nordea Liv '!B104+'Oslo Pensjonsforsikring'!B104+'SHB Liv'!B104+'Silver Pensjonsforsikring AS'!B104+'Sparebank 1'!B104+'Storebrand Livsforsikring'!B104+'Telenor Forsikring'!B104+'Tryg Forsikring'!B104</f>
        <v>0</v>
      </c>
      <c r="C104" s="235">
        <f>'ACE European Group'!C104+'Danica Pensjonsforsikring'!C104+'DNB Livsforsikring'!C104+'Eika Forsikring AS'!C104+'Frende Livsforsikring'!C104+'Frende Skadeforsikring'!C104+'Gjensidige Forsikring'!C104+'Gjensidige Pensjon'!C104+'Handelsbanken Liv'!C104+'If Skadeforsikring NUF'!C104+KLP!C104+'KLP Bedriftspensjon AS'!C104+'KLP Skadeforsikring AS'!C104+'Landbruksforsikring AS'!C104+'NEMI Forsikring'!C104+'Nordea Liv '!C104+'Oslo Pensjonsforsikring'!C104+'SHB Liv'!C104+'Silver Pensjonsforsikring AS'!C104+'Sparebank 1'!C104+'Storebrand Livsforsikring'!C104+'Telenor Forsikring'!C104+'Tryg Forsikring'!C104</f>
        <v>0</v>
      </c>
      <c r="D104" s="27" t="str">
        <f t="shared" si="39"/>
        <v/>
      </c>
      <c r="E104" s="44" t="str">
        <f>IF($A$1=4,'ACE European Group'!F104+'Danica Pensjonsforsikring'!F104+'DNB Livsforsikring'!F104+'Eika Forsikring AS'!F104+'Frende Livsforsikring'!F104+'Frende Skadeforsikring'!F104+'Gjensidige Forsikring'!F104+'Gjensidige Pensjon'!F104+'Handelsbanken Liv'!F104+'If Skadeforsikring NUF'!F104+KLP!F104+'KLP Bedriftspensjon AS'!F104+'KLP Skadeforsikring AS'!F104+'Landbruksforsikring AS'!F104+'NEMI Forsikring'!F104+'Nordea Liv '!F104+'Oslo Pensjonsforsikring'!F104+'SHB Liv'!F104+'Silver Pensjonsforsikring AS'!F104+'Sparebank 1'!F104+'Storebrand Livsforsikring'!F104+'Telenor Forsikring'!F104+'Tryg Forsikring'!F104,"")</f>
        <v/>
      </c>
      <c r="F104" s="44" t="str">
        <f>IF($A$1=4,'ACE European Group'!G104+'Danica Pensjonsforsikring'!G104+'DNB Livsforsikring'!G104+'Eika Forsikring AS'!G104+'Frende Livsforsikring'!G104+'Frende Skadeforsikring'!G104+'Gjensidige Forsikring'!G104+'Gjensidige Pensjon'!G104+'Handelsbanken Liv'!G104+'If Skadeforsikring NUF'!G104+KLP!G104+'KLP Bedriftspensjon AS'!G104+'KLP Skadeforsikring AS'!G104+'Landbruksforsikring AS'!G104+'NEMI Forsikring'!G104+'Nordea Liv '!G104+'Oslo Pensjonsforsikring'!G104+'SHB Liv'!G104+'Silver Pensjonsforsikring AS'!G104+'Sparebank 1'!G104+'Storebrand Livsforsikring'!G104+'Telenor Forsikring'!G104+'Tryg Forsikring'!G104,"")</f>
        <v/>
      </c>
      <c r="G104" s="165" t="str">
        <f t="shared" si="40"/>
        <v/>
      </c>
      <c r="H104" s="237">
        <f t="shared" si="31"/>
        <v>0</v>
      </c>
      <c r="I104" s="237">
        <f t="shared" si="32"/>
        <v>0</v>
      </c>
      <c r="J104" s="23"/>
    </row>
    <row r="105" spans="1:10" ht="15.75" customHeight="1" x14ac:dyDescent="0.2">
      <c r="A105" s="21" t="s">
        <v>327</v>
      </c>
      <c r="B105" s="234">
        <f>'ACE European Group'!B105+'Danica Pensjonsforsikring'!B105+'DNB Livsforsikring'!B105+'Eika Forsikring AS'!B105+'Frende Livsforsikring'!B105+'Frende Skadeforsikring'!B105+'Gjensidige Forsikring'!B105+'Gjensidige Pensjon'!B105+'Handelsbanken Liv'!B105+'If Skadeforsikring NUF'!B105+KLP!B105+'KLP Bedriftspensjon AS'!B105+'KLP Skadeforsikring AS'!B105+'Landbruksforsikring AS'!B105+'NEMI Forsikring'!B105+'Nordea Liv '!B105+'Oslo Pensjonsforsikring'!B105+'SHB Liv'!B105+'Silver Pensjonsforsikring AS'!B105+'Sparebank 1'!B105+'Storebrand Livsforsikring'!B105+'Telenor Forsikring'!B105+'Tryg Forsikring'!B105</f>
        <v>4945012.5329999998</v>
      </c>
      <c r="C105" s="234">
        <f>'ACE European Group'!C105+'Danica Pensjonsforsikring'!C105+'DNB Livsforsikring'!C105+'Eika Forsikring AS'!C105+'Frende Livsforsikring'!C105+'Frende Skadeforsikring'!C105+'Gjensidige Forsikring'!C105+'Gjensidige Pensjon'!C105+'Handelsbanken Liv'!C105+'If Skadeforsikring NUF'!C105+KLP!C105+'KLP Bedriftspensjon AS'!C105+'KLP Skadeforsikring AS'!C105+'Landbruksforsikring AS'!C105+'NEMI Forsikring'!C105+'Nordea Liv '!C105+'Oslo Pensjonsforsikring'!C105+'SHB Liv'!C105+'Silver Pensjonsforsikring AS'!C105+'Sparebank 1'!C105+'Storebrand Livsforsikring'!C105+'Telenor Forsikring'!C105+'Tryg Forsikring'!C105</f>
        <v>4908957.5640000002</v>
      </c>
      <c r="D105" s="23">
        <f t="shared" si="17"/>
        <v>-0.7</v>
      </c>
      <c r="E105" s="44">
        <f>'ACE European Group'!F105+'Danica Pensjonsforsikring'!F105+'DNB Livsforsikring'!F105+'Eika Forsikring AS'!F105+'Frende Livsforsikring'!F105+'Frende Skadeforsikring'!F105+'Gjensidige Forsikring'!F105+'Gjensidige Pensjon'!F105+'Handelsbanken Liv'!F105+'If Skadeforsikring NUF'!F105+KLP!F105+'KLP Bedriftspensjon AS'!F105+'KLP Skadeforsikring AS'!F105+'Landbruksforsikring AS'!F105+'NEMI Forsikring'!F105+'Nordea Liv '!F105+'Oslo Pensjonsforsikring'!F105+'SHB Liv'!F105+'Silver Pensjonsforsikring AS'!F105+'Sparebank 1'!F105+'Storebrand Livsforsikring'!F105+'Telenor Forsikring'!F105+'Tryg Forsikring'!F105</f>
        <v>432747.86035000003</v>
      </c>
      <c r="F105" s="44">
        <f>'ACE European Group'!G105+'Danica Pensjonsforsikring'!G105+'DNB Livsforsikring'!G105+'Eika Forsikring AS'!G105+'Frende Livsforsikring'!G105+'Frende Skadeforsikring'!G105+'Gjensidige Forsikring'!G105+'Gjensidige Pensjon'!G105+'Handelsbanken Liv'!G105+'If Skadeforsikring NUF'!G105+KLP!G105+'KLP Bedriftspensjon AS'!G105+'KLP Skadeforsikring AS'!G105+'Landbruksforsikring AS'!G105+'NEMI Forsikring'!G105+'Nordea Liv '!G105+'Oslo Pensjonsforsikring'!G105+'SHB Liv'!G105+'Silver Pensjonsforsikring AS'!G105+'Sparebank 1'!G105+'Storebrand Livsforsikring'!G105+'Telenor Forsikring'!G105+'Tryg Forsikring'!G105</f>
        <v>532788.43828999996</v>
      </c>
      <c r="G105" s="165">
        <f t="shared" si="18"/>
        <v>23.1</v>
      </c>
      <c r="H105" s="237">
        <f t="shared" si="31"/>
        <v>5377760.3933499996</v>
      </c>
      <c r="I105" s="237">
        <f t="shared" si="32"/>
        <v>5441746.0022900002</v>
      </c>
      <c r="J105" s="23">
        <f t="shared" si="21"/>
        <v>1.2</v>
      </c>
    </row>
    <row r="106" spans="1:10" ht="15.75" customHeight="1" x14ac:dyDescent="0.2">
      <c r="A106" s="21" t="s">
        <v>328</v>
      </c>
      <c r="B106" s="234">
        <f>'ACE European Group'!B106+'Danica Pensjonsforsikring'!B106+'DNB Livsforsikring'!B106+'Eika Forsikring AS'!B106+'Frende Livsforsikring'!B106+'Frende Skadeforsikring'!B106+'Gjensidige Forsikring'!B106+'Gjensidige Pensjon'!B106+'Handelsbanken Liv'!B106+'If Skadeforsikring NUF'!B106+KLP!B106+'KLP Bedriftspensjon AS'!B106+'KLP Skadeforsikring AS'!B106+'Landbruksforsikring AS'!B106+'NEMI Forsikring'!B106+'Nordea Liv '!B106+'Oslo Pensjonsforsikring'!B106+'SHB Liv'!B106+'Silver Pensjonsforsikring AS'!B106+'Sparebank 1'!B106+'Storebrand Livsforsikring'!B106+'Telenor Forsikring'!B106+'Tryg Forsikring'!B106</f>
        <v>263770175.58889639</v>
      </c>
      <c r="C106" s="234">
        <f>'ACE European Group'!C106+'Danica Pensjonsforsikring'!C106+'DNB Livsforsikring'!C106+'Eika Forsikring AS'!C106+'Frende Livsforsikring'!C106+'Frende Skadeforsikring'!C106+'Gjensidige Forsikring'!C106+'Gjensidige Pensjon'!C106+'Handelsbanken Liv'!C106+'If Skadeforsikring NUF'!C106+KLP!C106+'KLP Bedriftspensjon AS'!C106+'KLP Skadeforsikring AS'!C106+'Landbruksforsikring AS'!C106+'NEMI Forsikring'!C106+'Nordea Liv '!C106+'Oslo Pensjonsforsikring'!C106+'SHB Liv'!C106+'Silver Pensjonsforsikring AS'!C106+'Sparebank 1'!C106+'Storebrand Livsforsikring'!C106+'Telenor Forsikring'!C106+'Tryg Forsikring'!C106</f>
        <v>292631426.33979529</v>
      </c>
      <c r="D106" s="23">
        <f t="shared" si="17"/>
        <v>10.9</v>
      </c>
      <c r="E106" s="44">
        <f>'ACE European Group'!F106+'Danica Pensjonsforsikring'!F106+'DNB Livsforsikring'!F106+'Eika Forsikring AS'!F106+'Frende Livsforsikring'!F106+'Frende Skadeforsikring'!F106+'Gjensidige Forsikring'!F106+'Gjensidige Pensjon'!F106+'Handelsbanken Liv'!F106+'If Skadeforsikring NUF'!F106+KLP!F106+'KLP Bedriftspensjon AS'!F106+'KLP Skadeforsikring AS'!F106+'Landbruksforsikring AS'!F106+'NEMI Forsikring'!F106+'Nordea Liv '!F106+'Oslo Pensjonsforsikring'!F106+'SHB Liv'!F106+'Silver Pensjonsforsikring AS'!F106+'Sparebank 1'!F106+'Storebrand Livsforsikring'!F106+'Telenor Forsikring'!F106+'Tryg Forsikring'!F106</f>
        <v>5195885.0929999994</v>
      </c>
      <c r="F106" s="44">
        <f>'ACE European Group'!G106+'Danica Pensjonsforsikring'!G106+'DNB Livsforsikring'!G106+'Eika Forsikring AS'!G106+'Frende Livsforsikring'!G106+'Frende Skadeforsikring'!G106+'Gjensidige Forsikring'!G106+'Gjensidige Pensjon'!G106+'Handelsbanken Liv'!G106+'If Skadeforsikring NUF'!G106+KLP!G106+'KLP Bedriftspensjon AS'!G106+'KLP Skadeforsikring AS'!G106+'Landbruksforsikring AS'!G106+'NEMI Forsikring'!G106+'Nordea Liv '!G106+'Oslo Pensjonsforsikring'!G106+'SHB Liv'!G106+'Silver Pensjonsforsikring AS'!G106+'Sparebank 1'!G106+'Storebrand Livsforsikring'!G106+'Telenor Forsikring'!G106+'Tryg Forsikring'!G106</f>
        <v>6512736.4230000004</v>
      </c>
      <c r="G106" s="165">
        <f t="shared" si="18"/>
        <v>25.3</v>
      </c>
      <c r="H106" s="237">
        <f t="shared" si="31"/>
        <v>268966060.68189639</v>
      </c>
      <c r="I106" s="237">
        <f t="shared" si="32"/>
        <v>299144162.76279527</v>
      </c>
      <c r="J106" s="23">
        <f t="shared" si="21"/>
        <v>11.2</v>
      </c>
    </row>
    <row r="107" spans="1:10" ht="15.75" customHeight="1" x14ac:dyDescent="0.2">
      <c r="A107" s="21" t="s">
        <v>320</v>
      </c>
      <c r="B107" s="234">
        <f>'ACE European Group'!B107+'Danica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AS'!B107+'Landbruksforsikring AS'!B107+'NEMI Forsikring'!B107+'Nordea Liv '!B107+'Oslo Pensjonsforsikring'!B107+'SHB Liv'!B107+'Silver Pensjonsforsikring AS'!B107+'Sparebank 1'!B107+'Storebrand Livsforsikring'!B107+'Telenor Forsikring'!B107+'Tryg Forsikring'!B107</f>
        <v>723847.59148000006</v>
      </c>
      <c r="C107" s="234">
        <f>'ACE European Group'!C107+'Danica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AS'!C107+'Landbruksforsikring AS'!C107+'NEMI Forsikring'!C107+'Nordea Liv '!C107+'Oslo Pensjonsforsikring'!C107+'SHB Liv'!C107+'Silver Pensjonsforsikring AS'!C107+'Sparebank 1'!C107+'Storebrand Livsforsikring'!C107+'Telenor Forsikring'!C107+'Tryg Forsikring'!C107</f>
        <v>764270.58198000002</v>
      </c>
      <c r="D107" s="23">
        <f t="shared" si="17"/>
        <v>5.6</v>
      </c>
      <c r="E107" s="44">
        <f>'ACE European Group'!F107+'Danica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AS'!F107+'Landbruksforsikring AS'!F107+'NEMI Forsikring'!F107+'Nordea Liv '!F107+'Oslo Pensjonsforsikring'!F107+'SHB Liv'!F107+'Silver Pensjonsforsikring AS'!F107+'Sparebank 1'!F107+'Storebrand Livsforsikring'!F107+'Telenor Forsikring'!F107+'Tryg Forsikring'!F107</f>
        <v>48339642.753691941</v>
      </c>
      <c r="F107" s="44">
        <f>'ACE European Group'!G107+'Danica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AS'!G107+'Landbruksforsikring AS'!G107+'NEMI Forsikring'!G107+'Nordea Liv '!G107+'Oslo Pensjonsforsikring'!G107+'SHB Liv'!G107+'Silver Pensjonsforsikring AS'!G107+'Sparebank 1'!G107+'Storebrand Livsforsikring'!G107+'Telenor Forsikring'!G107+'Tryg Forsikring'!G107</f>
        <v>63259833.678388</v>
      </c>
      <c r="G107" s="165">
        <f t="shared" si="18"/>
        <v>30.9</v>
      </c>
      <c r="H107" s="237">
        <f t="shared" si="31"/>
        <v>49063490.345171943</v>
      </c>
      <c r="I107" s="237">
        <f t="shared" si="32"/>
        <v>64024104.260367997</v>
      </c>
      <c r="J107" s="23">
        <f t="shared" si="21"/>
        <v>30.5</v>
      </c>
    </row>
    <row r="108" spans="1:10" ht="15.75" customHeight="1" x14ac:dyDescent="0.2">
      <c r="A108" s="21" t="s">
        <v>321</v>
      </c>
      <c r="B108" s="234">
        <f>'ACE European Group'!B108+'Danica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AS'!B108+'Landbruksforsikring AS'!B108+'NEMI Forsikring'!B108+'Nordea Liv '!B108+'Oslo Pensjonsforsikring'!B108+'SHB Liv'!B108+'Silver Pensjonsforsikring AS'!B108+'Sparebank 1'!B108+'Storebrand Livsforsikring'!B108+'Telenor Forsikring'!B108+'Tryg Forsikring'!B108</f>
        <v>0</v>
      </c>
      <c r="C108" s="234">
        <f>'ACE European Group'!C108+'Danica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AS'!C108+'Landbruksforsikring AS'!C108+'NEMI Forsikring'!C108+'Nordea Liv '!C108+'Oslo Pensjonsforsikring'!C108+'SHB Liv'!C108+'Silver Pensjonsforsikring AS'!C108+'Sparebank 1'!C108+'Storebrand Livsforsikring'!C108+'Telenor Forsikring'!C108+'Tryg Forsikring'!C108</f>
        <v>6080.3970099999997</v>
      </c>
      <c r="D108" s="23" t="str">
        <f t="shared" si="17"/>
        <v xml:space="preserve">    ---- </v>
      </c>
      <c r="E108" s="44">
        <f>'ACE European Group'!F108+'Danica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AS'!F108+'Landbruksforsikring AS'!F108+'NEMI Forsikring'!F108+'Nordea Liv '!F108+'Oslo Pensjonsforsikring'!F108+'SHB Liv'!F108+'Silver Pensjonsforsikring AS'!F108+'Sparebank 1'!F108+'Storebrand Livsforsikring'!F108+'Telenor Forsikring'!F108+'Tryg Forsikring'!F108</f>
        <v>0</v>
      </c>
      <c r="F108" s="44">
        <f>'ACE European Group'!G108+'Danica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AS'!G108+'Landbruksforsikring AS'!G108+'NEMI Forsikring'!G108+'Nordea Liv '!G108+'Oslo Pensjonsforsikring'!G108+'SHB Liv'!G108+'Silver Pensjonsforsikring AS'!G108+'Sparebank 1'!G108+'Storebrand Livsforsikring'!G108+'Telenor Forsikring'!G108+'Tryg Forsikring'!G108</f>
        <v>0</v>
      </c>
      <c r="G108" s="165"/>
      <c r="H108" s="237">
        <f t="shared" si="31"/>
        <v>0</v>
      </c>
      <c r="I108" s="237">
        <f t="shared" si="32"/>
        <v>6080.3970099999997</v>
      </c>
      <c r="J108" s="23" t="str">
        <f t="shared" si="21"/>
        <v xml:space="preserve">    ---- </v>
      </c>
    </row>
    <row r="109" spans="1:10" s="43" customFormat="1" ht="15.75" customHeight="1" x14ac:dyDescent="0.2">
      <c r="A109" s="13" t="s">
        <v>25</v>
      </c>
      <c r="B109" s="306">
        <f>'ACE European Group'!B109+'Danica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AS'!B109+'Landbruksforsikring AS'!B109+'NEMI Forsikring'!B109+'Nordea Liv '!B109+'Oslo Pensjonsforsikring'!B109+'SHB Liv'!B109+'Silver Pensjonsforsikring AS'!B109+'Sparebank 1'!B109+'Storebrand Livsforsikring'!B109+'Telenor Forsikring'!B109+'Tryg Forsikring'!B109</f>
        <v>543703.61654000008</v>
      </c>
      <c r="C109" s="306">
        <f>'ACE European Group'!C109+'Danica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AS'!C109+'Landbruksforsikring AS'!C109+'NEMI Forsikring'!C109+'Nordea Liv '!C109+'Oslo Pensjonsforsikring'!C109+'SHB Liv'!C109+'Silver Pensjonsforsikring AS'!C109+'Sparebank 1'!C109+'Storebrand Livsforsikring'!C109+'Telenor Forsikring'!C109+'Tryg Forsikring'!C109</f>
        <v>348180.27505</v>
      </c>
      <c r="D109" s="24">
        <f t="shared" si="17"/>
        <v>-36</v>
      </c>
      <c r="E109" s="236">
        <f>'ACE European Group'!F109+'Danica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AS'!F109+'Landbruksforsikring AS'!F109+'NEMI Forsikring'!F109+'Nordea Liv '!F109+'Oslo Pensjonsforsikring'!F109+'SHB Liv'!F109+'Silver Pensjonsforsikring AS'!F109+'Sparebank 1'!F109+'Storebrand Livsforsikring'!F109+'Telenor Forsikring'!F109+'Tryg Forsikring'!F109</f>
        <v>3032397.5708900001</v>
      </c>
      <c r="F109" s="236">
        <f>'ACE European Group'!G109+'Danica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AS'!G109+'Landbruksforsikring AS'!G109+'NEMI Forsikring'!G109+'Nordea Liv '!G109+'Oslo Pensjonsforsikring'!G109+'SHB Liv'!G109+'Silver Pensjonsforsikring AS'!G109+'Sparebank 1'!G109+'Storebrand Livsforsikring'!G109+'Telenor Forsikring'!G109+'Tryg Forsikring'!G109</f>
        <v>6470682.6570500005</v>
      </c>
      <c r="G109" s="170">
        <f t="shared" si="18"/>
        <v>113.4</v>
      </c>
      <c r="H109" s="324">
        <f t="shared" si="31"/>
        <v>3576101.1874299999</v>
      </c>
      <c r="I109" s="324">
        <f t="shared" si="32"/>
        <v>6818862.9321000008</v>
      </c>
      <c r="J109" s="24">
        <f t="shared" si="21"/>
        <v>90.7</v>
      </c>
    </row>
    <row r="110" spans="1:10" ht="15.75" customHeight="1" x14ac:dyDescent="0.2">
      <c r="A110" s="21" t="s">
        <v>9</v>
      </c>
      <c r="B110" s="234">
        <f>'ACE European Group'!B110+'Danica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AS'!B110+'Landbruksforsikring AS'!B110+'NEMI Forsikring'!B110+'Nordea Liv '!B110+'Oslo Pensjonsforsikring'!B110+'SHB Liv'!B110+'Silver Pensjonsforsikring AS'!B110+'Sparebank 1'!B110+'Storebrand Livsforsikring'!B110+'Telenor Forsikring'!B110+'Tryg Forsikring'!B110</f>
        <v>540202.35700000008</v>
      </c>
      <c r="C110" s="234">
        <f>'ACE European Group'!C110+'Danica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AS'!C110+'Landbruksforsikring AS'!C110+'NEMI Forsikring'!C110+'Nordea Liv '!C110+'Oslo Pensjonsforsikring'!C110+'SHB Liv'!C110+'Silver Pensjonsforsikring AS'!C110+'Sparebank 1'!C110+'Storebrand Livsforsikring'!C110+'Telenor Forsikring'!C110+'Tryg Forsikring'!C110</f>
        <v>325956.20072000002</v>
      </c>
      <c r="D110" s="23">
        <f t="shared" ref="D110:D123" si="41">IF(B110=0, "    ---- ", IF(ABS(ROUND(100/B110*C110-100,1))&lt;999,ROUND(100/B110*C110-100,1),IF(ROUND(100/B110*C110-100,1)&gt;999,999,-999)))</f>
        <v>-39.700000000000003</v>
      </c>
      <c r="E110" s="44">
        <f>'ACE European Group'!F110+'Danica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AS'!F110+'Landbruksforsikring AS'!F110+'NEMI Forsikring'!F110+'Nordea Liv '!F110+'Oslo Pensjonsforsikring'!F110+'SHB Liv'!F110+'Silver Pensjonsforsikring AS'!F110+'Sparebank 1'!F110+'Storebrand Livsforsikring'!F110+'Telenor Forsikring'!F110+'Tryg Forsikring'!F110</f>
        <v>0</v>
      </c>
      <c r="F110" s="44">
        <f>'ACE European Group'!G110+'Danica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AS'!G110+'Landbruksforsikring AS'!G110+'NEMI Forsikring'!G110+'Nordea Liv '!G110+'Oslo Pensjonsforsikring'!G110+'SHB Liv'!G110+'Silver Pensjonsforsikring AS'!G110+'Sparebank 1'!G110+'Storebrand Livsforsikring'!G110+'Telenor Forsikring'!G110+'Tryg Forsikring'!G110</f>
        <v>0</v>
      </c>
      <c r="G110" s="165" t="str">
        <f t="shared" ref="G110:G123" si="42">IF(E110=0, "    ---- ", IF(ABS(ROUND(100/E110*F110-100,1))&lt;999,ROUND(100/E110*F110-100,1),IF(ROUND(100/E110*F110-100,1)&gt;999,999,-999)))</f>
        <v xml:space="preserve">    ---- </v>
      </c>
      <c r="H110" s="237">
        <f t="shared" ref="H110:H124" si="43">SUM(B110,E110)</f>
        <v>540202.35700000008</v>
      </c>
      <c r="I110" s="237">
        <f t="shared" ref="I110:I124" si="44">SUM(C110,F110)</f>
        <v>325956.20072000002</v>
      </c>
      <c r="J110" s="23">
        <f t="shared" ref="J110:J123" si="45">IF(H110=0, "    ---- ", IF(ABS(ROUND(100/H110*I110-100,1))&lt;999,ROUND(100/H110*I110-100,1),IF(ROUND(100/H110*I110-100,1)&gt;999,999,-999)))</f>
        <v>-39.700000000000003</v>
      </c>
    </row>
    <row r="111" spans="1:10" ht="15.75" customHeight="1" x14ac:dyDescent="0.2">
      <c r="A111" s="21" t="s">
        <v>10</v>
      </c>
      <c r="B111" s="234">
        <f>'ACE European Group'!B111+'Danica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AS'!B111+'Landbruksforsikring AS'!B111+'NEMI Forsikring'!B111+'Nordea Liv '!B111+'Oslo Pensjonsforsikring'!B111+'SHB Liv'!B111+'Silver Pensjonsforsikring AS'!B111+'Sparebank 1'!B111+'Storebrand Livsforsikring'!B111+'Telenor Forsikring'!B111+'Tryg Forsikring'!B111</f>
        <v>3501.25954</v>
      </c>
      <c r="C111" s="234">
        <f>'ACE European Group'!C111+'Danica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AS'!C111+'Landbruksforsikring AS'!C111+'NEMI Forsikring'!C111+'Nordea Liv '!C111+'Oslo Pensjonsforsikring'!C111+'SHB Liv'!C111+'Silver Pensjonsforsikring AS'!C111+'Sparebank 1'!C111+'Storebrand Livsforsikring'!C111+'Telenor Forsikring'!C111+'Tryg Forsikring'!C111</f>
        <v>2529.2339999999999</v>
      </c>
      <c r="D111" s="23">
        <f t="shared" si="41"/>
        <v>-27.8</v>
      </c>
      <c r="E111" s="44">
        <f>'ACE European Group'!F111+'Danica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AS'!F111+'Landbruksforsikring AS'!F111+'NEMI Forsikring'!F111+'Nordea Liv '!F111+'Oslo Pensjonsforsikring'!F111+'SHB Liv'!F111+'Silver Pensjonsforsikring AS'!F111+'Sparebank 1'!F111+'Storebrand Livsforsikring'!F111+'Telenor Forsikring'!F111+'Tryg Forsikring'!F111</f>
        <v>3032397.5708900001</v>
      </c>
      <c r="F111" s="44">
        <f>'ACE European Group'!G111+'Danica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AS'!G111+'Landbruksforsikring AS'!G111+'NEMI Forsikring'!G111+'Nordea Liv '!G111+'Oslo Pensjonsforsikring'!G111+'SHB Liv'!G111+'Silver Pensjonsforsikring AS'!G111+'Sparebank 1'!G111+'Storebrand Livsforsikring'!G111+'Telenor Forsikring'!G111+'Tryg Forsikring'!G111</f>
        <v>6470682.6570500005</v>
      </c>
      <c r="G111" s="170">
        <f t="shared" si="42"/>
        <v>113.4</v>
      </c>
      <c r="H111" s="237">
        <f t="shared" si="43"/>
        <v>3035898.8304300001</v>
      </c>
      <c r="I111" s="237">
        <f t="shared" si="44"/>
        <v>6473211.8910500007</v>
      </c>
      <c r="J111" s="24">
        <f t="shared" si="45"/>
        <v>113.2</v>
      </c>
    </row>
    <row r="112" spans="1:10" ht="15.75" customHeight="1" x14ac:dyDescent="0.2">
      <c r="A112" s="21" t="s">
        <v>30</v>
      </c>
      <c r="B112" s="234">
        <f>'ACE European Group'!B112+'Danica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AS'!B112+'Landbruksforsikring AS'!B112+'NEMI Forsikring'!B112+'Nordea Liv '!B112+'Oslo Pensjonsforsikring'!B112+'SHB Liv'!B112+'Silver Pensjonsforsikring AS'!B112+'Sparebank 1'!B112+'Storebrand Livsforsikring'!B112+'Telenor Forsikring'!B112+'Tryg Forsikring'!B112</f>
        <v>0</v>
      </c>
      <c r="C112" s="234">
        <f>'ACE European Group'!C112+'Danica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AS'!C112+'Landbruksforsikring AS'!C112+'NEMI Forsikring'!C112+'Nordea Liv '!C112+'Oslo Pensjonsforsikring'!C112+'SHB Liv'!C112+'Silver Pensjonsforsikring AS'!C112+'Sparebank 1'!C112+'Storebrand Livsforsikring'!C112+'Telenor Forsikring'!C112+'Tryg Forsikring'!C112</f>
        <v>19694.840329999999</v>
      </c>
      <c r="D112" s="23" t="str">
        <f t="shared" si="41"/>
        <v xml:space="preserve">    ---- </v>
      </c>
      <c r="E112" s="44">
        <f>'ACE European Group'!F112+'Danica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AS'!F112+'Landbruksforsikring AS'!F112+'NEMI Forsikring'!F112+'Nordea Liv '!F112+'Oslo Pensjonsforsikring'!F112+'SHB Liv'!F112+'Silver Pensjonsforsikring AS'!F112+'Sparebank 1'!F112+'Storebrand Livsforsikring'!F112+'Telenor Forsikring'!F112+'Tryg Forsikring'!F112</f>
        <v>0</v>
      </c>
      <c r="F112" s="44">
        <f>'ACE European Group'!G112+'Danica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AS'!G112+'Landbruksforsikring AS'!G112+'NEMI Forsikring'!G112+'Nordea Liv '!G112+'Oslo Pensjonsforsikring'!G112+'SHB Liv'!G112+'Silver Pensjonsforsikring AS'!G112+'Sparebank 1'!G112+'Storebrand Livsforsikring'!G112+'Telenor Forsikring'!G112+'Tryg Forsikring'!G112</f>
        <v>0</v>
      </c>
      <c r="G112" s="170"/>
      <c r="H112" s="237">
        <f t="shared" si="43"/>
        <v>0</v>
      </c>
      <c r="I112" s="237">
        <f t="shared" si="44"/>
        <v>19694.840329999999</v>
      </c>
      <c r="J112" s="24" t="str">
        <f t="shared" si="45"/>
        <v xml:space="preserve">    ---- </v>
      </c>
    </row>
    <row r="113" spans="1:10" ht="15.75" customHeight="1" x14ac:dyDescent="0.2">
      <c r="A113" s="294" t="s">
        <v>15</v>
      </c>
      <c r="B113" s="44" t="str">
        <f>IF($A$1=4,'ACE European Group'!B113+'Danica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AS'!B113+'Landbruksforsikring AS'!B113+'NEMI Forsikring'!B113+'Nordea Liv '!B113+'Oslo Pensjonsforsikring'!B113+'SHB Liv'!B113+'Silver Pensjonsforsikring AS'!B113+'Sparebank 1'!B113+'Storebrand Livsforsikring'!B113+'Telenor Forsikring'!B113+'Tryg Forsikring'!B113,"")</f>
        <v/>
      </c>
      <c r="C113" s="44" t="str">
        <f>IF($A$1=4,'ACE European Group'!C113+'Danica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AS'!C113+'Landbruksforsikring AS'!C113+'NEMI Forsikring'!C113+'Nordea Liv '!C113+'Oslo Pensjonsforsikring'!C113+'SHB Liv'!C113+'Silver Pensjonsforsikring AS'!C113+'Sparebank 1'!C113+'Storebrand Livsforsikring'!C113+'Telenor Forsikring'!C113+'Tryg Forsikring'!C113,"")</f>
        <v/>
      </c>
      <c r="D113" s="27" t="str">
        <f>IF($A$1=4,IF(B113=0, "    ---- ", IF(ABS(ROUND(100/B113*C113-100,1))&lt;999,ROUND(100/B113*C113-100,1),IF(ROUND(100/B113*C113-100,1)&gt;999,999,-999))),"")</f>
        <v/>
      </c>
      <c r="E113" s="44" t="str">
        <f>IF($A$1=4,'ACE European Group'!F113+'Danica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AS'!F113+'Landbruksforsikring AS'!F113+'NEMI Forsikring'!F113+'Nordea Liv '!F113+'Oslo Pensjonsforsikring'!F113+'SHB Liv'!F113+'Silver Pensjonsforsikring AS'!F113+'Sparebank 1'!F113+'Storebrand Livsforsikring'!F113+'Telenor Forsikring'!F113+'Tryg Forsikring'!F113,"")</f>
        <v/>
      </c>
      <c r="F113" s="44" t="str">
        <f>IF($A$1=4,'ACE European Group'!G113+'Danica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AS'!G113+'Landbruksforsikring AS'!G113+'NEMI Forsikring'!G113+'Nordea Liv '!G113+'Oslo Pensjonsforsikring'!G113+'SHB Liv'!G113+'Silver Pensjonsforsikring AS'!G113+'Sparebank 1'!G113+'Storebrand Livsforsikring'!G113+'Telenor Forsikring'!G113+'Tryg Forsikring'!G113,"")</f>
        <v/>
      </c>
      <c r="G113" s="165" t="str">
        <f>IF($A$1=4,IF(E113=0, "    ---- ", IF(ABS(ROUND(100/E113*F113-100,1))&lt;999,ROUND(100/E113*F113-100,1),IF(ROUND(100/E113*F113-100,1)&gt;999,999,-999))),"")</f>
        <v/>
      </c>
      <c r="H113" s="237">
        <f t="shared" si="43"/>
        <v>0</v>
      </c>
      <c r="I113" s="237">
        <f t="shared" si="44"/>
        <v>0</v>
      </c>
      <c r="J113" s="23"/>
    </row>
    <row r="114" spans="1:10" ht="15.75" customHeight="1" x14ac:dyDescent="0.2">
      <c r="A114" s="21" t="s">
        <v>329</v>
      </c>
      <c r="B114" s="234">
        <f>'ACE European Group'!B114+'Danica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AS'!B114+'Landbruksforsikring AS'!B114+'NEMI Forsikring'!B114+'Nordea Liv '!B114+'Oslo Pensjonsforsikring'!B114+'SHB Liv'!B114+'Silver Pensjonsforsikring AS'!B114+'Sparebank 1'!B114+'Storebrand Livsforsikring'!B114+'Telenor Forsikring'!B114+'Tryg Forsikring'!B114</f>
        <v>269684.52473000006</v>
      </c>
      <c r="C114" s="234">
        <f>'ACE European Group'!C114+'Danica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AS'!C114+'Landbruksforsikring AS'!C114+'NEMI Forsikring'!C114+'Nordea Liv '!C114+'Oslo Pensjonsforsikring'!C114+'SHB Liv'!C114+'Silver Pensjonsforsikring AS'!C114+'Sparebank 1'!C114+'Storebrand Livsforsikring'!C114+'Telenor Forsikring'!C114+'Tryg Forsikring'!C114</f>
        <v>30701.814439999998</v>
      </c>
      <c r="D114" s="23">
        <f t="shared" si="41"/>
        <v>-88.6</v>
      </c>
      <c r="E114" s="44">
        <f>'ACE European Group'!F114+'Danica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AS'!F114+'Landbruksforsikring AS'!F114+'NEMI Forsikring'!F114+'Nordea Liv '!F114+'Oslo Pensjonsforsikring'!F114+'SHB Liv'!F114+'Silver Pensjonsforsikring AS'!F114+'Sparebank 1'!F114+'Storebrand Livsforsikring'!F114+'Telenor Forsikring'!F114+'Tryg Forsikring'!F114</f>
        <v>45832.06</v>
      </c>
      <c r="F114" s="44">
        <f>'ACE European Group'!G114+'Danica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AS'!G114+'Landbruksforsikring AS'!G114+'NEMI Forsikring'!G114+'Nordea Liv '!G114+'Oslo Pensjonsforsikring'!G114+'SHB Liv'!G114+'Silver Pensjonsforsikring AS'!G114+'Sparebank 1'!G114+'Storebrand Livsforsikring'!G114+'Telenor Forsikring'!G114+'Tryg Forsikring'!G114</f>
        <v>12157.834999999999</v>
      </c>
      <c r="G114" s="165">
        <f t="shared" si="42"/>
        <v>-73.5</v>
      </c>
      <c r="H114" s="237">
        <f t="shared" si="43"/>
        <v>315516.58473000006</v>
      </c>
      <c r="I114" s="237">
        <f t="shared" si="44"/>
        <v>42859.649439999994</v>
      </c>
      <c r="J114" s="23">
        <f t="shared" si="45"/>
        <v>-86.4</v>
      </c>
    </row>
    <row r="115" spans="1:10" ht="15.75" customHeight="1" x14ac:dyDescent="0.2">
      <c r="A115" s="21" t="s">
        <v>322</v>
      </c>
      <c r="B115" s="234">
        <f>'ACE European Group'!B115+'Danica Pensjonsforsikring'!B115+'DNB Livsforsikring'!B115+'Eika Forsikring AS'!B115+'Frende Livsforsikring'!B115+'Frende Skadeforsikring'!B115+'Gjensidige Forsikring'!B115+'Gjensidige Pensjon'!B115+'Handelsbanken Liv'!B115+'If Skadeforsikring NUF'!B115+KLP!B115+'KLP Bedriftspensjon AS'!B115+'KLP Skadeforsikring AS'!B115+'Landbruksforsikring AS'!B115+'NEMI Forsikring'!B115+'Nordea Liv '!B115+'Oslo Pensjonsforsikring'!B115+'SHB Liv'!B115+'Silver Pensjonsforsikring AS'!B115+'Sparebank 1'!B115+'Storebrand Livsforsikring'!B115+'Telenor Forsikring'!B115+'Tryg Forsikring'!B115</f>
        <v>13.897</v>
      </c>
      <c r="C115" s="234">
        <f>'ACE European Group'!C115+'Danica Pensjonsforsikring'!C115+'DNB Livsforsikring'!C115+'Eika Forsikring AS'!C115+'Frende Livsforsikring'!C115+'Frende Skadeforsikring'!C115+'Gjensidige Forsikring'!C115+'Gjensidige Pensjon'!C115+'Handelsbanken Liv'!C115+'If Skadeforsikring NUF'!C115+KLP!C115+'KLP Bedriftspensjon AS'!C115+'KLP Skadeforsikring AS'!C115+'Landbruksforsikring AS'!C115+'NEMI Forsikring'!C115+'Nordea Liv '!C115+'Oslo Pensjonsforsikring'!C115+'SHB Liv'!C115+'Silver Pensjonsforsikring AS'!C115+'Sparebank 1'!C115+'Storebrand Livsforsikring'!C115+'Telenor Forsikring'!C115+'Tryg Forsikring'!C115</f>
        <v>0</v>
      </c>
      <c r="D115" s="23">
        <f t="shared" si="41"/>
        <v>-100</v>
      </c>
      <c r="E115" s="44">
        <f>'ACE European Group'!F115+'Danica Pensjonsforsikring'!F115+'DNB Livsforsikring'!F115+'Eika Forsikring AS'!F115+'Frende Livsforsikring'!F115+'Frende Skadeforsikring'!F115+'Gjensidige Forsikring'!F115+'Gjensidige Pensjon'!F115+'Handelsbanken Liv'!F115+'If Skadeforsikring NUF'!F115+KLP!F115+'KLP Bedriftspensjon AS'!F115+'KLP Skadeforsikring AS'!F115+'Landbruksforsikring AS'!F115+'NEMI Forsikring'!F115+'Nordea Liv '!F115+'Oslo Pensjonsforsikring'!F115+'SHB Liv'!F115+'Silver Pensjonsforsikring AS'!F115+'Sparebank 1'!F115+'Storebrand Livsforsikring'!F115+'Telenor Forsikring'!F115+'Tryg Forsikring'!F115</f>
        <v>515784.04450000002</v>
      </c>
      <c r="F115" s="44">
        <f>'ACE European Group'!G115+'Danica Pensjonsforsikring'!G115+'DNB Livsforsikring'!G115+'Eika Forsikring AS'!G115+'Frende Livsforsikring'!G115+'Frende Skadeforsikring'!G115+'Gjensidige Forsikring'!G115+'Gjensidige Pensjon'!G115+'Handelsbanken Liv'!G115+'If Skadeforsikring NUF'!G115+KLP!G115+'KLP Bedriftspensjon AS'!G115+'KLP Skadeforsikring AS'!G115+'Landbruksforsikring AS'!G115+'NEMI Forsikring'!G115+'Nordea Liv '!G115+'Oslo Pensjonsforsikring'!G115+'SHB Liv'!G115+'Silver Pensjonsforsikring AS'!G115+'Sparebank 1'!G115+'Storebrand Livsforsikring'!G115+'Telenor Forsikring'!G115+'Tryg Forsikring'!G115</f>
        <v>1105060.51235</v>
      </c>
      <c r="G115" s="165">
        <f t="shared" si="42"/>
        <v>114.2</v>
      </c>
      <c r="H115" s="237">
        <f t="shared" si="43"/>
        <v>515797.94150000002</v>
      </c>
      <c r="I115" s="237">
        <f t="shared" si="44"/>
        <v>1105060.51235</v>
      </c>
      <c r="J115" s="23">
        <f t="shared" si="45"/>
        <v>114.2</v>
      </c>
    </row>
    <row r="116" spans="1:10" ht="15.75" customHeight="1" x14ac:dyDescent="0.2">
      <c r="A116" s="21" t="s">
        <v>321</v>
      </c>
      <c r="B116" s="234">
        <f>'ACE European Group'!B116+'Danica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AS'!B116+'Landbruksforsikring AS'!B116+'NEMI Forsikring'!B116+'Nordea Liv '!B116+'Oslo Pensjonsforsikring'!B116+'SHB Liv'!B116+'Silver Pensjonsforsikring AS'!B116+'Sparebank 1'!B116+'Storebrand Livsforsikring'!B116+'Telenor Forsikring'!B116+'Tryg Forsikring'!B116</f>
        <v>0</v>
      </c>
      <c r="C116" s="234">
        <f>'ACE European Group'!C116+'Danica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AS'!C116+'Landbruksforsikring AS'!C116+'NEMI Forsikring'!C116+'Nordea Liv '!C116+'Oslo Pensjonsforsikring'!C116+'SHB Liv'!C116+'Silver Pensjonsforsikring AS'!C116+'Sparebank 1'!C116+'Storebrand Livsforsikring'!C116+'Telenor Forsikring'!C116+'Tryg Forsikring'!C116</f>
        <v>0</v>
      </c>
      <c r="D116" s="23"/>
      <c r="E116" s="44">
        <f>'ACE European Group'!F116+'Danica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AS'!F116+'Landbruksforsikring AS'!F116+'NEMI Forsikring'!F116+'Nordea Liv '!F116+'Oslo Pensjonsforsikring'!F116+'SHB Liv'!F116+'Silver Pensjonsforsikring AS'!F116+'Sparebank 1'!F116+'Storebrand Livsforsikring'!F116+'Telenor Forsikring'!F116+'Tryg Forsikring'!F116</f>
        <v>0</v>
      </c>
      <c r="F116" s="44">
        <f>'ACE European Group'!G116+'Danica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AS'!G116+'Landbruksforsikring AS'!G116+'NEMI Forsikring'!G116+'Nordea Liv '!G116+'Oslo Pensjonsforsikring'!G116+'SHB Liv'!G116+'Silver Pensjonsforsikring AS'!G116+'Sparebank 1'!G116+'Storebrand Livsforsikring'!G116+'Telenor Forsikring'!G116+'Tryg Forsikring'!G116</f>
        <v>0</v>
      </c>
      <c r="G116" s="165"/>
      <c r="H116" s="237">
        <f t="shared" si="43"/>
        <v>0</v>
      </c>
      <c r="I116" s="237">
        <f t="shared" si="44"/>
        <v>0</v>
      </c>
      <c r="J116" s="23"/>
    </row>
    <row r="117" spans="1:10" s="43" customFormat="1" ht="15.75" customHeight="1" x14ac:dyDescent="0.2">
      <c r="A117" s="13" t="s">
        <v>24</v>
      </c>
      <c r="B117" s="324">
        <f>'ACE European Group'!B117+'Danica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AS'!B117+'Landbruksforsikring AS'!B117+'NEMI Forsikring'!B117+'Nordea Liv '!B117+'Oslo Pensjonsforsikring'!B117+'SHB Liv'!B117+'Silver Pensjonsforsikring AS'!B117+'Sparebank 1'!B117+'Storebrand Livsforsikring'!B117+'Telenor Forsikring'!B117+'Tryg Forsikring'!B117</f>
        <v>574390.6490199999</v>
      </c>
      <c r="C117" s="324">
        <f>'ACE European Group'!C117+'Danica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AS'!C117+'Landbruksforsikring AS'!C117+'NEMI Forsikring'!C117+'Nordea Liv '!C117+'Oslo Pensjonsforsikring'!C117+'SHB Liv'!C117+'Silver Pensjonsforsikring AS'!C117+'Sparebank 1'!C117+'Storebrand Livsforsikring'!C117+'Telenor Forsikring'!C117+'Tryg Forsikring'!C117</f>
        <v>293360.44446999981</v>
      </c>
      <c r="D117" s="24">
        <f t="shared" si="41"/>
        <v>-48.9</v>
      </c>
      <c r="E117" s="236">
        <f>'ACE European Group'!F117+'Danica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AS'!F117+'Landbruksforsikring AS'!F117+'NEMI Forsikring'!F117+'Nordea Liv '!F117+'Oslo Pensjonsforsikring'!F117+'SHB Liv'!F117+'Silver Pensjonsforsikring AS'!F117+'Sparebank 1'!F117+'Storebrand Livsforsikring'!F117+'Telenor Forsikring'!F117+'Tryg Forsikring'!F117</f>
        <v>2923270.8830299997</v>
      </c>
      <c r="F117" s="236">
        <f>'ACE European Group'!G117+'Danica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AS'!G117+'Landbruksforsikring AS'!G117+'NEMI Forsikring'!G117+'Nordea Liv '!G117+'Oslo Pensjonsforsikring'!G117+'SHB Liv'!G117+'Silver Pensjonsforsikring AS'!G117+'Sparebank 1'!G117+'Storebrand Livsforsikring'!G117+'Telenor Forsikring'!G117+'Tryg Forsikring'!G117</f>
        <v>6447022.6469000001</v>
      </c>
      <c r="G117" s="170">
        <f t="shared" si="42"/>
        <v>120.5</v>
      </c>
      <c r="H117" s="324">
        <f t="shared" si="43"/>
        <v>3497661.5320499996</v>
      </c>
      <c r="I117" s="324">
        <f t="shared" si="44"/>
        <v>6740383.0913699996</v>
      </c>
      <c r="J117" s="24">
        <f t="shared" si="45"/>
        <v>92.7</v>
      </c>
    </row>
    <row r="118" spans="1:10" ht="15.75" customHeight="1" x14ac:dyDescent="0.2">
      <c r="A118" s="21" t="s">
        <v>9</v>
      </c>
      <c r="B118" s="237">
        <f>'ACE European Group'!B118+'Danica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AS'!B118+'Landbruksforsikring AS'!B118+'NEMI Forsikring'!B118+'Nordea Liv '!B118+'Oslo Pensjonsforsikring'!B118+'SHB Liv'!B118+'Silver Pensjonsforsikring AS'!B118+'Sparebank 1'!B118+'Storebrand Livsforsikring'!B118+'Telenor Forsikring'!B118+'Tryg Forsikring'!B118</f>
        <v>556494.94402000005</v>
      </c>
      <c r="C118" s="237">
        <f>'ACE European Group'!C118+'Danica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AS'!C118+'Landbruksforsikring AS'!C118+'NEMI Forsikring'!C118+'Nordea Liv '!C118+'Oslo Pensjonsforsikring'!C118+'SHB Liv'!C118+'Silver Pensjonsforsikring AS'!C118+'Sparebank 1'!C118+'Storebrand Livsforsikring'!C118+'Telenor Forsikring'!C118+'Tryg Forsikring'!C118</f>
        <v>258318.37570999976</v>
      </c>
      <c r="D118" s="23">
        <f t="shared" si="41"/>
        <v>-53.6</v>
      </c>
      <c r="E118" s="44">
        <f>'ACE European Group'!F118+'Danica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AS'!F118+'Landbruksforsikring AS'!F118+'NEMI Forsikring'!F118+'Nordea Liv '!F118+'Oslo Pensjonsforsikring'!F118+'SHB Liv'!F118+'Silver Pensjonsforsikring AS'!F118+'Sparebank 1'!F118+'Storebrand Livsforsikring'!F118+'Telenor Forsikring'!F118+'Tryg Forsikring'!F118</f>
        <v>0</v>
      </c>
      <c r="F118" s="44">
        <f>'ACE European Group'!G118+'Danica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AS'!G118+'Landbruksforsikring AS'!G118+'NEMI Forsikring'!G118+'Nordea Liv '!G118+'Oslo Pensjonsforsikring'!G118+'SHB Liv'!G118+'Silver Pensjonsforsikring AS'!G118+'Sparebank 1'!G118+'Storebrand Livsforsikring'!G118+'Telenor Forsikring'!G118+'Tryg Forsikring'!G118</f>
        <v>0</v>
      </c>
      <c r="G118" s="165"/>
      <c r="H118" s="237">
        <f t="shared" si="43"/>
        <v>556494.94402000005</v>
      </c>
      <c r="I118" s="237">
        <f t="shared" si="44"/>
        <v>258318.37570999976</v>
      </c>
      <c r="J118" s="23">
        <f t="shared" si="45"/>
        <v>-53.6</v>
      </c>
    </row>
    <row r="119" spans="1:10" ht="15.75" customHeight="1" x14ac:dyDescent="0.2">
      <c r="A119" s="21" t="s">
        <v>10</v>
      </c>
      <c r="B119" s="237">
        <f>'ACE European Group'!B119+'Danica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AS'!B119+'Landbruksforsikring AS'!B119+'NEMI Forsikring'!B119+'Nordea Liv '!B119+'Oslo Pensjonsforsikring'!B119+'SHB Liv'!B119+'Silver Pensjonsforsikring AS'!B119+'Sparebank 1'!B119+'Storebrand Livsforsikring'!B119+'Telenor Forsikring'!B119+'Tryg Forsikring'!B119</f>
        <v>17895.705000000002</v>
      </c>
      <c r="C119" s="237">
        <f>'ACE European Group'!C119+'Danica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AS'!C119+'Landbruksforsikring AS'!C119+'NEMI Forsikring'!C119+'Nordea Liv '!C119+'Oslo Pensjonsforsikring'!C119+'SHB Liv'!C119+'Silver Pensjonsforsikring AS'!C119+'Sparebank 1'!C119+'Storebrand Livsforsikring'!C119+'Telenor Forsikring'!C119+'Tryg Forsikring'!C119</f>
        <v>17411.863519999999</v>
      </c>
      <c r="D119" s="23">
        <f t="shared" si="41"/>
        <v>-2.7</v>
      </c>
      <c r="E119" s="44">
        <f>'ACE European Group'!F119+'Danica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AS'!F119+'Landbruksforsikring AS'!F119+'NEMI Forsikring'!F119+'Nordea Liv '!F119+'Oslo Pensjonsforsikring'!F119+'SHB Liv'!F119+'Silver Pensjonsforsikring AS'!F119+'Sparebank 1'!F119+'Storebrand Livsforsikring'!F119+'Telenor Forsikring'!F119+'Tryg Forsikring'!F119</f>
        <v>2923270.8830299997</v>
      </c>
      <c r="F119" s="44">
        <f>'ACE European Group'!G119+'Danica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AS'!G119+'Landbruksforsikring AS'!G119+'NEMI Forsikring'!G119+'Nordea Liv '!G119+'Oslo Pensjonsforsikring'!G119+'SHB Liv'!G119+'Silver Pensjonsforsikring AS'!G119+'Sparebank 1'!G119+'Storebrand Livsforsikring'!G119+'Telenor Forsikring'!G119+'Tryg Forsikring'!G119</f>
        <v>6447022.6469000001</v>
      </c>
      <c r="G119" s="165">
        <f t="shared" si="42"/>
        <v>120.5</v>
      </c>
      <c r="H119" s="237">
        <f t="shared" si="43"/>
        <v>2941166.5880299998</v>
      </c>
      <c r="I119" s="237">
        <f t="shared" si="44"/>
        <v>6464434.5104200002</v>
      </c>
      <c r="J119" s="23">
        <f t="shared" si="45"/>
        <v>119.8</v>
      </c>
    </row>
    <row r="120" spans="1:10" ht="15.75" customHeight="1" x14ac:dyDescent="0.2">
      <c r="A120" s="21" t="s">
        <v>30</v>
      </c>
      <c r="B120" s="237">
        <f>'ACE European Group'!B120+'Danica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AS'!B120+'Landbruksforsikring AS'!B120+'NEMI Forsikring'!B120+'Nordea Liv '!B120+'Oslo Pensjonsforsikring'!B120+'SHB Liv'!B120+'Silver Pensjonsforsikring AS'!B120+'Sparebank 1'!B120+'Storebrand Livsforsikring'!B120+'Telenor Forsikring'!B120+'Tryg Forsikring'!B120</f>
        <v>0</v>
      </c>
      <c r="C120" s="237">
        <f>'ACE European Group'!C120+'Danica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AS'!C120+'Landbruksforsikring AS'!C120+'NEMI Forsikring'!C120+'Nordea Liv '!C120+'Oslo Pensjonsforsikring'!C120+'SHB Liv'!C120+'Silver Pensjonsforsikring AS'!C120+'Sparebank 1'!C120+'Storebrand Livsforsikring'!C120+'Telenor Forsikring'!C120+'Tryg Forsikring'!C120</f>
        <v>17630.205239999999</v>
      </c>
      <c r="D120" s="23" t="str">
        <f t="shared" si="41"/>
        <v xml:space="preserve">    ---- </v>
      </c>
      <c r="E120" s="44">
        <f>'ACE European Group'!F120+'Danica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AS'!F120+'Landbruksforsikring AS'!F120+'NEMI Forsikring'!F120+'Nordea Liv '!F120+'Oslo Pensjonsforsikring'!F120+'SHB Liv'!F120+'Silver Pensjonsforsikring AS'!F120+'Sparebank 1'!F120+'Storebrand Livsforsikring'!F120+'Telenor Forsikring'!F120+'Tryg Forsikring'!F120</f>
        <v>0</v>
      </c>
      <c r="F120" s="44">
        <f>'ACE European Group'!G120+'Danica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AS'!G120+'Landbruksforsikring AS'!G120+'NEMI Forsikring'!G120+'Nordea Liv '!G120+'Oslo Pensjonsforsikring'!G120+'SHB Liv'!G120+'Silver Pensjonsforsikring AS'!G120+'Sparebank 1'!G120+'Storebrand Livsforsikring'!G120+'Telenor Forsikring'!G120+'Tryg Forsikring'!G120</f>
        <v>0</v>
      </c>
      <c r="G120" s="165"/>
      <c r="H120" s="237">
        <f t="shared" si="43"/>
        <v>0</v>
      </c>
      <c r="I120" s="237">
        <f t="shared" si="44"/>
        <v>17630.205239999999</v>
      </c>
      <c r="J120" s="23" t="str">
        <f t="shared" si="45"/>
        <v xml:space="preserve">    ---- </v>
      </c>
    </row>
    <row r="121" spans="1:10" ht="15.75" customHeight="1" x14ac:dyDescent="0.2">
      <c r="A121" s="294" t="s">
        <v>14</v>
      </c>
      <c r="B121" s="44" t="str">
        <f>IF($A$1=4,'ACE European Group'!B121+'Danica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AS'!B121+'Landbruksforsikring AS'!B121+'NEMI Forsikring'!B121+'Nordea Liv '!B121+'Oslo Pensjonsforsikring'!B121+'SHB Liv'!B121+'Silver Pensjonsforsikring AS'!B121+'Sparebank 1'!B121+'Storebrand Livsforsikring'!B121+'Telenor Forsikring'!B121+'Tryg Forsikring'!B121,"")</f>
        <v/>
      </c>
      <c r="C121" s="44" t="str">
        <f>IF($A$1=4,'ACE European Group'!C121+'Danica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AS'!C121+'Landbruksforsikring AS'!C121+'NEMI Forsikring'!C121+'Nordea Liv '!C121+'Oslo Pensjonsforsikring'!C121+'SHB Liv'!C121+'Silver Pensjonsforsikring AS'!C121+'Sparebank 1'!C121+'Storebrand Livsforsikring'!C121+'Telenor Forsikring'!C121+'Tryg Forsikring'!C121,"")</f>
        <v/>
      </c>
      <c r="D121" s="27" t="str">
        <f>IF($A$1=4,IF(B121=0, "    ---- ", IF(ABS(ROUND(100/B121*C121-100,1))&lt;999,ROUND(100/B121*C121-100,1),IF(ROUND(100/B121*C121-100,1)&gt;999,999,-999))),"")</f>
        <v/>
      </c>
      <c r="E121" s="44" t="str">
        <f>IF($A$1=4,'ACE European Group'!F121+'Danica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AS'!F121+'Landbruksforsikring AS'!F121+'NEMI Forsikring'!F121+'Nordea Liv '!F121+'Oslo Pensjonsforsikring'!F121+'SHB Liv'!F121+'Silver Pensjonsforsikring AS'!F121+'Sparebank 1'!F121+'Storebrand Livsforsikring'!F121+'Telenor Forsikring'!F121+'Tryg Forsikring'!F121,"")</f>
        <v/>
      </c>
      <c r="F121" s="44" t="str">
        <f>IF($A$1=4,'ACE European Group'!G121+'Danica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AS'!G121+'Landbruksforsikring AS'!G121+'NEMI Forsikring'!G121+'Nordea Liv '!G121+'Oslo Pensjonsforsikring'!G121+'SHB Liv'!G121+'Silver Pensjonsforsikring AS'!G121+'Sparebank 1'!G121+'Storebrand Livsforsikring'!G121+'Telenor Forsikring'!G121+'Tryg Forsikring'!G121,"")</f>
        <v/>
      </c>
      <c r="G121" s="165" t="str">
        <f>IF($A$1=4,IF(E121=0, "    ---- ", IF(ABS(ROUND(100/E121*F121-100,1))&lt;999,ROUND(100/E121*F121-100,1),IF(ROUND(100/E121*F121-100,1)&gt;999,999,-999))),"")</f>
        <v/>
      </c>
      <c r="H121" s="237">
        <f t="shared" si="43"/>
        <v>0</v>
      </c>
      <c r="I121" s="237">
        <f t="shared" si="44"/>
        <v>0</v>
      </c>
      <c r="J121" s="23"/>
    </row>
    <row r="122" spans="1:10" ht="15.75" customHeight="1" x14ac:dyDescent="0.2">
      <c r="A122" s="21" t="s">
        <v>319</v>
      </c>
      <c r="B122" s="237">
        <f>'ACE European Group'!B122+'Danica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AS'!B122+'Landbruksforsikring AS'!B122+'NEMI Forsikring'!B122+'Nordea Liv '!B122+'Oslo Pensjonsforsikring'!B122+'SHB Liv'!B122+'Silver Pensjonsforsikring AS'!B122+'Sparebank 1'!B122+'Storebrand Livsforsikring'!B122+'Telenor Forsikring'!B122+'Tryg Forsikring'!B122</f>
        <v>40343.12384</v>
      </c>
      <c r="C122" s="237">
        <f>'ACE European Group'!C122+'Danica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AS'!C122+'Landbruksforsikring AS'!C122+'NEMI Forsikring'!C122+'Nordea Liv '!C122+'Oslo Pensjonsforsikring'!C122+'SHB Liv'!C122+'Silver Pensjonsforsikring AS'!C122+'Sparebank 1'!C122+'Storebrand Livsforsikring'!C122+'Telenor Forsikring'!C122+'Tryg Forsikring'!C122</f>
        <v>5921.4480000000003</v>
      </c>
      <c r="D122" s="23">
        <f t="shared" si="41"/>
        <v>-85.3</v>
      </c>
      <c r="E122" s="44">
        <f>'ACE European Group'!F122+'Danica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AS'!F122+'Landbruksforsikring AS'!F122+'NEMI Forsikring'!F122+'Nordea Liv '!F122+'Oslo Pensjonsforsikring'!F122+'SHB Liv'!F122+'Silver Pensjonsforsikring AS'!F122+'Sparebank 1'!F122+'Storebrand Livsforsikring'!F122+'Telenor Forsikring'!F122+'Tryg Forsikring'!F122</f>
        <v>21433.298999999999</v>
      </c>
      <c r="F122" s="44">
        <f>'ACE European Group'!G122+'Danica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AS'!G122+'Landbruksforsikring AS'!G122+'NEMI Forsikring'!G122+'Nordea Liv '!G122+'Oslo Pensjonsforsikring'!G122+'SHB Liv'!G122+'Silver Pensjonsforsikring AS'!G122+'Sparebank 1'!G122+'Storebrand Livsforsikring'!G122+'Telenor Forsikring'!G122+'Tryg Forsikring'!G122</f>
        <v>9802.9210000000003</v>
      </c>
      <c r="G122" s="165">
        <f t="shared" si="42"/>
        <v>-54.3</v>
      </c>
      <c r="H122" s="237">
        <f t="shared" si="43"/>
        <v>61776.422839999999</v>
      </c>
      <c r="I122" s="237">
        <f t="shared" si="44"/>
        <v>15724.369000000001</v>
      </c>
      <c r="J122" s="23">
        <f t="shared" si="45"/>
        <v>-74.5</v>
      </c>
    </row>
    <row r="123" spans="1:10" ht="15.75" customHeight="1" x14ac:dyDescent="0.2">
      <c r="A123" s="21" t="s">
        <v>320</v>
      </c>
      <c r="B123" s="237">
        <f>'ACE European Group'!B123+'Danica Pensjonsforsikring'!B123+'DNB Livsforsikring'!B123+'Eika Forsikring AS'!B123+'Frende Livsforsikring'!B123+'Frende Skadeforsikring'!B123+'Gjensidige Forsikring'!B123+'Gjensidige Pensjon'!B123+'Handelsbanken Liv'!B123+'If Skadeforsikring NUF'!B123+KLP!B123+'KLP Bedriftspensjon AS'!B123+'KLP Skadeforsikring AS'!B123+'Landbruksforsikring AS'!B123+'NEMI Forsikring'!B123+'Nordea Liv '!B123+'Oslo Pensjonsforsikring'!B123+'SHB Liv'!B123+'Silver Pensjonsforsikring AS'!B123+'Sparebank 1'!B123+'Storebrand Livsforsikring'!B123+'Telenor Forsikring'!B123+'Tryg Forsikring'!B123</f>
        <v>1626.4204999999999</v>
      </c>
      <c r="C123" s="237">
        <f>'ACE European Group'!C123+'Danica Pensjonsforsikring'!C123+'DNB Livsforsikring'!C123+'Eika Forsikring AS'!C123+'Frende Livsforsikring'!C123+'Frende Skadeforsikring'!C123+'Gjensidige Forsikring'!C123+'Gjensidige Pensjon'!C123+'Handelsbanken Liv'!C123+'If Skadeforsikring NUF'!C123+KLP!C123+'KLP Bedriftspensjon AS'!C123+'KLP Skadeforsikring AS'!C123+'Landbruksforsikring AS'!C123+'NEMI Forsikring'!C123+'Nordea Liv '!C123+'Oslo Pensjonsforsikring'!C123+'SHB Liv'!C123+'Silver Pensjonsforsikring AS'!C123+'Sparebank 1'!C123+'Storebrand Livsforsikring'!C123+'Telenor Forsikring'!C123+'Tryg Forsikring'!C123</f>
        <v>3061.0189800000003</v>
      </c>
      <c r="D123" s="23">
        <f t="shared" si="41"/>
        <v>88.2</v>
      </c>
      <c r="E123" s="44">
        <f>'ACE European Group'!F123+'Danica Pensjonsforsikring'!F123+'DNB Livsforsikring'!F123+'Eika Forsikring AS'!F123+'Frende Livsforsikring'!F123+'Frende Skadeforsikring'!F123+'Gjensidige Forsikring'!F123+'Gjensidige Pensjon'!F123+'Handelsbanken Liv'!F123+'If Skadeforsikring NUF'!F123+KLP!F123+'KLP Bedriftspensjon AS'!F123+'KLP Skadeforsikring AS'!F123+'Landbruksforsikring AS'!F123+'NEMI Forsikring'!F123+'Nordea Liv '!F123+'Oslo Pensjonsforsikring'!F123+'SHB Liv'!F123+'Silver Pensjonsforsikring AS'!F123+'Sparebank 1'!F123+'Storebrand Livsforsikring'!F123+'Telenor Forsikring'!F123+'Tryg Forsikring'!F123</f>
        <v>431445.72641</v>
      </c>
      <c r="F123" s="44">
        <f>'ACE European Group'!G123+'Danica Pensjonsforsikring'!G123+'DNB Livsforsikring'!G123+'Eika Forsikring AS'!G123+'Frende Livsforsikring'!G123+'Frende Skadeforsikring'!G123+'Gjensidige Forsikring'!G123+'Gjensidige Pensjon'!G123+'Handelsbanken Liv'!G123+'If Skadeforsikring NUF'!G123+KLP!G123+'KLP Bedriftspensjon AS'!G123+'KLP Skadeforsikring AS'!G123+'Landbruksforsikring AS'!G123+'NEMI Forsikring'!G123+'Nordea Liv '!G123+'Oslo Pensjonsforsikring'!G123+'SHB Liv'!G123+'Silver Pensjonsforsikring AS'!G123+'Sparebank 1'!G123+'Storebrand Livsforsikring'!G123+'Telenor Forsikring'!G123+'Tryg Forsikring'!G123</f>
        <v>942187.1791500001</v>
      </c>
      <c r="G123" s="165">
        <f t="shared" si="42"/>
        <v>118.4</v>
      </c>
      <c r="H123" s="237">
        <f t="shared" si="43"/>
        <v>433072.14691000001</v>
      </c>
      <c r="I123" s="237">
        <f t="shared" si="44"/>
        <v>945248.19813000015</v>
      </c>
      <c r="J123" s="23">
        <f t="shared" si="45"/>
        <v>118.3</v>
      </c>
    </row>
    <row r="124" spans="1:10" ht="15.75" customHeight="1" x14ac:dyDescent="0.2">
      <c r="A124" s="10" t="s">
        <v>321</v>
      </c>
      <c r="B124" s="238">
        <f>'ACE European Group'!B124+'Danica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AS'!B124+'Landbruksforsikring AS'!B124+'NEMI Forsikring'!B124+'Nordea Liv '!B124+'Oslo Pensjonsforsikring'!B124+'SHB Liv'!B124+'Silver Pensjonsforsikring AS'!B124+'Sparebank 1'!B124+'Storebrand Livsforsikring'!B124+'Telenor Forsikring'!B124+'Tryg Forsikring'!B124</f>
        <v>0</v>
      </c>
      <c r="C124" s="239">
        <f>'ACE European Group'!C124+'Danica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AS'!C124+'Landbruksforsikring AS'!C124+'NEMI Forsikring'!C124+'Nordea Liv '!C124+'Oslo Pensjonsforsikring'!C124+'SHB Liv'!C124+'Silver Pensjonsforsikring AS'!C124+'Sparebank 1'!C124+'Storebrand Livsforsikring'!C124+'Telenor Forsikring'!C124+'Tryg Forsikring'!C124</f>
        <v>0</v>
      </c>
      <c r="D124" s="22"/>
      <c r="E124" s="45">
        <f>'ACE European Group'!F124+'Danica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AS'!F124+'Landbruksforsikring AS'!F124+'NEMI Forsikring'!F124+'Nordea Liv '!F124+'Oslo Pensjonsforsikring'!F124+'SHB Liv'!F124+'Silver Pensjonsforsikring AS'!F124+'Sparebank 1'!F124+'Storebrand Livsforsikring'!F124+'Telenor Forsikring'!F124+'Tryg Forsikring'!F124</f>
        <v>0</v>
      </c>
      <c r="F124" s="45">
        <f>'ACE European Group'!G124+'Danica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AS'!G124+'Landbruksforsikring AS'!G124+'NEMI Forsikring'!G124+'Nordea Liv '!G124+'Oslo Pensjonsforsikring'!G124+'SHB Liv'!G124+'Silver Pensjonsforsikring AS'!G124+'Sparebank 1'!G124+'Storebrand Livsforsikring'!G124+'Telenor Forsikring'!G124+'Tryg Forsikring'!G124</f>
        <v>0</v>
      </c>
      <c r="G124" s="166"/>
      <c r="H124" s="238">
        <f t="shared" si="43"/>
        <v>0</v>
      </c>
      <c r="I124" s="239">
        <f t="shared" si="44"/>
        <v>0</v>
      </c>
      <c r="J124" s="22"/>
    </row>
    <row r="125" spans="1:10" ht="15.75" customHeight="1" x14ac:dyDescent="0.2">
      <c r="A125" s="154"/>
    </row>
    <row r="126" spans="1:10" ht="15.75" customHeight="1" x14ac:dyDescent="0.2">
      <c r="A126" s="148"/>
    </row>
    <row r="127" spans="1:10" ht="15.75" customHeight="1" x14ac:dyDescent="0.25">
      <c r="A127" s="164" t="s">
        <v>31</v>
      </c>
    </row>
    <row r="128" spans="1:10" ht="15.75" customHeight="1" x14ac:dyDescent="0.25">
      <c r="A128" s="148"/>
      <c r="B128" s="671"/>
      <c r="C128" s="671"/>
      <c r="D128" s="671"/>
      <c r="E128" s="671"/>
      <c r="F128" s="671"/>
      <c r="G128" s="671"/>
      <c r="H128" s="671"/>
      <c r="I128" s="671"/>
      <c r="J128" s="671"/>
    </row>
    <row r="129" spans="1:14" s="3" customFormat="1" ht="20.100000000000001" customHeight="1" x14ac:dyDescent="0.2">
      <c r="A129" s="143"/>
      <c r="B129" s="668" t="s">
        <v>0</v>
      </c>
      <c r="C129" s="669"/>
      <c r="D129" s="670"/>
      <c r="E129" s="669" t="s">
        <v>1</v>
      </c>
      <c r="F129" s="669"/>
      <c r="G129" s="669"/>
      <c r="H129" s="668" t="s">
        <v>2</v>
      </c>
      <c r="I129" s="669"/>
      <c r="J129" s="670"/>
    </row>
    <row r="130" spans="1:14" s="3" customFormat="1" ht="15.75" customHeight="1" x14ac:dyDescent="0.2">
      <c r="A130" s="140"/>
      <c r="B130" s="253" t="s">
        <v>411</v>
      </c>
      <c r="C130" s="253" t="s">
        <v>412</v>
      </c>
      <c r="D130" s="19" t="s">
        <v>3</v>
      </c>
      <c r="E130" s="253" t="s">
        <v>411</v>
      </c>
      <c r="F130" s="253" t="s">
        <v>412</v>
      </c>
      <c r="G130" s="19" t="s">
        <v>3</v>
      </c>
      <c r="H130" s="253" t="s">
        <v>411</v>
      </c>
      <c r="I130" s="253" t="s">
        <v>412</v>
      </c>
      <c r="J130" s="19" t="s">
        <v>3</v>
      </c>
    </row>
    <row r="131" spans="1:14" s="3" customFormat="1" ht="15.75" customHeight="1" x14ac:dyDescent="0.2">
      <c r="A131" s="436"/>
      <c r="B131" s="15"/>
      <c r="C131" s="15"/>
      <c r="D131" s="17" t="s">
        <v>4</v>
      </c>
      <c r="E131" s="16"/>
      <c r="F131" s="16"/>
      <c r="G131" s="15" t="s">
        <v>4</v>
      </c>
      <c r="H131" s="16"/>
      <c r="I131" s="16"/>
      <c r="J131" s="15" t="s">
        <v>4</v>
      </c>
    </row>
    <row r="132" spans="1:14" s="396" customFormat="1" ht="15.75" customHeight="1" x14ac:dyDescent="0.2">
      <c r="A132" s="14" t="s">
        <v>323</v>
      </c>
      <c r="B132" s="236">
        <v>19312251.3917</v>
      </c>
      <c r="C132" s="236">
        <v>16521567.102909999</v>
      </c>
      <c r="D132" s="11">
        <v>-14.5</v>
      </c>
      <c r="E132" s="236">
        <v>76382.539000000004</v>
      </c>
      <c r="F132" s="236">
        <v>52296.226000000002</v>
      </c>
      <c r="G132" s="11">
        <v>-31.5</v>
      </c>
      <c r="H132" s="236">
        <v>19388633.9307</v>
      </c>
      <c r="I132" s="236">
        <v>16573863.328909999</v>
      </c>
      <c r="J132" s="11">
        <v>-14.5</v>
      </c>
    </row>
    <row r="133" spans="1:14" s="396" customFormat="1" ht="15.75" customHeight="1" x14ac:dyDescent="0.2">
      <c r="A133" s="13" t="s">
        <v>324</v>
      </c>
      <c r="B133" s="236">
        <v>474446576.40594995</v>
      </c>
      <c r="C133" s="236">
        <v>501528009.73421001</v>
      </c>
      <c r="D133" s="11">
        <v>5.7</v>
      </c>
      <c r="E133" s="236">
        <v>2120218.96215</v>
      </c>
      <c r="F133" s="236">
        <v>2288839.25715</v>
      </c>
      <c r="G133" s="11">
        <v>8</v>
      </c>
      <c r="H133" s="236">
        <v>476566795.36809993</v>
      </c>
      <c r="I133" s="236">
        <v>503816848.99136001</v>
      </c>
      <c r="J133" s="11">
        <v>5.7</v>
      </c>
    </row>
    <row r="134" spans="1:14" s="396" customFormat="1" ht="15.75" customHeight="1" x14ac:dyDescent="0.2">
      <c r="A134" s="13" t="s">
        <v>325</v>
      </c>
      <c r="B134" s="236">
        <v>1738468.5430000001</v>
      </c>
      <c r="C134" s="236">
        <v>183490.30300000001</v>
      </c>
      <c r="D134" s="11">
        <v>-89.4</v>
      </c>
      <c r="E134" s="236">
        <v>0</v>
      </c>
      <c r="F134" s="236">
        <v>24988.125</v>
      </c>
      <c r="G134" s="11" t="s">
        <v>414</v>
      </c>
      <c r="H134" s="236">
        <v>1738468.5430000001</v>
      </c>
      <c r="I134" s="236">
        <v>208478.42800000001</v>
      </c>
      <c r="J134" s="11">
        <v>-88</v>
      </c>
    </row>
    <row r="135" spans="1:14" s="396" customFormat="1" ht="15.75" customHeight="1" x14ac:dyDescent="0.2">
      <c r="A135" s="41" t="s">
        <v>326</v>
      </c>
      <c r="B135" s="281">
        <v>1924172.7790000001</v>
      </c>
      <c r="C135" s="281">
        <v>354138.24600000004</v>
      </c>
      <c r="D135" s="9">
        <v>-81.599999999999994</v>
      </c>
      <c r="E135" s="281">
        <v>0</v>
      </c>
      <c r="F135" s="281">
        <v>0</v>
      </c>
      <c r="G135" s="9"/>
      <c r="H135" s="281">
        <v>1924172.7790000001</v>
      </c>
      <c r="I135" s="281">
        <v>354138.24600000004</v>
      </c>
      <c r="J135" s="9">
        <v>-81.599999999999994</v>
      </c>
    </row>
    <row r="136" spans="1:14" s="3" customFormat="1" ht="15.75" customHeight="1" x14ac:dyDescent="0.2">
      <c r="A136" s="8"/>
      <c r="E136" s="7"/>
      <c r="F136" s="7"/>
      <c r="G136" s="6"/>
      <c r="H136" s="7"/>
      <c r="I136" s="7"/>
      <c r="J136" s="6"/>
    </row>
    <row r="137" spans="1:14" ht="15.75" customHeight="1" x14ac:dyDescent="0.2"/>
    <row r="138" spans="1:14" ht="15.75" customHeight="1" x14ac:dyDescent="0.2">
      <c r="N138" s="3"/>
    </row>
    <row r="139" spans="1:14" ht="15.75" customHeight="1" x14ac:dyDescent="0.2">
      <c r="N139" s="3"/>
    </row>
    <row r="140" spans="1:14" ht="15.75" customHeight="1" x14ac:dyDescent="0.2"/>
    <row r="141" spans="1:14" ht="15.75" customHeight="1" x14ac:dyDescent="0.2"/>
    <row r="142" spans="1:14" ht="15.75" customHeight="1" x14ac:dyDescent="0.2"/>
    <row r="143" spans="1:14" ht="15.75" customHeight="1" x14ac:dyDescent="0.2"/>
    <row r="144" spans="1:1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sheetData>
  <mergeCells count="27">
    <mergeCell ref="B18:D18"/>
    <mergeCell ref="E18:G18"/>
    <mergeCell ref="H18:J18"/>
    <mergeCell ref="B2:D2"/>
    <mergeCell ref="E2:G2"/>
    <mergeCell ref="H2:J2"/>
    <mergeCell ref="B4:D4"/>
    <mergeCell ref="E4:G4"/>
    <mergeCell ref="H4:J4"/>
    <mergeCell ref="B61:D61"/>
    <mergeCell ref="E61:G61"/>
    <mergeCell ref="H61:J61"/>
    <mergeCell ref="B19:D19"/>
    <mergeCell ref="E19:G19"/>
    <mergeCell ref="H19:J19"/>
    <mergeCell ref="B60:D60"/>
    <mergeCell ref="E60:G60"/>
    <mergeCell ref="H60:J60"/>
    <mergeCell ref="B40:D40"/>
    <mergeCell ref="E40:G40"/>
    <mergeCell ref="H40:J40"/>
    <mergeCell ref="B129:D129"/>
    <mergeCell ref="E129:G129"/>
    <mergeCell ref="H129:J129"/>
    <mergeCell ref="B128:D128"/>
    <mergeCell ref="E128:G128"/>
    <mergeCell ref="H128:J128"/>
  </mergeCells>
  <conditionalFormatting sqref="H99:I104">
    <cfRule type="expression" dxfId="1923" priority="46">
      <formula>kvartal&lt;4</formula>
    </cfRule>
  </conditionalFormatting>
  <conditionalFormatting sqref="B23:C26 E23:F26">
    <cfRule type="expression" dxfId="1922" priority="60">
      <formula>kvartal&lt;4</formula>
    </cfRule>
  </conditionalFormatting>
  <conditionalFormatting sqref="H23:I26">
    <cfRule type="expression" dxfId="1921" priority="59">
      <formula>kvartal&lt;4</formula>
    </cfRule>
  </conditionalFormatting>
  <conditionalFormatting sqref="H29:I31">
    <cfRule type="expression" dxfId="1920" priority="57">
      <formula>kvartal&lt;4</formula>
    </cfRule>
  </conditionalFormatting>
  <conditionalFormatting sqref="H67:I72">
    <cfRule type="expression" dxfId="1919" priority="54">
      <formula>kvartal&lt;4</formula>
    </cfRule>
  </conditionalFormatting>
  <conditionalFormatting sqref="H78:I83">
    <cfRule type="expression" dxfId="1918" priority="51">
      <formula>kvartal&lt;4</formula>
    </cfRule>
  </conditionalFormatting>
  <conditionalFormatting sqref="H88:I93">
    <cfRule type="expression" dxfId="1917" priority="47">
      <formula>kvartal&lt;4</formula>
    </cfRule>
  </conditionalFormatting>
  <conditionalFormatting sqref="H113:I113">
    <cfRule type="expression" dxfId="1916" priority="45">
      <formula>kvartal&lt;4</formula>
    </cfRule>
  </conditionalFormatting>
  <conditionalFormatting sqref="H121:I121">
    <cfRule type="expression" dxfId="1915" priority="44">
      <formula>kvartal&lt;4</formula>
    </cfRule>
  </conditionalFormatting>
  <conditionalFormatting sqref="A23:A25">
    <cfRule type="expression" dxfId="1914" priority="43">
      <formula>kvartal &lt; 4</formula>
    </cfRule>
  </conditionalFormatting>
  <conditionalFormatting sqref="A29:A31">
    <cfRule type="expression" dxfId="1913" priority="41">
      <formula>kvartal &lt; 4</formula>
    </cfRule>
  </conditionalFormatting>
  <conditionalFormatting sqref="A48:A50">
    <cfRule type="expression" dxfId="1912" priority="40">
      <formula>kvartal &lt; 4</formula>
    </cfRule>
  </conditionalFormatting>
  <conditionalFormatting sqref="A67:A72">
    <cfRule type="expression" dxfId="1911" priority="38">
      <formula>kvartal &lt; 4</formula>
    </cfRule>
  </conditionalFormatting>
  <conditionalFormatting sqref="A78:A83">
    <cfRule type="expression" dxfId="1910" priority="37">
      <formula>kvartal &lt; 4</formula>
    </cfRule>
  </conditionalFormatting>
  <conditionalFormatting sqref="A88:A93">
    <cfRule type="expression" dxfId="1909" priority="34">
      <formula>kvartal &lt; 4</formula>
    </cfRule>
  </conditionalFormatting>
  <conditionalFormatting sqref="A99:A104">
    <cfRule type="expression" dxfId="1908" priority="33">
      <formula>kvartal &lt; 4</formula>
    </cfRule>
  </conditionalFormatting>
  <conditionalFormatting sqref="A113">
    <cfRule type="expression" dxfId="1907" priority="32">
      <formula>kvartal &lt; 4</formula>
    </cfRule>
  </conditionalFormatting>
  <conditionalFormatting sqref="A121">
    <cfRule type="expression" dxfId="1906" priority="31">
      <formula>kvartal &lt; 4</formula>
    </cfRule>
  </conditionalFormatting>
  <conditionalFormatting sqref="A26">
    <cfRule type="expression" dxfId="1905" priority="30">
      <formula>kvartal &lt; 4</formula>
    </cfRule>
  </conditionalFormatting>
  <conditionalFormatting sqref="E29:F31">
    <cfRule type="expression" dxfId="1904" priority="27">
      <formula>kvartal&lt;4</formula>
    </cfRule>
  </conditionalFormatting>
  <conditionalFormatting sqref="B29:C31">
    <cfRule type="expression" dxfId="1903" priority="25">
      <formula>kvartal&lt;4</formula>
    </cfRule>
  </conditionalFormatting>
  <conditionalFormatting sqref="B48:C50">
    <cfRule type="expression" dxfId="1902" priority="24">
      <formula>kvartal&lt;4</formula>
    </cfRule>
  </conditionalFormatting>
  <conditionalFormatting sqref="B67:C67">
    <cfRule type="expression" dxfId="1901" priority="22">
      <formula>kvartal&lt;4</formula>
    </cfRule>
  </conditionalFormatting>
  <conditionalFormatting sqref="B70:C70">
    <cfRule type="expression" dxfId="1900" priority="21">
      <formula>kvartal&lt;4</formula>
    </cfRule>
  </conditionalFormatting>
  <conditionalFormatting sqref="B78:C78">
    <cfRule type="expression" dxfId="1899" priority="20">
      <formula>kvartal&lt;4</formula>
    </cfRule>
  </conditionalFormatting>
  <conditionalFormatting sqref="B81:C81">
    <cfRule type="expression" dxfId="1898" priority="19">
      <formula>kvartal&lt;4</formula>
    </cfRule>
  </conditionalFormatting>
  <conditionalFormatting sqref="B88:C88">
    <cfRule type="expression" dxfId="1897" priority="14">
      <formula>kvartal&lt;4</formula>
    </cfRule>
  </conditionalFormatting>
  <conditionalFormatting sqref="B91:C91">
    <cfRule type="expression" dxfId="1896" priority="13">
      <formula>kvartal&lt;4</formula>
    </cfRule>
  </conditionalFormatting>
  <conditionalFormatting sqref="B99:C99">
    <cfRule type="expression" dxfId="1895" priority="12">
      <formula>kvartal&lt;4</formula>
    </cfRule>
  </conditionalFormatting>
  <conditionalFormatting sqref="B102:C102">
    <cfRule type="expression" dxfId="1894" priority="11">
      <formula>kvartal&lt;4</formula>
    </cfRule>
  </conditionalFormatting>
  <conditionalFormatting sqref="B113:C113">
    <cfRule type="expression" dxfId="1893" priority="10">
      <formula>kvartal&lt;4</formula>
    </cfRule>
  </conditionalFormatting>
  <conditionalFormatting sqref="B121:C121">
    <cfRule type="expression" dxfId="1892" priority="9">
      <formula>kvartal&lt;4</formula>
    </cfRule>
  </conditionalFormatting>
  <conditionalFormatting sqref="E67:F72">
    <cfRule type="expression" dxfId="1891" priority="8">
      <formula>kvartal&lt;4</formula>
    </cfRule>
  </conditionalFormatting>
  <conditionalFormatting sqref="E78:F83">
    <cfRule type="expression" dxfId="1890" priority="7">
      <formula>kvartal&lt;4</formula>
    </cfRule>
  </conditionalFormatting>
  <conditionalFormatting sqref="E88:F93">
    <cfRule type="expression" dxfId="1889" priority="4">
      <formula>kvartal&lt;4</formula>
    </cfRule>
  </conditionalFormatting>
  <conditionalFormatting sqref="E99:F104">
    <cfRule type="expression" dxfId="1888" priority="3">
      <formula>kvartal&lt;4</formula>
    </cfRule>
  </conditionalFormatting>
  <conditionalFormatting sqref="E113:F113">
    <cfRule type="expression" dxfId="1887" priority="2">
      <formula>kvartal&lt;4</formula>
    </cfRule>
  </conditionalFormatting>
  <conditionalFormatting sqref="E121:F121">
    <cfRule type="expression" dxfId="1886"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138</v>
      </c>
      <c r="D1" s="26"/>
      <c r="E1" s="26"/>
      <c r="F1" s="26"/>
      <c r="G1" s="26"/>
      <c r="H1" s="26"/>
      <c r="I1" s="26"/>
      <c r="J1" s="26"/>
      <c r="K1" s="26"/>
      <c r="L1" s="26"/>
      <c r="M1" s="26"/>
    </row>
    <row r="2" spans="1:14" ht="15.75" x14ac:dyDescent="0.25">
      <c r="A2" s="164" t="s">
        <v>32</v>
      </c>
      <c r="B2" s="353"/>
      <c r="C2" s="353"/>
      <c r="D2" s="353"/>
      <c r="E2" s="353"/>
      <c r="F2" s="353"/>
      <c r="G2" s="353"/>
      <c r="H2" s="353"/>
      <c r="I2" s="353"/>
      <c r="J2" s="353"/>
      <c r="K2" s="353"/>
      <c r="L2" s="353"/>
      <c r="M2" s="353"/>
    </row>
    <row r="3" spans="1:14" ht="15.75" x14ac:dyDescent="0.25">
      <c r="A3" s="162"/>
      <c r="B3" s="353"/>
      <c r="C3" s="353"/>
      <c r="D3" s="353"/>
      <c r="E3" s="353"/>
      <c r="F3" s="353"/>
      <c r="G3" s="353"/>
      <c r="H3" s="353"/>
      <c r="I3" s="353"/>
      <c r="J3" s="353"/>
      <c r="K3" s="353"/>
      <c r="L3" s="353"/>
      <c r="M3" s="353"/>
    </row>
    <row r="4" spans="1:14" x14ac:dyDescent="0.2">
      <c r="A4" s="143"/>
      <c r="B4" s="676" t="s">
        <v>0</v>
      </c>
      <c r="C4" s="677"/>
      <c r="D4" s="678"/>
      <c r="E4" s="350"/>
      <c r="F4" s="349" t="s">
        <v>1</v>
      </c>
      <c r="G4" s="350"/>
      <c r="H4" s="350"/>
      <c r="I4" s="351"/>
      <c r="J4" s="349" t="s">
        <v>2</v>
      </c>
      <c r="K4" s="350"/>
      <c r="L4" s="350"/>
      <c r="M4" s="351"/>
    </row>
    <row r="5" spans="1:14" x14ac:dyDescent="0.2">
      <c r="A5" s="157"/>
      <c r="B5" s="151" t="s">
        <v>411</v>
      </c>
      <c r="C5" s="151" t="s">
        <v>412</v>
      </c>
      <c r="D5" s="246" t="s">
        <v>3</v>
      </c>
      <c r="E5" s="303" t="s">
        <v>33</v>
      </c>
      <c r="F5" s="151" t="s">
        <v>411</v>
      </c>
      <c r="G5" s="151" t="s">
        <v>412</v>
      </c>
      <c r="H5" s="246" t="s">
        <v>3</v>
      </c>
      <c r="I5" s="303"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56"/>
      <c r="C7" s="357"/>
      <c r="D7" s="364">
        <f t="shared" ref="D7:D12" si="0">IF(AND(_xlfn.NUMBERVALUE(B7)=0,_xlfn.NUMBERVALUE(C7)=0),,IF(B7=0, "    ---- ", IF(ABS(ROUND(100/B7*C7-100,1))&lt;999,IF(ROUND(100/B7*C7-100,1)=0,"    ---- ",ROUND(100/B7*C7-100,1)),IF(ROUND(100/B7*C7-100,1)&gt;999,999,-999))))</f>
        <v>0</v>
      </c>
      <c r="E7" s="365">
        <f>IFERROR(100/'Skjema total MA'!C7*C7,0)</f>
        <v>0</v>
      </c>
      <c r="F7" s="356"/>
      <c r="G7" s="357"/>
      <c r="H7" s="364">
        <f t="shared" ref="H7:H12" si="1">IF(AND(_xlfn.NUMBERVALUE(F7)=0,_xlfn.NUMBERVALUE(G7)=0),,IF(F7=0, "    ---- ", IF(ABS(ROUND(100/F7*G7-100,1))&lt;999,IF(ROUND(100/F7*G7-100,1)=0,"    ---- ",ROUND(100/F7*G7-100,1)),IF(ROUND(100/F7*G7-100,1)&gt;999,999,-999))))</f>
        <v>0</v>
      </c>
      <c r="I7" s="365">
        <f>IFERROR(100/'Skjema total MA'!F7*G7,0)</f>
        <v>0</v>
      </c>
      <c r="J7" s="366"/>
      <c r="K7" s="361"/>
      <c r="L7" s="364">
        <f t="shared" ref="L7:L12" si="2">IF(AND(_xlfn.NUMBERVALUE(J7)=0,_xlfn.NUMBERVALUE(K7)=0),,IF(J7=0, "    ---- ", IF(ABS(ROUND(100/J7*K7-100,1))&lt;999,IF(ROUND(100/J7*K7-100,1)=0,"    ---- ",ROUND(100/J7*K7-100,1)),IF(ROUND(100/J7*K7-100,1)&gt;999,999,-999))))</f>
        <v>0</v>
      </c>
      <c r="M7" s="365">
        <f>IFERROR(100/'Skjema total MA'!I7*K7,0)</f>
        <v>0</v>
      </c>
    </row>
    <row r="8" spans="1:14" ht="15.75" x14ac:dyDescent="0.2">
      <c r="A8" s="21" t="s">
        <v>29</v>
      </c>
      <c r="B8" s="358"/>
      <c r="C8" s="359"/>
      <c r="D8" s="367">
        <f t="shared" si="0"/>
        <v>0</v>
      </c>
      <c r="E8" s="365">
        <f>IFERROR(100/'Skjema total MA'!C8*C8,0)</f>
        <v>0</v>
      </c>
      <c r="F8" s="411"/>
      <c r="G8" s="412"/>
      <c r="H8" s="367">
        <f t="shared" si="1"/>
        <v>0</v>
      </c>
      <c r="I8" s="365">
        <f>IFERROR(100/'Skjema total MA'!F8*G8,0)</f>
        <v>0</v>
      </c>
      <c r="J8" s="368"/>
      <c r="K8" s="359"/>
      <c r="L8" s="367">
        <f t="shared" si="2"/>
        <v>0</v>
      </c>
      <c r="M8" s="365">
        <f>IFERROR(100/'Skjema total MA'!I8*K8,0)</f>
        <v>0</v>
      </c>
    </row>
    <row r="9" spans="1:14" ht="15.75" x14ac:dyDescent="0.2">
      <c r="A9" s="21" t="s">
        <v>28</v>
      </c>
      <c r="B9" s="358"/>
      <c r="C9" s="359"/>
      <c r="D9" s="367">
        <f t="shared" si="0"/>
        <v>0</v>
      </c>
      <c r="E9" s="365">
        <f>IFERROR(100/'Skjema total MA'!C9*C9,0)</f>
        <v>0</v>
      </c>
      <c r="F9" s="411"/>
      <c r="G9" s="412"/>
      <c r="H9" s="367">
        <f t="shared" si="1"/>
        <v>0</v>
      </c>
      <c r="I9" s="365">
        <f>IFERROR(100/'Skjema total MA'!F9*G9,0)</f>
        <v>0</v>
      </c>
      <c r="J9" s="368"/>
      <c r="K9" s="359"/>
      <c r="L9" s="367">
        <f t="shared" si="2"/>
        <v>0</v>
      </c>
      <c r="M9" s="365">
        <f>IFERROR(100/'Skjema total MA'!I9*K9,0)</f>
        <v>0</v>
      </c>
    </row>
    <row r="10" spans="1:14" ht="15.75" x14ac:dyDescent="0.2">
      <c r="A10" s="13" t="s">
        <v>26</v>
      </c>
      <c r="B10" s="360"/>
      <c r="C10" s="361"/>
      <c r="D10" s="367">
        <f t="shared" si="0"/>
        <v>0</v>
      </c>
      <c r="E10" s="365">
        <f>IFERROR(100/'Skjema total MA'!C10*C10,0)</f>
        <v>0</v>
      </c>
      <c r="F10" s="360"/>
      <c r="G10" s="361"/>
      <c r="H10" s="367">
        <f t="shared" si="1"/>
        <v>0</v>
      </c>
      <c r="I10" s="365">
        <f>IFERROR(100/'Skjema total MA'!F10*G10,0)</f>
        <v>0</v>
      </c>
      <c r="J10" s="366"/>
      <c r="K10" s="361"/>
      <c r="L10" s="367">
        <f t="shared" si="2"/>
        <v>0</v>
      </c>
      <c r="M10" s="365">
        <f>IFERROR(100/'Skjema total MA'!I10*K10,0)</f>
        <v>0</v>
      </c>
    </row>
    <row r="11" spans="1:14" s="43" customFormat="1" ht="15.75" x14ac:dyDescent="0.2">
      <c r="A11" s="13" t="s">
        <v>25</v>
      </c>
      <c r="B11" s="360"/>
      <c r="C11" s="361"/>
      <c r="D11" s="367">
        <f t="shared" si="0"/>
        <v>0</v>
      </c>
      <c r="E11" s="365">
        <f>IFERROR(100/'Skjema total MA'!C11*C11,0)</f>
        <v>0</v>
      </c>
      <c r="F11" s="360"/>
      <c r="G11" s="361"/>
      <c r="H11" s="367">
        <f t="shared" si="1"/>
        <v>0</v>
      </c>
      <c r="I11" s="365">
        <f>IFERROR(100/'Skjema total MA'!F11*G11,0)</f>
        <v>0</v>
      </c>
      <c r="J11" s="366"/>
      <c r="K11" s="361"/>
      <c r="L11" s="367">
        <f t="shared" si="2"/>
        <v>0</v>
      </c>
      <c r="M11" s="365">
        <f>IFERROR(100/'Skjema total MA'!I11*K11,0)</f>
        <v>0</v>
      </c>
      <c r="N11" s="142"/>
    </row>
    <row r="12" spans="1:14" s="43" customFormat="1" ht="15.75" x14ac:dyDescent="0.2">
      <c r="A12" s="41" t="s">
        <v>24</v>
      </c>
      <c r="B12" s="362"/>
      <c r="C12" s="363"/>
      <c r="D12" s="369">
        <f t="shared" si="0"/>
        <v>0</v>
      </c>
      <c r="E12" s="369">
        <f>IFERROR(100/'Skjema total MA'!C12*C12,0)</f>
        <v>0</v>
      </c>
      <c r="F12" s="362"/>
      <c r="G12" s="363"/>
      <c r="H12" s="369">
        <f t="shared" si="1"/>
        <v>0</v>
      </c>
      <c r="I12" s="369">
        <f>IFERROR(100/'Skjema total MA'!F12*G12,0)</f>
        <v>0</v>
      </c>
      <c r="J12" s="370"/>
      <c r="K12" s="363"/>
      <c r="L12" s="369">
        <f t="shared" si="2"/>
        <v>0</v>
      </c>
      <c r="M12" s="369">
        <f>IFERROR(100/'Skjema total MA'!I12*K12,0)</f>
        <v>0</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352"/>
      <c r="C18" s="352"/>
      <c r="D18" s="352"/>
      <c r="E18" s="353"/>
      <c r="F18" s="352"/>
      <c r="G18" s="352"/>
      <c r="H18" s="352"/>
      <c r="I18" s="353"/>
      <c r="J18" s="352"/>
      <c r="K18" s="352"/>
      <c r="L18" s="352"/>
      <c r="M18" s="353"/>
    </row>
    <row r="19" spans="1:14" x14ac:dyDescent="0.2">
      <c r="A19" s="143"/>
      <c r="B19" s="673" t="s">
        <v>0</v>
      </c>
      <c r="C19" s="674"/>
      <c r="D19" s="674"/>
      <c r="E19" s="675"/>
      <c r="F19" s="673" t="s">
        <v>1</v>
      </c>
      <c r="G19" s="674"/>
      <c r="H19" s="674"/>
      <c r="I19" s="675"/>
      <c r="J19" s="349" t="s">
        <v>2</v>
      </c>
      <c r="K19" s="350"/>
      <c r="L19" s="350"/>
      <c r="M19" s="351"/>
    </row>
    <row r="20" spans="1:14" x14ac:dyDescent="0.2">
      <c r="A20" s="140" t="s">
        <v>5</v>
      </c>
      <c r="B20" s="243" t="s">
        <v>411</v>
      </c>
      <c r="C20" s="243" t="s">
        <v>412</v>
      </c>
      <c r="D20" s="161" t="s">
        <v>3</v>
      </c>
      <c r="E20" s="303" t="s">
        <v>33</v>
      </c>
      <c r="F20" s="243" t="s">
        <v>411</v>
      </c>
      <c r="G20" s="243" t="s">
        <v>412</v>
      </c>
      <c r="H20" s="161" t="s">
        <v>3</v>
      </c>
      <c r="I20" s="303" t="s">
        <v>33</v>
      </c>
      <c r="J20" s="243" t="s">
        <v>411</v>
      </c>
      <c r="K20" s="243" t="s">
        <v>412</v>
      </c>
      <c r="L20" s="161" t="s">
        <v>3</v>
      </c>
      <c r="M20" s="161" t="s">
        <v>33</v>
      </c>
    </row>
    <row r="21" spans="1:14" x14ac:dyDescent="0.2">
      <c r="A21" s="436"/>
      <c r="B21" s="155"/>
      <c r="C21" s="155"/>
      <c r="D21" s="248" t="s">
        <v>4</v>
      </c>
      <c r="E21" s="155" t="s">
        <v>34</v>
      </c>
      <c r="F21" s="160"/>
      <c r="G21" s="160"/>
      <c r="H21" s="246" t="s">
        <v>4</v>
      </c>
      <c r="I21" s="155" t="s">
        <v>34</v>
      </c>
      <c r="J21" s="160"/>
      <c r="K21" s="160"/>
      <c r="L21" s="155" t="s">
        <v>4</v>
      </c>
      <c r="M21" s="155" t="s">
        <v>34</v>
      </c>
    </row>
    <row r="22" spans="1:14" ht="15.75" x14ac:dyDescent="0.2">
      <c r="A22" s="14" t="s">
        <v>27</v>
      </c>
      <c r="B22" s="356"/>
      <c r="C22" s="357"/>
      <c r="D22" s="364">
        <f t="shared" ref="D22:D37" si="3">IF(AND(_xlfn.NUMBERVALUE(B22)=0,_xlfn.NUMBERVALUE(C22)=0),,IF(B22=0, "    ---- ", IF(ABS(ROUND(100/B22*C22-100,1))&lt;999,IF(ROUND(100/B22*C22-100,1)=0,"    ---- ",ROUND(100/B22*C22-100,1)),IF(ROUND(100/B22*C22-100,1)&gt;999,999,-999))))</f>
        <v>0</v>
      </c>
      <c r="E22" s="365">
        <f>IFERROR(100/'Skjema total MA'!C22*C22,0)</f>
        <v>0</v>
      </c>
      <c r="F22" s="371"/>
      <c r="G22" s="357"/>
      <c r="H22" s="364">
        <f t="shared" ref="H22:H37" si="4">IF(AND(_xlfn.NUMBERVALUE(F22)=0,_xlfn.NUMBERVALUE(G22)=0),,IF(F22=0, "    ---- ", IF(ABS(ROUND(100/F22*G22-100,1))&lt;999,IF(ROUND(100/F22*G22-100,1)=0,"    ---- ",ROUND(100/F22*G22-100,1)),IF(ROUND(100/F22*G22-100,1)&gt;999,999,-999))))</f>
        <v>0</v>
      </c>
      <c r="I22" s="365">
        <f>IFERROR(100/'Skjema total MA'!F22*G22,0)</f>
        <v>0</v>
      </c>
      <c r="J22" s="356"/>
      <c r="K22" s="356"/>
      <c r="L22" s="364">
        <f t="shared" ref="L22:L37" si="5">IF(AND(_xlfn.NUMBERVALUE(J22)=0,_xlfn.NUMBERVALUE(K22)=0),,IF(J22=0, "    ---- ", IF(ABS(ROUND(100/J22*K22-100,1))&lt;999,IF(ROUND(100/J22*K22-100,1)=0,"    ---- ",ROUND(100/J22*K22-100,1)),IF(ROUND(100/J22*K22-100,1)&gt;999,999,-999))))</f>
        <v>0</v>
      </c>
      <c r="M22" s="365">
        <f>IFERROR(100/'Skjema total MA'!I22*K22,0)</f>
        <v>0</v>
      </c>
    </row>
    <row r="23" spans="1:14" ht="15.75" x14ac:dyDescent="0.2">
      <c r="A23" s="413" t="s">
        <v>305</v>
      </c>
      <c r="B23" s="411" t="s">
        <v>413</v>
      </c>
      <c r="C23" s="411" t="s">
        <v>413</v>
      </c>
      <c r="D23" s="367">
        <f t="shared" si="3"/>
        <v>0</v>
      </c>
      <c r="E23" s="365">
        <f>IFERROR(100/'Skjema total MA'!C23*C23,0)</f>
        <v>0</v>
      </c>
      <c r="F23" s="411" t="s">
        <v>413</v>
      </c>
      <c r="G23" s="411" t="s">
        <v>413</v>
      </c>
      <c r="H23" s="367">
        <f t="shared" si="4"/>
        <v>0</v>
      </c>
      <c r="I23" s="365">
        <f>IFERROR(100/'Skjema total MA'!F23*G23,0)</f>
        <v>0</v>
      </c>
      <c r="J23" s="411" t="s">
        <v>413</v>
      </c>
      <c r="K23" s="411" t="s">
        <v>413</v>
      </c>
      <c r="L23" s="367">
        <f t="shared" si="5"/>
        <v>0</v>
      </c>
      <c r="M23" s="365">
        <f>IFERROR(100/'Skjema total MA'!I23*K23,0)</f>
        <v>0</v>
      </c>
    </row>
    <row r="24" spans="1:14" ht="15.75" x14ac:dyDescent="0.2">
      <c r="A24" s="413" t="s">
        <v>306</v>
      </c>
      <c r="B24" s="411" t="s">
        <v>413</v>
      </c>
      <c r="C24" s="411" t="s">
        <v>413</v>
      </c>
      <c r="D24" s="367">
        <f t="shared" si="3"/>
        <v>0</v>
      </c>
      <c r="E24" s="365">
        <f>IFERROR(100/'Skjema total MA'!C24*C24,0)</f>
        <v>0</v>
      </c>
      <c r="F24" s="411" t="s">
        <v>413</v>
      </c>
      <c r="G24" s="411" t="s">
        <v>413</v>
      </c>
      <c r="H24" s="367">
        <f t="shared" si="4"/>
        <v>0</v>
      </c>
      <c r="I24" s="365">
        <f>IFERROR(100/'Skjema total MA'!F24*G24,0)</f>
        <v>0</v>
      </c>
      <c r="J24" s="411" t="s">
        <v>413</v>
      </c>
      <c r="K24" s="411" t="s">
        <v>413</v>
      </c>
      <c r="L24" s="367">
        <f t="shared" si="5"/>
        <v>0</v>
      </c>
      <c r="M24" s="365">
        <f>IFERROR(100/'Skjema total MA'!I24*K24,0)</f>
        <v>0</v>
      </c>
    </row>
    <row r="25" spans="1:14" ht="15.75" x14ac:dyDescent="0.2">
      <c r="A25" s="413" t="s">
        <v>307</v>
      </c>
      <c r="B25" s="411" t="s">
        <v>413</v>
      </c>
      <c r="C25" s="411" t="s">
        <v>413</v>
      </c>
      <c r="D25" s="367">
        <f t="shared" si="3"/>
        <v>0</v>
      </c>
      <c r="E25" s="365">
        <f>IFERROR(100/'Skjema total MA'!C25*C25,0)</f>
        <v>0</v>
      </c>
      <c r="F25" s="411" t="s">
        <v>413</v>
      </c>
      <c r="G25" s="411" t="s">
        <v>413</v>
      </c>
      <c r="H25" s="367">
        <f t="shared" si="4"/>
        <v>0</v>
      </c>
      <c r="I25" s="365">
        <f>IFERROR(100/'Skjema total MA'!F25*G25,0)</f>
        <v>0</v>
      </c>
      <c r="J25" s="411" t="s">
        <v>413</v>
      </c>
      <c r="K25" s="411" t="s">
        <v>413</v>
      </c>
      <c r="L25" s="367">
        <f t="shared" si="5"/>
        <v>0</v>
      </c>
      <c r="M25" s="365">
        <f>IFERROR(100/'Skjema total MA'!I25*K25,0)</f>
        <v>0</v>
      </c>
    </row>
    <row r="26" spans="1:14" x14ac:dyDescent="0.2">
      <c r="A26" s="413" t="s">
        <v>11</v>
      </c>
      <c r="B26" s="411" t="s">
        <v>413</v>
      </c>
      <c r="C26" s="411" t="s">
        <v>413</v>
      </c>
      <c r="D26" s="367">
        <f t="shared" si="3"/>
        <v>0</v>
      </c>
      <c r="E26" s="365">
        <f>IFERROR(100/'Skjema total MA'!C26*C26,0)</f>
        <v>0</v>
      </c>
      <c r="F26" s="411" t="s">
        <v>413</v>
      </c>
      <c r="G26" s="411" t="s">
        <v>413</v>
      </c>
      <c r="H26" s="367">
        <f t="shared" si="4"/>
        <v>0</v>
      </c>
      <c r="I26" s="365">
        <f>IFERROR(100/'Skjema total MA'!F26*G26,0)</f>
        <v>0</v>
      </c>
      <c r="J26" s="411" t="s">
        <v>413</v>
      </c>
      <c r="K26" s="411" t="s">
        <v>413</v>
      </c>
      <c r="L26" s="367">
        <f t="shared" si="5"/>
        <v>0</v>
      </c>
      <c r="M26" s="365">
        <f>IFERROR(100/'Skjema total MA'!I26*K26,0)</f>
        <v>0</v>
      </c>
    </row>
    <row r="27" spans="1:14" ht="15.75" x14ac:dyDescent="0.2">
      <c r="A27" s="49" t="s">
        <v>297</v>
      </c>
      <c r="B27" s="358"/>
      <c r="C27" s="359"/>
      <c r="D27" s="367">
        <f t="shared" si="3"/>
        <v>0</v>
      </c>
      <c r="E27" s="365">
        <f>IFERROR(100/'Skjema total MA'!C27*C27,0)</f>
        <v>0</v>
      </c>
      <c r="F27" s="368"/>
      <c r="G27" s="359"/>
      <c r="H27" s="367">
        <f t="shared" si="4"/>
        <v>0</v>
      </c>
      <c r="I27" s="365">
        <f>IFERROR(100/'Skjema total MA'!F27*G27,0)</f>
        <v>0</v>
      </c>
      <c r="J27" s="358"/>
      <c r="K27" s="358"/>
      <c r="L27" s="367">
        <f t="shared" si="5"/>
        <v>0</v>
      </c>
      <c r="M27" s="365">
        <f>IFERROR(100/'Skjema total MA'!I27*K27,0)</f>
        <v>0</v>
      </c>
    </row>
    <row r="28" spans="1:14" s="3" customFormat="1" ht="15.75" x14ac:dyDescent="0.2">
      <c r="A28" s="13" t="s">
        <v>26</v>
      </c>
      <c r="B28" s="360"/>
      <c r="C28" s="361"/>
      <c r="D28" s="367">
        <f t="shared" si="3"/>
        <v>0</v>
      </c>
      <c r="E28" s="365">
        <f>IFERROR(100/'Skjema total MA'!C28*C28,0)</f>
        <v>0</v>
      </c>
      <c r="F28" s="366"/>
      <c r="G28" s="361"/>
      <c r="H28" s="367">
        <f t="shared" si="4"/>
        <v>0</v>
      </c>
      <c r="I28" s="365">
        <f>IFERROR(100/'Skjema total MA'!F28*G28,0)</f>
        <v>0</v>
      </c>
      <c r="J28" s="360"/>
      <c r="K28" s="360"/>
      <c r="L28" s="367">
        <f t="shared" si="5"/>
        <v>0</v>
      </c>
      <c r="M28" s="365">
        <f>IFERROR(100/'Skjema total MA'!I28*K28,0)</f>
        <v>0</v>
      </c>
      <c r="N28" s="147"/>
    </row>
    <row r="29" spans="1:14" s="3" customFormat="1" ht="15.75" x14ac:dyDescent="0.2">
      <c r="A29" s="413" t="s">
        <v>305</v>
      </c>
      <c r="B29" s="411" t="s">
        <v>413</v>
      </c>
      <c r="C29" s="411" t="s">
        <v>413</v>
      </c>
      <c r="D29" s="367">
        <f t="shared" si="3"/>
        <v>0</v>
      </c>
      <c r="E29" s="365">
        <f>IFERROR(100/'Skjema total MA'!C29*C29,0)</f>
        <v>0</v>
      </c>
      <c r="F29" s="411" t="s">
        <v>413</v>
      </c>
      <c r="G29" s="411" t="s">
        <v>413</v>
      </c>
      <c r="H29" s="367">
        <f t="shared" si="4"/>
        <v>0</v>
      </c>
      <c r="I29" s="365">
        <f>IFERROR(100/'Skjema total MA'!F29*G29,0)</f>
        <v>0</v>
      </c>
      <c r="J29" s="411" t="s">
        <v>413</v>
      </c>
      <c r="K29" s="411" t="s">
        <v>413</v>
      </c>
      <c r="L29" s="367">
        <f t="shared" si="5"/>
        <v>0</v>
      </c>
      <c r="M29" s="365">
        <f>IFERROR(100/'Skjema total MA'!I29*K29,0)</f>
        <v>0</v>
      </c>
      <c r="N29" s="147"/>
    </row>
    <row r="30" spans="1:14" s="3" customFormat="1" ht="15.75" x14ac:dyDescent="0.2">
      <c r="A30" s="413" t="s">
        <v>306</v>
      </c>
      <c r="B30" s="411" t="s">
        <v>413</v>
      </c>
      <c r="C30" s="411" t="s">
        <v>413</v>
      </c>
      <c r="D30" s="367">
        <f t="shared" si="3"/>
        <v>0</v>
      </c>
      <c r="E30" s="365">
        <f>IFERROR(100/'Skjema total MA'!C30*C30,0)</f>
        <v>0</v>
      </c>
      <c r="F30" s="411" t="s">
        <v>413</v>
      </c>
      <c r="G30" s="411" t="s">
        <v>413</v>
      </c>
      <c r="H30" s="367">
        <f t="shared" si="4"/>
        <v>0</v>
      </c>
      <c r="I30" s="365">
        <f>IFERROR(100/'Skjema total MA'!F30*G30,0)</f>
        <v>0</v>
      </c>
      <c r="J30" s="411" t="s">
        <v>413</v>
      </c>
      <c r="K30" s="411" t="s">
        <v>413</v>
      </c>
      <c r="L30" s="367">
        <f t="shared" si="5"/>
        <v>0</v>
      </c>
      <c r="M30" s="365">
        <f>IFERROR(100/'Skjema total MA'!I30*K30,0)</f>
        <v>0</v>
      </c>
      <c r="N30" s="147"/>
    </row>
    <row r="31" spans="1:14" ht="15.75" x14ac:dyDescent="0.2">
      <c r="A31" s="413" t="s">
        <v>307</v>
      </c>
      <c r="B31" s="411" t="s">
        <v>413</v>
      </c>
      <c r="C31" s="411" t="s">
        <v>413</v>
      </c>
      <c r="D31" s="367">
        <f t="shared" si="3"/>
        <v>0</v>
      </c>
      <c r="E31" s="365">
        <f>IFERROR(100/'Skjema total MA'!C31*C31,0)</f>
        <v>0</v>
      </c>
      <c r="F31" s="411" t="s">
        <v>413</v>
      </c>
      <c r="G31" s="411" t="s">
        <v>413</v>
      </c>
      <c r="H31" s="367">
        <f t="shared" si="4"/>
        <v>0</v>
      </c>
      <c r="I31" s="365">
        <f>IFERROR(100/'Skjema total MA'!F31*G31,0)</f>
        <v>0</v>
      </c>
      <c r="J31" s="411" t="s">
        <v>413</v>
      </c>
      <c r="K31" s="411" t="s">
        <v>413</v>
      </c>
      <c r="L31" s="367">
        <f t="shared" si="5"/>
        <v>0</v>
      </c>
      <c r="M31" s="365">
        <f>IFERROR(100/'Skjema total MA'!I31*K31,0)</f>
        <v>0</v>
      </c>
    </row>
    <row r="32" spans="1:14" ht="15.75" x14ac:dyDescent="0.2">
      <c r="A32" s="13" t="s">
        <v>25</v>
      </c>
      <c r="B32" s="360"/>
      <c r="C32" s="361"/>
      <c r="D32" s="367">
        <f t="shared" si="3"/>
        <v>0</v>
      </c>
      <c r="E32" s="365">
        <f>IFERROR(100/'Skjema total MA'!C32*C32,0)</f>
        <v>0</v>
      </c>
      <c r="F32" s="366"/>
      <c r="G32" s="361"/>
      <c r="H32" s="367">
        <f t="shared" si="4"/>
        <v>0</v>
      </c>
      <c r="I32" s="365">
        <f>IFERROR(100/'Skjema total MA'!F32*G32,0)</f>
        <v>0</v>
      </c>
      <c r="J32" s="360"/>
      <c r="K32" s="360"/>
      <c r="L32" s="367">
        <f t="shared" si="5"/>
        <v>0</v>
      </c>
      <c r="M32" s="365">
        <f>IFERROR(100/'Skjema total MA'!I32*K32,0)</f>
        <v>0</v>
      </c>
    </row>
    <row r="33" spans="1:14" ht="15.75" x14ac:dyDescent="0.2">
      <c r="A33" s="13" t="s">
        <v>24</v>
      </c>
      <c r="B33" s="360"/>
      <c r="C33" s="361"/>
      <c r="D33" s="367">
        <f t="shared" si="3"/>
        <v>0</v>
      </c>
      <c r="E33" s="365">
        <f>IFERROR(100/'Skjema total MA'!C33*C33,0)</f>
        <v>0</v>
      </c>
      <c r="F33" s="366"/>
      <c r="G33" s="361"/>
      <c r="H33" s="367">
        <f t="shared" si="4"/>
        <v>0</v>
      </c>
      <c r="I33" s="365">
        <f>IFERROR(100/'Skjema total MA'!F33*G33,0)</f>
        <v>0</v>
      </c>
      <c r="J33" s="360"/>
      <c r="K33" s="360"/>
      <c r="L33" s="367">
        <f t="shared" si="5"/>
        <v>0</v>
      </c>
      <c r="M33" s="365">
        <f>IFERROR(100/'Skjema total MA'!I33*K33,0)</f>
        <v>0</v>
      </c>
    </row>
    <row r="34" spans="1:14" ht="15.75" x14ac:dyDescent="0.2">
      <c r="A34" s="12" t="s">
        <v>308</v>
      </c>
      <c r="B34" s="360"/>
      <c r="C34" s="361"/>
      <c r="D34" s="367">
        <f t="shared" si="3"/>
        <v>0</v>
      </c>
      <c r="E34" s="365">
        <f>100/'Skjema total MA'!C34*C34</f>
        <v>0</v>
      </c>
      <c r="F34" s="414"/>
      <c r="G34" s="415"/>
      <c r="H34" s="367">
        <f t="shared" si="4"/>
        <v>0</v>
      </c>
      <c r="I34" s="365">
        <f>IFERROR(100/'Skjema total MA'!F34*G34,0)</f>
        <v>0</v>
      </c>
      <c r="J34" s="360"/>
      <c r="K34" s="360"/>
      <c r="L34" s="367">
        <f t="shared" si="5"/>
        <v>0</v>
      </c>
      <c r="M34" s="365">
        <f>IFERROR(100/'Skjema total MA'!I34*K34,0)</f>
        <v>0</v>
      </c>
    </row>
    <row r="35" spans="1:14" ht="15.75" x14ac:dyDescent="0.2">
      <c r="A35" s="12" t="s">
        <v>309</v>
      </c>
      <c r="B35" s="360"/>
      <c r="C35" s="361"/>
      <c r="D35" s="367">
        <f t="shared" si="3"/>
        <v>0</v>
      </c>
      <c r="E35" s="365">
        <f>100/'Skjema total MA'!C35*C35</f>
        <v>0</v>
      </c>
      <c r="F35" s="414"/>
      <c r="G35" s="416"/>
      <c r="H35" s="367">
        <f t="shared" si="4"/>
        <v>0</v>
      </c>
      <c r="I35" s="365">
        <f>IFERROR(100/'Skjema total MA'!F35*G35,0)</f>
        <v>0</v>
      </c>
      <c r="J35" s="360"/>
      <c r="K35" s="360"/>
      <c r="L35" s="367">
        <f t="shared" si="5"/>
        <v>0</v>
      </c>
      <c r="M35" s="365">
        <f>IFERROR(100/'Skjema total MA'!I35*K35,0)</f>
        <v>0</v>
      </c>
    </row>
    <row r="36" spans="1:14" ht="15.75" x14ac:dyDescent="0.2">
      <c r="A36" s="12" t="s">
        <v>310</v>
      </c>
      <c r="B36" s="360"/>
      <c r="C36" s="361"/>
      <c r="D36" s="367">
        <f t="shared" si="3"/>
        <v>0</v>
      </c>
      <c r="E36" s="365"/>
      <c r="F36" s="414"/>
      <c r="G36" s="415"/>
      <c r="H36" s="367">
        <f t="shared" si="4"/>
        <v>0</v>
      </c>
      <c r="I36" s="365">
        <f>IFERROR(100/'Skjema total MA'!F36*G36,0)</f>
        <v>0</v>
      </c>
      <c r="J36" s="360"/>
      <c r="K36" s="360"/>
      <c r="L36" s="367">
        <f t="shared" si="5"/>
        <v>0</v>
      </c>
      <c r="M36" s="365">
        <f>IFERROR(100/'Skjema total MA'!I36*K36,0)</f>
        <v>0</v>
      </c>
    </row>
    <row r="37" spans="1:14" ht="15.75" x14ac:dyDescent="0.2">
      <c r="A37" s="18" t="s">
        <v>311</v>
      </c>
      <c r="B37" s="362"/>
      <c r="C37" s="363"/>
      <c r="D37" s="369">
        <f t="shared" si="3"/>
        <v>0</v>
      </c>
      <c r="E37" s="365">
        <f>100/'Skjema total MA'!C37*C37</f>
        <v>0</v>
      </c>
      <c r="F37" s="417"/>
      <c r="G37" s="418"/>
      <c r="H37" s="369">
        <f t="shared" si="4"/>
        <v>0</v>
      </c>
      <c r="I37" s="365">
        <f>IFERROR(100/'Skjema total MA'!F37*G37,0)</f>
        <v>0</v>
      </c>
      <c r="J37" s="360"/>
      <c r="K37" s="360"/>
      <c r="L37" s="369">
        <f t="shared" si="5"/>
        <v>0</v>
      </c>
      <c r="M37" s="369">
        <f>IFERROR(100/'Skjema total MA'!I37*K37,0)</f>
        <v>0</v>
      </c>
    </row>
    <row r="38" spans="1:14" ht="15.75" x14ac:dyDescent="0.25">
      <c r="A38" s="47"/>
      <c r="B38" s="258"/>
      <c r="C38" s="258"/>
      <c r="D38" s="355"/>
      <c r="E38" s="355"/>
      <c r="F38" s="355"/>
      <c r="G38" s="355"/>
      <c r="H38" s="355"/>
      <c r="I38" s="355"/>
      <c r="J38" s="355"/>
      <c r="K38" s="355"/>
      <c r="L38" s="355"/>
      <c r="M38" s="354"/>
    </row>
    <row r="39" spans="1:14" x14ac:dyDescent="0.2">
      <c r="A39" s="154"/>
    </row>
    <row r="40" spans="1:14" ht="15.75" x14ac:dyDescent="0.25">
      <c r="A40" s="146" t="s">
        <v>294</v>
      </c>
      <c r="B40" s="353"/>
      <c r="C40" s="353"/>
      <c r="D40" s="353"/>
      <c r="E40" s="353"/>
      <c r="F40" s="354"/>
      <c r="G40" s="354"/>
      <c r="H40" s="354"/>
      <c r="I40" s="354"/>
      <c r="J40" s="354"/>
      <c r="K40" s="354"/>
      <c r="L40" s="354"/>
      <c r="M40" s="354"/>
    </row>
    <row r="41" spans="1:14" ht="15.75" x14ac:dyDescent="0.25">
      <c r="A41" s="162"/>
      <c r="B41" s="352"/>
      <c r="C41" s="352"/>
      <c r="D41" s="352"/>
      <c r="E41" s="352"/>
      <c r="F41" s="354"/>
      <c r="G41" s="354"/>
      <c r="H41" s="354"/>
      <c r="I41" s="354"/>
      <c r="J41" s="354"/>
      <c r="K41" s="354"/>
      <c r="L41" s="354"/>
      <c r="M41" s="354"/>
    </row>
    <row r="42" spans="1:14" ht="15.75" x14ac:dyDescent="0.25">
      <c r="A42" s="249"/>
      <c r="B42" s="673" t="s">
        <v>0</v>
      </c>
      <c r="C42" s="674"/>
      <c r="D42" s="674"/>
      <c r="E42" s="675"/>
      <c r="F42" s="354"/>
      <c r="G42" s="354"/>
      <c r="H42" s="354"/>
      <c r="I42" s="354"/>
      <c r="J42" s="354"/>
      <c r="K42" s="354"/>
      <c r="L42" s="354"/>
      <c r="M42" s="354"/>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96" customFormat="1" ht="15.75" x14ac:dyDescent="0.2">
      <c r="A45" s="14" t="s">
        <v>27</v>
      </c>
      <c r="B45" s="360"/>
      <c r="C45" s="361"/>
      <c r="D45" s="400">
        <f>IF(AND(_xlfn.NUMBERVALUE(B45)=0,_xlfn.NUMBERVALUE(C45)=0),,IF(B45=0, "    ---- ", IF(ABS(ROUND(100/B45*C45-100,1))&lt;999,IF(ROUND(100/B45*C45-100,1)=0,"    ---- ",ROUND(100/B45*C45-100,1)),IF(ROUND(100/B45*C45-100,1)&gt;999,999,-999))))</f>
        <v>0</v>
      </c>
      <c r="E45" s="401">
        <f>IFERROR(100/'Skjema total MA'!C45*C45,0)</f>
        <v>0</v>
      </c>
      <c r="F45" s="158"/>
      <c r="G45" s="173"/>
      <c r="H45" s="158"/>
      <c r="I45" s="158"/>
      <c r="J45" s="399"/>
      <c r="K45" s="399"/>
      <c r="L45" s="158"/>
      <c r="M45" s="158"/>
      <c r="N45" s="402"/>
    </row>
    <row r="46" spans="1:14" s="3" customFormat="1" ht="15.75" x14ac:dyDescent="0.2">
      <c r="A46" s="38" t="s">
        <v>312</v>
      </c>
      <c r="B46" s="358"/>
      <c r="C46" s="359"/>
      <c r="D46" s="367">
        <f t="shared" ref="D46:D56" si="6">IF(AND(_xlfn.NUMBERVALUE(B46)=0,_xlfn.NUMBERVALUE(C46)=0),,IF(B46=0, "    ---- ", IF(ABS(ROUND(100/B46*C46-100,1))&lt;999,IF(ROUND(100/B46*C46-100,1)=0,"    ---- ",ROUND(100/B46*C46-100,1)),IF(ROUND(100/B46*C46-100,1)&gt;999,999,-999))))</f>
        <v>0</v>
      </c>
      <c r="E46" s="390">
        <f>IFERROR(100/'Skjema total MA'!C46*C46,0)</f>
        <v>0</v>
      </c>
      <c r="F46" s="144"/>
      <c r="G46" s="33"/>
      <c r="H46" s="144"/>
      <c r="I46" s="144"/>
      <c r="J46" s="33"/>
      <c r="K46" s="33"/>
      <c r="L46" s="158"/>
      <c r="M46" s="158"/>
      <c r="N46" s="147"/>
    </row>
    <row r="47" spans="1:14" s="3" customFormat="1" ht="15.75" x14ac:dyDescent="0.2">
      <c r="A47" s="38" t="s">
        <v>313</v>
      </c>
      <c r="B47" s="358"/>
      <c r="C47" s="359"/>
      <c r="D47" s="367">
        <f t="shared" si="6"/>
        <v>0</v>
      </c>
      <c r="E47" s="390">
        <f>IFERROR(100/'Skjema total MA'!C47*C47,0)</f>
        <v>0</v>
      </c>
      <c r="F47" s="144"/>
      <c r="G47" s="33"/>
      <c r="H47" s="144"/>
      <c r="I47" s="144"/>
      <c r="J47" s="37"/>
      <c r="K47" s="37"/>
      <c r="L47" s="158"/>
      <c r="M47" s="158"/>
      <c r="N47" s="147"/>
    </row>
    <row r="48" spans="1:14" s="3" customFormat="1" x14ac:dyDescent="0.2">
      <c r="A48" s="413" t="s">
        <v>6</v>
      </c>
      <c r="B48" s="411" t="s">
        <v>413</v>
      </c>
      <c r="C48" s="412" t="s">
        <v>413</v>
      </c>
      <c r="D48" s="367">
        <f t="shared" si="6"/>
        <v>0</v>
      </c>
      <c r="E48" s="390">
        <f>IFERROR(100/'Skjema total MA'!C48*C48,0)</f>
        <v>0</v>
      </c>
      <c r="F48" s="144"/>
      <c r="G48" s="33"/>
      <c r="H48" s="144"/>
      <c r="I48" s="144"/>
      <c r="J48" s="33"/>
      <c r="K48" s="33"/>
      <c r="L48" s="158"/>
      <c r="M48" s="158"/>
      <c r="N48" s="147"/>
    </row>
    <row r="49" spans="1:14" s="3" customFormat="1" x14ac:dyDescent="0.2">
      <c r="A49" s="413" t="s">
        <v>7</v>
      </c>
      <c r="B49" s="411" t="s">
        <v>413</v>
      </c>
      <c r="C49" s="412" t="s">
        <v>413</v>
      </c>
      <c r="D49" s="367">
        <f t="shared" si="6"/>
        <v>0</v>
      </c>
      <c r="E49" s="390">
        <f>IFERROR(100/'Skjema total MA'!C49*C49,0)</f>
        <v>0</v>
      </c>
      <c r="F49" s="144"/>
      <c r="G49" s="33"/>
      <c r="H49" s="144"/>
      <c r="I49" s="144"/>
      <c r="J49" s="33"/>
      <c r="K49" s="33"/>
      <c r="L49" s="158"/>
      <c r="M49" s="158"/>
      <c r="N49" s="147"/>
    </row>
    <row r="50" spans="1:14" s="3" customFormat="1" x14ac:dyDescent="0.2">
      <c r="A50" s="413" t="s">
        <v>8</v>
      </c>
      <c r="B50" s="411" t="s">
        <v>413</v>
      </c>
      <c r="C50" s="412" t="s">
        <v>413</v>
      </c>
      <c r="D50" s="367">
        <f t="shared" si="6"/>
        <v>0</v>
      </c>
      <c r="E50" s="390">
        <f>IFERROR(100/'Skjema total MA'!C50*C50,0)</f>
        <v>0</v>
      </c>
      <c r="F50" s="144"/>
      <c r="G50" s="33"/>
      <c r="H50" s="144"/>
      <c r="I50" s="144"/>
      <c r="J50" s="33"/>
      <c r="K50" s="33"/>
      <c r="L50" s="158"/>
      <c r="M50" s="158"/>
      <c r="N50" s="147"/>
    </row>
    <row r="51" spans="1:14" s="3" customFormat="1" ht="15.75" x14ac:dyDescent="0.2">
      <c r="A51" s="39" t="s">
        <v>314</v>
      </c>
      <c r="B51" s="360"/>
      <c r="C51" s="361"/>
      <c r="D51" s="367">
        <f t="shared" si="6"/>
        <v>0</v>
      </c>
      <c r="E51" s="390">
        <f>IFERROR(100/'Skjema total MA'!C51*C51,0)</f>
        <v>0</v>
      </c>
      <c r="F51" s="144"/>
      <c r="G51" s="33"/>
      <c r="H51" s="144"/>
      <c r="I51" s="144"/>
      <c r="J51" s="33"/>
      <c r="K51" s="33"/>
      <c r="L51" s="158"/>
      <c r="M51" s="158"/>
      <c r="N51" s="147"/>
    </row>
    <row r="52" spans="1:14" s="3" customFormat="1" ht="15.75" x14ac:dyDescent="0.2">
      <c r="A52" s="38" t="s">
        <v>312</v>
      </c>
      <c r="B52" s="358"/>
      <c r="C52" s="359"/>
      <c r="D52" s="367">
        <f t="shared" si="6"/>
        <v>0</v>
      </c>
      <c r="E52" s="390">
        <f>IFERROR(100/'Skjema total MA'!C52*C52,0)</f>
        <v>0</v>
      </c>
      <c r="F52" s="144"/>
      <c r="G52" s="33"/>
      <c r="H52" s="144"/>
      <c r="I52" s="144"/>
      <c r="J52" s="33"/>
      <c r="K52" s="33"/>
      <c r="L52" s="158"/>
      <c r="M52" s="158"/>
      <c r="N52" s="147"/>
    </row>
    <row r="53" spans="1:14" s="3" customFormat="1" ht="15.75" x14ac:dyDescent="0.2">
      <c r="A53" s="38" t="s">
        <v>313</v>
      </c>
      <c r="B53" s="358"/>
      <c r="C53" s="359"/>
      <c r="D53" s="367">
        <f t="shared" si="6"/>
        <v>0</v>
      </c>
      <c r="E53" s="390">
        <f>IFERROR(100/'Skjema total MA'!C53*C53,0)</f>
        <v>0</v>
      </c>
      <c r="F53" s="144"/>
      <c r="G53" s="33"/>
      <c r="H53" s="144"/>
      <c r="I53" s="144"/>
      <c r="J53" s="33"/>
      <c r="K53" s="33"/>
      <c r="L53" s="158"/>
      <c r="M53" s="158"/>
      <c r="N53" s="147"/>
    </row>
    <row r="54" spans="1:14" s="3" customFormat="1" ht="15.75" x14ac:dyDescent="0.2">
      <c r="A54" s="39" t="s">
        <v>315</v>
      </c>
      <c r="B54" s="360"/>
      <c r="C54" s="361"/>
      <c r="D54" s="367">
        <f t="shared" si="6"/>
        <v>0</v>
      </c>
      <c r="E54" s="390">
        <f>IFERROR(100/'Skjema total MA'!C54*C54,0)</f>
        <v>0</v>
      </c>
      <c r="F54" s="144"/>
      <c r="G54" s="33"/>
      <c r="H54" s="144"/>
      <c r="I54" s="144"/>
      <c r="J54" s="33"/>
      <c r="K54" s="33"/>
      <c r="L54" s="158"/>
      <c r="M54" s="158"/>
      <c r="N54" s="147"/>
    </row>
    <row r="55" spans="1:14" s="3" customFormat="1" ht="15.75" x14ac:dyDescent="0.2">
      <c r="A55" s="38" t="s">
        <v>312</v>
      </c>
      <c r="B55" s="358"/>
      <c r="C55" s="359"/>
      <c r="D55" s="367">
        <f t="shared" si="6"/>
        <v>0</v>
      </c>
      <c r="E55" s="390">
        <f>IFERROR(100/'Skjema total MA'!C55*C55,0)</f>
        <v>0</v>
      </c>
      <c r="F55" s="144"/>
      <c r="G55" s="33"/>
      <c r="H55" s="144"/>
      <c r="I55" s="144"/>
      <c r="J55" s="33"/>
      <c r="K55" s="33"/>
      <c r="L55" s="158"/>
      <c r="M55" s="158"/>
      <c r="N55" s="147"/>
    </row>
    <row r="56" spans="1:14" s="3" customFormat="1" ht="15.75" x14ac:dyDescent="0.2">
      <c r="A56" s="46" t="s">
        <v>313</v>
      </c>
      <c r="B56" s="372"/>
      <c r="C56" s="373"/>
      <c r="D56" s="369">
        <f t="shared" si="6"/>
        <v>0</v>
      </c>
      <c r="E56" s="391">
        <f>IFERROR(100/'Skjema total MA'!C56*C56,0)</f>
        <v>0</v>
      </c>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352"/>
      <c r="C60" s="352"/>
      <c r="D60" s="352"/>
      <c r="E60" s="353"/>
      <c r="F60" s="352"/>
      <c r="G60" s="352"/>
      <c r="H60" s="352"/>
      <c r="I60" s="353"/>
      <c r="J60" s="352"/>
      <c r="K60" s="352"/>
      <c r="L60" s="352"/>
      <c r="M60" s="353"/>
    </row>
    <row r="61" spans="1:14" x14ac:dyDescent="0.2">
      <c r="A61" s="143"/>
      <c r="B61" s="673" t="s">
        <v>0</v>
      </c>
      <c r="C61" s="674"/>
      <c r="D61" s="675"/>
      <c r="E61" s="349"/>
      <c r="F61" s="350" t="s">
        <v>1</v>
      </c>
      <c r="G61" s="350"/>
      <c r="H61" s="350"/>
      <c r="I61" s="351"/>
      <c r="J61" s="349" t="s">
        <v>2</v>
      </c>
      <c r="K61" s="350"/>
      <c r="L61" s="350"/>
      <c r="M61" s="351"/>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74"/>
      <c r="C64" s="374"/>
      <c r="D64" s="364">
        <f t="shared" ref="D64:D109" si="7">IF(AND(_xlfn.NUMBERVALUE(B64)=0,_xlfn.NUMBERVALUE(C64)=0),,IF(B64=0, "    ---- ", IF(ABS(ROUND(100/B64*C64-100,1))&lt;999,IF(ROUND(100/B64*C64-100,1)=0,"    ---- ",ROUND(100/B64*C64-100,1)),IF(ROUND(100/B64*C64-100,1)&gt;999,999,-999))))</f>
        <v>0</v>
      </c>
      <c r="E64" s="365">
        <f>IFERROR(100/'Skjema total MA'!C64*C64,0)</f>
        <v>0</v>
      </c>
      <c r="F64" s="374"/>
      <c r="G64" s="374"/>
      <c r="H64" s="364">
        <f t="shared" ref="H64:H109" si="8">IF(AND(_xlfn.NUMBERVALUE(F64)=0,_xlfn.NUMBERVALUE(G64)=0),,IF(F64=0, "    ---- ", IF(ABS(ROUND(100/F64*G64-100,1))&lt;999,IF(ROUND(100/F64*G64-100,1)=0,"    ---- ",ROUND(100/F64*G64-100,1)),IF(ROUND(100/F64*G64-100,1)&gt;999,999,-999))))</f>
        <v>0</v>
      </c>
      <c r="I64" s="365">
        <f>IFERROR(100/'Skjema total MA'!F64*G64,0)</f>
        <v>0</v>
      </c>
      <c r="J64" s="361"/>
      <c r="K64" s="356"/>
      <c r="L64" s="367">
        <f t="shared" ref="L64:L109" si="9">IF(AND(_xlfn.NUMBERVALUE(J64)=0,_xlfn.NUMBERVALUE(K64)=0),,IF(J64=0, "    ---- ", IF(ABS(ROUND(100/J64*K64-100,1))&lt;999,IF(ROUND(100/J64*K64-100,1)=0,"    ---- ",ROUND(100/J64*K64-100,1)),IF(ROUND(100/J64*K64-100,1)&gt;999,999,-999))))</f>
        <v>0</v>
      </c>
      <c r="M64" s="365">
        <f>IFERROR(100/'Skjema total MA'!I64*K64,0)</f>
        <v>0</v>
      </c>
    </row>
    <row r="65" spans="1:14" x14ac:dyDescent="0.2">
      <c r="A65" s="21" t="s">
        <v>9</v>
      </c>
      <c r="B65" s="358"/>
      <c r="C65" s="375"/>
      <c r="D65" s="367">
        <f t="shared" si="7"/>
        <v>0</v>
      </c>
      <c r="E65" s="365">
        <f>IFERROR(100/'Skjema total MA'!C65*C65,0)</f>
        <v>0</v>
      </c>
      <c r="F65" s="368"/>
      <c r="G65" s="375"/>
      <c r="H65" s="367">
        <f t="shared" si="8"/>
        <v>0</v>
      </c>
      <c r="I65" s="365">
        <f>IFERROR(100/'Skjema total MA'!F65*G65,0)</f>
        <v>0</v>
      </c>
      <c r="J65" s="359"/>
      <c r="K65" s="358"/>
      <c r="L65" s="367">
        <f t="shared" si="9"/>
        <v>0</v>
      </c>
      <c r="M65" s="365">
        <f>IFERROR(100/'Skjema total MA'!I65*K65,0)</f>
        <v>0</v>
      </c>
    </row>
    <row r="66" spans="1:14" x14ac:dyDescent="0.2">
      <c r="A66" s="21" t="s">
        <v>10</v>
      </c>
      <c r="B66" s="376"/>
      <c r="C66" s="377"/>
      <c r="D66" s="367">
        <f t="shared" si="7"/>
        <v>0</v>
      </c>
      <c r="E66" s="365">
        <f>IFERROR(100/'Skjema total MA'!C66*C66,0)</f>
        <v>0</v>
      </c>
      <c r="F66" s="376"/>
      <c r="G66" s="377"/>
      <c r="H66" s="367">
        <f t="shared" si="8"/>
        <v>0</v>
      </c>
      <c r="I66" s="365">
        <f>IFERROR(100/'Skjema total MA'!F66*G66,0)</f>
        <v>0</v>
      </c>
      <c r="J66" s="359"/>
      <c r="K66" s="358"/>
      <c r="L66" s="367">
        <f t="shared" si="9"/>
        <v>0</v>
      </c>
      <c r="M66" s="365">
        <f>IFERROR(100/'Skjema total MA'!I66*K66,0)</f>
        <v>0</v>
      </c>
    </row>
    <row r="67" spans="1:14" ht="15.75" x14ac:dyDescent="0.2">
      <c r="A67" s="413" t="s">
        <v>316</v>
      </c>
      <c r="B67" s="411" t="s">
        <v>413</v>
      </c>
      <c r="C67" s="411" t="s">
        <v>413</v>
      </c>
      <c r="D67" s="367">
        <f t="shared" si="7"/>
        <v>0</v>
      </c>
      <c r="E67" s="365">
        <f>IFERROR(100/'Skjema total MA'!C67*C67,0)</f>
        <v>0</v>
      </c>
      <c r="F67" s="411" t="s">
        <v>413</v>
      </c>
      <c r="G67" s="411" t="s">
        <v>413</v>
      </c>
      <c r="H67" s="367">
        <f t="shared" si="8"/>
        <v>0</v>
      </c>
      <c r="I67" s="365">
        <f>IFERROR(100/'Skjema total MA'!F67*G67,0)</f>
        <v>0</v>
      </c>
      <c r="J67" s="411" t="s">
        <v>413</v>
      </c>
      <c r="K67" s="411" t="s">
        <v>413</v>
      </c>
      <c r="L67" s="367">
        <f t="shared" si="9"/>
        <v>0</v>
      </c>
      <c r="M67" s="365">
        <f>IFERROR(100/'Skjema total MA'!I67*K67,0)</f>
        <v>0</v>
      </c>
    </row>
    <row r="68" spans="1:14" x14ac:dyDescent="0.2">
      <c r="A68" s="413" t="s">
        <v>12</v>
      </c>
      <c r="B68" s="419"/>
      <c r="C68" s="420"/>
      <c r="D68" s="367">
        <f t="shared" si="7"/>
        <v>0</v>
      </c>
      <c r="E68" s="365">
        <f>IFERROR(100/'Skjema total MA'!C68*C68,0)</f>
        <v>0</v>
      </c>
      <c r="F68" s="411" t="s">
        <v>413</v>
      </c>
      <c r="G68" s="411" t="s">
        <v>413</v>
      </c>
      <c r="H68" s="367">
        <f t="shared" si="8"/>
        <v>0</v>
      </c>
      <c r="I68" s="365">
        <f>IFERROR(100/'Skjema total MA'!F68*G68,0)</f>
        <v>0</v>
      </c>
      <c r="J68" s="411" t="s">
        <v>413</v>
      </c>
      <c r="K68" s="411" t="s">
        <v>413</v>
      </c>
      <c r="L68" s="367">
        <f t="shared" si="9"/>
        <v>0</v>
      </c>
      <c r="M68" s="365">
        <f>IFERROR(100/'Skjema total MA'!I68*K68,0)</f>
        <v>0</v>
      </c>
    </row>
    <row r="69" spans="1:14" x14ac:dyDescent="0.2">
      <c r="A69" s="413" t="s">
        <v>13</v>
      </c>
      <c r="B69" s="421"/>
      <c r="C69" s="422"/>
      <c r="D69" s="367">
        <f t="shared" si="7"/>
        <v>0</v>
      </c>
      <c r="E69" s="365">
        <f>IFERROR(100/'Skjema total MA'!C69*C69,0)</f>
        <v>0</v>
      </c>
      <c r="F69" s="411" t="s">
        <v>413</v>
      </c>
      <c r="G69" s="411" t="s">
        <v>413</v>
      </c>
      <c r="H69" s="367">
        <f t="shared" si="8"/>
        <v>0</v>
      </c>
      <c r="I69" s="365">
        <f>IFERROR(100/'Skjema total MA'!F69*G69,0)</f>
        <v>0</v>
      </c>
      <c r="J69" s="411" t="s">
        <v>413</v>
      </c>
      <c r="K69" s="411" t="s">
        <v>413</v>
      </c>
      <c r="L69" s="367">
        <f t="shared" si="9"/>
        <v>0</v>
      </c>
      <c r="M69" s="365">
        <f>IFERROR(100/'Skjema total MA'!I69*K69,0)</f>
        <v>0</v>
      </c>
    </row>
    <row r="70" spans="1:14" ht="15.75" x14ac:dyDescent="0.2">
      <c r="A70" s="413" t="s">
        <v>317</v>
      </c>
      <c r="B70" s="411" t="s">
        <v>413</v>
      </c>
      <c r="C70" s="411" t="s">
        <v>413</v>
      </c>
      <c r="D70" s="367">
        <f t="shared" si="7"/>
        <v>0</v>
      </c>
      <c r="E70" s="365">
        <f>IFERROR(100/'Skjema total MA'!C70*C70,0)</f>
        <v>0</v>
      </c>
      <c r="F70" s="411" t="s">
        <v>413</v>
      </c>
      <c r="G70" s="411" t="s">
        <v>413</v>
      </c>
      <c r="H70" s="367">
        <f t="shared" si="8"/>
        <v>0</v>
      </c>
      <c r="I70" s="365">
        <f>IFERROR(100/'Skjema total MA'!F70*G70,0)</f>
        <v>0</v>
      </c>
      <c r="J70" s="411" t="s">
        <v>413</v>
      </c>
      <c r="K70" s="411" t="s">
        <v>413</v>
      </c>
      <c r="L70" s="367">
        <f t="shared" si="9"/>
        <v>0</v>
      </c>
      <c r="M70" s="365">
        <f>IFERROR(100/'Skjema total MA'!I70*K70,0)</f>
        <v>0</v>
      </c>
    </row>
    <row r="71" spans="1:14" x14ac:dyDescent="0.2">
      <c r="A71" s="413" t="s">
        <v>12</v>
      </c>
      <c r="B71" s="421"/>
      <c r="C71" s="422"/>
      <c r="D71" s="367">
        <f t="shared" si="7"/>
        <v>0</v>
      </c>
      <c r="E71" s="365">
        <f>IFERROR(100/'Skjema total MA'!C71*C71,0)</f>
        <v>0</v>
      </c>
      <c r="F71" s="411" t="s">
        <v>413</v>
      </c>
      <c r="G71" s="411" t="s">
        <v>413</v>
      </c>
      <c r="H71" s="367">
        <f t="shared" si="8"/>
        <v>0</v>
      </c>
      <c r="I71" s="365">
        <f>IFERROR(100/'Skjema total MA'!F71*G71,0)</f>
        <v>0</v>
      </c>
      <c r="J71" s="411" t="s">
        <v>413</v>
      </c>
      <c r="K71" s="411" t="s">
        <v>413</v>
      </c>
      <c r="L71" s="367">
        <f t="shared" si="9"/>
        <v>0</v>
      </c>
      <c r="M71" s="365">
        <f>IFERROR(100/'Skjema total MA'!I71*K71,0)</f>
        <v>0</v>
      </c>
    </row>
    <row r="72" spans="1:14" s="3" customFormat="1" x14ac:dyDescent="0.2">
      <c r="A72" s="413" t="s">
        <v>13</v>
      </c>
      <c r="B72" s="421"/>
      <c r="C72" s="422"/>
      <c r="D72" s="367">
        <f t="shared" si="7"/>
        <v>0</v>
      </c>
      <c r="E72" s="365">
        <f>IFERROR(100/'Skjema total MA'!C72*C72,0)</f>
        <v>0</v>
      </c>
      <c r="F72" s="411" t="s">
        <v>413</v>
      </c>
      <c r="G72" s="411" t="s">
        <v>413</v>
      </c>
      <c r="H72" s="367">
        <f t="shared" si="8"/>
        <v>0</v>
      </c>
      <c r="I72" s="365">
        <f>IFERROR(100/'Skjema total MA'!F72*G72,0)</f>
        <v>0</v>
      </c>
      <c r="J72" s="411" t="s">
        <v>413</v>
      </c>
      <c r="K72" s="411" t="s">
        <v>413</v>
      </c>
      <c r="L72" s="367">
        <f t="shared" si="9"/>
        <v>0</v>
      </c>
      <c r="M72" s="365">
        <f>IFERROR(100/'Skjema total MA'!I72*K72,0)</f>
        <v>0</v>
      </c>
      <c r="N72" s="147"/>
    </row>
    <row r="73" spans="1:14" s="3" customFormat="1" x14ac:dyDescent="0.2">
      <c r="A73" s="21" t="s">
        <v>400</v>
      </c>
      <c r="B73" s="368"/>
      <c r="C73" s="375"/>
      <c r="D73" s="367">
        <f t="shared" si="7"/>
        <v>0</v>
      </c>
      <c r="E73" s="365">
        <f>IFERROR(100/'Skjema total MA'!C73*C73,0)</f>
        <v>0</v>
      </c>
      <c r="F73" s="368"/>
      <c r="G73" s="375"/>
      <c r="H73" s="367">
        <f t="shared" si="8"/>
        <v>0</v>
      </c>
      <c r="I73" s="365">
        <f>IFERROR(100/'Skjema total MA'!F73*G73,0)</f>
        <v>0</v>
      </c>
      <c r="J73" s="359"/>
      <c r="K73" s="358"/>
      <c r="L73" s="367">
        <f t="shared" si="9"/>
        <v>0</v>
      </c>
      <c r="M73" s="365">
        <f>IFERROR(100/'Skjema total MA'!I73*K73,0)</f>
        <v>0</v>
      </c>
      <c r="N73" s="147"/>
    </row>
    <row r="74" spans="1:14" s="3" customFormat="1" x14ac:dyDescent="0.2">
      <c r="A74" s="21" t="s">
        <v>399</v>
      </c>
      <c r="B74" s="368"/>
      <c r="C74" s="375"/>
      <c r="D74" s="367">
        <f t="shared" ref="D74" si="10">IF(AND(_xlfn.NUMBERVALUE(B74)=0,_xlfn.NUMBERVALUE(C74)=0),,IF(B74=0, "    ---- ", IF(ABS(ROUND(100/B74*C74-100,1))&lt;999,IF(ROUND(100/B74*C74-100,1)=0,"    ---- ",ROUND(100/B74*C74-100,1)),IF(ROUND(100/B74*C74-100,1)&gt;999,999,-999))))</f>
        <v>0</v>
      </c>
      <c r="E74" s="365">
        <f>IFERROR(100/'Skjema total MA'!C75*C74,0)</f>
        <v>0</v>
      </c>
      <c r="F74" s="368"/>
      <c r="G74" s="375"/>
      <c r="H74" s="367">
        <f t="shared" ref="H74" si="11">IF(AND(_xlfn.NUMBERVALUE(F74)=0,_xlfn.NUMBERVALUE(G74)=0),,IF(F74=0, "    ---- ", IF(ABS(ROUND(100/F74*G74-100,1))&lt;999,IF(ROUND(100/F74*G74-100,1)=0,"    ---- ",ROUND(100/F74*G74-100,1)),IF(ROUND(100/F74*G74-100,1)&gt;999,999,-999))))</f>
        <v>0</v>
      </c>
      <c r="I74" s="365">
        <f>IFERROR(100/'Skjema total MA'!F75*G74,0)</f>
        <v>0</v>
      </c>
      <c r="J74" s="359"/>
      <c r="K74" s="358"/>
      <c r="L74" s="367">
        <f t="shared" ref="L74" si="12">IF(AND(_xlfn.NUMBERVALUE(J74)=0,_xlfn.NUMBERVALUE(K74)=0),,IF(J74=0, "    ---- ", IF(ABS(ROUND(100/J74*K74-100,1))&lt;999,IF(ROUND(100/J74*K74-100,1)=0,"    ---- ",ROUND(100/J74*K74-100,1)),IF(ROUND(100/J74*K74-100,1)&gt;999,999,-999))))</f>
        <v>0</v>
      </c>
      <c r="M74" s="365">
        <f>IFERROR(100/'Skjema total MA'!I75*K74,0)</f>
        <v>0</v>
      </c>
      <c r="N74" s="147"/>
    </row>
    <row r="75" spans="1:14" ht="15.75" x14ac:dyDescent="0.2">
      <c r="A75" s="21" t="s">
        <v>318</v>
      </c>
      <c r="B75" s="368"/>
      <c r="C75" s="368"/>
      <c r="D75" s="367">
        <f t="shared" si="7"/>
        <v>0</v>
      </c>
      <c r="E75" s="365">
        <f>IFERROR(100/'Skjema total MA'!C75*C75,0)</f>
        <v>0</v>
      </c>
      <c r="F75" s="368"/>
      <c r="G75" s="375"/>
      <c r="H75" s="367">
        <f t="shared" si="8"/>
        <v>0</v>
      </c>
      <c r="I75" s="365">
        <f>IFERROR(100/'Skjema total MA'!F75*G75,0)</f>
        <v>0</v>
      </c>
      <c r="J75" s="359"/>
      <c r="K75" s="358"/>
      <c r="L75" s="367">
        <f t="shared" si="9"/>
        <v>0</v>
      </c>
      <c r="M75" s="365">
        <f>IFERROR(100/'Skjema total MA'!I75*K75,0)</f>
        <v>0</v>
      </c>
    </row>
    <row r="76" spans="1:14" x14ac:dyDescent="0.2">
      <c r="A76" s="21" t="s">
        <v>9</v>
      </c>
      <c r="B76" s="368"/>
      <c r="C76" s="375"/>
      <c r="D76" s="367">
        <f t="shared" si="7"/>
        <v>0</v>
      </c>
      <c r="E76" s="365">
        <f>IFERROR(100/'Skjema total MA'!C76*C76,0)</f>
        <v>0</v>
      </c>
      <c r="F76" s="368"/>
      <c r="G76" s="375"/>
      <c r="H76" s="367">
        <f t="shared" si="8"/>
        <v>0</v>
      </c>
      <c r="I76" s="365">
        <f>IFERROR(100/'Skjema total MA'!F76*G76,0)</f>
        <v>0</v>
      </c>
      <c r="J76" s="359"/>
      <c r="K76" s="358"/>
      <c r="L76" s="367">
        <f t="shared" si="9"/>
        <v>0</v>
      </c>
      <c r="M76" s="365">
        <f>IFERROR(100/'Skjema total MA'!I76*K76,0)</f>
        <v>0</v>
      </c>
    </row>
    <row r="77" spans="1:14" x14ac:dyDescent="0.2">
      <c r="A77" s="21" t="s">
        <v>10</v>
      </c>
      <c r="B77" s="376"/>
      <c r="C77" s="377"/>
      <c r="D77" s="367">
        <f t="shared" si="7"/>
        <v>0</v>
      </c>
      <c r="E77" s="365">
        <f>IFERROR(100/'Skjema total MA'!C77*C77,0)</f>
        <v>0</v>
      </c>
      <c r="F77" s="376"/>
      <c r="G77" s="377"/>
      <c r="H77" s="367">
        <f t="shared" si="8"/>
        <v>0</v>
      </c>
      <c r="I77" s="365">
        <f>IFERROR(100/'Skjema total MA'!F77*G77,0)</f>
        <v>0</v>
      </c>
      <c r="J77" s="359"/>
      <c r="K77" s="358"/>
      <c r="L77" s="367">
        <f t="shared" si="9"/>
        <v>0</v>
      </c>
      <c r="M77" s="365">
        <f>IFERROR(100/'Skjema total MA'!I77*K77,0)</f>
        <v>0</v>
      </c>
    </row>
    <row r="78" spans="1:14" ht="15.75" x14ac:dyDescent="0.2">
      <c r="A78" s="413" t="s">
        <v>316</v>
      </c>
      <c r="B78" s="411" t="s">
        <v>413</v>
      </c>
      <c r="C78" s="411" t="s">
        <v>413</v>
      </c>
      <c r="D78" s="367">
        <f t="shared" si="7"/>
        <v>0</v>
      </c>
      <c r="E78" s="365">
        <f>IFERROR(100/'Skjema total MA'!C78*C78,0)</f>
        <v>0</v>
      </c>
      <c r="F78" s="411" t="s">
        <v>413</v>
      </c>
      <c r="G78" s="411" t="s">
        <v>413</v>
      </c>
      <c r="H78" s="367">
        <f t="shared" si="8"/>
        <v>0</v>
      </c>
      <c r="I78" s="365">
        <f>IFERROR(100/'Skjema total MA'!F78*G78,0)</f>
        <v>0</v>
      </c>
      <c r="J78" s="411" t="s">
        <v>413</v>
      </c>
      <c r="K78" s="411" t="s">
        <v>413</v>
      </c>
      <c r="L78" s="367">
        <f t="shared" si="9"/>
        <v>0</v>
      </c>
      <c r="M78" s="365">
        <f>IFERROR(100/'Skjema total MA'!I78*K78,0)</f>
        <v>0</v>
      </c>
    </row>
    <row r="79" spans="1:14" x14ac:dyDescent="0.2">
      <c r="A79" s="413" t="s">
        <v>12</v>
      </c>
      <c r="B79" s="421"/>
      <c r="C79" s="422"/>
      <c r="D79" s="367">
        <f t="shared" si="7"/>
        <v>0</v>
      </c>
      <c r="E79" s="365">
        <f>IFERROR(100/'Skjema total MA'!C79*C79,0)</f>
        <v>0</v>
      </c>
      <c r="F79" s="411" t="s">
        <v>413</v>
      </c>
      <c r="G79" s="411" t="s">
        <v>413</v>
      </c>
      <c r="H79" s="367">
        <f t="shared" si="8"/>
        <v>0</v>
      </c>
      <c r="I79" s="365">
        <f>IFERROR(100/'Skjema total MA'!F79*G79,0)</f>
        <v>0</v>
      </c>
      <c r="J79" s="411" t="s">
        <v>413</v>
      </c>
      <c r="K79" s="411" t="s">
        <v>413</v>
      </c>
      <c r="L79" s="367">
        <f t="shared" si="9"/>
        <v>0</v>
      </c>
      <c r="M79" s="365">
        <f>IFERROR(100/'Skjema total MA'!I79*K79,0)</f>
        <v>0</v>
      </c>
    </row>
    <row r="80" spans="1:14" x14ac:dyDescent="0.2">
      <c r="A80" s="413" t="s">
        <v>13</v>
      </c>
      <c r="B80" s="421"/>
      <c r="C80" s="422"/>
      <c r="D80" s="367">
        <f t="shared" si="7"/>
        <v>0</v>
      </c>
      <c r="E80" s="365">
        <f>IFERROR(100/'Skjema total MA'!C80*C80,0)</f>
        <v>0</v>
      </c>
      <c r="F80" s="411" t="s">
        <v>413</v>
      </c>
      <c r="G80" s="411" t="s">
        <v>413</v>
      </c>
      <c r="H80" s="367">
        <f t="shared" si="8"/>
        <v>0</v>
      </c>
      <c r="I80" s="365">
        <f>IFERROR(100/'Skjema total MA'!F80*G80,0)</f>
        <v>0</v>
      </c>
      <c r="J80" s="411" t="s">
        <v>413</v>
      </c>
      <c r="K80" s="411" t="s">
        <v>413</v>
      </c>
      <c r="L80" s="367">
        <f t="shared" si="9"/>
        <v>0</v>
      </c>
      <c r="M80" s="365">
        <f>IFERROR(100/'Skjema total MA'!I80*K80,0)</f>
        <v>0</v>
      </c>
    </row>
    <row r="81" spans="1:13" ht="15.75" x14ac:dyDescent="0.2">
      <c r="A81" s="413" t="s">
        <v>317</v>
      </c>
      <c r="B81" s="411" t="s">
        <v>413</v>
      </c>
      <c r="C81" s="411" t="s">
        <v>413</v>
      </c>
      <c r="D81" s="367">
        <f t="shared" si="7"/>
        <v>0</v>
      </c>
      <c r="E81" s="365">
        <f>IFERROR(100/'Skjema total MA'!C81*C81,0)</f>
        <v>0</v>
      </c>
      <c r="F81" s="411" t="s">
        <v>413</v>
      </c>
      <c r="G81" s="411" t="s">
        <v>413</v>
      </c>
      <c r="H81" s="367">
        <f t="shared" si="8"/>
        <v>0</v>
      </c>
      <c r="I81" s="365">
        <f>IFERROR(100/'Skjema total MA'!F81*G81,0)</f>
        <v>0</v>
      </c>
      <c r="J81" s="411" t="s">
        <v>413</v>
      </c>
      <c r="K81" s="411" t="s">
        <v>413</v>
      </c>
      <c r="L81" s="367">
        <f t="shared" si="9"/>
        <v>0</v>
      </c>
      <c r="M81" s="365">
        <f>IFERROR(100/'Skjema total MA'!I81*K81,0)</f>
        <v>0</v>
      </c>
    </row>
    <row r="82" spans="1:13" x14ac:dyDescent="0.2">
      <c r="A82" s="413" t="s">
        <v>12</v>
      </c>
      <c r="B82" s="421"/>
      <c r="C82" s="422"/>
      <c r="D82" s="367">
        <f t="shared" si="7"/>
        <v>0</v>
      </c>
      <c r="E82" s="365">
        <f>IFERROR(100/'Skjema total MA'!C82*C82,0)</f>
        <v>0</v>
      </c>
      <c r="F82" s="411" t="s">
        <v>413</v>
      </c>
      <c r="G82" s="411" t="s">
        <v>413</v>
      </c>
      <c r="H82" s="367">
        <f t="shared" si="8"/>
        <v>0</v>
      </c>
      <c r="I82" s="365">
        <f>IFERROR(100/'Skjema total MA'!F82*G82,0)</f>
        <v>0</v>
      </c>
      <c r="J82" s="411" t="s">
        <v>413</v>
      </c>
      <c r="K82" s="411" t="s">
        <v>413</v>
      </c>
      <c r="L82" s="367">
        <f t="shared" si="9"/>
        <v>0</v>
      </c>
      <c r="M82" s="365">
        <f>IFERROR(100/'Skjema total MA'!I82*K82,0)</f>
        <v>0</v>
      </c>
    </row>
    <row r="83" spans="1:13" x14ac:dyDescent="0.2">
      <c r="A83" s="413" t="s">
        <v>13</v>
      </c>
      <c r="B83" s="421"/>
      <c r="C83" s="422"/>
      <c r="D83" s="367">
        <f t="shared" si="7"/>
        <v>0</v>
      </c>
      <c r="E83" s="365">
        <f>IFERROR(100/'Skjema total MA'!C83*C83,0)</f>
        <v>0</v>
      </c>
      <c r="F83" s="411" t="s">
        <v>413</v>
      </c>
      <c r="G83" s="411" t="s">
        <v>413</v>
      </c>
      <c r="H83" s="367">
        <f t="shared" si="8"/>
        <v>0</v>
      </c>
      <c r="I83" s="365">
        <f>IFERROR(100/'Skjema total MA'!F83*G83,0)</f>
        <v>0</v>
      </c>
      <c r="J83" s="411" t="s">
        <v>413</v>
      </c>
      <c r="K83" s="411" t="s">
        <v>413</v>
      </c>
      <c r="L83" s="367">
        <f t="shared" si="9"/>
        <v>0</v>
      </c>
      <c r="M83" s="365">
        <f>IFERROR(100/'Skjema total MA'!I83*K83,0)</f>
        <v>0</v>
      </c>
    </row>
    <row r="84" spans="1:13" ht="15.75" x14ac:dyDescent="0.2">
      <c r="A84" s="21" t="s">
        <v>327</v>
      </c>
      <c r="B84" s="368"/>
      <c r="C84" s="375"/>
      <c r="D84" s="367">
        <f t="shared" si="7"/>
        <v>0</v>
      </c>
      <c r="E84" s="365">
        <f>IFERROR(100/'Skjema total MA'!C84*C84,0)</f>
        <v>0</v>
      </c>
      <c r="F84" s="368"/>
      <c r="G84" s="375"/>
      <c r="H84" s="367">
        <f t="shared" si="8"/>
        <v>0</v>
      </c>
      <c r="I84" s="365">
        <f>IFERROR(100/'Skjema total MA'!F84*G84,0)</f>
        <v>0</v>
      </c>
      <c r="J84" s="359"/>
      <c r="K84" s="358"/>
      <c r="L84" s="367">
        <f t="shared" si="9"/>
        <v>0</v>
      </c>
      <c r="M84" s="365">
        <f>IFERROR(100/'Skjema total MA'!I84*K84,0)</f>
        <v>0</v>
      </c>
    </row>
    <row r="85" spans="1:13" ht="15.75" x14ac:dyDescent="0.2">
      <c r="A85" s="13" t="s">
        <v>26</v>
      </c>
      <c r="B85" s="374"/>
      <c r="C85" s="374"/>
      <c r="D85" s="367">
        <f t="shared" si="7"/>
        <v>0</v>
      </c>
      <c r="E85" s="365">
        <f>IFERROR(100/'Skjema total MA'!C85*C85,0)</f>
        <v>0</v>
      </c>
      <c r="F85" s="374"/>
      <c r="G85" s="374"/>
      <c r="H85" s="367">
        <f t="shared" si="8"/>
        <v>0</v>
      </c>
      <c r="I85" s="365">
        <f>IFERROR(100/'Skjema total MA'!F85*G85,0)</f>
        <v>0</v>
      </c>
      <c r="J85" s="361"/>
      <c r="K85" s="360"/>
      <c r="L85" s="367">
        <f t="shared" si="9"/>
        <v>0</v>
      </c>
      <c r="M85" s="365">
        <f>IFERROR(100/'Skjema total MA'!I85*K85,0)</f>
        <v>0</v>
      </c>
    </row>
    <row r="86" spans="1:13" x14ac:dyDescent="0.2">
      <c r="A86" s="21" t="s">
        <v>9</v>
      </c>
      <c r="B86" s="368"/>
      <c r="C86" s="375"/>
      <c r="D86" s="367">
        <f t="shared" si="7"/>
        <v>0</v>
      </c>
      <c r="E86" s="365">
        <f>IFERROR(100/'Skjema total MA'!C86*C86,0)</f>
        <v>0</v>
      </c>
      <c r="F86" s="368"/>
      <c r="G86" s="375"/>
      <c r="H86" s="367">
        <f t="shared" si="8"/>
        <v>0</v>
      </c>
      <c r="I86" s="365">
        <f>IFERROR(100/'Skjema total MA'!F86*G86,0)</f>
        <v>0</v>
      </c>
      <c r="J86" s="359"/>
      <c r="K86" s="358"/>
      <c r="L86" s="367">
        <f t="shared" si="9"/>
        <v>0</v>
      </c>
      <c r="M86" s="365">
        <f>IFERROR(100/'Skjema total MA'!I86*K86,0)</f>
        <v>0</v>
      </c>
    </row>
    <row r="87" spans="1:13" x14ac:dyDescent="0.2">
      <c r="A87" s="21" t="s">
        <v>10</v>
      </c>
      <c r="B87" s="368"/>
      <c r="C87" s="375"/>
      <c r="D87" s="367">
        <f t="shared" si="7"/>
        <v>0</v>
      </c>
      <c r="E87" s="365">
        <f>IFERROR(100/'Skjema total MA'!C87*C87,0)</f>
        <v>0</v>
      </c>
      <c r="F87" s="368"/>
      <c r="G87" s="375"/>
      <c r="H87" s="367">
        <f t="shared" si="8"/>
        <v>0</v>
      </c>
      <c r="I87" s="365">
        <f>IFERROR(100/'Skjema total MA'!F87*G87,0)</f>
        <v>0</v>
      </c>
      <c r="J87" s="359"/>
      <c r="K87" s="358"/>
      <c r="L87" s="367">
        <f t="shared" si="9"/>
        <v>0</v>
      </c>
      <c r="M87" s="365">
        <f>IFERROR(100/'Skjema total MA'!I87*K87,0)</f>
        <v>0</v>
      </c>
    </row>
    <row r="88" spans="1:13" ht="15.75" x14ac:dyDescent="0.2">
      <c r="A88" s="413" t="s">
        <v>316</v>
      </c>
      <c r="B88" s="411" t="s">
        <v>413</v>
      </c>
      <c r="C88" s="411" t="s">
        <v>413</v>
      </c>
      <c r="D88" s="367">
        <f t="shared" si="7"/>
        <v>0</v>
      </c>
      <c r="E88" s="365">
        <f>IFERROR(100/'Skjema total MA'!C88*C88,0)</f>
        <v>0</v>
      </c>
      <c r="F88" s="411" t="s">
        <v>413</v>
      </c>
      <c r="G88" s="411" t="s">
        <v>413</v>
      </c>
      <c r="H88" s="367">
        <f t="shared" si="8"/>
        <v>0</v>
      </c>
      <c r="I88" s="365">
        <f>IFERROR(100/'Skjema total MA'!F88*G88,0)</f>
        <v>0</v>
      </c>
      <c r="J88" s="411" t="s">
        <v>413</v>
      </c>
      <c r="K88" s="411" t="s">
        <v>413</v>
      </c>
      <c r="L88" s="367">
        <f t="shared" si="9"/>
        <v>0</v>
      </c>
      <c r="M88" s="365">
        <f>IFERROR(100/'Skjema total MA'!I88*K88,0)</f>
        <v>0</v>
      </c>
    </row>
    <row r="89" spans="1:13" x14ac:dyDescent="0.2">
      <c r="A89" s="413" t="s">
        <v>12</v>
      </c>
      <c r="B89" s="421"/>
      <c r="C89" s="422"/>
      <c r="D89" s="367">
        <f t="shared" si="7"/>
        <v>0</v>
      </c>
      <c r="E89" s="365">
        <f>IFERROR(100/'Skjema total MA'!C89*C89,0)</f>
        <v>0</v>
      </c>
      <c r="F89" s="411" t="s">
        <v>413</v>
      </c>
      <c r="G89" s="411" t="s">
        <v>413</v>
      </c>
      <c r="H89" s="367">
        <f t="shared" si="8"/>
        <v>0</v>
      </c>
      <c r="I89" s="365">
        <f>IFERROR(100/'Skjema total MA'!F89*G89,0)</f>
        <v>0</v>
      </c>
      <c r="J89" s="411" t="s">
        <v>413</v>
      </c>
      <c r="K89" s="411" t="s">
        <v>413</v>
      </c>
      <c r="L89" s="367">
        <f t="shared" si="9"/>
        <v>0</v>
      </c>
      <c r="M89" s="365">
        <f>IFERROR(100/'Skjema total MA'!I89*K89,0)</f>
        <v>0</v>
      </c>
    </row>
    <row r="90" spans="1:13" x14ac:dyDescent="0.2">
      <c r="A90" s="413" t="s">
        <v>13</v>
      </c>
      <c r="B90" s="421"/>
      <c r="C90" s="422"/>
      <c r="D90" s="367">
        <f t="shared" si="7"/>
        <v>0</v>
      </c>
      <c r="E90" s="365">
        <f>IFERROR(100/'Skjema total MA'!C90*C90,0)</f>
        <v>0</v>
      </c>
      <c r="F90" s="411" t="s">
        <v>413</v>
      </c>
      <c r="G90" s="411" t="s">
        <v>413</v>
      </c>
      <c r="H90" s="367">
        <f t="shared" si="8"/>
        <v>0</v>
      </c>
      <c r="I90" s="365">
        <f>IFERROR(100/'Skjema total MA'!F90*G90,0)</f>
        <v>0</v>
      </c>
      <c r="J90" s="411" t="s">
        <v>413</v>
      </c>
      <c r="K90" s="411" t="s">
        <v>413</v>
      </c>
      <c r="L90" s="367">
        <f t="shared" si="9"/>
        <v>0</v>
      </c>
      <c r="M90" s="365">
        <f>IFERROR(100/'Skjema total MA'!I90*K90,0)</f>
        <v>0</v>
      </c>
    </row>
    <row r="91" spans="1:13" ht="15.75" x14ac:dyDescent="0.2">
      <c r="A91" s="413" t="s">
        <v>317</v>
      </c>
      <c r="B91" s="411" t="s">
        <v>413</v>
      </c>
      <c r="C91" s="411" t="s">
        <v>413</v>
      </c>
      <c r="D91" s="367">
        <f t="shared" si="7"/>
        <v>0</v>
      </c>
      <c r="E91" s="365">
        <f>IFERROR(100/'Skjema total MA'!C91*C91,0)</f>
        <v>0</v>
      </c>
      <c r="F91" s="411" t="s">
        <v>413</v>
      </c>
      <c r="G91" s="411" t="s">
        <v>413</v>
      </c>
      <c r="H91" s="367">
        <f t="shared" si="8"/>
        <v>0</v>
      </c>
      <c r="I91" s="365">
        <f>IFERROR(100/'Skjema total MA'!F91*G91,0)</f>
        <v>0</v>
      </c>
      <c r="J91" s="411" t="s">
        <v>413</v>
      </c>
      <c r="K91" s="411" t="s">
        <v>413</v>
      </c>
      <c r="L91" s="367">
        <f t="shared" si="9"/>
        <v>0</v>
      </c>
      <c r="M91" s="365">
        <f>IFERROR(100/'Skjema total MA'!I91*K91,0)</f>
        <v>0</v>
      </c>
    </row>
    <row r="92" spans="1:13" x14ac:dyDescent="0.2">
      <c r="A92" s="413" t="s">
        <v>12</v>
      </c>
      <c r="B92" s="421"/>
      <c r="C92" s="422"/>
      <c r="D92" s="367">
        <f t="shared" si="7"/>
        <v>0</v>
      </c>
      <c r="E92" s="365">
        <f>IFERROR(100/'Skjema total MA'!C92*C92,0)</f>
        <v>0</v>
      </c>
      <c r="F92" s="411" t="s">
        <v>413</v>
      </c>
      <c r="G92" s="411" t="s">
        <v>413</v>
      </c>
      <c r="H92" s="367">
        <f t="shared" si="8"/>
        <v>0</v>
      </c>
      <c r="I92" s="365">
        <f>IFERROR(100/'Skjema total MA'!F92*G92,0)</f>
        <v>0</v>
      </c>
      <c r="J92" s="411" t="s">
        <v>413</v>
      </c>
      <c r="K92" s="411" t="s">
        <v>413</v>
      </c>
      <c r="L92" s="367">
        <f t="shared" si="9"/>
        <v>0</v>
      </c>
      <c r="M92" s="365">
        <f>IFERROR(100/'Skjema total MA'!I92*K92,0)</f>
        <v>0</v>
      </c>
    </row>
    <row r="93" spans="1:13" x14ac:dyDescent="0.2">
      <c r="A93" s="413" t="s">
        <v>13</v>
      </c>
      <c r="B93" s="421"/>
      <c r="C93" s="422"/>
      <c r="D93" s="367">
        <f t="shared" si="7"/>
        <v>0</v>
      </c>
      <c r="E93" s="365">
        <f>IFERROR(100/'Skjema total MA'!C93*C93,0)</f>
        <v>0</v>
      </c>
      <c r="F93" s="411" t="s">
        <v>413</v>
      </c>
      <c r="G93" s="411" t="s">
        <v>413</v>
      </c>
      <c r="H93" s="367">
        <f t="shared" si="8"/>
        <v>0</v>
      </c>
      <c r="I93" s="365">
        <f>IFERROR(100/'Skjema total MA'!F93*G93,0)</f>
        <v>0</v>
      </c>
      <c r="J93" s="411" t="s">
        <v>413</v>
      </c>
      <c r="K93" s="411" t="s">
        <v>413</v>
      </c>
      <c r="L93" s="367">
        <f t="shared" si="9"/>
        <v>0</v>
      </c>
      <c r="M93" s="365">
        <f>IFERROR(100/'Skjema total MA'!I93*K93,0)</f>
        <v>0</v>
      </c>
    </row>
    <row r="94" spans="1:13" x14ac:dyDescent="0.2">
      <c r="A94" s="21" t="s">
        <v>398</v>
      </c>
      <c r="B94" s="368"/>
      <c r="C94" s="375"/>
      <c r="D94" s="367">
        <f t="shared" si="7"/>
        <v>0</v>
      </c>
      <c r="E94" s="365">
        <f>IFERROR(100/'Skjema total MA'!C94*C94,0)</f>
        <v>0</v>
      </c>
      <c r="F94" s="368"/>
      <c r="G94" s="375"/>
      <c r="H94" s="367">
        <f t="shared" si="8"/>
        <v>0</v>
      </c>
      <c r="I94" s="365">
        <f>IFERROR(100/'Skjema total MA'!F94*G94,0)</f>
        <v>0</v>
      </c>
      <c r="J94" s="359"/>
      <c r="K94" s="358"/>
      <c r="L94" s="367">
        <f t="shared" si="9"/>
        <v>0</v>
      </c>
      <c r="M94" s="365">
        <f>IFERROR(100/'Skjema total MA'!I94*K94,0)</f>
        <v>0</v>
      </c>
    </row>
    <row r="95" spans="1:13" x14ac:dyDescent="0.2">
      <c r="A95" s="21" t="s">
        <v>397</v>
      </c>
      <c r="B95" s="368"/>
      <c r="C95" s="375"/>
      <c r="D95" s="367">
        <f t="shared" ref="D95" si="13">IF(AND(_xlfn.NUMBERVALUE(B95)=0,_xlfn.NUMBERVALUE(C95)=0),,IF(B95=0, "    ---- ", IF(ABS(ROUND(100/B95*C95-100,1))&lt;999,IF(ROUND(100/B95*C95-100,1)=0,"    ---- ",ROUND(100/B95*C95-100,1)),IF(ROUND(100/B95*C95-100,1)&gt;999,999,-999))))</f>
        <v>0</v>
      </c>
      <c r="E95" s="365">
        <f>IFERROR(100/'Skjema total MA'!C96*C95,0)</f>
        <v>0</v>
      </c>
      <c r="F95" s="368"/>
      <c r="G95" s="375"/>
      <c r="H95" s="367">
        <f t="shared" ref="H95" si="14">IF(AND(_xlfn.NUMBERVALUE(F95)=0,_xlfn.NUMBERVALUE(G95)=0),,IF(F95=0, "    ---- ", IF(ABS(ROUND(100/F95*G95-100,1))&lt;999,IF(ROUND(100/F95*G95-100,1)=0,"    ---- ",ROUND(100/F95*G95-100,1)),IF(ROUND(100/F95*G95-100,1)&gt;999,999,-999))))</f>
        <v>0</v>
      </c>
      <c r="I95" s="365">
        <f>IFERROR(100/'Skjema total MA'!F96*G95,0)</f>
        <v>0</v>
      </c>
      <c r="J95" s="359"/>
      <c r="K95" s="358"/>
      <c r="L95" s="367">
        <f t="shared" ref="L95" si="15">IF(AND(_xlfn.NUMBERVALUE(J95)=0,_xlfn.NUMBERVALUE(K95)=0),,IF(J95=0, "    ---- ", IF(ABS(ROUND(100/J95*K95-100,1))&lt;999,IF(ROUND(100/J95*K95-100,1)=0,"    ---- ",ROUND(100/J95*K95-100,1)),IF(ROUND(100/J95*K95-100,1)&gt;999,999,-999))))</f>
        <v>0</v>
      </c>
      <c r="M95" s="365">
        <f>IFERROR(100/'Skjema total MA'!I96*K95,0)</f>
        <v>0</v>
      </c>
    </row>
    <row r="96" spans="1:13" ht="15.75" x14ac:dyDescent="0.2">
      <c r="A96" s="21" t="s">
        <v>318</v>
      </c>
      <c r="B96" s="368"/>
      <c r="C96" s="368"/>
      <c r="D96" s="367">
        <f t="shared" si="7"/>
        <v>0</v>
      </c>
      <c r="E96" s="365">
        <f>IFERROR(100/'Skjema total MA'!C96*C96,0)</f>
        <v>0</v>
      </c>
      <c r="F96" s="376"/>
      <c r="G96" s="376"/>
      <c r="H96" s="367">
        <f t="shared" si="8"/>
        <v>0</v>
      </c>
      <c r="I96" s="365">
        <f>IFERROR(100/'Skjema total MA'!F96*G96,0)</f>
        <v>0</v>
      </c>
      <c r="J96" s="359"/>
      <c r="K96" s="358"/>
      <c r="L96" s="367">
        <f t="shared" si="9"/>
        <v>0</v>
      </c>
      <c r="M96" s="365">
        <f>IFERROR(100/'Skjema total MA'!I96*K96,0)</f>
        <v>0</v>
      </c>
    </row>
    <row r="97" spans="1:13" x14ac:dyDescent="0.2">
      <c r="A97" s="21" t="s">
        <v>9</v>
      </c>
      <c r="B97" s="376"/>
      <c r="C97" s="377"/>
      <c r="D97" s="367">
        <f t="shared" si="7"/>
        <v>0</v>
      </c>
      <c r="E97" s="365">
        <f>IFERROR(100/'Skjema total MA'!C97*C97,0)</f>
        <v>0</v>
      </c>
      <c r="F97" s="368"/>
      <c r="G97" s="375"/>
      <c r="H97" s="367">
        <f t="shared" si="8"/>
        <v>0</v>
      </c>
      <c r="I97" s="365">
        <f>IFERROR(100/'Skjema total MA'!F97*G97,0)</f>
        <v>0</v>
      </c>
      <c r="J97" s="359"/>
      <c r="K97" s="358"/>
      <c r="L97" s="367">
        <f t="shared" si="9"/>
        <v>0</v>
      </c>
      <c r="M97" s="365">
        <f>IFERROR(100/'Skjema total MA'!I97*K97,0)</f>
        <v>0</v>
      </c>
    </row>
    <row r="98" spans="1:13" x14ac:dyDescent="0.2">
      <c r="A98" s="21" t="s">
        <v>10</v>
      </c>
      <c r="B98" s="376"/>
      <c r="C98" s="377"/>
      <c r="D98" s="367">
        <f t="shared" si="7"/>
        <v>0</v>
      </c>
      <c r="E98" s="365">
        <f>IFERROR(100/'Skjema total MA'!C98*C98,0)</f>
        <v>0</v>
      </c>
      <c r="F98" s="368"/>
      <c r="G98" s="368"/>
      <c r="H98" s="367">
        <f t="shared" si="8"/>
        <v>0</v>
      </c>
      <c r="I98" s="365">
        <f>IFERROR(100/'Skjema total MA'!F98*G98,0)</f>
        <v>0</v>
      </c>
      <c r="J98" s="359"/>
      <c r="K98" s="358"/>
      <c r="L98" s="367">
        <f t="shared" si="9"/>
        <v>0</v>
      </c>
      <c r="M98" s="365">
        <f>IFERROR(100/'Skjema total MA'!I98*K98,0)</f>
        <v>0</v>
      </c>
    </row>
    <row r="99" spans="1:13" ht="15.75" x14ac:dyDescent="0.2">
      <c r="A99" s="413" t="s">
        <v>316</v>
      </c>
      <c r="B99" s="411" t="s">
        <v>413</v>
      </c>
      <c r="C99" s="411" t="s">
        <v>413</v>
      </c>
      <c r="D99" s="367">
        <f t="shared" si="7"/>
        <v>0</v>
      </c>
      <c r="E99" s="365">
        <f>IFERROR(100/'Skjema total MA'!C99*C99,0)</f>
        <v>0</v>
      </c>
      <c r="F99" s="411" t="s">
        <v>413</v>
      </c>
      <c r="G99" s="411" t="s">
        <v>413</v>
      </c>
      <c r="H99" s="367">
        <f t="shared" si="8"/>
        <v>0</v>
      </c>
      <c r="I99" s="365">
        <f>IFERROR(100/'Skjema total MA'!F99*G99,0)</f>
        <v>0</v>
      </c>
      <c r="J99" s="411" t="s">
        <v>413</v>
      </c>
      <c r="K99" s="411" t="s">
        <v>413</v>
      </c>
      <c r="L99" s="367">
        <f t="shared" si="9"/>
        <v>0</v>
      </c>
      <c r="M99" s="365">
        <f>IFERROR(100/'Skjema total MA'!I99*K99,0)</f>
        <v>0</v>
      </c>
    </row>
    <row r="100" spans="1:13" x14ac:dyDescent="0.2">
      <c r="A100" s="413" t="s">
        <v>12</v>
      </c>
      <c r="B100" s="421"/>
      <c r="C100" s="422"/>
      <c r="D100" s="367">
        <f t="shared" si="7"/>
        <v>0</v>
      </c>
      <c r="E100" s="365">
        <f>IFERROR(100/'Skjema total MA'!C100*C100,0)</f>
        <v>0</v>
      </c>
      <c r="F100" s="411" t="s">
        <v>413</v>
      </c>
      <c r="G100" s="411" t="s">
        <v>413</v>
      </c>
      <c r="H100" s="367">
        <f t="shared" si="8"/>
        <v>0</v>
      </c>
      <c r="I100" s="365">
        <f>IFERROR(100/'Skjema total MA'!F100*G100,0)</f>
        <v>0</v>
      </c>
      <c r="J100" s="411" t="s">
        <v>413</v>
      </c>
      <c r="K100" s="411" t="s">
        <v>413</v>
      </c>
      <c r="L100" s="367">
        <f t="shared" si="9"/>
        <v>0</v>
      </c>
      <c r="M100" s="365">
        <f>IFERROR(100/'Skjema total MA'!I100*K100,0)</f>
        <v>0</v>
      </c>
    </row>
    <row r="101" spans="1:13" x14ac:dyDescent="0.2">
      <c r="A101" s="413" t="s">
        <v>13</v>
      </c>
      <c r="B101" s="421"/>
      <c r="C101" s="422"/>
      <c r="D101" s="367">
        <f t="shared" si="7"/>
        <v>0</v>
      </c>
      <c r="E101" s="365">
        <f>IFERROR(100/'Skjema total MA'!C101*C101,0)</f>
        <v>0</v>
      </c>
      <c r="F101" s="411" t="s">
        <v>413</v>
      </c>
      <c r="G101" s="411" t="s">
        <v>413</v>
      </c>
      <c r="H101" s="367">
        <f t="shared" si="8"/>
        <v>0</v>
      </c>
      <c r="I101" s="365">
        <f>IFERROR(100/'Skjema total MA'!F101*G101,0)</f>
        <v>0</v>
      </c>
      <c r="J101" s="411" t="s">
        <v>413</v>
      </c>
      <c r="K101" s="411" t="s">
        <v>413</v>
      </c>
      <c r="L101" s="367">
        <f t="shared" si="9"/>
        <v>0</v>
      </c>
      <c r="M101" s="365">
        <f>IFERROR(100/'Skjema total MA'!I101*K101,0)</f>
        <v>0</v>
      </c>
    </row>
    <row r="102" spans="1:13" ht="15.75" x14ac:dyDescent="0.2">
      <c r="A102" s="413" t="s">
        <v>317</v>
      </c>
      <c r="B102" s="411" t="s">
        <v>413</v>
      </c>
      <c r="C102" s="411" t="s">
        <v>413</v>
      </c>
      <c r="D102" s="367">
        <f t="shared" si="7"/>
        <v>0</v>
      </c>
      <c r="E102" s="365">
        <f>IFERROR(100/'Skjema total MA'!C102*C102,0)</f>
        <v>0</v>
      </c>
      <c r="F102" s="411" t="s">
        <v>413</v>
      </c>
      <c r="G102" s="411" t="s">
        <v>413</v>
      </c>
      <c r="H102" s="367">
        <f t="shared" si="8"/>
        <v>0</v>
      </c>
      <c r="I102" s="365">
        <f>IFERROR(100/'Skjema total MA'!F102*G102,0)</f>
        <v>0</v>
      </c>
      <c r="J102" s="411" t="s">
        <v>413</v>
      </c>
      <c r="K102" s="411" t="s">
        <v>413</v>
      </c>
      <c r="L102" s="367">
        <f t="shared" si="9"/>
        <v>0</v>
      </c>
      <c r="M102" s="365">
        <f>IFERROR(100/'Skjema total MA'!I102*K102,0)</f>
        <v>0</v>
      </c>
    </row>
    <row r="103" spans="1:13" x14ac:dyDescent="0.2">
      <c r="A103" s="413" t="s">
        <v>12</v>
      </c>
      <c r="B103" s="421"/>
      <c r="C103" s="422"/>
      <c r="D103" s="367">
        <f t="shared" si="7"/>
        <v>0</v>
      </c>
      <c r="E103" s="365">
        <f>IFERROR(100/'Skjema total MA'!C103*C103,0)</f>
        <v>0</v>
      </c>
      <c r="F103" s="411" t="s">
        <v>413</v>
      </c>
      <c r="G103" s="411" t="s">
        <v>413</v>
      </c>
      <c r="H103" s="367">
        <f t="shared" si="8"/>
        <v>0</v>
      </c>
      <c r="I103" s="365">
        <f>IFERROR(100/'Skjema total MA'!F103*G103,0)</f>
        <v>0</v>
      </c>
      <c r="J103" s="411" t="s">
        <v>413</v>
      </c>
      <c r="K103" s="411" t="s">
        <v>413</v>
      </c>
      <c r="L103" s="367">
        <f t="shared" si="9"/>
        <v>0</v>
      </c>
      <c r="M103" s="365">
        <f>IFERROR(100/'Skjema total MA'!I103*K103,0)</f>
        <v>0</v>
      </c>
    </row>
    <row r="104" spans="1:13" x14ac:dyDescent="0.2">
      <c r="A104" s="413" t="s">
        <v>13</v>
      </c>
      <c r="B104" s="421"/>
      <c r="C104" s="422"/>
      <c r="D104" s="367">
        <f t="shared" si="7"/>
        <v>0</v>
      </c>
      <c r="E104" s="365">
        <f>IFERROR(100/'Skjema total MA'!C104*C104,0)</f>
        <v>0</v>
      </c>
      <c r="F104" s="411" t="s">
        <v>413</v>
      </c>
      <c r="G104" s="411" t="s">
        <v>413</v>
      </c>
      <c r="H104" s="367">
        <f t="shared" si="8"/>
        <v>0</v>
      </c>
      <c r="I104" s="365">
        <f>IFERROR(100/'Skjema total MA'!F104*G104,0)</f>
        <v>0</v>
      </c>
      <c r="J104" s="411" t="s">
        <v>413</v>
      </c>
      <c r="K104" s="411" t="s">
        <v>413</v>
      </c>
      <c r="L104" s="367">
        <f t="shared" si="9"/>
        <v>0</v>
      </c>
      <c r="M104" s="365">
        <f>IFERROR(100/'Skjema total MA'!I104*K104,0)</f>
        <v>0</v>
      </c>
    </row>
    <row r="105" spans="1:13" ht="15.75" x14ac:dyDescent="0.2">
      <c r="A105" s="21" t="s">
        <v>327</v>
      </c>
      <c r="B105" s="368"/>
      <c r="C105" s="375"/>
      <c r="D105" s="367">
        <f t="shared" si="7"/>
        <v>0</v>
      </c>
      <c r="E105" s="365">
        <f>IFERROR(100/'Skjema total MA'!C105*C105,0)</f>
        <v>0</v>
      </c>
      <c r="F105" s="368"/>
      <c r="G105" s="375"/>
      <c r="H105" s="367">
        <f t="shared" si="8"/>
        <v>0</v>
      </c>
      <c r="I105" s="365">
        <f>IFERROR(100/'Skjema total MA'!F105*G105,0)</f>
        <v>0</v>
      </c>
      <c r="J105" s="359"/>
      <c r="K105" s="358"/>
      <c r="L105" s="367">
        <f t="shared" si="9"/>
        <v>0</v>
      </c>
      <c r="M105" s="365">
        <f>IFERROR(100/'Skjema total MA'!I105*K105,0)</f>
        <v>0</v>
      </c>
    </row>
    <row r="106" spans="1:13" ht="15.75" x14ac:dyDescent="0.2">
      <c r="A106" s="21" t="s">
        <v>328</v>
      </c>
      <c r="B106" s="368"/>
      <c r="C106" s="368"/>
      <c r="D106" s="367">
        <f t="shared" si="7"/>
        <v>0</v>
      </c>
      <c r="E106" s="365">
        <f>IFERROR(100/'Skjema total MA'!C106*C106,0)</f>
        <v>0</v>
      </c>
      <c r="F106" s="368"/>
      <c r="G106" s="368"/>
      <c r="H106" s="367">
        <f t="shared" si="8"/>
        <v>0</v>
      </c>
      <c r="I106" s="365">
        <f>IFERROR(100/'Skjema total MA'!F106*G106,0)</f>
        <v>0</v>
      </c>
      <c r="J106" s="359"/>
      <c r="K106" s="358"/>
      <c r="L106" s="367">
        <f t="shared" si="9"/>
        <v>0</v>
      </c>
      <c r="M106" s="365">
        <f>IFERROR(100/'Skjema total MA'!I106*K106,0)</f>
        <v>0</v>
      </c>
    </row>
    <row r="107" spans="1:13" ht="15.75" x14ac:dyDescent="0.2">
      <c r="A107" s="21" t="s">
        <v>320</v>
      </c>
      <c r="B107" s="368"/>
      <c r="C107" s="368"/>
      <c r="D107" s="367">
        <f t="shared" si="7"/>
        <v>0</v>
      </c>
      <c r="E107" s="365">
        <f>IFERROR(100/'Skjema total MA'!C107*C107,0)</f>
        <v>0</v>
      </c>
      <c r="F107" s="368"/>
      <c r="G107" s="368"/>
      <c r="H107" s="367">
        <f t="shared" si="8"/>
        <v>0</v>
      </c>
      <c r="I107" s="365">
        <f>IFERROR(100/'Skjema total MA'!F107*G107,0)</f>
        <v>0</v>
      </c>
      <c r="J107" s="359"/>
      <c r="K107" s="358"/>
      <c r="L107" s="367">
        <f t="shared" si="9"/>
        <v>0</v>
      </c>
      <c r="M107" s="365">
        <f>IFERROR(100/'Skjema total MA'!I107*K107,0)</f>
        <v>0</v>
      </c>
    </row>
    <row r="108" spans="1:13" ht="15.75" x14ac:dyDescent="0.2">
      <c r="A108" s="21" t="s">
        <v>321</v>
      </c>
      <c r="B108" s="368"/>
      <c r="C108" s="368"/>
      <c r="D108" s="367">
        <f t="shared" si="7"/>
        <v>0</v>
      </c>
      <c r="E108" s="365">
        <f>IFERROR(100/'Skjema total MA'!C108*C108,0)</f>
        <v>0</v>
      </c>
      <c r="F108" s="368"/>
      <c r="G108" s="368"/>
      <c r="H108" s="367">
        <f t="shared" si="8"/>
        <v>0</v>
      </c>
      <c r="I108" s="365">
        <f>IFERROR(100/'Skjema total MA'!F108*G108,0)</f>
        <v>0</v>
      </c>
      <c r="J108" s="359"/>
      <c r="K108" s="358"/>
      <c r="L108" s="367">
        <f t="shared" si="9"/>
        <v>0</v>
      </c>
      <c r="M108" s="365">
        <f>IFERROR(100/'Skjema total MA'!I108*K108,0)</f>
        <v>0</v>
      </c>
    </row>
    <row r="109" spans="1:13" ht="15.75" x14ac:dyDescent="0.2">
      <c r="A109" s="13" t="s">
        <v>25</v>
      </c>
      <c r="B109" s="366"/>
      <c r="C109" s="378"/>
      <c r="D109" s="367">
        <f t="shared" si="7"/>
        <v>0</v>
      </c>
      <c r="E109" s="365">
        <f>IFERROR(100/'Skjema total MA'!C109*C109,0)</f>
        <v>0</v>
      </c>
      <c r="F109" s="366"/>
      <c r="G109" s="378"/>
      <c r="H109" s="367">
        <f t="shared" si="8"/>
        <v>0</v>
      </c>
      <c r="I109" s="365">
        <f>IFERROR(100/'Skjema total MA'!F109*G109,0)</f>
        <v>0</v>
      </c>
      <c r="J109" s="361"/>
      <c r="K109" s="360"/>
      <c r="L109" s="367">
        <f t="shared" si="9"/>
        <v>0</v>
      </c>
      <c r="M109" s="365">
        <f>IFERROR(100/'Skjema total MA'!I109*K109,0)</f>
        <v>0</v>
      </c>
    </row>
    <row r="110" spans="1:13" x14ac:dyDescent="0.2">
      <c r="A110" s="21" t="s">
        <v>9</v>
      </c>
      <c r="B110" s="368"/>
      <c r="C110" s="375"/>
      <c r="D110" s="367">
        <f t="shared" ref="D110:D124" si="16">IF(AND(_xlfn.NUMBERVALUE(B110)=0,_xlfn.NUMBERVALUE(C110)=0),,IF(B110=0, "    ---- ", IF(ABS(ROUND(100/B110*C110-100,1))&lt;999,IF(ROUND(100/B110*C110-100,1)=0,"    ---- ",ROUND(100/B110*C110-100,1)),IF(ROUND(100/B110*C110-100,1)&gt;999,999,-999))))</f>
        <v>0</v>
      </c>
      <c r="E110" s="365">
        <f>IFERROR(100/'Skjema total MA'!C110*C110,0)</f>
        <v>0</v>
      </c>
      <c r="F110" s="368"/>
      <c r="G110" s="375"/>
      <c r="H110" s="367">
        <f t="shared" ref="H110:H124" si="17">IF(AND(_xlfn.NUMBERVALUE(F110)=0,_xlfn.NUMBERVALUE(G110)=0),,IF(F110=0, "    ---- ", IF(ABS(ROUND(100/F110*G110-100,1))&lt;999,IF(ROUND(100/F110*G110-100,1)=0,"    ---- ",ROUND(100/F110*G110-100,1)),IF(ROUND(100/F110*G110-100,1)&gt;999,999,-999))))</f>
        <v>0</v>
      </c>
      <c r="I110" s="365">
        <f>IFERROR(100/'Skjema total MA'!F110*G110,0)</f>
        <v>0</v>
      </c>
      <c r="J110" s="359"/>
      <c r="K110" s="358"/>
      <c r="L110" s="367">
        <f t="shared" ref="L110:L124" si="18">IF(AND(_xlfn.NUMBERVALUE(J110)=0,_xlfn.NUMBERVALUE(K110)=0),,IF(J110=0, "    ---- ", IF(ABS(ROUND(100/J110*K110-100,1))&lt;999,IF(ROUND(100/J110*K110-100,1)=0,"    ---- ",ROUND(100/J110*K110-100,1)),IF(ROUND(100/J110*K110-100,1)&gt;999,999,-999))))</f>
        <v>0</v>
      </c>
      <c r="M110" s="365">
        <f>IFERROR(100/'Skjema total MA'!I110*K110,0)</f>
        <v>0</v>
      </c>
    </row>
    <row r="111" spans="1:13" x14ac:dyDescent="0.2">
      <c r="A111" s="21" t="s">
        <v>10</v>
      </c>
      <c r="B111" s="368"/>
      <c r="C111" s="375"/>
      <c r="D111" s="367">
        <f t="shared" si="16"/>
        <v>0</v>
      </c>
      <c r="E111" s="365">
        <f>IFERROR(100/'Skjema total MA'!C111*C111,0)</f>
        <v>0</v>
      </c>
      <c r="F111" s="368"/>
      <c r="G111" s="375"/>
      <c r="H111" s="367">
        <f t="shared" si="17"/>
        <v>0</v>
      </c>
      <c r="I111" s="365">
        <f>IFERROR(100/'Skjema total MA'!F111*G111,0)</f>
        <v>0</v>
      </c>
      <c r="J111" s="359"/>
      <c r="K111" s="358"/>
      <c r="L111" s="367">
        <f t="shared" si="18"/>
        <v>0</v>
      </c>
      <c r="M111" s="365">
        <f>IFERROR(100/'Skjema total MA'!I111*K111,0)</f>
        <v>0</v>
      </c>
    </row>
    <row r="112" spans="1:13" x14ac:dyDescent="0.2">
      <c r="A112" s="21" t="s">
        <v>30</v>
      </c>
      <c r="B112" s="368"/>
      <c r="C112" s="375"/>
      <c r="D112" s="367">
        <f t="shared" si="16"/>
        <v>0</v>
      </c>
      <c r="E112" s="365">
        <f>IFERROR(100/'Skjema total MA'!C112*C112,0)</f>
        <v>0</v>
      </c>
      <c r="F112" s="368"/>
      <c r="G112" s="375"/>
      <c r="H112" s="367">
        <f t="shared" si="17"/>
        <v>0</v>
      </c>
      <c r="I112" s="365">
        <f>IFERROR(100/'Skjema total MA'!F112*G112,0)</f>
        <v>0</v>
      </c>
      <c r="J112" s="359"/>
      <c r="K112" s="358"/>
      <c r="L112" s="367">
        <f t="shared" si="18"/>
        <v>0</v>
      </c>
      <c r="M112" s="365">
        <f>IFERROR(100/'Skjema total MA'!I112*K112,0)</f>
        <v>0</v>
      </c>
    </row>
    <row r="113" spans="1:14" x14ac:dyDescent="0.2">
      <c r="A113" s="413" t="s">
        <v>15</v>
      </c>
      <c r="B113" s="411" t="s">
        <v>413</v>
      </c>
      <c r="C113" s="411" t="s">
        <v>413</v>
      </c>
      <c r="D113" s="367">
        <f t="shared" si="16"/>
        <v>0</v>
      </c>
      <c r="E113" s="365">
        <f>IFERROR(100/'Skjema total MA'!C113*C113,0)</f>
        <v>0</v>
      </c>
      <c r="F113" s="411" t="s">
        <v>413</v>
      </c>
      <c r="G113" s="411" t="s">
        <v>413</v>
      </c>
      <c r="H113" s="367">
        <f t="shared" si="17"/>
        <v>0</v>
      </c>
      <c r="I113" s="365">
        <f>IFERROR(100/'Skjema total MA'!F113*G113,0)</f>
        <v>0</v>
      </c>
      <c r="J113" s="411" t="s">
        <v>413</v>
      </c>
      <c r="K113" s="411" t="s">
        <v>413</v>
      </c>
      <c r="L113" s="367">
        <f t="shared" si="18"/>
        <v>0</v>
      </c>
      <c r="M113" s="365">
        <f>IFERROR(100/'Skjema total MA'!I113*K113,0)</f>
        <v>0</v>
      </c>
    </row>
    <row r="114" spans="1:14" ht="15.75" x14ac:dyDescent="0.2">
      <c r="A114" s="21" t="s">
        <v>329</v>
      </c>
      <c r="B114" s="368"/>
      <c r="C114" s="368"/>
      <c r="D114" s="367">
        <f t="shared" si="16"/>
        <v>0</v>
      </c>
      <c r="E114" s="365">
        <f>IFERROR(100/'Skjema total MA'!C114*C114,0)</f>
        <v>0</v>
      </c>
      <c r="F114" s="368"/>
      <c r="G114" s="368"/>
      <c r="H114" s="367">
        <f t="shared" si="17"/>
        <v>0</v>
      </c>
      <c r="I114" s="365">
        <f>IFERROR(100/'Skjema total MA'!F114*G114,0)</f>
        <v>0</v>
      </c>
      <c r="J114" s="359"/>
      <c r="K114" s="358"/>
      <c r="L114" s="367">
        <f t="shared" si="18"/>
        <v>0</v>
      </c>
      <c r="M114" s="365">
        <f>IFERROR(100/'Skjema total MA'!I114*K114,0)</f>
        <v>0</v>
      </c>
    </row>
    <row r="115" spans="1:14" ht="15.75" x14ac:dyDescent="0.2">
      <c r="A115" s="21" t="s">
        <v>322</v>
      </c>
      <c r="B115" s="368"/>
      <c r="C115" s="368"/>
      <c r="D115" s="367">
        <f t="shared" si="16"/>
        <v>0</v>
      </c>
      <c r="E115" s="365">
        <f>IFERROR(100/'Skjema total MA'!C115*C115,0)</f>
        <v>0</v>
      </c>
      <c r="F115" s="368"/>
      <c r="G115" s="368"/>
      <c r="H115" s="367">
        <f t="shared" si="17"/>
        <v>0</v>
      </c>
      <c r="I115" s="365">
        <f>IFERROR(100/'Skjema total MA'!F115*G115,0)</f>
        <v>0</v>
      </c>
      <c r="J115" s="359"/>
      <c r="K115" s="358"/>
      <c r="L115" s="367">
        <f t="shared" si="18"/>
        <v>0</v>
      </c>
      <c r="M115" s="365">
        <f>IFERROR(100/'Skjema total MA'!I115*K115,0)</f>
        <v>0</v>
      </c>
    </row>
    <row r="116" spans="1:14" ht="15.75" x14ac:dyDescent="0.2">
      <c r="A116" s="21" t="s">
        <v>321</v>
      </c>
      <c r="B116" s="368"/>
      <c r="C116" s="368"/>
      <c r="D116" s="367">
        <f t="shared" si="16"/>
        <v>0</v>
      </c>
      <c r="E116" s="365">
        <f>IFERROR(100/'Skjema total MA'!C116*C116,0)</f>
        <v>0</v>
      </c>
      <c r="F116" s="368"/>
      <c r="G116" s="368"/>
      <c r="H116" s="367">
        <f t="shared" si="17"/>
        <v>0</v>
      </c>
      <c r="I116" s="365">
        <f>IFERROR(100/'Skjema total MA'!F116*G116,0)</f>
        <v>0</v>
      </c>
      <c r="J116" s="359"/>
      <c r="K116" s="358"/>
      <c r="L116" s="367">
        <f t="shared" si="18"/>
        <v>0</v>
      </c>
      <c r="M116" s="365">
        <f>IFERROR(100/'Skjema total MA'!I116*K116,0)</f>
        <v>0</v>
      </c>
    </row>
    <row r="117" spans="1:14" ht="15.75" x14ac:dyDescent="0.2">
      <c r="A117" s="13" t="s">
        <v>24</v>
      </c>
      <c r="B117" s="366"/>
      <c r="C117" s="378"/>
      <c r="D117" s="367">
        <f t="shared" si="16"/>
        <v>0</v>
      </c>
      <c r="E117" s="365">
        <f>IFERROR(100/'Skjema total MA'!C117*C117,0)</f>
        <v>0</v>
      </c>
      <c r="F117" s="366"/>
      <c r="G117" s="378"/>
      <c r="H117" s="367">
        <f t="shared" si="17"/>
        <v>0</v>
      </c>
      <c r="I117" s="365">
        <f>IFERROR(100/'Skjema total MA'!F117*G117,0)</f>
        <v>0</v>
      </c>
      <c r="J117" s="361"/>
      <c r="K117" s="360"/>
      <c r="L117" s="367">
        <f t="shared" si="18"/>
        <v>0</v>
      </c>
      <c r="M117" s="365">
        <f>IFERROR(100/'Skjema total MA'!I117*K117,0)</f>
        <v>0</v>
      </c>
    </row>
    <row r="118" spans="1:14" x14ac:dyDescent="0.2">
      <c r="A118" s="21" t="s">
        <v>9</v>
      </c>
      <c r="B118" s="368"/>
      <c r="C118" s="375"/>
      <c r="D118" s="367">
        <f t="shared" si="16"/>
        <v>0</v>
      </c>
      <c r="E118" s="365">
        <f>IFERROR(100/'Skjema total MA'!C118*C118,0)</f>
        <v>0</v>
      </c>
      <c r="F118" s="368"/>
      <c r="G118" s="375"/>
      <c r="H118" s="367">
        <f t="shared" si="17"/>
        <v>0</v>
      </c>
      <c r="I118" s="365">
        <f>IFERROR(100/'Skjema total MA'!F118*G118,0)</f>
        <v>0</v>
      </c>
      <c r="J118" s="359"/>
      <c r="K118" s="358"/>
      <c r="L118" s="367">
        <f t="shared" si="18"/>
        <v>0</v>
      </c>
      <c r="M118" s="365">
        <f>IFERROR(100/'Skjema total MA'!I118*K118,0)</f>
        <v>0</v>
      </c>
    </row>
    <row r="119" spans="1:14" x14ac:dyDescent="0.2">
      <c r="A119" s="21" t="s">
        <v>10</v>
      </c>
      <c r="B119" s="368"/>
      <c r="C119" s="375"/>
      <c r="D119" s="367">
        <f t="shared" si="16"/>
        <v>0</v>
      </c>
      <c r="E119" s="365">
        <f>IFERROR(100/'Skjema total MA'!C119*C119,0)</f>
        <v>0</v>
      </c>
      <c r="F119" s="368"/>
      <c r="G119" s="375"/>
      <c r="H119" s="367">
        <f t="shared" si="17"/>
        <v>0</v>
      </c>
      <c r="I119" s="365">
        <f>IFERROR(100/'Skjema total MA'!F119*G119,0)</f>
        <v>0</v>
      </c>
      <c r="J119" s="359"/>
      <c r="K119" s="358"/>
      <c r="L119" s="367">
        <f t="shared" si="18"/>
        <v>0</v>
      </c>
      <c r="M119" s="365">
        <f>IFERROR(100/'Skjema total MA'!I119*K119,0)</f>
        <v>0</v>
      </c>
    </row>
    <row r="120" spans="1:14" x14ac:dyDescent="0.2">
      <c r="A120" s="21" t="s">
        <v>30</v>
      </c>
      <c r="B120" s="368"/>
      <c r="C120" s="375"/>
      <c r="D120" s="367">
        <f t="shared" si="16"/>
        <v>0</v>
      </c>
      <c r="E120" s="365">
        <f>IFERROR(100/'Skjema total MA'!C120*C120,0)</f>
        <v>0</v>
      </c>
      <c r="F120" s="368"/>
      <c r="G120" s="375"/>
      <c r="H120" s="367">
        <f t="shared" si="17"/>
        <v>0</v>
      </c>
      <c r="I120" s="365">
        <f>IFERROR(100/'Skjema total MA'!F120*G120,0)</f>
        <v>0</v>
      </c>
      <c r="J120" s="359"/>
      <c r="K120" s="358"/>
      <c r="L120" s="367">
        <f t="shared" si="18"/>
        <v>0</v>
      </c>
      <c r="M120" s="365">
        <f>IFERROR(100/'Skjema total MA'!I120*K120,0)</f>
        <v>0</v>
      </c>
    </row>
    <row r="121" spans="1:14" x14ac:dyDescent="0.2">
      <c r="A121" s="413" t="s">
        <v>14</v>
      </c>
      <c r="B121" s="411" t="s">
        <v>413</v>
      </c>
      <c r="C121" s="411" t="s">
        <v>413</v>
      </c>
      <c r="D121" s="367">
        <f t="shared" si="16"/>
        <v>0</v>
      </c>
      <c r="E121" s="365">
        <f>IFERROR(100/'Skjema total MA'!C121*C121,0)</f>
        <v>0</v>
      </c>
      <c r="F121" s="411" t="s">
        <v>413</v>
      </c>
      <c r="G121" s="411" t="s">
        <v>413</v>
      </c>
      <c r="H121" s="367">
        <f t="shared" si="17"/>
        <v>0</v>
      </c>
      <c r="I121" s="365">
        <f>IFERROR(100/'Skjema total MA'!F121*G121,0)</f>
        <v>0</v>
      </c>
      <c r="J121" s="411" t="s">
        <v>413</v>
      </c>
      <c r="K121" s="411" t="s">
        <v>413</v>
      </c>
      <c r="L121" s="367">
        <f t="shared" si="18"/>
        <v>0</v>
      </c>
      <c r="M121" s="365">
        <f>IFERROR(100/'Skjema total MA'!I121*K121,0)</f>
        <v>0</v>
      </c>
    </row>
    <row r="122" spans="1:14" ht="15.75" x14ac:dyDescent="0.2">
      <c r="A122" s="21" t="s">
        <v>319</v>
      </c>
      <c r="B122" s="368"/>
      <c r="C122" s="368"/>
      <c r="D122" s="367">
        <f t="shared" si="16"/>
        <v>0</v>
      </c>
      <c r="E122" s="365">
        <f>IFERROR(100/'Skjema total MA'!C122*C122,0)</f>
        <v>0</v>
      </c>
      <c r="F122" s="368"/>
      <c r="G122" s="368"/>
      <c r="H122" s="367">
        <f t="shared" si="17"/>
        <v>0</v>
      </c>
      <c r="I122" s="365">
        <f>IFERROR(100/'Skjema total MA'!F122*G122,0)</f>
        <v>0</v>
      </c>
      <c r="J122" s="359"/>
      <c r="K122" s="358"/>
      <c r="L122" s="367">
        <f t="shared" si="18"/>
        <v>0</v>
      </c>
      <c r="M122" s="365">
        <f>IFERROR(100/'Skjema total MA'!I122*K122,0)</f>
        <v>0</v>
      </c>
    </row>
    <row r="123" spans="1:14" ht="15.75" x14ac:dyDescent="0.2">
      <c r="A123" s="21" t="s">
        <v>320</v>
      </c>
      <c r="B123" s="368"/>
      <c r="C123" s="368"/>
      <c r="D123" s="367">
        <f t="shared" si="16"/>
        <v>0</v>
      </c>
      <c r="E123" s="365">
        <f>IFERROR(100/'Skjema total MA'!C123*C123,0)</f>
        <v>0</v>
      </c>
      <c r="F123" s="368"/>
      <c r="G123" s="368"/>
      <c r="H123" s="367">
        <f t="shared" si="17"/>
        <v>0</v>
      </c>
      <c r="I123" s="365">
        <f>IFERROR(100/'Skjema total MA'!F123*G123,0)</f>
        <v>0</v>
      </c>
      <c r="J123" s="359"/>
      <c r="K123" s="358"/>
      <c r="L123" s="367">
        <f t="shared" si="18"/>
        <v>0</v>
      </c>
      <c r="M123" s="365">
        <f>IFERROR(100/'Skjema total MA'!I123*K123,0)</f>
        <v>0</v>
      </c>
    </row>
    <row r="124" spans="1:14" ht="15.75" x14ac:dyDescent="0.2">
      <c r="A124" s="10" t="s">
        <v>321</v>
      </c>
      <c r="B124" s="372"/>
      <c r="C124" s="372"/>
      <c r="D124" s="369">
        <f t="shared" si="16"/>
        <v>0</v>
      </c>
      <c r="E124" s="379">
        <f>IFERROR(100/'Skjema total MA'!C124*C124,0)</f>
        <v>0</v>
      </c>
      <c r="F124" s="372"/>
      <c r="G124" s="372"/>
      <c r="H124" s="369">
        <f t="shared" si="17"/>
        <v>0</v>
      </c>
      <c r="I124" s="369">
        <f>IFERROR(100/'Skjema total MA'!F124*G124,0)</f>
        <v>0</v>
      </c>
      <c r="J124" s="373"/>
      <c r="K124" s="372"/>
      <c r="L124" s="369">
        <f t="shared" si="18"/>
        <v>0</v>
      </c>
      <c r="M124" s="369">
        <f>IFERROR(100/'Skjema total MA'!I124*K124,0)</f>
        <v>0</v>
      </c>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352"/>
      <c r="C128" s="352"/>
      <c r="D128" s="352"/>
      <c r="E128" s="353"/>
      <c r="F128" s="352"/>
      <c r="G128" s="352"/>
      <c r="H128" s="352"/>
      <c r="I128" s="353"/>
      <c r="J128" s="352"/>
      <c r="K128" s="352"/>
      <c r="L128" s="352"/>
      <c r="M128" s="353"/>
    </row>
    <row r="129" spans="1:14" s="3" customFormat="1" x14ac:dyDescent="0.2">
      <c r="A129" s="143"/>
      <c r="B129" s="673" t="s">
        <v>0</v>
      </c>
      <c r="C129" s="674"/>
      <c r="D129" s="674"/>
      <c r="E129" s="675"/>
      <c r="F129" s="437" t="s">
        <v>1</v>
      </c>
      <c r="G129" s="438"/>
      <c r="H129" s="438"/>
      <c r="I129" s="439"/>
      <c r="J129" s="349" t="s">
        <v>2</v>
      </c>
      <c r="K129" s="350"/>
      <c r="L129" s="350"/>
      <c r="M129" s="351"/>
      <c r="N129" s="147"/>
    </row>
    <row r="130" spans="1:14" s="3" customFormat="1" x14ac:dyDescent="0.2">
      <c r="A130" s="140"/>
      <c r="B130" s="151" t="s">
        <v>411</v>
      </c>
      <c r="C130" s="151" t="s">
        <v>412</v>
      </c>
      <c r="D130" s="246" t="s">
        <v>3</v>
      </c>
      <c r="E130" s="303" t="s">
        <v>33</v>
      </c>
      <c r="F130" s="151" t="s">
        <v>411</v>
      </c>
      <c r="G130" s="151" t="s">
        <v>412</v>
      </c>
      <c r="H130" s="206" t="s">
        <v>3</v>
      </c>
      <c r="I130" s="303"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360"/>
      <c r="C132" s="361"/>
      <c r="D132" s="364">
        <f t="shared" ref="D132:D135" si="19">IF(AND(_xlfn.NUMBERVALUE(B132)=0,_xlfn.NUMBERVALUE(C132)=0),,IF(B132=0, "    ---- ", IF(ABS(ROUND(100/B132*C132-100,1))&lt;999,IF(ROUND(100/B132*C132-100,1)=0,"    ---- ",ROUND(100/B132*C132-100,1)),IF(ROUND(100/B132*C132-100,1)&gt;999,999,-999))))</f>
        <v>0</v>
      </c>
      <c r="E132" s="365">
        <f>IFERROR(100/'Skjema total MA'!C132*C132,0)</f>
        <v>0</v>
      </c>
      <c r="F132" s="356"/>
      <c r="G132" s="357"/>
      <c r="H132" s="364">
        <f t="shared" ref="H132:H135" si="20">IF(AND(_xlfn.NUMBERVALUE(F132)=0,_xlfn.NUMBERVALUE(G132)=0),,IF(F132=0, "    ---- ", IF(ABS(ROUND(100/F132*G132-100,1))&lt;999,IF(ROUND(100/F132*G132-100,1)=0,"    ---- ",ROUND(100/F132*G132-100,1)),IF(ROUND(100/F132*G132-100,1)&gt;999,999,-999))))</f>
        <v>0</v>
      </c>
      <c r="I132" s="365">
        <f>IFERROR(100/'Skjema total MA'!F132*G132,0)</f>
        <v>0</v>
      </c>
      <c r="J132" s="371"/>
      <c r="K132" s="371"/>
      <c r="L132" s="364">
        <f t="shared" ref="L132:L135" si="21">IF(AND(_xlfn.NUMBERVALUE(J132)=0,_xlfn.NUMBERVALUE(K132)=0),,IF(J132=0, "    ---- ", IF(ABS(ROUND(100/J132*K132-100,1))&lt;999,IF(ROUND(100/J132*K132-100,1)=0,"    ---- ",ROUND(100/J132*K132-100,1)),IF(ROUND(100/J132*K132-100,1)&gt;999,999,-999))))</f>
        <v>0</v>
      </c>
      <c r="M132" s="365">
        <f>IFERROR(100/'Skjema total MA'!I132*K132,0)</f>
        <v>0</v>
      </c>
      <c r="N132" s="147"/>
    </row>
    <row r="133" spans="1:14" s="3" customFormat="1" ht="15.75" x14ac:dyDescent="0.2">
      <c r="A133" s="13" t="s">
        <v>324</v>
      </c>
      <c r="B133" s="360"/>
      <c r="C133" s="361"/>
      <c r="D133" s="367">
        <f t="shared" si="19"/>
        <v>0</v>
      </c>
      <c r="E133" s="365">
        <f>IFERROR(100/'Skjema total MA'!C133*C133,0)</f>
        <v>0</v>
      </c>
      <c r="F133" s="360"/>
      <c r="G133" s="361"/>
      <c r="H133" s="367">
        <f t="shared" si="20"/>
        <v>0</v>
      </c>
      <c r="I133" s="365">
        <f>IFERROR(100/'Skjema total MA'!F133*G133,0)</f>
        <v>0</v>
      </c>
      <c r="J133" s="366"/>
      <c r="K133" s="366"/>
      <c r="L133" s="367">
        <f t="shared" si="21"/>
        <v>0</v>
      </c>
      <c r="M133" s="365">
        <f>IFERROR(100/'Skjema total MA'!I133*K133,0)</f>
        <v>0</v>
      </c>
      <c r="N133" s="147"/>
    </row>
    <row r="134" spans="1:14" s="3" customFormat="1" ht="15.75" x14ac:dyDescent="0.2">
      <c r="A134" s="13" t="s">
        <v>325</v>
      </c>
      <c r="B134" s="360"/>
      <c r="C134" s="361"/>
      <c r="D134" s="367">
        <f t="shared" si="19"/>
        <v>0</v>
      </c>
      <c r="E134" s="365">
        <f>IFERROR(100/'Skjema total MA'!C134*C134,0)</f>
        <v>0</v>
      </c>
      <c r="F134" s="360"/>
      <c r="G134" s="361"/>
      <c r="H134" s="367">
        <f t="shared" si="20"/>
        <v>0</v>
      </c>
      <c r="I134" s="365">
        <f>IFERROR(100/'Skjema total MA'!F134*G134,0)</f>
        <v>0</v>
      </c>
      <c r="J134" s="366"/>
      <c r="K134" s="366"/>
      <c r="L134" s="367">
        <f t="shared" si="21"/>
        <v>0</v>
      </c>
      <c r="M134" s="365">
        <f>IFERROR(100/'Skjema total MA'!I134*K134,0)</f>
        <v>0</v>
      </c>
      <c r="N134" s="147"/>
    </row>
    <row r="135" spans="1:14" s="3" customFormat="1" ht="15.75" x14ac:dyDescent="0.2">
      <c r="A135" s="41" t="s">
        <v>326</v>
      </c>
      <c r="B135" s="362"/>
      <c r="C135" s="363"/>
      <c r="D135" s="369">
        <f t="shared" si="19"/>
        <v>0</v>
      </c>
      <c r="E135" s="379">
        <f>IFERROR(100/'Skjema total MA'!C135*C135,0)</f>
        <v>0</v>
      </c>
      <c r="F135" s="362"/>
      <c r="G135" s="363"/>
      <c r="H135" s="369">
        <f t="shared" si="20"/>
        <v>0</v>
      </c>
      <c r="I135" s="379">
        <f>IFERROR(100/'Skjema total MA'!F135*G135,0)</f>
        <v>0</v>
      </c>
      <c r="J135" s="370"/>
      <c r="K135" s="370"/>
      <c r="L135" s="369">
        <f t="shared" si="21"/>
        <v>0</v>
      </c>
      <c r="M135" s="369">
        <f>IFERROR(100/'Skjema total MA'!I135*K135,0)</f>
        <v>0</v>
      </c>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6">
    <mergeCell ref="B129:E129"/>
    <mergeCell ref="B4:D4"/>
    <mergeCell ref="B19:E19"/>
    <mergeCell ref="F19:I19"/>
    <mergeCell ref="B42:E42"/>
    <mergeCell ref="B61:D61"/>
  </mergeCells>
  <conditionalFormatting sqref="B48:C50">
    <cfRule type="expression" dxfId="1885" priority="132">
      <formula>kvartal &lt; 4</formula>
    </cfRule>
  </conditionalFormatting>
  <conditionalFormatting sqref="B29">
    <cfRule type="expression" dxfId="1884" priority="130">
      <formula>kvartal &lt; 4</formula>
    </cfRule>
  </conditionalFormatting>
  <conditionalFormatting sqref="B30">
    <cfRule type="expression" dxfId="1883" priority="129">
      <formula>kvartal &lt; 4</formula>
    </cfRule>
  </conditionalFormatting>
  <conditionalFormatting sqref="B31">
    <cfRule type="expression" dxfId="1882" priority="128">
      <formula>kvartal &lt; 4</formula>
    </cfRule>
  </conditionalFormatting>
  <conditionalFormatting sqref="C29">
    <cfRule type="expression" dxfId="1881" priority="127">
      <formula>kvartal &lt; 4</formula>
    </cfRule>
  </conditionalFormatting>
  <conditionalFormatting sqref="C30">
    <cfRule type="expression" dxfId="1880" priority="126">
      <formula>kvartal &lt; 4</formula>
    </cfRule>
  </conditionalFormatting>
  <conditionalFormatting sqref="C31">
    <cfRule type="expression" dxfId="1879" priority="125">
      <formula>kvartal &lt; 4</formula>
    </cfRule>
  </conditionalFormatting>
  <conditionalFormatting sqref="B23:C25">
    <cfRule type="expression" dxfId="1878" priority="124">
      <formula>kvartal &lt; 4</formula>
    </cfRule>
  </conditionalFormatting>
  <conditionalFormatting sqref="F23:G25">
    <cfRule type="expression" dxfId="1877" priority="120">
      <formula>kvartal &lt; 4</formula>
    </cfRule>
  </conditionalFormatting>
  <conditionalFormatting sqref="F29">
    <cfRule type="expression" dxfId="1876" priority="113">
      <formula>kvartal &lt; 4</formula>
    </cfRule>
  </conditionalFormatting>
  <conditionalFormatting sqref="F30">
    <cfRule type="expression" dxfId="1875" priority="112">
      <formula>kvartal &lt; 4</formula>
    </cfRule>
  </conditionalFormatting>
  <conditionalFormatting sqref="F31">
    <cfRule type="expression" dxfId="1874" priority="111">
      <formula>kvartal &lt; 4</formula>
    </cfRule>
  </conditionalFormatting>
  <conditionalFormatting sqref="G29">
    <cfRule type="expression" dxfId="1873" priority="110">
      <formula>kvartal &lt; 4</formula>
    </cfRule>
  </conditionalFormatting>
  <conditionalFormatting sqref="G30">
    <cfRule type="expression" dxfId="1872" priority="109">
      <formula>kvartal &lt; 4</formula>
    </cfRule>
  </conditionalFormatting>
  <conditionalFormatting sqref="G31">
    <cfRule type="expression" dxfId="1871" priority="108">
      <formula>kvartal &lt; 4</formula>
    </cfRule>
  </conditionalFormatting>
  <conditionalFormatting sqref="B26">
    <cfRule type="expression" dxfId="1870" priority="107">
      <formula>kvartal &lt; 4</formula>
    </cfRule>
  </conditionalFormatting>
  <conditionalFormatting sqref="C26">
    <cfRule type="expression" dxfId="1869" priority="106">
      <formula>kvartal &lt; 4</formula>
    </cfRule>
  </conditionalFormatting>
  <conditionalFormatting sqref="F26">
    <cfRule type="expression" dxfId="1868" priority="105">
      <formula>kvartal &lt; 4</formula>
    </cfRule>
  </conditionalFormatting>
  <conditionalFormatting sqref="G26">
    <cfRule type="expression" dxfId="1867" priority="104">
      <formula>kvartal &lt; 4</formula>
    </cfRule>
  </conditionalFormatting>
  <conditionalFormatting sqref="J23:K26">
    <cfRule type="expression" dxfId="1866" priority="103">
      <formula>kvartal &lt; 4</formula>
    </cfRule>
  </conditionalFormatting>
  <conditionalFormatting sqref="J29:K31">
    <cfRule type="expression" dxfId="1865" priority="101">
      <formula>kvartal &lt; 4</formula>
    </cfRule>
  </conditionalFormatting>
  <conditionalFormatting sqref="B67">
    <cfRule type="expression" dxfId="1864" priority="100">
      <formula>kvartal &lt; 4</formula>
    </cfRule>
  </conditionalFormatting>
  <conditionalFormatting sqref="C67">
    <cfRule type="expression" dxfId="1863" priority="99">
      <formula>kvartal &lt; 4</formula>
    </cfRule>
  </conditionalFormatting>
  <conditionalFormatting sqref="B70">
    <cfRule type="expression" dxfId="1862" priority="98">
      <formula>kvartal &lt; 4</formula>
    </cfRule>
  </conditionalFormatting>
  <conditionalFormatting sqref="C70">
    <cfRule type="expression" dxfId="1861" priority="97">
      <formula>kvartal &lt; 4</formula>
    </cfRule>
  </conditionalFormatting>
  <conditionalFormatting sqref="B78">
    <cfRule type="expression" dxfId="1860" priority="96">
      <formula>kvartal &lt; 4</formula>
    </cfRule>
  </conditionalFormatting>
  <conditionalFormatting sqref="C78">
    <cfRule type="expression" dxfId="1859" priority="95">
      <formula>kvartal &lt; 4</formula>
    </cfRule>
  </conditionalFormatting>
  <conditionalFormatting sqref="B81">
    <cfRule type="expression" dxfId="1858" priority="94">
      <formula>kvartal &lt; 4</formula>
    </cfRule>
  </conditionalFormatting>
  <conditionalFormatting sqref="C81">
    <cfRule type="expression" dxfId="1857" priority="93">
      <formula>kvartal &lt; 4</formula>
    </cfRule>
  </conditionalFormatting>
  <conditionalFormatting sqref="B88">
    <cfRule type="expression" dxfId="1856" priority="84">
      <formula>kvartal &lt; 4</formula>
    </cfRule>
  </conditionalFormatting>
  <conditionalFormatting sqref="C88">
    <cfRule type="expression" dxfId="1855" priority="83">
      <formula>kvartal &lt; 4</formula>
    </cfRule>
  </conditionalFormatting>
  <conditionalFormatting sqref="B91">
    <cfRule type="expression" dxfId="1854" priority="82">
      <formula>kvartal &lt; 4</formula>
    </cfRule>
  </conditionalFormatting>
  <conditionalFormatting sqref="C91">
    <cfRule type="expression" dxfId="1853" priority="81">
      <formula>kvartal &lt; 4</formula>
    </cfRule>
  </conditionalFormatting>
  <conditionalFormatting sqref="B99">
    <cfRule type="expression" dxfId="1852" priority="80">
      <formula>kvartal &lt; 4</formula>
    </cfRule>
  </conditionalFormatting>
  <conditionalFormatting sqref="C99">
    <cfRule type="expression" dxfId="1851" priority="79">
      <formula>kvartal &lt; 4</formula>
    </cfRule>
  </conditionalFormatting>
  <conditionalFormatting sqref="B102">
    <cfRule type="expression" dxfId="1850" priority="78">
      <formula>kvartal &lt; 4</formula>
    </cfRule>
  </conditionalFormatting>
  <conditionalFormatting sqref="C102">
    <cfRule type="expression" dxfId="1849" priority="77">
      <formula>kvartal &lt; 4</formula>
    </cfRule>
  </conditionalFormatting>
  <conditionalFormatting sqref="B113">
    <cfRule type="expression" dxfId="1848" priority="76">
      <formula>kvartal &lt; 4</formula>
    </cfRule>
  </conditionalFormatting>
  <conditionalFormatting sqref="C113">
    <cfRule type="expression" dxfId="1847" priority="75">
      <formula>kvartal &lt; 4</formula>
    </cfRule>
  </conditionalFormatting>
  <conditionalFormatting sqref="B121">
    <cfRule type="expression" dxfId="1846" priority="74">
      <formula>kvartal &lt; 4</formula>
    </cfRule>
  </conditionalFormatting>
  <conditionalFormatting sqref="C121">
    <cfRule type="expression" dxfId="1845" priority="73">
      <formula>kvartal &lt; 4</formula>
    </cfRule>
  </conditionalFormatting>
  <conditionalFormatting sqref="F68">
    <cfRule type="expression" dxfId="1844" priority="72">
      <formula>kvartal &lt; 4</formula>
    </cfRule>
  </conditionalFormatting>
  <conditionalFormatting sqref="G68">
    <cfRule type="expression" dxfId="1843" priority="71">
      <formula>kvartal &lt; 4</formula>
    </cfRule>
  </conditionalFormatting>
  <conditionalFormatting sqref="F69:G69">
    <cfRule type="expression" dxfId="1842" priority="70">
      <formula>kvartal &lt; 4</formula>
    </cfRule>
  </conditionalFormatting>
  <conditionalFormatting sqref="F71:G72">
    <cfRule type="expression" dxfId="1841" priority="69">
      <formula>kvartal &lt; 4</formula>
    </cfRule>
  </conditionalFormatting>
  <conditionalFormatting sqref="F79:G80">
    <cfRule type="expression" dxfId="1840" priority="68">
      <formula>kvartal &lt; 4</formula>
    </cfRule>
  </conditionalFormatting>
  <conditionalFormatting sqref="F82:G83">
    <cfRule type="expression" dxfId="1839" priority="67">
      <formula>kvartal &lt; 4</formula>
    </cfRule>
  </conditionalFormatting>
  <conditionalFormatting sqref="F89:G90">
    <cfRule type="expression" dxfId="1838" priority="62">
      <formula>kvartal &lt; 4</formula>
    </cfRule>
  </conditionalFormatting>
  <conditionalFormatting sqref="F92:G93">
    <cfRule type="expression" dxfId="1837" priority="61">
      <formula>kvartal &lt; 4</formula>
    </cfRule>
  </conditionalFormatting>
  <conditionalFormatting sqref="F100:G101">
    <cfRule type="expression" dxfId="1836" priority="60">
      <formula>kvartal &lt; 4</formula>
    </cfRule>
  </conditionalFormatting>
  <conditionalFormatting sqref="F103:G104">
    <cfRule type="expression" dxfId="1835" priority="59">
      <formula>kvartal &lt; 4</formula>
    </cfRule>
  </conditionalFormatting>
  <conditionalFormatting sqref="F113">
    <cfRule type="expression" dxfId="1834" priority="58">
      <formula>kvartal &lt; 4</formula>
    </cfRule>
  </conditionalFormatting>
  <conditionalFormatting sqref="G113">
    <cfRule type="expression" dxfId="1833" priority="57">
      <formula>kvartal &lt; 4</formula>
    </cfRule>
  </conditionalFormatting>
  <conditionalFormatting sqref="F121:G121">
    <cfRule type="expression" dxfId="1832" priority="56">
      <formula>kvartal &lt; 4</formula>
    </cfRule>
  </conditionalFormatting>
  <conditionalFormatting sqref="F67:G67">
    <cfRule type="expression" dxfId="1831" priority="55">
      <formula>kvartal &lt; 4</formula>
    </cfRule>
  </conditionalFormatting>
  <conditionalFormatting sqref="F70:G70">
    <cfRule type="expression" dxfId="1830" priority="54">
      <formula>kvartal &lt; 4</formula>
    </cfRule>
  </conditionalFormatting>
  <conditionalFormatting sqref="F78:G78">
    <cfRule type="expression" dxfId="1829" priority="53">
      <formula>kvartal &lt; 4</formula>
    </cfRule>
  </conditionalFormatting>
  <conditionalFormatting sqref="F81:G81">
    <cfRule type="expression" dxfId="1828" priority="52">
      <formula>kvartal &lt; 4</formula>
    </cfRule>
  </conditionalFormatting>
  <conditionalFormatting sqref="F88:G88">
    <cfRule type="expression" dxfId="1827" priority="46">
      <formula>kvartal &lt; 4</formula>
    </cfRule>
  </conditionalFormatting>
  <conditionalFormatting sqref="F91">
    <cfRule type="expression" dxfId="1826" priority="45">
      <formula>kvartal &lt; 4</formula>
    </cfRule>
  </conditionalFormatting>
  <conditionalFormatting sqref="G91">
    <cfRule type="expression" dxfId="1825" priority="44">
      <formula>kvartal &lt; 4</formula>
    </cfRule>
  </conditionalFormatting>
  <conditionalFormatting sqref="F99">
    <cfRule type="expression" dxfId="1824" priority="43">
      <formula>kvartal &lt; 4</formula>
    </cfRule>
  </conditionalFormatting>
  <conditionalFormatting sqref="G99">
    <cfRule type="expression" dxfId="1823" priority="42">
      <formula>kvartal &lt; 4</formula>
    </cfRule>
  </conditionalFormatting>
  <conditionalFormatting sqref="G102">
    <cfRule type="expression" dxfId="1822" priority="41">
      <formula>kvartal &lt; 4</formula>
    </cfRule>
  </conditionalFormatting>
  <conditionalFormatting sqref="F102">
    <cfRule type="expression" dxfId="1821" priority="40">
      <formula>kvartal &lt; 4</formula>
    </cfRule>
  </conditionalFormatting>
  <conditionalFormatting sqref="J67:K71">
    <cfRule type="expression" dxfId="1820" priority="39">
      <formula>kvartal &lt; 4</formula>
    </cfRule>
  </conditionalFormatting>
  <conditionalFormatting sqref="J72:K72">
    <cfRule type="expression" dxfId="1819" priority="38">
      <formula>kvartal &lt; 4</formula>
    </cfRule>
  </conditionalFormatting>
  <conditionalFormatting sqref="J78:K83">
    <cfRule type="expression" dxfId="1818" priority="37">
      <formula>kvartal &lt; 4</formula>
    </cfRule>
  </conditionalFormatting>
  <conditionalFormatting sqref="J88:K93">
    <cfRule type="expression" dxfId="1817" priority="34">
      <formula>kvartal &lt; 4</formula>
    </cfRule>
  </conditionalFormatting>
  <conditionalFormatting sqref="J99:K104">
    <cfRule type="expression" dxfId="1816" priority="33">
      <formula>kvartal &lt; 4</formula>
    </cfRule>
  </conditionalFormatting>
  <conditionalFormatting sqref="J113:K113">
    <cfRule type="expression" dxfId="1815" priority="32">
      <formula>kvartal &lt; 4</formula>
    </cfRule>
  </conditionalFormatting>
  <conditionalFormatting sqref="J121:K121">
    <cfRule type="expression" dxfId="1814" priority="31">
      <formula>kvartal &lt; 4</formula>
    </cfRule>
  </conditionalFormatting>
  <conditionalFormatting sqref="A23:A25">
    <cfRule type="expression" dxfId="1813" priority="15">
      <formula>kvartal &lt; 4</formula>
    </cfRule>
  </conditionalFormatting>
  <conditionalFormatting sqref="A29:A31">
    <cfRule type="expression" dxfId="1812" priority="13">
      <formula>kvartal &lt; 4</formula>
    </cfRule>
  </conditionalFormatting>
  <conditionalFormatting sqref="A48:A50">
    <cfRule type="expression" dxfId="1811" priority="12">
      <formula>kvartal &lt; 4</formula>
    </cfRule>
  </conditionalFormatting>
  <conditionalFormatting sqref="A67:A72">
    <cfRule type="expression" dxfId="1810" priority="10">
      <formula>kvartal &lt; 4</formula>
    </cfRule>
  </conditionalFormatting>
  <conditionalFormatting sqref="A78:A83">
    <cfRule type="expression" dxfId="1809" priority="9">
      <formula>kvartal &lt; 4</formula>
    </cfRule>
  </conditionalFormatting>
  <conditionalFormatting sqref="A88:A93">
    <cfRule type="expression" dxfId="1808" priority="6">
      <formula>kvartal &lt; 4</formula>
    </cfRule>
  </conditionalFormatting>
  <conditionalFormatting sqref="A99:A104">
    <cfRule type="expression" dxfId="1807" priority="5">
      <formula>kvartal &lt; 4</formula>
    </cfRule>
  </conditionalFormatting>
  <conditionalFormatting sqref="A113">
    <cfRule type="expression" dxfId="1806" priority="4">
      <formula>kvartal &lt; 4</formula>
    </cfRule>
  </conditionalFormatting>
  <conditionalFormatting sqref="A121">
    <cfRule type="expression" dxfId="1805" priority="3">
      <formula>kvartal &lt; 4</formula>
    </cfRule>
  </conditionalFormatting>
  <conditionalFormatting sqref="A26">
    <cfRule type="expression" dxfId="1804" priority="2">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N142"/>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152</v>
      </c>
      <c r="B1" s="434"/>
      <c r="C1" s="250" t="s">
        <v>94</v>
      </c>
      <c r="D1" s="26"/>
      <c r="E1" s="26"/>
      <c r="F1" s="26"/>
      <c r="G1" s="26"/>
      <c r="H1" s="26"/>
      <c r="I1" s="26"/>
      <c r="J1" s="26"/>
      <c r="K1" s="26"/>
      <c r="L1" s="26"/>
      <c r="M1" s="26"/>
    </row>
    <row r="2" spans="1:14" ht="15.75" x14ac:dyDescent="0.25">
      <c r="A2" s="164" t="s">
        <v>32</v>
      </c>
      <c r="B2" s="679"/>
      <c r="C2" s="679"/>
      <c r="D2" s="679"/>
      <c r="E2" s="383"/>
      <c r="F2" s="679"/>
      <c r="G2" s="679"/>
      <c r="H2" s="679"/>
      <c r="I2" s="383"/>
      <c r="J2" s="679"/>
      <c r="K2" s="679"/>
      <c r="L2" s="679"/>
      <c r="M2" s="383"/>
    </row>
    <row r="3" spans="1:14" ht="15.75" x14ac:dyDescent="0.25">
      <c r="A3" s="162"/>
      <c r="B3" s="383"/>
      <c r="C3" s="383"/>
      <c r="D3" s="383"/>
      <c r="E3" s="383"/>
      <c r="F3" s="383"/>
      <c r="G3" s="383"/>
      <c r="H3" s="383"/>
      <c r="I3" s="383"/>
      <c r="J3" s="383"/>
      <c r="K3" s="383"/>
      <c r="L3" s="383"/>
      <c r="M3" s="383"/>
    </row>
    <row r="4" spans="1:14" x14ac:dyDescent="0.2">
      <c r="A4" s="143"/>
      <c r="B4" s="676" t="s">
        <v>0</v>
      </c>
      <c r="C4" s="677"/>
      <c r="D4" s="677"/>
      <c r="E4" s="382"/>
      <c r="F4" s="676" t="s">
        <v>1</v>
      </c>
      <c r="G4" s="677"/>
      <c r="H4" s="677"/>
      <c r="I4" s="385"/>
      <c r="J4" s="676" t="s">
        <v>2</v>
      </c>
      <c r="K4" s="677"/>
      <c r="L4" s="677"/>
      <c r="M4" s="385"/>
    </row>
    <row r="5" spans="1:14" x14ac:dyDescent="0.2">
      <c r="A5" s="157"/>
      <c r="B5" s="151" t="s">
        <v>411</v>
      </c>
      <c r="C5" s="151" t="s">
        <v>412</v>
      </c>
      <c r="D5" s="246" t="s">
        <v>3</v>
      </c>
      <c r="E5" s="303" t="s">
        <v>33</v>
      </c>
      <c r="F5" s="151" t="s">
        <v>411</v>
      </c>
      <c r="G5" s="151" t="s">
        <v>412</v>
      </c>
      <c r="H5" s="246" t="s">
        <v>3</v>
      </c>
      <c r="I5" s="161" t="s">
        <v>33</v>
      </c>
      <c r="J5" s="151" t="s">
        <v>411</v>
      </c>
      <c r="K5" s="151" t="s">
        <v>412</v>
      </c>
      <c r="L5" s="246" t="s">
        <v>3</v>
      </c>
      <c r="M5" s="161" t="s">
        <v>33</v>
      </c>
    </row>
    <row r="6" spans="1:14" x14ac:dyDescent="0.2">
      <c r="A6" s="435"/>
      <c r="B6" s="155"/>
      <c r="C6" s="155"/>
      <c r="D6" s="248" t="s">
        <v>4</v>
      </c>
      <c r="E6" s="155" t="s">
        <v>34</v>
      </c>
      <c r="F6" s="160"/>
      <c r="G6" s="160"/>
      <c r="H6" s="246" t="s">
        <v>4</v>
      </c>
      <c r="I6" s="155" t="s">
        <v>34</v>
      </c>
      <c r="J6" s="160"/>
      <c r="K6" s="160"/>
      <c r="L6" s="246" t="s">
        <v>4</v>
      </c>
      <c r="M6" s="155" t="s">
        <v>34</v>
      </c>
    </row>
    <row r="7" spans="1:14" ht="15.75" x14ac:dyDescent="0.2">
      <c r="A7" s="14" t="s">
        <v>27</v>
      </c>
      <c r="B7" s="304">
        <v>129338.501</v>
      </c>
      <c r="C7" s="305">
        <v>131210.601</v>
      </c>
      <c r="D7" s="344">
        <f>IF(B7=0, "    ---- ", IF(ABS(ROUND(100/B7*C7-100,1))&lt;999,ROUND(100/B7*C7-100,1),IF(ROUND(100/B7*C7-100,1)&gt;999,999,-999)))</f>
        <v>1.4</v>
      </c>
      <c r="E7" s="11">
        <f>IFERROR(100/'Skjema total MA'!C7*C7,0)</f>
        <v>4.818713925904059</v>
      </c>
      <c r="F7" s="304">
        <v>240799.88399999999</v>
      </c>
      <c r="G7" s="305">
        <v>215239.948</v>
      </c>
      <c r="H7" s="344">
        <f>IF(F7=0, "    ---- ", IF(ABS(ROUND(100/F7*G7-100,1))&lt;999,ROUND(100/F7*G7-100,1),IF(ROUND(100/F7*G7-100,1)&gt;999,999,-999)))</f>
        <v>-10.6</v>
      </c>
      <c r="I7" s="159">
        <f>IFERROR(100/'Skjema total MA'!F7*G7,0)</f>
        <v>4.7385513889459645</v>
      </c>
      <c r="J7" s="306">
        <v>370138.38500000001</v>
      </c>
      <c r="K7" s="307">
        <v>346450.549</v>
      </c>
      <c r="L7" s="403">
        <f>IF(J7=0, "    ---- ", IF(ABS(ROUND(100/J7*K7-100,1))&lt;999,ROUND(100/J7*K7-100,1),IF(ROUND(100/J7*K7-100,1)&gt;999,999,-999)))</f>
        <v>-6.4</v>
      </c>
      <c r="M7" s="11">
        <f>IFERROR(100/'Skjema total MA'!I7*K7,0)</f>
        <v>4.7685954377513404</v>
      </c>
    </row>
    <row r="8" spans="1:14" ht="15.75" x14ac:dyDescent="0.2">
      <c r="A8" s="21" t="s">
        <v>29</v>
      </c>
      <c r="B8" s="286">
        <v>65369.701999999997</v>
      </c>
      <c r="C8" s="287">
        <v>66155.111999999994</v>
      </c>
      <c r="D8" s="165">
        <f t="shared" ref="D8:D10" si="0">IF(B8=0, "    ---- ", IF(ABS(ROUND(100/B8*C8-100,1))&lt;999,ROUND(100/B8*C8-100,1),IF(ROUND(100/B8*C8-100,1)&gt;999,999,-999)))</f>
        <v>1.2</v>
      </c>
      <c r="E8" s="27">
        <f>IFERROR(100/'Skjema total MA'!C8*C8,0)</f>
        <v>4.4028904895149186</v>
      </c>
      <c r="F8" s="423"/>
      <c r="G8" s="424"/>
      <c r="H8" s="165"/>
      <c r="I8" s="175"/>
      <c r="J8" s="234">
        <v>65369.701999999997</v>
      </c>
      <c r="K8" s="290">
        <v>66155.111999999994</v>
      </c>
      <c r="L8" s="259"/>
      <c r="M8" s="27">
        <f>IFERROR(100/'Skjema total MA'!I8*K8,0)</f>
        <v>4.4028904895149186</v>
      </c>
    </row>
    <row r="9" spans="1:14" ht="15.75" x14ac:dyDescent="0.2">
      <c r="A9" s="21" t="s">
        <v>28</v>
      </c>
      <c r="B9" s="286">
        <v>41969.252</v>
      </c>
      <c r="C9" s="287">
        <v>39685.660000000003</v>
      </c>
      <c r="D9" s="165">
        <f t="shared" si="0"/>
        <v>-5.4</v>
      </c>
      <c r="E9" s="27">
        <f>IFERROR(100/'Skjema total MA'!C9*C9,0)</f>
        <v>5.4818696660049406</v>
      </c>
      <c r="F9" s="423"/>
      <c r="G9" s="424"/>
      <c r="H9" s="165"/>
      <c r="I9" s="175"/>
      <c r="J9" s="234">
        <v>41969.252</v>
      </c>
      <c r="K9" s="290">
        <v>39685.660000000003</v>
      </c>
      <c r="L9" s="259"/>
      <c r="M9" s="27">
        <f>IFERROR(100/'Skjema total MA'!I9*K9,0)</f>
        <v>5.4818696660049406</v>
      </c>
    </row>
    <row r="10" spans="1:14" ht="15.75" x14ac:dyDescent="0.2">
      <c r="A10" s="13" t="s">
        <v>26</v>
      </c>
      <c r="B10" s="308">
        <v>346099.05</v>
      </c>
      <c r="C10" s="309">
        <v>333522.28200000001</v>
      </c>
      <c r="D10" s="170">
        <f t="shared" si="0"/>
        <v>-3.6</v>
      </c>
      <c r="E10" s="11">
        <f>IFERROR(100/'Skjema total MA'!C10*C10,0)</f>
        <v>1.4495034325585436</v>
      </c>
      <c r="F10" s="308">
        <v>1690944.727</v>
      </c>
      <c r="G10" s="309">
        <v>2293404.284</v>
      </c>
      <c r="H10" s="170">
        <f t="shared" ref="H10:H12" si="1">IF(F10=0, "    ---- ", IF(ABS(ROUND(100/F10*G10-100,1))&lt;999,ROUND(100/F10*G10-100,1),IF(ROUND(100/F10*G10-100,1)&gt;999,999,-999)))</f>
        <v>35.6</v>
      </c>
      <c r="I10" s="159">
        <f>IFERROR(100/'Skjema total MA'!F10*G10,0)</f>
        <v>6.0892915158020049</v>
      </c>
      <c r="J10" s="306">
        <v>2037043.777</v>
      </c>
      <c r="K10" s="307">
        <v>2626926.5660000001</v>
      </c>
      <c r="L10" s="404">
        <f t="shared" ref="L10:L12" si="2">IF(J10=0, "    ---- ", IF(ABS(ROUND(100/J10*K10-100,1))&lt;999,ROUND(100/J10*K10-100,1),IF(ROUND(100/J10*K10-100,1)&gt;999,999,-999)))</f>
        <v>29</v>
      </c>
      <c r="M10" s="11">
        <f>IFERROR(100/'Skjema total MA'!I10*K10,0)</f>
        <v>4.3296949170009551</v>
      </c>
    </row>
    <row r="11" spans="1:14" s="43" customFormat="1" ht="15.75" x14ac:dyDescent="0.2">
      <c r="A11" s="13" t="s">
        <v>25</v>
      </c>
      <c r="B11" s="308"/>
      <c r="C11" s="309"/>
      <c r="D11" s="170"/>
      <c r="E11" s="11"/>
      <c r="F11" s="308">
        <v>79298.061000000002</v>
      </c>
      <c r="G11" s="309">
        <v>51527.059000000001</v>
      </c>
      <c r="H11" s="170">
        <f t="shared" si="1"/>
        <v>-35</v>
      </c>
      <c r="I11" s="159">
        <f>IFERROR(100/'Skjema total MA'!F11*G11,0)</f>
        <v>32.016784117144248</v>
      </c>
      <c r="J11" s="306">
        <v>79298.061000000002</v>
      </c>
      <c r="K11" s="307">
        <v>51527.059000000001</v>
      </c>
      <c r="L11" s="404">
        <f t="shared" si="2"/>
        <v>-35</v>
      </c>
      <c r="M11" s="11">
        <f>IFERROR(100/'Skjema total MA'!I11*K11,0)</f>
        <v>29.946685060002981</v>
      </c>
      <c r="N11" s="142"/>
    </row>
    <row r="12" spans="1:14" s="43" customFormat="1" ht="15.75" x14ac:dyDescent="0.2">
      <c r="A12" s="41" t="s">
        <v>24</v>
      </c>
      <c r="B12" s="310"/>
      <c r="C12" s="311"/>
      <c r="D12" s="168"/>
      <c r="E12" s="36"/>
      <c r="F12" s="310">
        <v>18474.663</v>
      </c>
      <c r="G12" s="311">
        <v>13145.252</v>
      </c>
      <c r="H12" s="168">
        <f t="shared" si="1"/>
        <v>-28.8</v>
      </c>
      <c r="I12" s="168">
        <f>IFERROR(100/'Skjema total MA'!F12*G12,0)</f>
        <v>17.860049727585452</v>
      </c>
      <c r="J12" s="312">
        <v>18474.663</v>
      </c>
      <c r="K12" s="313">
        <v>13145.252</v>
      </c>
      <c r="L12" s="405">
        <f t="shared" si="2"/>
        <v>-28.8</v>
      </c>
      <c r="M12" s="36">
        <f>IFERROR(100/'Skjema total MA'!I12*K12,0)</f>
        <v>17.687979789170861</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296</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293</v>
      </c>
      <c r="B17" s="156"/>
      <c r="C17" s="156"/>
      <c r="D17" s="150"/>
      <c r="E17" s="150"/>
      <c r="F17" s="156"/>
      <c r="G17" s="156"/>
      <c r="H17" s="156"/>
      <c r="I17" s="156"/>
      <c r="J17" s="156"/>
      <c r="K17" s="156"/>
      <c r="L17" s="156"/>
      <c r="M17" s="156"/>
    </row>
    <row r="18" spans="1:14" ht="15.75" x14ac:dyDescent="0.25">
      <c r="B18" s="680"/>
      <c r="C18" s="680"/>
      <c r="D18" s="680"/>
      <c r="E18" s="383"/>
      <c r="F18" s="680"/>
      <c r="G18" s="680"/>
      <c r="H18" s="680"/>
      <c r="I18" s="383"/>
      <c r="J18" s="680"/>
      <c r="K18" s="680"/>
      <c r="L18" s="680"/>
      <c r="M18" s="383"/>
    </row>
    <row r="19" spans="1:14" x14ac:dyDescent="0.2">
      <c r="A19" s="143"/>
      <c r="B19" s="676" t="s">
        <v>0</v>
      </c>
      <c r="C19" s="677"/>
      <c r="D19" s="677"/>
      <c r="E19" s="382"/>
      <c r="F19" s="676" t="s">
        <v>1</v>
      </c>
      <c r="G19" s="677"/>
      <c r="H19" s="677"/>
      <c r="I19" s="385"/>
      <c r="J19" s="676" t="s">
        <v>2</v>
      </c>
      <c r="K19" s="677"/>
      <c r="L19" s="677"/>
      <c r="M19" s="385"/>
    </row>
    <row r="20" spans="1:14" x14ac:dyDescent="0.2">
      <c r="A20" s="140" t="s">
        <v>5</v>
      </c>
      <c r="B20" s="243" t="s">
        <v>411</v>
      </c>
      <c r="C20" s="243" t="s">
        <v>412</v>
      </c>
      <c r="D20" s="161" t="s">
        <v>3</v>
      </c>
      <c r="E20" s="303" t="s">
        <v>33</v>
      </c>
      <c r="F20" s="243" t="s">
        <v>411</v>
      </c>
      <c r="G20" s="243" t="s">
        <v>412</v>
      </c>
      <c r="H20" s="161" t="s">
        <v>3</v>
      </c>
      <c r="I20" s="161" t="s">
        <v>33</v>
      </c>
      <c r="J20" s="243" t="s">
        <v>411</v>
      </c>
      <c r="K20" s="243" t="s">
        <v>412</v>
      </c>
      <c r="L20" s="161" t="s">
        <v>3</v>
      </c>
      <c r="M20" s="161" t="s">
        <v>33</v>
      </c>
    </row>
    <row r="21" spans="1:14" x14ac:dyDescent="0.2">
      <c r="A21" s="436"/>
      <c r="B21" s="155"/>
      <c r="C21" s="155"/>
      <c r="D21" s="248" t="s">
        <v>4</v>
      </c>
      <c r="E21" s="392" t="s">
        <v>34</v>
      </c>
      <c r="F21" s="160"/>
      <c r="G21" s="160"/>
      <c r="H21" s="246" t="s">
        <v>4</v>
      </c>
      <c r="I21" s="155" t="s">
        <v>34</v>
      </c>
      <c r="J21" s="160"/>
      <c r="K21" s="160"/>
      <c r="L21" s="155" t="s">
        <v>4</v>
      </c>
      <c r="M21" s="155" t="s">
        <v>34</v>
      </c>
    </row>
    <row r="22" spans="1:14" ht="15.75" x14ac:dyDescent="0.2">
      <c r="A22" s="14" t="s">
        <v>27</v>
      </c>
      <c r="B22" s="314">
        <v>9531</v>
      </c>
      <c r="C22" s="315">
        <v>8871.4040000000005</v>
      </c>
      <c r="D22" s="344">
        <f t="shared" ref="D22:D28" si="3">IF(B22=0, "    ---- ", IF(ABS(ROUND(100/B22*C22-100,1))&lt;999,ROUND(100/B22*C22-100,1),IF(ROUND(100/B22*C22-100,1)&gt;999,999,-999)))</f>
        <v>-6.9</v>
      </c>
      <c r="E22" s="11">
        <f>IFERROR(100/'Skjema total MA'!C22*C22,0)</f>
        <v>0.92516124373930364</v>
      </c>
      <c r="F22" s="316">
        <v>5080.21</v>
      </c>
      <c r="G22" s="315">
        <v>4645.7969999999996</v>
      </c>
      <c r="H22" s="344">
        <f t="shared" ref="H22:H33" si="4">IF(F22=0, "    ---- ", IF(ABS(ROUND(100/F22*G22-100,1))&lt;999,ROUND(100/F22*G22-100,1),IF(ROUND(100/F22*G22-100,1)&gt;999,999,-999)))</f>
        <v>-8.6</v>
      </c>
      <c r="I22" s="159">
        <f>IFERROR(100/'Skjema total MA'!F22*G22,0)</f>
        <v>2.3301755976132728</v>
      </c>
      <c r="J22" s="314">
        <v>14611.21</v>
      </c>
      <c r="K22" s="314">
        <v>13517.201000000001</v>
      </c>
      <c r="L22" s="403">
        <f t="shared" ref="L22:L33" si="5">IF(J22=0, "    ---- ", IF(ABS(ROUND(100/J22*K22-100,1))&lt;999,ROUND(100/J22*K22-100,1),IF(ROUND(100/J22*K22-100,1)&gt;999,999,-999)))</f>
        <v>-7.5</v>
      </c>
      <c r="M22" s="24">
        <f>IFERROR(100/'Skjema total MA'!I22*K22,0)</f>
        <v>1.1670073923956636</v>
      </c>
    </row>
    <row r="23" spans="1:14" ht="15.75" x14ac:dyDescent="0.2">
      <c r="A23" s="413" t="s">
        <v>305</v>
      </c>
      <c r="B23" s="423" t="s">
        <v>413</v>
      </c>
      <c r="C23" s="423" t="s">
        <v>413</v>
      </c>
      <c r="D23" s="165"/>
      <c r="E23" s="393"/>
      <c r="F23" s="423"/>
      <c r="G23" s="423"/>
      <c r="H23" s="165"/>
      <c r="I23" s="240"/>
      <c r="J23" s="423"/>
      <c r="K23" s="423"/>
      <c r="L23" s="165"/>
      <c r="M23" s="23"/>
    </row>
    <row r="24" spans="1:14" ht="15.75" x14ac:dyDescent="0.2">
      <c r="A24" s="413" t="s">
        <v>306</v>
      </c>
      <c r="B24" s="423" t="s">
        <v>413</v>
      </c>
      <c r="C24" s="423" t="s">
        <v>413</v>
      </c>
      <c r="D24" s="165"/>
      <c r="E24" s="393"/>
      <c r="F24" s="423"/>
      <c r="G24" s="423"/>
      <c r="H24" s="165"/>
      <c r="I24" s="240"/>
      <c r="J24" s="423"/>
      <c r="K24" s="423"/>
      <c r="L24" s="165"/>
      <c r="M24" s="23"/>
    </row>
    <row r="25" spans="1:14" ht="15.75" x14ac:dyDescent="0.2">
      <c r="A25" s="413" t="s">
        <v>307</v>
      </c>
      <c r="B25" s="423" t="s">
        <v>413</v>
      </c>
      <c r="C25" s="423" t="s">
        <v>413</v>
      </c>
      <c r="D25" s="165"/>
      <c r="E25" s="393"/>
      <c r="F25" s="423"/>
      <c r="G25" s="423"/>
      <c r="H25" s="165"/>
      <c r="I25" s="240"/>
      <c r="J25" s="423"/>
      <c r="K25" s="423"/>
      <c r="L25" s="165"/>
      <c r="M25" s="23"/>
    </row>
    <row r="26" spans="1:14" x14ac:dyDescent="0.2">
      <c r="A26" s="413" t="s">
        <v>11</v>
      </c>
      <c r="B26" s="423" t="s">
        <v>413</v>
      </c>
      <c r="C26" s="423" t="s">
        <v>413</v>
      </c>
      <c r="D26" s="165"/>
      <c r="E26" s="393"/>
      <c r="F26" s="423"/>
      <c r="G26" s="423"/>
      <c r="H26" s="165"/>
      <c r="I26" s="240"/>
      <c r="J26" s="423"/>
      <c r="K26" s="423"/>
      <c r="L26" s="165"/>
      <c r="M26" s="23"/>
    </row>
    <row r="27" spans="1:14" ht="15.75" x14ac:dyDescent="0.2">
      <c r="A27" s="49" t="s">
        <v>297</v>
      </c>
      <c r="B27" s="44"/>
      <c r="C27" s="290">
        <v>8871.4040000000005</v>
      </c>
      <c r="D27" s="165" t="str">
        <f t="shared" si="3"/>
        <v xml:space="preserve">    ---- </v>
      </c>
      <c r="E27" s="27">
        <f>IFERROR(100/'Skjema total MA'!C27*C27,0)</f>
        <v>0.8969487237560243</v>
      </c>
      <c r="F27" s="234"/>
      <c r="G27" s="290"/>
      <c r="H27" s="165"/>
      <c r="I27" s="175"/>
      <c r="J27" s="44"/>
      <c r="K27" s="44">
        <v>8871.4040000000005</v>
      </c>
      <c r="L27" s="259" t="str">
        <f t="shared" si="5"/>
        <v xml:space="preserve">    ---- </v>
      </c>
      <c r="M27" s="23">
        <f>IFERROR(100/'Skjema total MA'!I27*K27,0)</f>
        <v>0.8969487237560243</v>
      </c>
    </row>
    <row r="28" spans="1:14" s="3" customFormat="1" ht="15.75" x14ac:dyDescent="0.2">
      <c r="A28" s="13" t="s">
        <v>26</v>
      </c>
      <c r="B28" s="236">
        <v>56841</v>
      </c>
      <c r="C28" s="307">
        <v>63881.197</v>
      </c>
      <c r="D28" s="170">
        <f t="shared" si="3"/>
        <v>12.4</v>
      </c>
      <c r="E28" s="11">
        <f>IFERROR(100/'Skjema total MA'!C28*C28,0)</f>
        <v>0.12537590931062612</v>
      </c>
      <c r="F28" s="306">
        <v>2190559.645</v>
      </c>
      <c r="G28" s="307">
        <v>2252894.733</v>
      </c>
      <c r="H28" s="170">
        <f t="shared" si="4"/>
        <v>2.8</v>
      </c>
      <c r="I28" s="159">
        <f>IFERROR(100/'Skjema total MA'!F28*G28,0)</f>
        <v>11.473072514920375</v>
      </c>
      <c r="J28" s="236">
        <v>2247400.645</v>
      </c>
      <c r="K28" s="236">
        <v>2316775.9300000002</v>
      </c>
      <c r="L28" s="404">
        <f t="shared" si="5"/>
        <v>3.1</v>
      </c>
      <c r="M28" s="24">
        <f>IFERROR(100/'Skjema total MA'!I28*K28,0)</f>
        <v>3.2821055389732066</v>
      </c>
      <c r="N28" s="147"/>
    </row>
    <row r="29" spans="1:14" s="3" customFormat="1" ht="15.75" x14ac:dyDescent="0.2">
      <c r="A29" s="413" t="s">
        <v>305</v>
      </c>
      <c r="B29" s="423" t="s">
        <v>413</v>
      </c>
      <c r="C29" s="423" t="s">
        <v>413</v>
      </c>
      <c r="D29" s="165"/>
      <c r="E29" s="393"/>
      <c r="F29" s="423"/>
      <c r="G29" s="423"/>
      <c r="H29" s="165"/>
      <c r="I29" s="240"/>
      <c r="J29" s="423"/>
      <c r="K29" s="423"/>
      <c r="L29" s="165"/>
      <c r="M29" s="23"/>
      <c r="N29" s="147"/>
    </row>
    <row r="30" spans="1:14" s="3" customFormat="1" ht="15.75" x14ac:dyDescent="0.2">
      <c r="A30" s="413" t="s">
        <v>306</v>
      </c>
      <c r="B30" s="423" t="s">
        <v>413</v>
      </c>
      <c r="C30" s="423" t="s">
        <v>413</v>
      </c>
      <c r="D30" s="165"/>
      <c r="E30" s="393"/>
      <c r="F30" s="423"/>
      <c r="G30" s="423"/>
      <c r="H30" s="165"/>
      <c r="I30" s="240"/>
      <c r="J30" s="423"/>
      <c r="K30" s="423"/>
      <c r="L30" s="165"/>
      <c r="M30" s="23"/>
      <c r="N30" s="147"/>
    </row>
    <row r="31" spans="1:14" ht="15.75" x14ac:dyDescent="0.2">
      <c r="A31" s="413" t="s">
        <v>307</v>
      </c>
      <c r="B31" s="423" t="s">
        <v>413</v>
      </c>
      <c r="C31" s="423" t="s">
        <v>413</v>
      </c>
      <c r="D31" s="165"/>
      <c r="E31" s="393"/>
      <c r="F31" s="423"/>
      <c r="G31" s="423"/>
      <c r="H31" s="165"/>
      <c r="I31" s="240"/>
      <c r="J31" s="423"/>
      <c r="K31" s="423"/>
      <c r="L31" s="165"/>
      <c r="M31" s="23"/>
    </row>
    <row r="32" spans="1:14" ht="15.75" x14ac:dyDescent="0.2">
      <c r="A32" s="13" t="s">
        <v>25</v>
      </c>
      <c r="B32" s="236"/>
      <c r="C32" s="307"/>
      <c r="D32" s="170"/>
      <c r="E32" s="11"/>
      <c r="F32" s="306">
        <v>22966.1</v>
      </c>
      <c r="G32" s="307">
        <v>18180.780999999999</v>
      </c>
      <c r="H32" s="170">
        <f t="shared" si="4"/>
        <v>-20.8</v>
      </c>
      <c r="I32" s="159">
        <f>IFERROR(100/'Skjema total MA'!F32*G32,0)</f>
        <v>97.056008062037506</v>
      </c>
      <c r="J32" s="236">
        <v>22966.1</v>
      </c>
      <c r="K32" s="236">
        <v>18180.780999999999</v>
      </c>
      <c r="L32" s="404">
        <f t="shared" si="5"/>
        <v>-20.8</v>
      </c>
      <c r="M32" s="24">
        <f>IFERROR(100/'Skjema total MA'!I32*K32,0)</f>
        <v>43.070914659242483</v>
      </c>
    </row>
    <row r="33" spans="1:14" ht="15.75" x14ac:dyDescent="0.2">
      <c r="A33" s="13" t="s">
        <v>24</v>
      </c>
      <c r="B33" s="236"/>
      <c r="C33" s="307"/>
      <c r="D33" s="170"/>
      <c r="E33" s="11"/>
      <c r="F33" s="306">
        <v>4744.9769999999999</v>
      </c>
      <c r="G33" s="307">
        <v>13834.767</v>
      </c>
      <c r="H33" s="170">
        <f t="shared" si="4"/>
        <v>191.6</v>
      </c>
      <c r="I33" s="159">
        <f>IFERROR(100/'Skjema total MA'!F33*G33,0)</f>
        <v>21.126085553270709</v>
      </c>
      <c r="J33" s="236">
        <v>4744.9769999999999</v>
      </c>
      <c r="K33" s="236">
        <v>13834.767</v>
      </c>
      <c r="L33" s="404">
        <f t="shared" si="5"/>
        <v>191.6</v>
      </c>
      <c r="M33" s="24">
        <f>IFERROR(100/'Skjema total MA'!I33*K33,0)</f>
        <v>40.319972050348333</v>
      </c>
    </row>
    <row r="34" spans="1:14" ht="15.75" x14ac:dyDescent="0.2">
      <c r="A34" s="12" t="s">
        <v>308</v>
      </c>
      <c r="B34" s="236"/>
      <c r="C34" s="307"/>
      <c r="D34" s="170"/>
      <c r="E34" s="11"/>
      <c r="F34" s="425"/>
      <c r="G34" s="426"/>
      <c r="H34" s="170"/>
      <c r="I34" s="406"/>
      <c r="J34" s="236"/>
      <c r="K34" s="236"/>
      <c r="L34" s="404"/>
      <c r="M34" s="24"/>
    </row>
    <row r="35" spans="1:14" ht="15.75" x14ac:dyDescent="0.2">
      <c r="A35" s="12" t="s">
        <v>309</v>
      </c>
      <c r="B35" s="236"/>
      <c r="C35" s="307"/>
      <c r="D35" s="170"/>
      <c r="E35" s="11"/>
      <c r="F35" s="425"/>
      <c r="G35" s="427"/>
      <c r="H35" s="170"/>
      <c r="I35" s="406"/>
      <c r="J35" s="236"/>
      <c r="K35" s="236"/>
      <c r="L35" s="404"/>
      <c r="M35" s="24"/>
    </row>
    <row r="36" spans="1:14" ht="15.75" x14ac:dyDescent="0.2">
      <c r="A36" s="12" t="s">
        <v>310</v>
      </c>
      <c r="B36" s="236"/>
      <c r="C36" s="307"/>
      <c r="D36" s="170"/>
      <c r="E36" s="24"/>
      <c r="F36" s="425"/>
      <c r="G36" s="426"/>
      <c r="H36" s="170"/>
      <c r="I36" s="406"/>
      <c r="J36" s="236"/>
      <c r="K36" s="236"/>
      <c r="L36" s="404"/>
      <c r="M36" s="24"/>
    </row>
    <row r="37" spans="1:14" ht="15.75" x14ac:dyDescent="0.2">
      <c r="A37" s="18" t="s">
        <v>311</v>
      </c>
      <c r="B37" s="281"/>
      <c r="C37" s="313"/>
      <c r="D37" s="168"/>
      <c r="E37" s="36"/>
      <c r="F37" s="428"/>
      <c r="G37" s="429"/>
      <c r="H37" s="168"/>
      <c r="I37" s="168"/>
      <c r="J37" s="236"/>
      <c r="K37" s="236"/>
      <c r="L37" s="405"/>
      <c r="M37" s="36"/>
    </row>
    <row r="38" spans="1:14" ht="15.75" x14ac:dyDescent="0.25">
      <c r="A38" s="47"/>
      <c r="B38" s="258"/>
      <c r="C38" s="258"/>
      <c r="D38" s="681"/>
      <c r="E38" s="681"/>
      <c r="F38" s="681"/>
      <c r="G38" s="681"/>
      <c r="H38" s="681"/>
      <c r="I38" s="681"/>
      <c r="J38" s="681"/>
      <c r="K38" s="681"/>
      <c r="L38" s="681"/>
      <c r="M38" s="384"/>
    </row>
    <row r="39" spans="1:14" x14ac:dyDescent="0.2">
      <c r="A39" s="154"/>
    </row>
    <row r="40" spans="1:14" ht="15.75" x14ac:dyDescent="0.25">
      <c r="A40" s="146" t="s">
        <v>294</v>
      </c>
      <c r="B40" s="679"/>
      <c r="C40" s="679"/>
      <c r="D40" s="679"/>
      <c r="E40" s="383"/>
      <c r="F40" s="682"/>
      <c r="G40" s="682"/>
      <c r="H40" s="682"/>
      <c r="I40" s="384"/>
      <c r="J40" s="682"/>
      <c r="K40" s="682"/>
      <c r="L40" s="682"/>
      <c r="M40" s="384"/>
    </row>
    <row r="41" spans="1:14" ht="15.75" x14ac:dyDescent="0.25">
      <c r="A41" s="162"/>
      <c r="B41" s="380"/>
      <c r="C41" s="380"/>
      <c r="D41" s="380"/>
      <c r="E41" s="380"/>
      <c r="F41" s="384"/>
      <c r="G41" s="384"/>
      <c r="H41" s="384"/>
      <c r="I41" s="384"/>
      <c r="J41" s="384"/>
      <c r="K41" s="384"/>
      <c r="L41" s="384"/>
      <c r="M41" s="384"/>
    </row>
    <row r="42" spans="1:14" ht="15.75" x14ac:dyDescent="0.25">
      <c r="A42" s="249"/>
      <c r="B42" s="676" t="s">
        <v>0</v>
      </c>
      <c r="C42" s="677"/>
      <c r="D42" s="677"/>
      <c r="E42" s="244"/>
      <c r="F42" s="384"/>
      <c r="G42" s="384"/>
      <c r="H42" s="384"/>
      <c r="I42" s="384"/>
      <c r="J42" s="384"/>
      <c r="K42" s="384"/>
      <c r="L42" s="384"/>
      <c r="M42" s="384"/>
    </row>
    <row r="43" spans="1:14" s="3" customFormat="1" x14ac:dyDescent="0.2">
      <c r="A43" s="140"/>
      <c r="B43" s="172" t="s">
        <v>411</v>
      </c>
      <c r="C43" s="172" t="s">
        <v>412</v>
      </c>
      <c r="D43" s="161" t="s">
        <v>3</v>
      </c>
      <c r="E43" s="161" t="s">
        <v>33</v>
      </c>
      <c r="F43" s="174"/>
      <c r="G43" s="174"/>
      <c r="H43" s="173"/>
      <c r="I43" s="173"/>
      <c r="J43" s="174"/>
      <c r="K43" s="174"/>
      <c r="L43" s="173"/>
      <c r="M43" s="173"/>
      <c r="N43" s="147"/>
    </row>
    <row r="44" spans="1:14" s="3" customFormat="1" x14ac:dyDescent="0.2">
      <c r="A44" s="436"/>
      <c r="B44" s="245"/>
      <c r="C44" s="245"/>
      <c r="D44" s="246" t="s">
        <v>4</v>
      </c>
      <c r="E44" s="155" t="s">
        <v>34</v>
      </c>
      <c r="F44" s="173"/>
      <c r="G44" s="173"/>
      <c r="H44" s="173"/>
      <c r="I44" s="173"/>
      <c r="J44" s="173"/>
      <c r="K44" s="173"/>
      <c r="L44" s="173"/>
      <c r="M44" s="173"/>
      <c r="N44" s="147"/>
    </row>
    <row r="45" spans="1:14" s="3" customFormat="1" ht="15.75" x14ac:dyDescent="0.2">
      <c r="A45" s="14" t="s">
        <v>27</v>
      </c>
      <c r="B45" s="308">
        <v>5040.2820000000002</v>
      </c>
      <c r="C45" s="309">
        <v>4685.8540000000003</v>
      </c>
      <c r="D45" s="403">
        <f t="shared" ref="D45:D46" si="6">IF(B45=0, "    ---- ", IF(ABS(ROUND(100/B45*C45-100,1))&lt;999,ROUND(100/B45*C45-100,1),IF(ROUND(100/B45*C45-100,1)&gt;999,999,-999)))</f>
        <v>-7</v>
      </c>
      <c r="E45" s="11">
        <f>IFERROR(100/'Skjema total MA'!C45*C45,0)</f>
        <v>0.17089195418351427</v>
      </c>
      <c r="F45" s="144"/>
      <c r="G45" s="33"/>
      <c r="H45" s="158"/>
      <c r="I45" s="158"/>
      <c r="J45" s="37"/>
      <c r="K45" s="37"/>
      <c r="L45" s="158"/>
      <c r="M45" s="158"/>
      <c r="N45" s="147"/>
    </row>
    <row r="46" spans="1:14" s="3" customFormat="1" ht="15.75" x14ac:dyDescent="0.2">
      <c r="A46" s="38" t="s">
        <v>312</v>
      </c>
      <c r="B46" s="286">
        <v>5040.2820000000002</v>
      </c>
      <c r="C46" s="287">
        <v>4685.8540000000003</v>
      </c>
      <c r="D46" s="259">
        <f t="shared" si="6"/>
        <v>-7</v>
      </c>
      <c r="E46" s="27">
        <f>IFERROR(100/'Skjema total MA'!C46*C46,0)</f>
        <v>0.32193450016299335</v>
      </c>
      <c r="F46" s="144"/>
      <c r="G46" s="33"/>
      <c r="H46" s="144"/>
      <c r="I46" s="144"/>
      <c r="J46" s="33"/>
      <c r="K46" s="33"/>
      <c r="L46" s="158"/>
      <c r="M46" s="158"/>
      <c r="N46" s="147"/>
    </row>
    <row r="47" spans="1:14" s="3" customFormat="1" ht="15.75" x14ac:dyDescent="0.2">
      <c r="A47" s="38" t="s">
        <v>313</v>
      </c>
      <c r="B47" s="44"/>
      <c r="C47" s="290"/>
      <c r="D47" s="259"/>
      <c r="E47" s="27"/>
      <c r="F47" s="144"/>
      <c r="G47" s="33"/>
      <c r="H47" s="144"/>
      <c r="I47" s="144"/>
      <c r="J47" s="37"/>
      <c r="K47" s="37"/>
      <c r="L47" s="158"/>
      <c r="M47" s="158"/>
      <c r="N47" s="147"/>
    </row>
    <row r="48" spans="1:14" s="3" customFormat="1" x14ac:dyDescent="0.2">
      <c r="A48" s="413" t="s">
        <v>6</v>
      </c>
      <c r="B48" s="423" t="s">
        <v>413</v>
      </c>
      <c r="C48" s="424" t="s">
        <v>413</v>
      </c>
      <c r="D48" s="259"/>
      <c r="E48" s="23"/>
      <c r="F48" s="144"/>
      <c r="G48" s="33"/>
      <c r="H48" s="144"/>
      <c r="I48" s="144"/>
      <c r="J48" s="33"/>
      <c r="K48" s="33"/>
      <c r="L48" s="158"/>
      <c r="M48" s="158"/>
      <c r="N48" s="147"/>
    </row>
    <row r="49" spans="1:14" s="3" customFormat="1" x14ac:dyDescent="0.2">
      <c r="A49" s="413" t="s">
        <v>7</v>
      </c>
      <c r="B49" s="423" t="s">
        <v>413</v>
      </c>
      <c r="C49" s="424" t="s">
        <v>413</v>
      </c>
      <c r="D49" s="259"/>
      <c r="E49" s="23"/>
      <c r="F49" s="144"/>
      <c r="G49" s="33"/>
      <c r="H49" s="144"/>
      <c r="I49" s="144"/>
      <c r="J49" s="33"/>
      <c r="K49" s="33"/>
      <c r="L49" s="158"/>
      <c r="M49" s="158"/>
      <c r="N49" s="147"/>
    </row>
    <row r="50" spans="1:14" s="3" customFormat="1" x14ac:dyDescent="0.2">
      <c r="A50" s="413" t="s">
        <v>8</v>
      </c>
      <c r="B50" s="423" t="s">
        <v>413</v>
      </c>
      <c r="C50" s="424" t="s">
        <v>413</v>
      </c>
      <c r="D50" s="259"/>
      <c r="E50" s="23"/>
      <c r="F50" s="144"/>
      <c r="G50" s="33"/>
      <c r="H50" s="144"/>
      <c r="I50" s="144"/>
      <c r="J50" s="33"/>
      <c r="K50" s="33"/>
      <c r="L50" s="158"/>
      <c r="M50" s="158"/>
      <c r="N50" s="147"/>
    </row>
    <row r="51" spans="1:14" s="3" customFormat="1" ht="15.75" x14ac:dyDescent="0.2">
      <c r="A51" s="39" t="s">
        <v>314</v>
      </c>
      <c r="B51" s="308"/>
      <c r="C51" s="309"/>
      <c r="D51" s="404"/>
      <c r="E51" s="11"/>
      <c r="F51" s="144"/>
      <c r="G51" s="33"/>
      <c r="H51" s="144"/>
      <c r="I51" s="144"/>
      <c r="J51" s="33"/>
      <c r="K51" s="33"/>
      <c r="L51" s="158"/>
      <c r="M51" s="158"/>
      <c r="N51" s="147"/>
    </row>
    <row r="52" spans="1:14" s="3" customFormat="1" ht="15.75" x14ac:dyDescent="0.2">
      <c r="A52" s="38" t="s">
        <v>312</v>
      </c>
      <c r="B52" s="286"/>
      <c r="C52" s="287"/>
      <c r="D52" s="259"/>
      <c r="E52" s="27"/>
      <c r="F52" s="144"/>
      <c r="G52" s="33"/>
      <c r="H52" s="144"/>
      <c r="I52" s="144"/>
      <c r="J52" s="33"/>
      <c r="K52" s="33"/>
      <c r="L52" s="158"/>
      <c r="M52" s="158"/>
      <c r="N52" s="147"/>
    </row>
    <row r="53" spans="1:14" s="3" customFormat="1" ht="15.75" x14ac:dyDescent="0.2">
      <c r="A53" s="38" t="s">
        <v>313</v>
      </c>
      <c r="B53" s="286"/>
      <c r="C53" s="287"/>
      <c r="D53" s="259"/>
      <c r="E53" s="27"/>
      <c r="F53" s="144"/>
      <c r="G53" s="33"/>
      <c r="H53" s="144"/>
      <c r="I53" s="144"/>
      <c r="J53" s="33"/>
      <c r="K53" s="33"/>
      <c r="L53" s="158"/>
      <c r="M53" s="158"/>
      <c r="N53" s="147"/>
    </row>
    <row r="54" spans="1:14" s="3" customFormat="1" ht="15.75" x14ac:dyDescent="0.2">
      <c r="A54" s="39" t="s">
        <v>315</v>
      </c>
      <c r="B54" s="308"/>
      <c r="C54" s="309"/>
      <c r="D54" s="404"/>
      <c r="E54" s="11"/>
      <c r="F54" s="144"/>
      <c r="G54" s="33"/>
      <c r="H54" s="144"/>
      <c r="I54" s="144"/>
      <c r="J54" s="33"/>
      <c r="K54" s="33"/>
      <c r="L54" s="158"/>
      <c r="M54" s="158"/>
      <c r="N54" s="147"/>
    </row>
    <row r="55" spans="1:14" s="3" customFormat="1" ht="15.75" x14ac:dyDescent="0.2">
      <c r="A55" s="38" t="s">
        <v>312</v>
      </c>
      <c r="B55" s="286"/>
      <c r="C55" s="287"/>
      <c r="D55" s="259"/>
      <c r="E55" s="27"/>
      <c r="F55" s="144"/>
      <c r="G55" s="33"/>
      <c r="H55" s="144"/>
      <c r="I55" s="144"/>
      <c r="J55" s="33"/>
      <c r="K55" s="33"/>
      <c r="L55" s="158"/>
      <c r="M55" s="158"/>
      <c r="N55" s="147"/>
    </row>
    <row r="56" spans="1:14" s="3" customFormat="1" ht="15.75" x14ac:dyDescent="0.2">
      <c r="A56" s="46" t="s">
        <v>313</v>
      </c>
      <c r="B56" s="288"/>
      <c r="C56" s="289"/>
      <c r="D56" s="260"/>
      <c r="E56" s="22"/>
      <c r="F56" s="144"/>
      <c r="G56" s="33"/>
      <c r="H56" s="144"/>
      <c r="I56" s="144"/>
      <c r="J56" s="33"/>
      <c r="K56" s="33"/>
      <c r="L56" s="158"/>
      <c r="M56" s="158"/>
      <c r="N56" s="147"/>
    </row>
    <row r="57" spans="1:14" s="3" customFormat="1" ht="15.75" x14ac:dyDescent="0.25">
      <c r="A57" s="163"/>
      <c r="B57" s="153"/>
      <c r="C57" s="153"/>
      <c r="D57" s="153"/>
      <c r="E57" s="153"/>
      <c r="F57" s="141"/>
      <c r="G57" s="141"/>
      <c r="H57" s="141"/>
      <c r="I57" s="141"/>
      <c r="J57" s="141"/>
      <c r="K57" s="141"/>
      <c r="L57" s="141"/>
      <c r="M57" s="141"/>
      <c r="N57" s="147"/>
    </row>
    <row r="58" spans="1:14" x14ac:dyDescent="0.2">
      <c r="A58" s="154"/>
    </row>
    <row r="59" spans="1:14" ht="15.75" x14ac:dyDescent="0.25">
      <c r="A59" s="146" t="s">
        <v>295</v>
      </c>
      <c r="C59" s="26"/>
      <c r="D59" s="26"/>
      <c r="E59" s="26"/>
      <c r="F59" s="26"/>
      <c r="G59" s="26"/>
      <c r="H59" s="26"/>
      <c r="I59" s="26"/>
      <c r="J59" s="26"/>
      <c r="K59" s="26"/>
      <c r="L59" s="26"/>
      <c r="M59" s="26"/>
    </row>
    <row r="60" spans="1:14" ht="15.75" x14ac:dyDescent="0.25">
      <c r="B60" s="680"/>
      <c r="C60" s="680"/>
      <c r="D60" s="680"/>
      <c r="E60" s="383"/>
      <c r="F60" s="680"/>
      <c r="G60" s="680"/>
      <c r="H60" s="680"/>
      <c r="I60" s="383"/>
      <c r="J60" s="680"/>
      <c r="K60" s="680"/>
      <c r="L60" s="680"/>
      <c r="M60" s="383"/>
    </row>
    <row r="61" spans="1:14" x14ac:dyDescent="0.2">
      <c r="A61" s="143"/>
      <c r="B61" s="676" t="s">
        <v>0</v>
      </c>
      <c r="C61" s="677"/>
      <c r="D61" s="678"/>
      <c r="E61" s="381"/>
      <c r="F61" s="677" t="s">
        <v>1</v>
      </c>
      <c r="G61" s="677"/>
      <c r="H61" s="677"/>
      <c r="I61" s="385"/>
      <c r="J61" s="676" t="s">
        <v>2</v>
      </c>
      <c r="K61" s="677"/>
      <c r="L61" s="677"/>
      <c r="M61" s="385"/>
    </row>
    <row r="62" spans="1:14" x14ac:dyDescent="0.2">
      <c r="A62" s="140"/>
      <c r="B62" s="151" t="s">
        <v>411</v>
      </c>
      <c r="C62" s="151" t="s">
        <v>412</v>
      </c>
      <c r="D62" s="246" t="s">
        <v>3</v>
      </c>
      <c r="E62" s="303" t="s">
        <v>33</v>
      </c>
      <c r="F62" s="151" t="s">
        <v>411</v>
      </c>
      <c r="G62" s="151" t="s">
        <v>412</v>
      </c>
      <c r="H62" s="246" t="s">
        <v>3</v>
      </c>
      <c r="I62" s="303" t="s">
        <v>33</v>
      </c>
      <c r="J62" s="151" t="s">
        <v>411</v>
      </c>
      <c r="K62" s="151" t="s">
        <v>412</v>
      </c>
      <c r="L62" s="246" t="s">
        <v>3</v>
      </c>
      <c r="M62" s="161" t="s">
        <v>33</v>
      </c>
    </row>
    <row r="63" spans="1:14" x14ac:dyDescent="0.2">
      <c r="A63" s="436"/>
      <c r="B63" s="155"/>
      <c r="C63" s="155"/>
      <c r="D63" s="248" t="s">
        <v>4</v>
      </c>
      <c r="E63" s="155" t="s">
        <v>34</v>
      </c>
      <c r="F63" s="160"/>
      <c r="G63" s="160"/>
      <c r="H63" s="246" t="s">
        <v>4</v>
      </c>
      <c r="I63" s="155" t="s">
        <v>34</v>
      </c>
      <c r="J63" s="160"/>
      <c r="K63" s="206"/>
      <c r="L63" s="155" t="s">
        <v>4</v>
      </c>
      <c r="M63" s="155" t="s">
        <v>34</v>
      </c>
    </row>
    <row r="64" spans="1:14" ht="15.75" x14ac:dyDescent="0.2">
      <c r="A64" s="14" t="s">
        <v>27</v>
      </c>
      <c r="B64" s="347">
        <v>53638.946000000004</v>
      </c>
      <c r="C64" s="347">
        <v>50996.048999999999</v>
      </c>
      <c r="D64" s="344">
        <f t="shared" ref="D64:D118" si="7">IF(B64=0, "    ---- ", IF(ABS(ROUND(100/B64*C64-100,1))&lt;999,ROUND(100/B64*C64-100,1),IF(ROUND(100/B64*C64-100,1)&gt;999,999,-999)))</f>
        <v>-4.9000000000000004</v>
      </c>
      <c r="E64" s="11">
        <f>IFERROR(100/'Skjema total MA'!C64*C64,0)</f>
        <v>0.94942521651252554</v>
      </c>
      <c r="F64" s="346">
        <v>551269.13600000006</v>
      </c>
      <c r="G64" s="346">
        <v>652398.84400000004</v>
      </c>
      <c r="H64" s="344">
        <f t="shared" ref="H64:H123" si="8">IF(F64=0, "    ---- ", IF(ABS(ROUND(100/F64*G64-100,1))&lt;999,ROUND(100/F64*G64-100,1),IF(ROUND(100/F64*G64-100,1)&gt;999,999,-999)))</f>
        <v>18.3</v>
      </c>
      <c r="I64" s="11">
        <f>IFERROR(100/'Skjema total MA'!F64*G64,0)</f>
        <v>5.0248869950109993</v>
      </c>
      <c r="J64" s="307">
        <v>604908.08200000005</v>
      </c>
      <c r="K64" s="314">
        <v>703394.89300000004</v>
      </c>
      <c r="L64" s="404">
        <f t="shared" ref="L64:L123" si="9">IF(J64=0, "    ---- ", IF(ABS(ROUND(100/J64*K64-100,1))&lt;999,ROUND(100/J64*K64-100,1),IF(ROUND(100/J64*K64-100,1)&gt;999,999,-999)))</f>
        <v>16.3</v>
      </c>
      <c r="M64" s="11">
        <f>IFERROR(100/'Skjema total MA'!I64*K64,0)</f>
        <v>3.8322522258646519</v>
      </c>
    </row>
    <row r="65" spans="1:14" x14ac:dyDescent="0.2">
      <c r="A65" s="21" t="s">
        <v>9</v>
      </c>
      <c r="B65" s="44">
        <v>53638.946000000004</v>
      </c>
      <c r="C65" s="144">
        <v>50996.048999999999</v>
      </c>
      <c r="D65" s="165">
        <f t="shared" si="7"/>
        <v>-4.9000000000000004</v>
      </c>
      <c r="E65" s="27">
        <f>IFERROR(100/'Skjema total MA'!C65*C65,0)</f>
        <v>0.99373716621802921</v>
      </c>
      <c r="F65" s="234"/>
      <c r="G65" s="144"/>
      <c r="H65" s="165"/>
      <c r="I65" s="27"/>
      <c r="J65" s="290">
        <v>53638.946000000004</v>
      </c>
      <c r="K65" s="44">
        <v>50996.048999999999</v>
      </c>
      <c r="L65" s="259">
        <f t="shared" si="9"/>
        <v>-4.9000000000000004</v>
      </c>
      <c r="M65" s="27">
        <f>IFERROR(100/'Skjema total MA'!I65*K65,0)</f>
        <v>0.99373716621802921</v>
      </c>
    </row>
    <row r="66" spans="1:14" x14ac:dyDescent="0.2">
      <c r="A66" s="21" t="s">
        <v>10</v>
      </c>
      <c r="B66" s="292"/>
      <c r="C66" s="293"/>
      <c r="D66" s="165"/>
      <c r="E66" s="27"/>
      <c r="F66" s="292">
        <v>551269.13600000006</v>
      </c>
      <c r="G66" s="293">
        <v>652398.84400000004</v>
      </c>
      <c r="H66" s="165">
        <f t="shared" si="8"/>
        <v>18.3</v>
      </c>
      <c r="I66" s="27">
        <f>IFERROR(100/'Skjema total MA'!F66*G66,0)</f>
        <v>5.0754107910507775</v>
      </c>
      <c r="J66" s="290">
        <v>551269.13600000006</v>
      </c>
      <c r="K66" s="44">
        <v>652398.84400000004</v>
      </c>
      <c r="L66" s="259">
        <f t="shared" si="9"/>
        <v>18.3</v>
      </c>
      <c r="M66" s="27">
        <f>IFERROR(100/'Skjema total MA'!I66*K66,0)</f>
        <v>5.0294468217753163</v>
      </c>
    </row>
    <row r="67" spans="1:14" ht="15.75" x14ac:dyDescent="0.2">
      <c r="A67" s="413" t="s">
        <v>316</v>
      </c>
      <c r="B67" s="423" t="s">
        <v>413</v>
      </c>
      <c r="C67" s="423" t="s">
        <v>413</v>
      </c>
      <c r="D67" s="165"/>
      <c r="E67" s="393"/>
      <c r="F67" s="423"/>
      <c r="G67" s="423"/>
      <c r="H67" s="165"/>
      <c r="I67" s="393"/>
      <c r="J67" s="423"/>
      <c r="K67" s="423"/>
      <c r="L67" s="165"/>
      <c r="M67" s="23"/>
    </row>
    <row r="68" spans="1:14" x14ac:dyDescent="0.2">
      <c r="A68" s="413" t="s">
        <v>12</v>
      </c>
      <c r="B68" s="430"/>
      <c r="C68" s="431"/>
      <c r="D68" s="165"/>
      <c r="E68" s="393"/>
      <c r="F68" s="423"/>
      <c r="G68" s="423"/>
      <c r="H68" s="165"/>
      <c r="I68" s="393"/>
      <c r="J68" s="423"/>
      <c r="K68" s="423"/>
      <c r="L68" s="165"/>
      <c r="M68" s="23"/>
    </row>
    <row r="69" spans="1:14" x14ac:dyDescent="0.2">
      <c r="A69" s="413" t="s">
        <v>13</v>
      </c>
      <c r="B69" s="432"/>
      <c r="C69" s="433"/>
      <c r="D69" s="165"/>
      <c r="E69" s="393"/>
      <c r="F69" s="423"/>
      <c r="G69" s="423"/>
      <c r="H69" s="165"/>
      <c r="I69" s="393"/>
      <c r="J69" s="423"/>
      <c r="K69" s="423"/>
      <c r="L69" s="165"/>
      <c r="M69" s="23"/>
    </row>
    <row r="70" spans="1:14" ht="15.75" x14ac:dyDescent="0.2">
      <c r="A70" s="413" t="s">
        <v>317</v>
      </c>
      <c r="B70" s="423" t="s">
        <v>413</v>
      </c>
      <c r="C70" s="423" t="s">
        <v>413</v>
      </c>
      <c r="D70" s="165"/>
      <c r="E70" s="393"/>
      <c r="F70" s="423"/>
      <c r="G70" s="423"/>
      <c r="H70" s="165"/>
      <c r="I70" s="393"/>
      <c r="J70" s="423"/>
      <c r="K70" s="423"/>
      <c r="L70" s="165"/>
      <c r="M70" s="23"/>
    </row>
    <row r="71" spans="1:14" x14ac:dyDescent="0.2">
      <c r="A71" s="413" t="s">
        <v>12</v>
      </c>
      <c r="B71" s="432"/>
      <c r="C71" s="433"/>
      <c r="D71" s="165"/>
      <c r="E71" s="393"/>
      <c r="F71" s="423"/>
      <c r="G71" s="423"/>
      <c r="H71" s="165"/>
      <c r="I71" s="393"/>
      <c r="J71" s="423"/>
      <c r="K71" s="423"/>
      <c r="L71" s="165"/>
      <c r="M71" s="23"/>
    </row>
    <row r="72" spans="1:14" s="3" customFormat="1" x14ac:dyDescent="0.2">
      <c r="A72" s="413" t="s">
        <v>13</v>
      </c>
      <c r="B72" s="432"/>
      <c r="C72" s="433"/>
      <c r="D72" s="165"/>
      <c r="E72" s="393"/>
      <c r="F72" s="423"/>
      <c r="G72" s="423"/>
      <c r="H72" s="165"/>
      <c r="I72" s="393"/>
      <c r="J72" s="423"/>
      <c r="K72" s="423"/>
      <c r="L72" s="165"/>
      <c r="M72" s="23"/>
      <c r="N72" s="147"/>
    </row>
    <row r="73" spans="1:14" s="3" customFormat="1" x14ac:dyDescent="0.2">
      <c r="A73" s="21" t="s">
        <v>400</v>
      </c>
      <c r="B73" s="234"/>
      <c r="C73" s="144"/>
      <c r="D73" s="165"/>
      <c r="E73" s="27"/>
      <c r="F73" s="234"/>
      <c r="G73" s="144"/>
      <c r="H73" s="165"/>
      <c r="I73" s="27"/>
      <c r="J73" s="290"/>
      <c r="K73" s="44"/>
      <c r="L73" s="259"/>
      <c r="M73" s="27"/>
      <c r="N73" s="147"/>
    </row>
    <row r="74" spans="1:14" s="3" customFormat="1" x14ac:dyDescent="0.2">
      <c r="A74" s="21" t="s">
        <v>399</v>
      </c>
      <c r="B74" s="234"/>
      <c r="C74" s="144"/>
      <c r="D74" s="165"/>
      <c r="E74" s="27"/>
      <c r="F74" s="234"/>
      <c r="G74" s="144"/>
      <c r="H74" s="165"/>
      <c r="I74" s="27"/>
      <c r="J74" s="290"/>
      <c r="K74" s="44"/>
      <c r="L74" s="259"/>
      <c r="M74" s="27"/>
      <c r="N74" s="147"/>
    </row>
    <row r="75" spans="1:14" ht="15.75" x14ac:dyDescent="0.2">
      <c r="A75" s="21" t="s">
        <v>318</v>
      </c>
      <c r="B75" s="234">
        <v>53638.946000000004</v>
      </c>
      <c r="C75" s="234">
        <v>50996.048999999999</v>
      </c>
      <c r="D75" s="165">
        <f t="shared" si="7"/>
        <v>-4.9000000000000004</v>
      </c>
      <c r="E75" s="27">
        <f>IFERROR(100/'Skjema total MA'!C75*C75,0)</f>
        <v>0.99908677427582826</v>
      </c>
      <c r="F75" s="234">
        <v>551269.13600000006</v>
      </c>
      <c r="G75" s="144">
        <v>652398.84400000004</v>
      </c>
      <c r="H75" s="165">
        <f t="shared" si="8"/>
        <v>18.3</v>
      </c>
      <c r="I75" s="27">
        <f>IFERROR(100/'Skjema total MA'!F75*G75,0)</f>
        <v>5.0787266344321722</v>
      </c>
      <c r="J75" s="290">
        <v>604908.08200000005</v>
      </c>
      <c r="K75" s="44">
        <v>703394.89300000004</v>
      </c>
      <c r="L75" s="259">
        <f t="shared" si="9"/>
        <v>16.3</v>
      </c>
      <c r="M75" s="27">
        <f>IFERROR(100/'Skjema total MA'!I75*K75,0)</f>
        <v>3.9186381873031317</v>
      </c>
    </row>
    <row r="76" spans="1:14" x14ac:dyDescent="0.2">
      <c r="A76" s="21" t="s">
        <v>9</v>
      </c>
      <c r="B76" s="234">
        <v>53638.946000000004</v>
      </c>
      <c r="C76" s="144">
        <v>50996.048999999999</v>
      </c>
      <c r="D76" s="165">
        <f t="shared" si="7"/>
        <v>-4.9000000000000004</v>
      </c>
      <c r="E76" s="27">
        <f>IFERROR(100/'Skjema total MA'!C76*C76,0)</f>
        <v>1.0221671375600041</v>
      </c>
      <c r="F76" s="234"/>
      <c r="G76" s="144"/>
      <c r="H76" s="165"/>
      <c r="I76" s="27"/>
      <c r="J76" s="290">
        <v>53638.946000000004</v>
      </c>
      <c r="K76" s="44">
        <v>50996.048999999999</v>
      </c>
      <c r="L76" s="259">
        <f t="shared" si="9"/>
        <v>-4.9000000000000004</v>
      </c>
      <c r="M76" s="27">
        <f>IFERROR(100/'Skjema total MA'!I76*K76,0)</f>
        <v>1.0221671375600041</v>
      </c>
    </row>
    <row r="77" spans="1:14" x14ac:dyDescent="0.2">
      <c r="A77" s="21" t="s">
        <v>10</v>
      </c>
      <c r="B77" s="292"/>
      <c r="C77" s="293"/>
      <c r="D77" s="165"/>
      <c r="E77" s="27"/>
      <c r="F77" s="292">
        <v>551269.13600000006</v>
      </c>
      <c r="G77" s="293">
        <v>652398.84400000004</v>
      </c>
      <c r="H77" s="165">
        <f t="shared" si="8"/>
        <v>18.3</v>
      </c>
      <c r="I77" s="27">
        <f>IFERROR(100/'Skjema total MA'!F77*G77,0)</f>
        <v>5.0787266344321722</v>
      </c>
      <c r="J77" s="290">
        <v>551269.13600000006</v>
      </c>
      <c r="K77" s="44">
        <v>652398.84400000004</v>
      </c>
      <c r="L77" s="259">
        <f t="shared" si="9"/>
        <v>18.3</v>
      </c>
      <c r="M77" s="27">
        <f>IFERROR(100/'Skjema total MA'!I77*K77,0)</f>
        <v>5.0335648216535764</v>
      </c>
    </row>
    <row r="78" spans="1:14" ht="15.75" x14ac:dyDescent="0.2">
      <c r="A78" s="413" t="s">
        <v>316</v>
      </c>
      <c r="B78" s="423" t="s">
        <v>413</v>
      </c>
      <c r="C78" s="423" t="s">
        <v>413</v>
      </c>
      <c r="D78" s="165"/>
      <c r="E78" s="393"/>
      <c r="F78" s="423"/>
      <c r="G78" s="423"/>
      <c r="H78" s="165"/>
      <c r="I78" s="393"/>
      <c r="J78" s="423"/>
      <c r="K78" s="423"/>
      <c r="L78" s="165"/>
      <c r="M78" s="23"/>
    </row>
    <row r="79" spans="1:14" x14ac:dyDescent="0.2">
      <c r="A79" s="413" t="s">
        <v>12</v>
      </c>
      <c r="B79" s="432"/>
      <c r="C79" s="433"/>
      <c r="D79" s="165"/>
      <c r="E79" s="393"/>
      <c r="F79" s="423"/>
      <c r="G79" s="423"/>
      <c r="H79" s="165"/>
      <c r="I79" s="393"/>
      <c r="J79" s="423"/>
      <c r="K79" s="423"/>
      <c r="L79" s="165"/>
      <c r="M79" s="23"/>
    </row>
    <row r="80" spans="1:14" x14ac:dyDescent="0.2">
      <c r="A80" s="413" t="s">
        <v>13</v>
      </c>
      <c r="B80" s="432"/>
      <c r="C80" s="433"/>
      <c r="D80" s="165"/>
      <c r="E80" s="393"/>
      <c r="F80" s="423"/>
      <c r="G80" s="423"/>
      <c r="H80" s="165"/>
      <c r="I80" s="393"/>
      <c r="J80" s="423"/>
      <c r="K80" s="423"/>
      <c r="L80" s="165"/>
      <c r="M80" s="23"/>
    </row>
    <row r="81" spans="1:13" ht="15.75" x14ac:dyDescent="0.2">
      <c r="A81" s="413" t="s">
        <v>317</v>
      </c>
      <c r="B81" s="423" t="s">
        <v>413</v>
      </c>
      <c r="C81" s="423" t="s">
        <v>413</v>
      </c>
      <c r="D81" s="165"/>
      <c r="E81" s="393"/>
      <c r="F81" s="423"/>
      <c r="G81" s="423"/>
      <c r="H81" s="165"/>
      <c r="I81" s="393"/>
      <c r="J81" s="423"/>
      <c r="K81" s="423"/>
      <c r="L81" s="165"/>
      <c r="M81" s="23"/>
    </row>
    <row r="82" spans="1:13" x14ac:dyDescent="0.2">
      <c r="A82" s="413" t="s">
        <v>12</v>
      </c>
      <c r="B82" s="432"/>
      <c r="C82" s="433"/>
      <c r="D82" s="165"/>
      <c r="E82" s="393"/>
      <c r="F82" s="423"/>
      <c r="G82" s="423"/>
      <c r="H82" s="165"/>
      <c r="I82" s="393"/>
      <c r="J82" s="423"/>
      <c r="K82" s="423"/>
      <c r="L82" s="165"/>
      <c r="M82" s="23"/>
    </row>
    <row r="83" spans="1:13" x14ac:dyDescent="0.2">
      <c r="A83" s="413" t="s">
        <v>13</v>
      </c>
      <c r="B83" s="432"/>
      <c r="C83" s="433"/>
      <c r="D83" s="165"/>
      <c r="E83" s="393"/>
      <c r="F83" s="423"/>
      <c r="G83" s="423"/>
      <c r="H83" s="165"/>
      <c r="I83" s="393"/>
      <c r="J83" s="423"/>
      <c r="K83" s="423"/>
      <c r="L83" s="165"/>
      <c r="M83" s="23"/>
    </row>
    <row r="84" spans="1:13" ht="15.75" x14ac:dyDescent="0.2">
      <c r="A84" s="21" t="s">
        <v>327</v>
      </c>
      <c r="B84" s="234"/>
      <c r="C84" s="144"/>
      <c r="D84" s="165"/>
      <c r="E84" s="27"/>
      <c r="F84" s="234"/>
      <c r="G84" s="144"/>
      <c r="H84" s="165"/>
      <c r="I84" s="27"/>
      <c r="J84" s="290"/>
      <c r="K84" s="44"/>
      <c r="L84" s="259"/>
      <c r="M84" s="27"/>
    </row>
    <row r="85" spans="1:13" ht="15.75" x14ac:dyDescent="0.2">
      <c r="A85" s="13" t="s">
        <v>26</v>
      </c>
      <c r="B85" s="347">
        <v>507176.36499999999</v>
      </c>
      <c r="C85" s="347">
        <v>584324.73199999996</v>
      </c>
      <c r="D85" s="170">
        <f t="shared" si="7"/>
        <v>15.2</v>
      </c>
      <c r="E85" s="11">
        <f>IFERROR(100/'Skjema total MA'!C85*C85,0)</f>
        <v>0.1563159005112196</v>
      </c>
      <c r="F85" s="346">
        <v>8718026.8729999997</v>
      </c>
      <c r="G85" s="346">
        <v>10969942.057</v>
      </c>
      <c r="H85" s="170">
        <f t="shared" si="8"/>
        <v>25.8</v>
      </c>
      <c r="I85" s="11">
        <f>IFERROR(100/'Skjema total MA'!F85*G85,0)</f>
        <v>5.5156817343298039</v>
      </c>
      <c r="J85" s="307">
        <v>9225203.2379999999</v>
      </c>
      <c r="K85" s="236">
        <v>11554266.789000001</v>
      </c>
      <c r="L85" s="404">
        <f t="shared" si="9"/>
        <v>25.2</v>
      </c>
      <c r="M85" s="11">
        <f>IFERROR(100/'Skjema total MA'!I85*K85,0)</f>
        <v>2.0175197419570554</v>
      </c>
    </row>
    <row r="86" spans="1:13" x14ac:dyDescent="0.2">
      <c r="A86" s="21" t="s">
        <v>9</v>
      </c>
      <c r="B86" s="234">
        <v>507176.36499999999</v>
      </c>
      <c r="C86" s="144">
        <v>584324.73199999996</v>
      </c>
      <c r="D86" s="165">
        <f t="shared" si="7"/>
        <v>15.2</v>
      </c>
      <c r="E86" s="27">
        <f>IFERROR(100/'Skjema total MA'!C86*C86,0)</f>
        <v>0.15747087838365803</v>
      </c>
      <c r="F86" s="234"/>
      <c r="G86" s="144"/>
      <c r="H86" s="165"/>
      <c r="I86" s="27"/>
      <c r="J86" s="290">
        <v>507176.36499999999</v>
      </c>
      <c r="K86" s="44">
        <v>584324.73199999996</v>
      </c>
      <c r="L86" s="259">
        <f t="shared" si="9"/>
        <v>15.2</v>
      </c>
      <c r="M86" s="27">
        <f>IFERROR(100/'Skjema total MA'!I86*K86,0)</f>
        <v>0.15747087838365803</v>
      </c>
    </row>
    <row r="87" spans="1:13" x14ac:dyDescent="0.2">
      <c r="A87" s="21" t="s">
        <v>10</v>
      </c>
      <c r="B87" s="234"/>
      <c r="C87" s="144"/>
      <c r="D87" s="165"/>
      <c r="E87" s="27"/>
      <c r="F87" s="234">
        <v>8718026.8729999997</v>
      </c>
      <c r="G87" s="144">
        <v>10969942.057</v>
      </c>
      <c r="H87" s="165">
        <f t="shared" si="8"/>
        <v>25.8</v>
      </c>
      <c r="I87" s="27">
        <f>IFERROR(100/'Skjema total MA'!F87*G87,0)</f>
        <v>5.5256669062015789</v>
      </c>
      <c r="J87" s="290">
        <v>8718026.8729999997</v>
      </c>
      <c r="K87" s="44">
        <v>10969942.057</v>
      </c>
      <c r="L87" s="259">
        <f t="shared" si="9"/>
        <v>25.8</v>
      </c>
      <c r="M87" s="27">
        <f>IFERROR(100/'Skjema total MA'!I87*K87,0)</f>
        <v>5.456973390133748</v>
      </c>
    </row>
    <row r="88" spans="1:13" ht="15.75" x14ac:dyDescent="0.2">
      <c r="A88" s="413" t="s">
        <v>316</v>
      </c>
      <c r="B88" s="423" t="s">
        <v>413</v>
      </c>
      <c r="C88" s="423" t="s">
        <v>413</v>
      </c>
      <c r="D88" s="165"/>
      <c r="E88" s="393"/>
      <c r="F88" s="423"/>
      <c r="G88" s="423"/>
      <c r="H88" s="165"/>
      <c r="I88" s="393"/>
      <c r="J88" s="423"/>
      <c r="K88" s="423"/>
      <c r="L88" s="165"/>
      <c r="M88" s="23"/>
    </row>
    <row r="89" spans="1:13" x14ac:dyDescent="0.2">
      <c r="A89" s="413" t="s">
        <v>12</v>
      </c>
      <c r="B89" s="432"/>
      <c r="C89" s="433"/>
      <c r="D89" s="165"/>
      <c r="E89" s="393"/>
      <c r="F89" s="423"/>
      <c r="G89" s="423"/>
      <c r="H89" s="165"/>
      <c r="I89" s="393"/>
      <c r="J89" s="423"/>
      <c r="K89" s="423"/>
      <c r="L89" s="165"/>
      <c r="M89" s="23"/>
    </row>
    <row r="90" spans="1:13" x14ac:dyDescent="0.2">
      <c r="A90" s="413" t="s">
        <v>13</v>
      </c>
      <c r="B90" s="432"/>
      <c r="C90" s="433"/>
      <c r="D90" s="165"/>
      <c r="E90" s="393"/>
      <c r="F90" s="423"/>
      <c r="G90" s="423"/>
      <c r="H90" s="165"/>
      <c r="I90" s="393"/>
      <c r="J90" s="423"/>
      <c r="K90" s="423"/>
      <c r="L90" s="165"/>
      <c r="M90" s="23"/>
    </row>
    <row r="91" spans="1:13" ht="15.75" x14ac:dyDescent="0.2">
      <c r="A91" s="413" t="s">
        <v>317</v>
      </c>
      <c r="B91" s="423" t="s">
        <v>413</v>
      </c>
      <c r="C91" s="423" t="s">
        <v>413</v>
      </c>
      <c r="D91" s="165"/>
      <c r="E91" s="393"/>
      <c r="F91" s="423"/>
      <c r="G91" s="423"/>
      <c r="H91" s="165"/>
      <c r="I91" s="393"/>
      <c r="J91" s="423"/>
      <c r="K91" s="423"/>
      <c r="L91" s="165"/>
      <c r="M91" s="23"/>
    </row>
    <row r="92" spans="1:13" x14ac:dyDescent="0.2">
      <c r="A92" s="413" t="s">
        <v>12</v>
      </c>
      <c r="B92" s="432"/>
      <c r="C92" s="433"/>
      <c r="D92" s="165"/>
      <c r="E92" s="393"/>
      <c r="F92" s="423"/>
      <c r="G92" s="423"/>
      <c r="H92" s="165"/>
      <c r="I92" s="393"/>
      <c r="J92" s="423"/>
      <c r="K92" s="423"/>
      <c r="L92" s="165"/>
      <c r="M92" s="23"/>
    </row>
    <row r="93" spans="1:13" x14ac:dyDescent="0.2">
      <c r="A93" s="413" t="s">
        <v>13</v>
      </c>
      <c r="B93" s="432"/>
      <c r="C93" s="433"/>
      <c r="D93" s="165"/>
      <c r="E93" s="393"/>
      <c r="F93" s="423"/>
      <c r="G93" s="423"/>
      <c r="H93" s="165"/>
      <c r="I93" s="393"/>
      <c r="J93" s="423"/>
      <c r="K93" s="423"/>
      <c r="L93" s="165"/>
      <c r="M93" s="23"/>
    </row>
    <row r="94" spans="1:13" x14ac:dyDescent="0.2">
      <c r="A94" s="21" t="s">
        <v>398</v>
      </c>
      <c r="B94" s="234"/>
      <c r="C94" s="144"/>
      <c r="D94" s="165"/>
      <c r="E94" s="27"/>
      <c r="F94" s="234"/>
      <c r="G94" s="144"/>
      <c r="H94" s="165"/>
      <c r="I94" s="27"/>
      <c r="J94" s="290"/>
      <c r="K94" s="44"/>
      <c r="L94" s="259"/>
      <c r="M94" s="27"/>
    </row>
    <row r="95" spans="1:13" x14ac:dyDescent="0.2">
      <c r="A95" s="21" t="s">
        <v>397</v>
      </c>
      <c r="B95" s="234"/>
      <c r="C95" s="144"/>
      <c r="D95" s="165"/>
      <c r="E95" s="27"/>
      <c r="F95" s="234"/>
      <c r="G95" s="144"/>
      <c r="H95" s="165"/>
      <c r="I95" s="27"/>
      <c r="J95" s="290"/>
      <c r="K95" s="44"/>
      <c r="L95" s="259"/>
      <c r="M95" s="27"/>
    </row>
    <row r="96" spans="1:13" ht="15.75" x14ac:dyDescent="0.2">
      <c r="A96" s="21" t="s">
        <v>318</v>
      </c>
      <c r="B96" s="234">
        <v>507176.36499999999</v>
      </c>
      <c r="C96" s="234">
        <v>584324.73199999996</v>
      </c>
      <c r="D96" s="165">
        <f t="shared" si="7"/>
        <v>15.2</v>
      </c>
      <c r="E96" s="27">
        <f>IFERROR(100/'Skjema total MA'!C96*C96,0)</f>
        <v>0.15850023858168738</v>
      </c>
      <c r="F96" s="292">
        <v>8718026.8729999997</v>
      </c>
      <c r="G96" s="292">
        <v>10969942.057</v>
      </c>
      <c r="H96" s="165">
        <f t="shared" si="8"/>
        <v>25.8</v>
      </c>
      <c r="I96" s="27">
        <f>IFERROR(100/'Skjema total MA'!F96*G96,0)</f>
        <v>5.5405360837575612</v>
      </c>
      <c r="J96" s="290">
        <v>9225203.2379999999</v>
      </c>
      <c r="K96" s="44">
        <v>11554266.789000001</v>
      </c>
      <c r="L96" s="259">
        <f t="shared" si="9"/>
        <v>25.2</v>
      </c>
      <c r="M96" s="27">
        <f>IFERROR(100/'Skjema total MA'!I96*K96,0)</f>
        <v>2.0390380907243908</v>
      </c>
    </row>
    <row r="97" spans="1:13" x14ac:dyDescent="0.2">
      <c r="A97" s="21" t="s">
        <v>9</v>
      </c>
      <c r="B97" s="292">
        <v>507176.36499999999</v>
      </c>
      <c r="C97" s="293">
        <v>584324.73199999996</v>
      </c>
      <c r="D97" s="165">
        <f t="shared" si="7"/>
        <v>15.2</v>
      </c>
      <c r="E97" s="27">
        <f>IFERROR(100/'Skjema total MA'!C97*C97,0)</f>
        <v>0.15958202911567657</v>
      </c>
      <c r="F97" s="234"/>
      <c r="G97" s="144"/>
      <c r="H97" s="165"/>
      <c r="I97" s="27"/>
      <c r="J97" s="290">
        <v>507176.36499999999</v>
      </c>
      <c r="K97" s="44">
        <v>584324.73199999996</v>
      </c>
      <c r="L97" s="259">
        <f t="shared" si="9"/>
        <v>15.2</v>
      </c>
      <c r="M97" s="27">
        <f>IFERROR(100/'Skjema total MA'!I97*K97,0)</f>
        <v>0.15958202911567657</v>
      </c>
    </row>
    <row r="98" spans="1:13" x14ac:dyDescent="0.2">
      <c r="A98" s="21" t="s">
        <v>10</v>
      </c>
      <c r="B98" s="292"/>
      <c r="C98" s="293"/>
      <c r="D98" s="165"/>
      <c r="E98" s="27"/>
      <c r="F98" s="234">
        <v>8718026.8729999997</v>
      </c>
      <c r="G98" s="234">
        <v>10969942.057</v>
      </c>
      <c r="H98" s="165">
        <f t="shared" si="8"/>
        <v>25.8</v>
      </c>
      <c r="I98" s="27">
        <f>IFERROR(100/'Skjema total MA'!F98*G98,0)</f>
        <v>5.5405360837575612</v>
      </c>
      <c r="J98" s="290">
        <v>8718026.8729999997</v>
      </c>
      <c r="K98" s="44">
        <v>10969942.057</v>
      </c>
      <c r="L98" s="259">
        <f t="shared" si="9"/>
        <v>25.8</v>
      </c>
      <c r="M98" s="27">
        <f>IFERROR(100/'Skjema total MA'!I98*K98,0)</f>
        <v>5.4714746818199735</v>
      </c>
    </row>
    <row r="99" spans="1:13" ht="15.75" x14ac:dyDescent="0.2">
      <c r="A99" s="413" t="s">
        <v>316</v>
      </c>
      <c r="B99" s="423" t="s">
        <v>413</v>
      </c>
      <c r="C99" s="423" t="s">
        <v>413</v>
      </c>
      <c r="D99" s="165"/>
      <c r="E99" s="393"/>
      <c r="F99" s="423"/>
      <c r="G99" s="423"/>
      <c r="H99" s="165"/>
      <c r="I99" s="393"/>
      <c r="J99" s="423"/>
      <c r="K99" s="423"/>
      <c r="L99" s="165"/>
      <c r="M99" s="23"/>
    </row>
    <row r="100" spans="1:13" x14ac:dyDescent="0.2">
      <c r="A100" s="413" t="s">
        <v>12</v>
      </c>
      <c r="B100" s="432"/>
      <c r="C100" s="433"/>
      <c r="D100" s="165"/>
      <c r="E100" s="393"/>
      <c r="F100" s="423"/>
      <c r="G100" s="423"/>
      <c r="H100" s="165"/>
      <c r="I100" s="393"/>
      <c r="J100" s="423"/>
      <c r="K100" s="423"/>
      <c r="L100" s="165"/>
      <c r="M100" s="23"/>
    </row>
    <row r="101" spans="1:13" x14ac:dyDescent="0.2">
      <c r="A101" s="413" t="s">
        <v>13</v>
      </c>
      <c r="B101" s="432"/>
      <c r="C101" s="433"/>
      <c r="D101" s="165"/>
      <c r="E101" s="393"/>
      <c r="F101" s="423"/>
      <c r="G101" s="423"/>
      <c r="H101" s="165"/>
      <c r="I101" s="393"/>
      <c r="J101" s="423"/>
      <c r="K101" s="423"/>
      <c r="L101" s="165"/>
      <c r="M101" s="23"/>
    </row>
    <row r="102" spans="1:13" ht="15.75" x14ac:dyDescent="0.2">
      <c r="A102" s="413" t="s">
        <v>317</v>
      </c>
      <c r="B102" s="423" t="s">
        <v>413</v>
      </c>
      <c r="C102" s="423" t="s">
        <v>413</v>
      </c>
      <c r="D102" s="165"/>
      <c r="E102" s="393"/>
      <c r="F102" s="423"/>
      <c r="G102" s="423"/>
      <c r="H102" s="165"/>
      <c r="I102" s="393"/>
      <c r="J102" s="423"/>
      <c r="K102" s="423"/>
      <c r="L102" s="165"/>
      <c r="M102" s="23"/>
    </row>
    <row r="103" spans="1:13" x14ac:dyDescent="0.2">
      <c r="A103" s="413" t="s">
        <v>12</v>
      </c>
      <c r="B103" s="432"/>
      <c r="C103" s="433"/>
      <c r="D103" s="165"/>
      <c r="E103" s="393"/>
      <c r="F103" s="423"/>
      <c r="G103" s="423"/>
      <c r="H103" s="165"/>
      <c r="I103" s="393"/>
      <c r="J103" s="423"/>
      <c r="K103" s="423"/>
      <c r="L103" s="165"/>
      <c r="M103" s="23"/>
    </row>
    <row r="104" spans="1:13" x14ac:dyDescent="0.2">
      <c r="A104" s="413" t="s">
        <v>13</v>
      </c>
      <c r="B104" s="432"/>
      <c r="C104" s="433"/>
      <c r="D104" s="165"/>
      <c r="E104" s="393"/>
      <c r="F104" s="423"/>
      <c r="G104" s="423"/>
      <c r="H104" s="165"/>
      <c r="I104" s="393"/>
      <c r="J104" s="423"/>
      <c r="K104" s="423"/>
      <c r="L104" s="165"/>
      <c r="M104" s="23"/>
    </row>
    <row r="105" spans="1:13" ht="15.75" x14ac:dyDescent="0.2">
      <c r="A105" s="21" t="s">
        <v>327</v>
      </c>
      <c r="B105" s="234"/>
      <c r="C105" s="144"/>
      <c r="D105" s="165"/>
      <c r="E105" s="27"/>
      <c r="F105" s="234"/>
      <c r="G105" s="144"/>
      <c r="H105" s="165"/>
      <c r="I105" s="27"/>
      <c r="J105" s="290"/>
      <c r="K105" s="44"/>
      <c r="L105" s="259"/>
      <c r="M105" s="27"/>
    </row>
    <row r="106" spans="1:13" ht="15.75" x14ac:dyDescent="0.2">
      <c r="A106" s="21" t="s">
        <v>328</v>
      </c>
      <c r="B106" s="234">
        <v>22822.966</v>
      </c>
      <c r="C106" s="234">
        <v>27740.724999999999</v>
      </c>
      <c r="D106" s="165">
        <f t="shared" si="7"/>
        <v>21.5</v>
      </c>
      <c r="E106" s="27">
        <f>IFERROR(100/'Skjema total MA'!C106*C106,0)</f>
        <v>9.4797490983720457E-3</v>
      </c>
      <c r="F106" s="234">
        <v>119570.284</v>
      </c>
      <c r="G106" s="234">
        <v>167967.61499999999</v>
      </c>
      <c r="H106" s="165">
        <f t="shared" si="8"/>
        <v>40.5</v>
      </c>
      <c r="I106" s="27">
        <f>IFERROR(100/'Skjema total MA'!F106*G106,0)</f>
        <v>2.5790636084521301</v>
      </c>
      <c r="J106" s="290">
        <v>142393.25</v>
      </c>
      <c r="K106" s="44">
        <v>195708.34</v>
      </c>
      <c r="L106" s="259">
        <f t="shared" si="9"/>
        <v>37.4</v>
      </c>
      <c r="M106" s="27">
        <f>IFERROR(100/'Skjema total MA'!I106*K106,0)</f>
        <v>6.5422750754185993E-2</v>
      </c>
    </row>
    <row r="107" spans="1:13" ht="15.75" x14ac:dyDescent="0.2">
      <c r="A107" s="21" t="s">
        <v>320</v>
      </c>
      <c r="B107" s="234"/>
      <c r="C107" s="234"/>
      <c r="D107" s="165"/>
      <c r="E107" s="27"/>
      <c r="F107" s="234">
        <v>3055556.0669999998</v>
      </c>
      <c r="G107" s="234">
        <v>3819931.0449999999</v>
      </c>
      <c r="H107" s="165">
        <f t="shared" si="8"/>
        <v>25</v>
      </c>
      <c r="I107" s="27">
        <f>IFERROR(100/'Skjema total MA'!F107*G107,0)</f>
        <v>6.0384778506065464</v>
      </c>
      <c r="J107" s="290">
        <v>3055556.0669999998</v>
      </c>
      <c r="K107" s="44">
        <v>3819931.0449999999</v>
      </c>
      <c r="L107" s="259">
        <f t="shared" si="9"/>
        <v>25</v>
      </c>
      <c r="M107" s="27">
        <f>IFERROR(100/'Skjema total MA'!I107*K107,0)</f>
        <v>5.9663951399701221</v>
      </c>
    </row>
    <row r="108" spans="1:13" ht="15.75" x14ac:dyDescent="0.2">
      <c r="A108" s="21" t="s">
        <v>321</v>
      </c>
      <c r="B108" s="234"/>
      <c r="C108" s="234"/>
      <c r="D108" s="165"/>
      <c r="E108" s="27"/>
      <c r="F108" s="234"/>
      <c r="G108" s="234"/>
      <c r="H108" s="165"/>
      <c r="I108" s="27"/>
      <c r="J108" s="290"/>
      <c r="K108" s="44"/>
      <c r="L108" s="259"/>
      <c r="M108" s="27"/>
    </row>
    <row r="109" spans="1:13" ht="15.75" x14ac:dyDescent="0.2">
      <c r="A109" s="13" t="s">
        <v>25</v>
      </c>
      <c r="B109" s="306">
        <v>12276.540999999999</v>
      </c>
      <c r="C109" s="158">
        <v>11483.305</v>
      </c>
      <c r="D109" s="170">
        <f t="shared" si="7"/>
        <v>-6.5</v>
      </c>
      <c r="E109" s="11">
        <f>IFERROR(100/'Skjema total MA'!C109*C109,0)</f>
        <v>3.2980917710950037</v>
      </c>
      <c r="F109" s="306">
        <v>274648.76400000002</v>
      </c>
      <c r="G109" s="158">
        <v>436436.43300000002</v>
      </c>
      <c r="H109" s="170">
        <f t="shared" si="8"/>
        <v>58.9</v>
      </c>
      <c r="I109" s="11">
        <f>IFERROR(100/'Skjema total MA'!F109*G109,0)</f>
        <v>6.7448282682274581</v>
      </c>
      <c r="J109" s="307">
        <v>286925.30500000005</v>
      </c>
      <c r="K109" s="236">
        <v>447919.73800000001</v>
      </c>
      <c r="L109" s="404">
        <f t="shared" si="9"/>
        <v>56.1</v>
      </c>
      <c r="M109" s="11">
        <f>IFERROR(100/'Skjema total MA'!I109*K109,0)</f>
        <v>6.5688332858460088</v>
      </c>
    </row>
    <row r="110" spans="1:13" x14ac:dyDescent="0.2">
      <c r="A110" s="21" t="s">
        <v>9</v>
      </c>
      <c r="B110" s="234">
        <v>12276.540999999999</v>
      </c>
      <c r="C110" s="144">
        <v>11483.305</v>
      </c>
      <c r="D110" s="165">
        <f t="shared" si="7"/>
        <v>-6.5</v>
      </c>
      <c r="E110" s="27">
        <f>IFERROR(100/'Skjema total MA'!C110*C110,0)</f>
        <v>3.5229595186821698</v>
      </c>
      <c r="F110" s="234"/>
      <c r="G110" s="144"/>
      <c r="H110" s="165"/>
      <c r="I110" s="27"/>
      <c r="J110" s="290">
        <v>12276.540999999999</v>
      </c>
      <c r="K110" s="44">
        <v>11483.305</v>
      </c>
      <c r="L110" s="259">
        <f t="shared" si="9"/>
        <v>-6.5</v>
      </c>
      <c r="M110" s="27">
        <f>IFERROR(100/'Skjema total MA'!I110*K110,0)</f>
        <v>3.5229595186821698</v>
      </c>
    </row>
    <row r="111" spans="1:13" x14ac:dyDescent="0.2">
      <c r="A111" s="21" t="s">
        <v>10</v>
      </c>
      <c r="B111" s="234"/>
      <c r="C111" s="144"/>
      <c r="D111" s="165"/>
      <c r="E111" s="27"/>
      <c r="F111" s="234">
        <v>274648.76400000002</v>
      </c>
      <c r="G111" s="144">
        <v>436436.43300000002</v>
      </c>
      <c r="H111" s="165">
        <f t="shared" si="8"/>
        <v>58.9</v>
      </c>
      <c r="I111" s="27">
        <f>IFERROR(100/'Skjema total MA'!F111*G111,0)</f>
        <v>6.7448282682274581</v>
      </c>
      <c r="J111" s="290">
        <v>274648.76400000002</v>
      </c>
      <c r="K111" s="44">
        <v>436436.43300000002</v>
      </c>
      <c r="L111" s="259">
        <f t="shared" si="9"/>
        <v>58.9</v>
      </c>
      <c r="M111" s="27">
        <f>IFERROR(100/'Skjema total MA'!I111*K111,0)</f>
        <v>6.7421929074100948</v>
      </c>
    </row>
    <row r="112" spans="1:13" x14ac:dyDescent="0.2">
      <c r="A112" s="21" t="s">
        <v>30</v>
      </c>
      <c r="B112" s="234"/>
      <c r="C112" s="144"/>
      <c r="D112" s="165"/>
      <c r="E112" s="27"/>
      <c r="F112" s="234"/>
      <c r="G112" s="144"/>
      <c r="H112" s="165"/>
      <c r="I112" s="27"/>
      <c r="J112" s="290"/>
      <c r="K112" s="44"/>
      <c r="L112" s="259"/>
      <c r="M112" s="27"/>
    </row>
    <row r="113" spans="1:14" x14ac:dyDescent="0.2">
      <c r="A113" s="413" t="s">
        <v>15</v>
      </c>
      <c r="B113" s="423" t="s">
        <v>413</v>
      </c>
      <c r="C113" s="423" t="s">
        <v>413</v>
      </c>
      <c r="D113" s="165"/>
      <c r="E113" s="393"/>
      <c r="F113" s="423"/>
      <c r="G113" s="423"/>
      <c r="H113" s="165"/>
      <c r="I113" s="393"/>
      <c r="J113" s="423"/>
      <c r="K113" s="423"/>
      <c r="L113" s="165"/>
      <c r="M113" s="23"/>
    </row>
    <row r="114" spans="1:14" ht="15.75" x14ac:dyDescent="0.2">
      <c r="A114" s="21" t="s">
        <v>329</v>
      </c>
      <c r="B114" s="234">
        <v>8747.2250000000004</v>
      </c>
      <c r="C114" s="234">
        <v>2428.154</v>
      </c>
      <c r="D114" s="165">
        <f t="shared" si="7"/>
        <v>-72.2</v>
      </c>
      <c r="E114" s="27">
        <f>IFERROR(100/'Skjema total MA'!C114*C114,0)</f>
        <v>7.9088289871118125</v>
      </c>
      <c r="F114" s="234">
        <v>45832.06</v>
      </c>
      <c r="G114" s="234">
        <v>12157.834999999999</v>
      </c>
      <c r="H114" s="165">
        <f t="shared" si="8"/>
        <v>-73.5</v>
      </c>
      <c r="I114" s="27">
        <f>IFERROR(100/'Skjema total MA'!F114*G114,0)</f>
        <v>100</v>
      </c>
      <c r="J114" s="290">
        <v>54579.284999999996</v>
      </c>
      <c r="K114" s="44">
        <v>14585.989</v>
      </c>
      <c r="L114" s="259">
        <f t="shared" si="9"/>
        <v>-73.3</v>
      </c>
      <c r="M114" s="27">
        <f>IFERROR(100/'Skjema total MA'!I114*K114,0)</f>
        <v>34.031983906959368</v>
      </c>
    </row>
    <row r="115" spans="1:14" ht="15.75" x14ac:dyDescent="0.2">
      <c r="A115" s="21" t="s">
        <v>322</v>
      </c>
      <c r="B115" s="234"/>
      <c r="C115" s="234"/>
      <c r="D115" s="165"/>
      <c r="E115" s="27"/>
      <c r="F115" s="234">
        <v>45968.3</v>
      </c>
      <c r="G115" s="234">
        <v>58665.031000000003</v>
      </c>
      <c r="H115" s="165">
        <f t="shared" si="8"/>
        <v>27.6</v>
      </c>
      <c r="I115" s="27">
        <f>IFERROR(100/'Skjema total MA'!F115*G115,0)</f>
        <v>5.3087618591351253</v>
      </c>
      <c r="J115" s="290">
        <v>45968.3</v>
      </c>
      <c r="K115" s="44">
        <v>58665.031000000003</v>
      </c>
      <c r="L115" s="259">
        <f t="shared" si="9"/>
        <v>27.6</v>
      </c>
      <c r="M115" s="27">
        <f>IFERROR(100/'Skjema total MA'!I115*K115,0)</f>
        <v>5.3087618591351253</v>
      </c>
    </row>
    <row r="116" spans="1:14" ht="15.75" x14ac:dyDescent="0.2">
      <c r="A116" s="21" t="s">
        <v>321</v>
      </c>
      <c r="B116" s="234"/>
      <c r="C116" s="234"/>
      <c r="D116" s="165"/>
      <c r="E116" s="27"/>
      <c r="F116" s="234"/>
      <c r="G116" s="234"/>
      <c r="H116" s="165"/>
      <c r="I116" s="27"/>
      <c r="J116" s="290"/>
      <c r="K116" s="44"/>
      <c r="L116" s="259"/>
      <c r="M116" s="27"/>
    </row>
    <row r="117" spans="1:14" ht="15.75" x14ac:dyDescent="0.2">
      <c r="A117" s="13" t="s">
        <v>24</v>
      </c>
      <c r="B117" s="306">
        <v>24715.607</v>
      </c>
      <c r="C117" s="158">
        <v>4949.9650000000001</v>
      </c>
      <c r="D117" s="170">
        <f t="shared" si="7"/>
        <v>-80</v>
      </c>
      <c r="E117" s="11">
        <f>IFERROR(100/'Skjema total MA'!C117*C117,0)</f>
        <v>1.6873321176421257</v>
      </c>
      <c r="F117" s="306">
        <v>316615.88900000002</v>
      </c>
      <c r="G117" s="158">
        <v>318142.087</v>
      </c>
      <c r="H117" s="170">
        <f t="shared" si="8"/>
        <v>0.5</v>
      </c>
      <c r="I117" s="11">
        <f>IFERROR(100/'Skjema total MA'!F117*G117,0)</f>
        <v>4.9347133463689028</v>
      </c>
      <c r="J117" s="307">
        <v>341331.49600000004</v>
      </c>
      <c r="K117" s="236">
        <v>323092.05200000003</v>
      </c>
      <c r="L117" s="404">
        <f t="shared" si="9"/>
        <v>-5.3</v>
      </c>
      <c r="M117" s="11">
        <f>IFERROR(100/'Skjema total MA'!I117*K117,0)</f>
        <v>4.7933781748053548</v>
      </c>
    </row>
    <row r="118" spans="1:14" x14ac:dyDescent="0.2">
      <c r="A118" s="21" t="s">
        <v>9</v>
      </c>
      <c r="B118" s="234">
        <v>24715.607</v>
      </c>
      <c r="C118" s="144">
        <v>4949.9650000000001</v>
      </c>
      <c r="D118" s="165">
        <f t="shared" si="7"/>
        <v>-80</v>
      </c>
      <c r="E118" s="27">
        <f>IFERROR(100/'Skjema total MA'!C118*C118,0)</f>
        <v>1.9162264342963589</v>
      </c>
      <c r="F118" s="234"/>
      <c r="G118" s="144"/>
      <c r="H118" s="165"/>
      <c r="I118" s="27"/>
      <c r="J118" s="290">
        <v>24715.607</v>
      </c>
      <c r="K118" s="44">
        <v>4949.9650000000001</v>
      </c>
      <c r="L118" s="259">
        <f t="shared" si="9"/>
        <v>-80</v>
      </c>
      <c r="M118" s="27">
        <f>IFERROR(100/'Skjema total MA'!I118*K118,0)</f>
        <v>1.9162264342963589</v>
      </c>
    </row>
    <row r="119" spans="1:14" x14ac:dyDescent="0.2">
      <c r="A119" s="21" t="s">
        <v>10</v>
      </c>
      <c r="B119" s="234"/>
      <c r="C119" s="144"/>
      <c r="D119" s="165"/>
      <c r="E119" s="27"/>
      <c r="F119" s="234">
        <v>316615.88900000002</v>
      </c>
      <c r="G119" s="144">
        <v>318142.087</v>
      </c>
      <c r="H119" s="165">
        <f t="shared" si="8"/>
        <v>0.5</v>
      </c>
      <c r="I119" s="27">
        <f>IFERROR(100/'Skjema total MA'!F119*G119,0)</f>
        <v>4.9347133463689028</v>
      </c>
      <c r="J119" s="290">
        <v>316615.88900000002</v>
      </c>
      <c r="K119" s="44">
        <v>318142.087</v>
      </c>
      <c r="L119" s="259">
        <f t="shared" si="9"/>
        <v>0.5</v>
      </c>
      <c r="M119" s="27">
        <f>IFERROR(100/'Skjema total MA'!I119*K119,0)</f>
        <v>4.9214217653096783</v>
      </c>
    </row>
    <row r="120" spans="1:14" x14ac:dyDescent="0.2">
      <c r="A120" s="21" t="s">
        <v>30</v>
      </c>
      <c r="B120" s="234"/>
      <c r="C120" s="144"/>
      <c r="D120" s="165"/>
      <c r="E120" s="27"/>
      <c r="F120" s="234"/>
      <c r="G120" s="144"/>
      <c r="H120" s="165"/>
      <c r="I120" s="27"/>
      <c r="J120" s="290"/>
      <c r="K120" s="44"/>
      <c r="L120" s="259"/>
      <c r="M120" s="27"/>
    </row>
    <row r="121" spans="1:14" x14ac:dyDescent="0.2">
      <c r="A121" s="413" t="s">
        <v>14</v>
      </c>
      <c r="B121" s="423" t="s">
        <v>413</v>
      </c>
      <c r="C121" s="423" t="s">
        <v>413</v>
      </c>
      <c r="D121" s="165"/>
      <c r="E121" s="393"/>
      <c r="F121" s="423"/>
      <c r="G121" s="423"/>
      <c r="H121" s="165"/>
      <c r="I121" s="393"/>
      <c r="J121" s="423"/>
      <c r="K121" s="423"/>
      <c r="L121" s="165"/>
      <c r="M121" s="23"/>
    </row>
    <row r="122" spans="1:14" ht="15.75" x14ac:dyDescent="0.2">
      <c r="A122" s="21" t="s">
        <v>319</v>
      </c>
      <c r="B122" s="234"/>
      <c r="C122" s="234"/>
      <c r="D122" s="165"/>
      <c r="E122" s="27"/>
      <c r="F122" s="234"/>
      <c r="G122" s="234"/>
      <c r="H122" s="165"/>
      <c r="I122" s="27"/>
      <c r="J122" s="290"/>
      <c r="K122" s="44"/>
      <c r="L122" s="259"/>
      <c r="M122" s="27"/>
    </row>
    <row r="123" spans="1:14" ht="15.75" x14ac:dyDescent="0.2">
      <c r="A123" s="21" t="s">
        <v>320</v>
      </c>
      <c r="B123" s="234"/>
      <c r="C123" s="234"/>
      <c r="D123" s="165"/>
      <c r="E123" s="27"/>
      <c r="F123" s="234">
        <v>32298.853999999999</v>
      </c>
      <c r="G123" s="234">
        <v>80034.934999999998</v>
      </c>
      <c r="H123" s="165">
        <f t="shared" si="8"/>
        <v>147.80000000000001</v>
      </c>
      <c r="I123" s="27">
        <f>IFERROR(100/'Skjema total MA'!F123*G123,0)</f>
        <v>8.4945896920614015</v>
      </c>
      <c r="J123" s="290">
        <v>32298.853999999999</v>
      </c>
      <c r="K123" s="44">
        <v>80034.934999999998</v>
      </c>
      <c r="L123" s="259">
        <f t="shared" si="9"/>
        <v>147.80000000000001</v>
      </c>
      <c r="M123" s="27">
        <f>IFERROR(100/'Skjema total MA'!I123*K123,0)</f>
        <v>8.4670814668924415</v>
      </c>
    </row>
    <row r="124" spans="1:14" ht="15.75" x14ac:dyDescent="0.2">
      <c r="A124" s="10" t="s">
        <v>321</v>
      </c>
      <c r="B124" s="45"/>
      <c r="C124" s="45"/>
      <c r="D124" s="166"/>
      <c r="E124" s="394"/>
      <c r="F124" s="45"/>
      <c r="G124" s="45"/>
      <c r="H124" s="166"/>
      <c r="I124" s="22"/>
      <c r="J124" s="291"/>
      <c r="K124" s="45"/>
      <c r="L124" s="260"/>
      <c r="M124" s="22"/>
    </row>
    <row r="125" spans="1:14" x14ac:dyDescent="0.2">
      <c r="A125" s="154"/>
      <c r="L125" s="26"/>
      <c r="M125" s="26"/>
      <c r="N125" s="26"/>
    </row>
    <row r="126" spans="1:14" x14ac:dyDescent="0.2">
      <c r="L126" s="26"/>
      <c r="M126" s="26"/>
      <c r="N126" s="26"/>
    </row>
    <row r="127" spans="1:14" ht="15.75" x14ac:dyDescent="0.25">
      <c r="A127" s="164" t="s">
        <v>31</v>
      </c>
    </row>
    <row r="128" spans="1:14" ht="15.75" x14ac:dyDescent="0.25">
      <c r="B128" s="680"/>
      <c r="C128" s="680"/>
      <c r="D128" s="680"/>
      <c r="E128" s="383"/>
      <c r="F128" s="680"/>
      <c r="G128" s="680"/>
      <c r="H128" s="680"/>
      <c r="I128" s="383"/>
      <c r="J128" s="680"/>
      <c r="K128" s="680"/>
      <c r="L128" s="680"/>
      <c r="M128" s="383"/>
    </row>
    <row r="129" spans="1:14" s="3" customFormat="1" x14ac:dyDescent="0.2">
      <c r="A129" s="143"/>
      <c r="B129" s="676" t="s">
        <v>0</v>
      </c>
      <c r="C129" s="677"/>
      <c r="D129" s="677"/>
      <c r="E129" s="382"/>
      <c r="F129" s="676" t="s">
        <v>1</v>
      </c>
      <c r="G129" s="677"/>
      <c r="H129" s="677"/>
      <c r="I129" s="385"/>
      <c r="J129" s="676" t="s">
        <v>2</v>
      </c>
      <c r="K129" s="677"/>
      <c r="L129" s="677"/>
      <c r="M129" s="385"/>
      <c r="N129" s="147"/>
    </row>
    <row r="130" spans="1:14" s="3" customFormat="1" x14ac:dyDescent="0.2">
      <c r="A130" s="140"/>
      <c r="B130" s="151" t="s">
        <v>411</v>
      </c>
      <c r="C130" s="151" t="s">
        <v>412</v>
      </c>
      <c r="D130" s="246" t="s">
        <v>3</v>
      </c>
      <c r="E130" s="303" t="s">
        <v>33</v>
      </c>
      <c r="F130" s="151" t="s">
        <v>411</v>
      </c>
      <c r="G130" s="151" t="s">
        <v>412</v>
      </c>
      <c r="H130" s="206" t="s">
        <v>3</v>
      </c>
      <c r="I130" s="161" t="s">
        <v>33</v>
      </c>
      <c r="J130" s="247" t="s">
        <v>411</v>
      </c>
      <c r="K130" s="247" t="s">
        <v>412</v>
      </c>
      <c r="L130" s="248" t="s">
        <v>3</v>
      </c>
      <c r="M130" s="161" t="s">
        <v>33</v>
      </c>
      <c r="N130" s="147"/>
    </row>
    <row r="131" spans="1:14" s="3" customFormat="1" x14ac:dyDescent="0.2">
      <c r="A131" s="436"/>
      <c r="B131" s="155"/>
      <c r="C131" s="155"/>
      <c r="D131" s="248" t="s">
        <v>4</v>
      </c>
      <c r="E131" s="155" t="s">
        <v>34</v>
      </c>
      <c r="F131" s="160"/>
      <c r="G131" s="160"/>
      <c r="H131" s="206" t="s">
        <v>4</v>
      </c>
      <c r="I131" s="155" t="s">
        <v>34</v>
      </c>
      <c r="J131" s="155"/>
      <c r="K131" s="155"/>
      <c r="L131" s="149" t="s">
        <v>4</v>
      </c>
      <c r="M131" s="155" t="s">
        <v>34</v>
      </c>
      <c r="N131" s="147"/>
    </row>
    <row r="132" spans="1:14" s="3" customFormat="1" ht="15.75" x14ac:dyDescent="0.2">
      <c r="A132" s="14" t="s">
        <v>323</v>
      </c>
      <c r="B132" s="236"/>
      <c r="C132" s="307"/>
      <c r="D132" s="344"/>
      <c r="E132" s="11"/>
      <c r="F132" s="314"/>
      <c r="G132" s="315"/>
      <c r="H132" s="407"/>
      <c r="I132" s="24"/>
      <c r="J132" s="316"/>
      <c r="K132" s="316"/>
      <c r="L132" s="403"/>
      <c r="M132" s="11"/>
      <c r="N132" s="147"/>
    </row>
    <row r="133" spans="1:14" s="3" customFormat="1" ht="15.75" x14ac:dyDescent="0.2">
      <c r="A133" s="13" t="s">
        <v>324</v>
      </c>
      <c r="B133" s="236"/>
      <c r="C133" s="307"/>
      <c r="D133" s="170"/>
      <c r="E133" s="11"/>
      <c r="F133" s="236"/>
      <c r="G133" s="307"/>
      <c r="H133" s="408"/>
      <c r="I133" s="24"/>
      <c r="J133" s="306"/>
      <c r="K133" s="306"/>
      <c r="L133" s="404"/>
      <c r="M133" s="11"/>
      <c r="N133" s="147"/>
    </row>
    <row r="134" spans="1:14" s="3" customFormat="1" ht="15.75" x14ac:dyDescent="0.2">
      <c r="A134" s="13" t="s">
        <v>325</v>
      </c>
      <c r="B134" s="236"/>
      <c r="C134" s="307"/>
      <c r="D134" s="170"/>
      <c r="E134" s="11"/>
      <c r="F134" s="236"/>
      <c r="G134" s="307"/>
      <c r="H134" s="408"/>
      <c r="I134" s="24"/>
      <c r="J134" s="306"/>
      <c r="K134" s="306"/>
      <c r="L134" s="404"/>
      <c r="M134" s="11"/>
      <c r="N134" s="147"/>
    </row>
    <row r="135" spans="1:14" s="3" customFormat="1" ht="15.75" x14ac:dyDescent="0.2">
      <c r="A135" s="41" t="s">
        <v>326</v>
      </c>
      <c r="B135" s="281"/>
      <c r="C135" s="313"/>
      <c r="D135" s="168"/>
      <c r="E135" s="9"/>
      <c r="F135" s="281"/>
      <c r="G135" s="313"/>
      <c r="H135" s="409"/>
      <c r="I135" s="36"/>
      <c r="J135" s="312"/>
      <c r="K135" s="312"/>
      <c r="L135" s="405"/>
      <c r="M135" s="36"/>
      <c r="N135" s="147"/>
    </row>
    <row r="136" spans="1:14" s="3" customFormat="1" x14ac:dyDescent="0.2">
      <c r="A136" s="167"/>
      <c r="B136" s="33"/>
      <c r="C136" s="33"/>
      <c r="D136" s="158"/>
      <c r="E136" s="158"/>
      <c r="F136" s="33"/>
      <c r="G136" s="33"/>
      <c r="H136" s="158"/>
      <c r="I136" s="158"/>
      <c r="J136" s="33"/>
      <c r="K136" s="33"/>
      <c r="L136" s="158"/>
      <c r="M136" s="158"/>
      <c r="N136" s="147"/>
    </row>
    <row r="137" spans="1:14" x14ac:dyDescent="0.2">
      <c r="A137" s="167"/>
      <c r="B137" s="33"/>
      <c r="C137" s="33"/>
      <c r="D137" s="158"/>
      <c r="E137" s="158"/>
      <c r="F137" s="33"/>
      <c r="G137" s="33"/>
      <c r="H137" s="158"/>
      <c r="I137" s="158"/>
      <c r="J137" s="33"/>
      <c r="K137" s="33"/>
      <c r="L137" s="158"/>
      <c r="M137" s="158"/>
      <c r="N137" s="147"/>
    </row>
    <row r="138" spans="1:14" x14ac:dyDescent="0.2">
      <c r="A138" s="167"/>
      <c r="B138" s="33"/>
      <c r="C138" s="33"/>
      <c r="D138" s="158"/>
      <c r="E138" s="158"/>
      <c r="F138" s="33"/>
      <c r="G138" s="33"/>
      <c r="H138" s="158"/>
      <c r="I138" s="158"/>
      <c r="J138" s="33"/>
      <c r="K138" s="33"/>
      <c r="L138" s="158"/>
      <c r="M138" s="158"/>
      <c r="N138" s="147"/>
    </row>
    <row r="139" spans="1:14" x14ac:dyDescent="0.2">
      <c r="A139" s="145"/>
      <c r="B139" s="145"/>
      <c r="C139" s="145"/>
      <c r="D139" s="145"/>
      <c r="E139" s="145"/>
      <c r="F139" s="145"/>
      <c r="G139" s="145"/>
      <c r="H139" s="145"/>
      <c r="I139" s="145"/>
      <c r="J139" s="145"/>
      <c r="K139" s="145"/>
      <c r="L139" s="145"/>
      <c r="M139" s="145"/>
      <c r="N139" s="145"/>
    </row>
    <row r="140" spans="1:14" ht="15.75" x14ac:dyDescent="0.25">
      <c r="B140" s="141"/>
      <c r="C140" s="141"/>
      <c r="D140" s="141"/>
      <c r="E140" s="141"/>
      <c r="F140" s="141"/>
      <c r="G140" s="141"/>
      <c r="H140" s="141"/>
      <c r="I140" s="141"/>
      <c r="J140" s="141"/>
      <c r="K140" s="141"/>
      <c r="L140" s="141"/>
      <c r="M140" s="141"/>
      <c r="N140" s="141"/>
    </row>
    <row r="141" spans="1:14" ht="15.75" x14ac:dyDescent="0.25">
      <c r="B141" s="156"/>
      <c r="C141" s="156"/>
      <c r="D141" s="156"/>
      <c r="E141" s="156"/>
      <c r="F141" s="156"/>
      <c r="G141" s="156"/>
      <c r="H141" s="156"/>
      <c r="I141" s="156"/>
      <c r="J141" s="156"/>
      <c r="K141" s="156"/>
      <c r="L141" s="156"/>
      <c r="M141" s="156"/>
      <c r="N141" s="156"/>
    </row>
    <row r="142" spans="1:14" ht="15.75" x14ac:dyDescent="0.25">
      <c r="B142" s="156"/>
      <c r="C142" s="156"/>
      <c r="D142" s="156"/>
      <c r="E142" s="156"/>
      <c r="F142" s="156"/>
      <c r="G142" s="156"/>
      <c r="H142" s="156"/>
      <c r="I142" s="156"/>
      <c r="J142" s="156"/>
      <c r="K142" s="156"/>
      <c r="L142" s="156"/>
      <c r="M142" s="156"/>
      <c r="N142" s="156"/>
    </row>
  </sheetData>
  <mergeCells count="31">
    <mergeCell ref="B128:D128"/>
    <mergeCell ref="F128:H128"/>
    <mergeCell ref="J128:L128"/>
    <mergeCell ref="B129:D129"/>
    <mergeCell ref="F129:H129"/>
    <mergeCell ref="J129:L129"/>
    <mergeCell ref="B42:D42"/>
    <mergeCell ref="B60:D60"/>
    <mergeCell ref="F60:H60"/>
    <mergeCell ref="J60:L60"/>
    <mergeCell ref="B61:D61"/>
    <mergeCell ref="F61:H61"/>
    <mergeCell ref="J61:L61"/>
    <mergeCell ref="D38:F38"/>
    <mergeCell ref="G38:I38"/>
    <mergeCell ref="J38:L38"/>
    <mergeCell ref="B40:D40"/>
    <mergeCell ref="F40:H40"/>
    <mergeCell ref="J40:L40"/>
    <mergeCell ref="B18:D18"/>
    <mergeCell ref="F18:H18"/>
    <mergeCell ref="J18:L18"/>
    <mergeCell ref="B19:D19"/>
    <mergeCell ref="F19:H19"/>
    <mergeCell ref="J19:L19"/>
    <mergeCell ref="B2:D2"/>
    <mergeCell ref="F2:H2"/>
    <mergeCell ref="J2:L2"/>
    <mergeCell ref="B4:D4"/>
    <mergeCell ref="F4:H4"/>
    <mergeCell ref="J4:L4"/>
  </mergeCells>
  <conditionalFormatting sqref="B48:C50">
    <cfRule type="expression" dxfId="1803" priority="82">
      <formula>kvartal &lt; 4</formula>
    </cfRule>
  </conditionalFormatting>
  <conditionalFormatting sqref="B29">
    <cfRule type="expression" dxfId="1802" priority="81">
      <formula>kvartal &lt; 4</formula>
    </cfRule>
  </conditionalFormatting>
  <conditionalFormatting sqref="B30">
    <cfRule type="expression" dxfId="1801" priority="80">
      <formula>kvartal &lt; 4</formula>
    </cfRule>
  </conditionalFormatting>
  <conditionalFormatting sqref="B31">
    <cfRule type="expression" dxfId="1800" priority="79">
      <formula>kvartal &lt; 4</formula>
    </cfRule>
  </conditionalFormatting>
  <conditionalFormatting sqref="C29">
    <cfRule type="expression" dxfId="1799" priority="78">
      <formula>kvartal &lt; 4</formula>
    </cfRule>
  </conditionalFormatting>
  <conditionalFormatting sqref="C30">
    <cfRule type="expression" dxfId="1798" priority="77">
      <formula>kvartal &lt; 4</formula>
    </cfRule>
  </conditionalFormatting>
  <conditionalFormatting sqref="C31">
    <cfRule type="expression" dxfId="1797" priority="76">
      <formula>kvartal &lt; 4</formula>
    </cfRule>
  </conditionalFormatting>
  <conditionalFormatting sqref="B23:C25">
    <cfRule type="expression" dxfId="1796" priority="75">
      <formula>kvartal &lt; 4</formula>
    </cfRule>
  </conditionalFormatting>
  <conditionalFormatting sqref="F23:G25">
    <cfRule type="expression" dxfId="1795" priority="74">
      <formula>kvartal &lt; 4</formula>
    </cfRule>
  </conditionalFormatting>
  <conditionalFormatting sqref="F29">
    <cfRule type="expression" dxfId="1794" priority="73">
      <formula>kvartal &lt; 4</formula>
    </cfRule>
  </conditionalFormatting>
  <conditionalFormatting sqref="F30">
    <cfRule type="expression" dxfId="1793" priority="72">
      <formula>kvartal &lt; 4</formula>
    </cfRule>
  </conditionalFormatting>
  <conditionalFormatting sqref="F31">
    <cfRule type="expression" dxfId="1792" priority="71">
      <formula>kvartal &lt; 4</formula>
    </cfRule>
  </conditionalFormatting>
  <conditionalFormatting sqref="G29">
    <cfRule type="expression" dxfId="1791" priority="70">
      <formula>kvartal &lt; 4</formula>
    </cfRule>
  </conditionalFormatting>
  <conditionalFormatting sqref="G30">
    <cfRule type="expression" dxfId="1790" priority="69">
      <formula>kvartal &lt; 4</formula>
    </cfRule>
  </conditionalFormatting>
  <conditionalFormatting sqref="G31">
    <cfRule type="expression" dxfId="1789" priority="68">
      <formula>kvartal &lt; 4</formula>
    </cfRule>
  </conditionalFormatting>
  <conditionalFormatting sqref="B26">
    <cfRule type="expression" dxfId="1788" priority="67">
      <formula>kvartal &lt; 4</formula>
    </cfRule>
  </conditionalFormatting>
  <conditionalFormatting sqref="C26">
    <cfRule type="expression" dxfId="1787" priority="66">
      <formula>kvartal &lt; 4</formula>
    </cfRule>
  </conditionalFormatting>
  <conditionalFormatting sqref="F26">
    <cfRule type="expression" dxfId="1786" priority="65">
      <formula>kvartal &lt; 4</formula>
    </cfRule>
  </conditionalFormatting>
  <conditionalFormatting sqref="G26">
    <cfRule type="expression" dxfId="1785" priority="64">
      <formula>kvartal &lt; 4</formula>
    </cfRule>
  </conditionalFormatting>
  <conditionalFormatting sqref="J23:K26">
    <cfRule type="expression" dxfId="1784" priority="63">
      <formula>kvartal &lt; 4</formula>
    </cfRule>
  </conditionalFormatting>
  <conditionalFormatting sqref="J29:K31">
    <cfRule type="expression" dxfId="1783" priority="62">
      <formula>kvartal &lt; 4</formula>
    </cfRule>
  </conditionalFormatting>
  <conditionalFormatting sqref="B67">
    <cfRule type="expression" dxfId="1782" priority="61">
      <formula>kvartal &lt; 4</formula>
    </cfRule>
  </conditionalFormatting>
  <conditionalFormatting sqref="C67">
    <cfRule type="expression" dxfId="1781" priority="60">
      <formula>kvartal &lt; 4</formula>
    </cfRule>
  </conditionalFormatting>
  <conditionalFormatting sqref="B70">
    <cfRule type="expression" dxfId="1780" priority="59">
      <formula>kvartal &lt; 4</formula>
    </cfRule>
  </conditionalFormatting>
  <conditionalFormatting sqref="C70">
    <cfRule type="expression" dxfId="1779" priority="58">
      <formula>kvartal &lt; 4</formula>
    </cfRule>
  </conditionalFormatting>
  <conditionalFormatting sqref="B78">
    <cfRule type="expression" dxfId="1778" priority="57">
      <formula>kvartal &lt; 4</formula>
    </cfRule>
  </conditionalFormatting>
  <conditionalFormatting sqref="C78">
    <cfRule type="expression" dxfId="1777" priority="56">
      <formula>kvartal &lt; 4</formula>
    </cfRule>
  </conditionalFormatting>
  <conditionalFormatting sqref="B81">
    <cfRule type="expression" dxfId="1776" priority="55">
      <formula>kvartal &lt; 4</formula>
    </cfRule>
  </conditionalFormatting>
  <conditionalFormatting sqref="C81">
    <cfRule type="expression" dxfId="1775" priority="54">
      <formula>kvartal &lt; 4</formula>
    </cfRule>
  </conditionalFormatting>
  <conditionalFormatting sqref="B88">
    <cfRule type="expression" dxfId="1774" priority="53">
      <formula>kvartal &lt; 4</formula>
    </cfRule>
  </conditionalFormatting>
  <conditionalFormatting sqref="C88">
    <cfRule type="expression" dxfId="1773" priority="52">
      <formula>kvartal &lt; 4</formula>
    </cfRule>
  </conditionalFormatting>
  <conditionalFormatting sqref="B91">
    <cfRule type="expression" dxfId="1772" priority="51">
      <formula>kvartal &lt; 4</formula>
    </cfRule>
  </conditionalFormatting>
  <conditionalFormatting sqref="C91">
    <cfRule type="expression" dxfId="1771" priority="50">
      <formula>kvartal &lt; 4</formula>
    </cfRule>
  </conditionalFormatting>
  <conditionalFormatting sqref="B99">
    <cfRule type="expression" dxfId="1770" priority="49">
      <formula>kvartal &lt; 4</formula>
    </cfRule>
  </conditionalFormatting>
  <conditionalFormatting sqref="C99">
    <cfRule type="expression" dxfId="1769" priority="48">
      <formula>kvartal &lt; 4</formula>
    </cfRule>
  </conditionalFormatting>
  <conditionalFormatting sqref="B102">
    <cfRule type="expression" dxfId="1768" priority="47">
      <formula>kvartal &lt; 4</formula>
    </cfRule>
  </conditionalFormatting>
  <conditionalFormatting sqref="C102">
    <cfRule type="expression" dxfId="1767" priority="46">
      <formula>kvartal &lt; 4</formula>
    </cfRule>
  </conditionalFormatting>
  <conditionalFormatting sqref="B113">
    <cfRule type="expression" dxfId="1766" priority="45">
      <formula>kvartal &lt; 4</formula>
    </cfRule>
  </conditionalFormatting>
  <conditionalFormatting sqref="C113">
    <cfRule type="expression" dxfId="1765" priority="44">
      <formula>kvartal &lt; 4</formula>
    </cfRule>
  </conditionalFormatting>
  <conditionalFormatting sqref="B121">
    <cfRule type="expression" dxfId="1764" priority="43">
      <formula>kvartal &lt; 4</formula>
    </cfRule>
  </conditionalFormatting>
  <conditionalFormatting sqref="C121">
    <cfRule type="expression" dxfId="1763" priority="42">
      <formula>kvartal &lt; 4</formula>
    </cfRule>
  </conditionalFormatting>
  <conditionalFormatting sqref="F68">
    <cfRule type="expression" dxfId="1762" priority="41">
      <formula>kvartal &lt; 4</formula>
    </cfRule>
  </conditionalFormatting>
  <conditionalFormatting sqref="G68">
    <cfRule type="expression" dxfId="1761" priority="40">
      <formula>kvartal &lt; 4</formula>
    </cfRule>
  </conditionalFormatting>
  <conditionalFormatting sqref="F69:G69">
    <cfRule type="expression" dxfId="1760" priority="39">
      <formula>kvartal &lt; 4</formula>
    </cfRule>
  </conditionalFormatting>
  <conditionalFormatting sqref="F71:G72">
    <cfRule type="expression" dxfId="1759" priority="38">
      <formula>kvartal &lt; 4</formula>
    </cfRule>
  </conditionalFormatting>
  <conditionalFormatting sqref="F79:G80">
    <cfRule type="expression" dxfId="1758" priority="37">
      <formula>kvartal &lt; 4</formula>
    </cfRule>
  </conditionalFormatting>
  <conditionalFormatting sqref="F82:G83">
    <cfRule type="expression" dxfId="1757" priority="36">
      <formula>kvartal &lt; 4</formula>
    </cfRule>
  </conditionalFormatting>
  <conditionalFormatting sqref="F89:G90">
    <cfRule type="expression" dxfId="1756" priority="35">
      <formula>kvartal &lt; 4</formula>
    </cfRule>
  </conditionalFormatting>
  <conditionalFormatting sqref="F92:G93">
    <cfRule type="expression" dxfId="1755" priority="34">
      <formula>kvartal &lt; 4</formula>
    </cfRule>
  </conditionalFormatting>
  <conditionalFormatting sqref="F100:G101">
    <cfRule type="expression" dxfId="1754" priority="33">
      <formula>kvartal &lt; 4</formula>
    </cfRule>
  </conditionalFormatting>
  <conditionalFormatting sqref="F103:G104">
    <cfRule type="expression" dxfId="1753" priority="32">
      <formula>kvartal &lt; 4</formula>
    </cfRule>
  </conditionalFormatting>
  <conditionalFormatting sqref="F113">
    <cfRule type="expression" dxfId="1752" priority="31">
      <formula>kvartal &lt; 4</formula>
    </cfRule>
  </conditionalFormatting>
  <conditionalFormatting sqref="G113">
    <cfRule type="expression" dxfId="1751" priority="30">
      <formula>kvartal &lt; 4</formula>
    </cfRule>
  </conditionalFormatting>
  <conditionalFormatting sqref="F121:G121">
    <cfRule type="expression" dxfId="1750" priority="29">
      <formula>kvartal &lt; 4</formula>
    </cfRule>
  </conditionalFormatting>
  <conditionalFormatting sqref="F67:G67">
    <cfRule type="expression" dxfId="1749" priority="28">
      <formula>kvartal &lt; 4</formula>
    </cfRule>
  </conditionalFormatting>
  <conditionalFormatting sqref="F70:G70">
    <cfRule type="expression" dxfId="1748" priority="27">
      <formula>kvartal &lt; 4</formula>
    </cfRule>
  </conditionalFormatting>
  <conditionalFormatting sqref="F78:G78">
    <cfRule type="expression" dxfId="1747" priority="26">
      <formula>kvartal &lt; 4</formula>
    </cfRule>
  </conditionalFormatting>
  <conditionalFormatting sqref="F81:G81">
    <cfRule type="expression" dxfId="1746" priority="25">
      <formula>kvartal &lt; 4</formula>
    </cfRule>
  </conditionalFormatting>
  <conditionalFormatting sqref="F88:G88">
    <cfRule type="expression" dxfId="1745" priority="24">
      <formula>kvartal &lt; 4</formula>
    </cfRule>
  </conditionalFormatting>
  <conditionalFormatting sqref="F91">
    <cfRule type="expression" dxfId="1744" priority="23">
      <formula>kvartal &lt; 4</formula>
    </cfRule>
  </conditionalFormatting>
  <conditionalFormatting sqref="G91">
    <cfRule type="expression" dxfId="1743" priority="22">
      <formula>kvartal &lt; 4</formula>
    </cfRule>
  </conditionalFormatting>
  <conditionalFormatting sqref="F99">
    <cfRule type="expression" dxfId="1742" priority="21">
      <formula>kvartal &lt; 4</formula>
    </cfRule>
  </conditionalFormatting>
  <conditionalFormatting sqref="G99">
    <cfRule type="expression" dxfId="1741" priority="20">
      <formula>kvartal &lt; 4</formula>
    </cfRule>
  </conditionalFormatting>
  <conditionalFormatting sqref="G102">
    <cfRule type="expression" dxfId="1740" priority="19">
      <formula>kvartal &lt; 4</formula>
    </cfRule>
  </conditionalFormatting>
  <conditionalFormatting sqref="F102">
    <cfRule type="expression" dxfId="1739" priority="18">
      <formula>kvartal &lt; 4</formula>
    </cfRule>
  </conditionalFormatting>
  <conditionalFormatting sqref="J67:K71">
    <cfRule type="expression" dxfId="1738" priority="17">
      <formula>kvartal &lt; 4</formula>
    </cfRule>
  </conditionalFormatting>
  <conditionalFormatting sqref="J72:K72">
    <cfRule type="expression" dxfId="1737" priority="16">
      <formula>kvartal &lt; 4</formula>
    </cfRule>
  </conditionalFormatting>
  <conditionalFormatting sqref="J78:K83">
    <cfRule type="expression" dxfId="1736" priority="15">
      <formula>kvartal &lt; 4</formula>
    </cfRule>
  </conditionalFormatting>
  <conditionalFormatting sqref="J88:K93">
    <cfRule type="expression" dxfId="1735" priority="14">
      <formula>kvartal &lt; 4</formula>
    </cfRule>
  </conditionalFormatting>
  <conditionalFormatting sqref="J99:K104">
    <cfRule type="expression" dxfId="1734" priority="13">
      <formula>kvartal &lt; 4</formula>
    </cfRule>
  </conditionalFormatting>
  <conditionalFormatting sqref="J113:K113">
    <cfRule type="expression" dxfId="1733" priority="12">
      <formula>kvartal &lt; 4</formula>
    </cfRule>
  </conditionalFormatting>
  <conditionalFormatting sqref="J121:K121">
    <cfRule type="expression" dxfId="1732" priority="11">
      <formula>kvartal &lt; 4</formula>
    </cfRule>
  </conditionalFormatting>
  <conditionalFormatting sqref="A23:A25">
    <cfRule type="expression" dxfId="1731" priority="10">
      <formula>kvartal &lt; 4</formula>
    </cfRule>
  </conditionalFormatting>
  <conditionalFormatting sqref="A29:A31">
    <cfRule type="expression" dxfId="1730" priority="9">
      <formula>kvartal &lt; 4</formula>
    </cfRule>
  </conditionalFormatting>
  <conditionalFormatting sqref="A48:A50">
    <cfRule type="expression" dxfId="1729" priority="8">
      <formula>kvartal &lt; 4</formula>
    </cfRule>
  </conditionalFormatting>
  <conditionalFormatting sqref="A67:A72">
    <cfRule type="expression" dxfId="1728" priority="7">
      <formula>kvartal &lt; 4</formula>
    </cfRule>
  </conditionalFormatting>
  <conditionalFormatting sqref="A78:A83">
    <cfRule type="expression" dxfId="1727" priority="6">
      <formula>kvartal &lt; 4</formula>
    </cfRule>
  </conditionalFormatting>
  <conditionalFormatting sqref="A88:A93">
    <cfRule type="expression" dxfId="1726" priority="5">
      <formula>kvartal &lt; 4</formula>
    </cfRule>
  </conditionalFormatting>
  <conditionalFormatting sqref="A99:A104">
    <cfRule type="expression" dxfId="1725" priority="4">
      <formula>kvartal &lt; 4</formula>
    </cfRule>
  </conditionalFormatting>
  <conditionalFormatting sqref="A113">
    <cfRule type="expression" dxfId="1724" priority="3">
      <formula>kvartal &lt; 4</formula>
    </cfRule>
  </conditionalFormatting>
  <conditionalFormatting sqref="A121">
    <cfRule type="expression" dxfId="1723" priority="2">
      <formula>kvartal &lt; 4</formula>
    </cfRule>
  </conditionalFormatting>
  <conditionalFormatting sqref="A26">
    <cfRule type="expression" dxfId="1722" priority="1">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k D A A B Q S w M E F A A C A A g A b W 0 m S w O i a k u n A A A A + A A A A B I A H A B D b 2 5 m a W c v U G F j a 2 F n Z S 5 4 b W w g o h g A K K A U A A A A A A A A A A A A A A A A A A A A A A A A A A A A h Y / N C o J A H M R f R f b u f i U R 8 n c 9 d M 0 K g u h q 6 6 Z L u o a 7 t r 5 b h x 6 p V 0 g o q 1 s w l x l + A z O P 2 x 3 S o a m D q + q s b k 2 C G K Y o U E a 2 h T Z l g n p 3 C h c o F b D N 5 T k v V T D C x s a D 1 Q m q n L v E h H j v s Z / h t i s J p 5 S R Q 7 b a y U o 1 e a i N d b m R C n 1 a x f 8 W E r B / j R E c R 6 P m j G E e M S B T D J k 2 X 4 S P i z E F 8 h P C s q 9 d 3 y l h j u F 6 A 2 S y Q N 4 v x B N Q S w M E F A A C A A g A b W 0 m 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1 t J k t 3 i M u 3 8 A A A A F U B A A A T A B w A R m 9 y b X V s Y X M v U 2 V j d G l v b j E u b S C i G A A o o B Q A A A A A A A A A A A A A A A A A A A A A A A A A A A B 9 j 8 F q w k A Q h s 8 u + A 7 D H i S B E P Q c A o U 0 J 0 E U p S 0 s S 9 i Y g a b Z Z H V 2 E y z i s Y / S J / H F u q n S 0 k v n M g P z f / 8 / Y 3 H v a t P B 9 t Y X y Z R N m X 1 V h B U 8 K q c g B Y 2 O g a + 1 I t W i Q 3 p C q m q / y E 9 7 1 H H W E 2 H n n g 0 1 p T F N E J 7 F y u t S / q N H L i 8 i M 5 3 z M h n B t 9 m y 1 h V 6 j + 1 R x 2 N O q S w G 3 N J g j 3 q + 4 B F w X Q 9 F q / w k N j 3 S e 8 r z l z w D U Z V G x u J Q 4 B h e H A i t d 1 X 2 z X S S T S Y P 1 0 / y r h x m s O r b E i n e m R 2 e X P D 3 e H H 9 I H m e X 0 K Y 8 W j E m k G R U / q O / s 8 u b 9 o 7 D z z h M m R 1 9 / t W 8 g V Q S w E C L Q A U A A I A C A B t b S Z L A 6 J q S 6 c A A A D 4 A A A A E g A A A A A A A A A A A A A A A A A A A A A A Q 2 9 u Z m l n L 1 B h Y 2 t h Z 2 U u e G 1 s U E s B A i 0 A F A A C A A g A b W 0 m S w / K 6 a u k A A A A 6 Q A A A B M A A A A A A A A A A A A A A A A A 8 w A A A F t D b 2 5 0 Z W 5 0 X 1 R 5 c G V z X S 5 4 b W x Q S w E C L Q A U A A I A C A B t b S Z L d 4 j L t / A A A A B V A Q A A E w A A A A A A A A A A A A A A A A D k A Q A A R m 9 y b X V s Y X M v U 2 V j d G l v b j E u b V B L B Q Y A A A A A A w A D A M I A A A A h 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6 M C w A A A A A A A G o 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Q n V m Z m V y T m V 4 d F J l Z n J l c 2 g i I F Z h b H V l P S J s M S I g L z 4 8 R W 5 0 c n k g V H l w Z T 0 i U m V z d W x 0 V H l w Z S I g V m F s d W U 9 I n N U Y W J s Z S I g L z 4 8 R W 5 0 c n k g V H l w Z T 0 i R m l s b G V k Q 2 9 t c G x l d G V S Z X N 1 b H R U b 1 d v c m t z a G V l d C I g V m F s d W U 9 I m w x I i A v P j x F b n R y e S B U e X B l P S J B Z G R l Z F R v R G F 0 Y U 1 v Z G V s I i B W Y W x 1 Z T 0 i b D A 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Z p b G x D b 2 x 1 b W 5 U e X B l c y I g V m F s d W U 9 I n N C Z 0 l D Q W d J Q 0 F n V T 0 i I C 8 + P E V u d H J 5 I F R 5 c G U 9 I k Z p b G x F c n J v c k N v Z G U i I F Z h b H V l P S J z V W 5 r b m 9 3 b i I g L z 4 8 R W 5 0 c n k g V H l w Z T 0 i R m l s b E x h c 3 R V c G R h d G V k I i B W Y W x 1 Z T 0 i Z D I w M T c t M D k t M D Z U M T E 6 N D I 6 M j A u N z g x M D k z M V o 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l J l b G F 0 a W 9 u c 2 h p c E l u Z m 9 D b 2 5 0 Y W l u Z X I i I F Z h b H V l P S J z e y Z x d W 9 0 O 2 N v b H V t b k N v d W 5 0 J n F 1 b 3 Q 7 O j g s J n F 1 b 3 Q 7 a 2 V 5 Q 2 9 s d W 1 u T m F t Z X M m c X V v d D s 6 W 1 0 s J n F 1 b 3 Q 7 c X V l c n l S Z W x h d G l v b n N o a X B z J n F 1 b 3 Q 7 O l t d L C Z x d W 9 0 O 2 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0 N v b H V t b k N v d W 5 0 J n F 1 b 3 Q 7 O j g s J n F 1 b 3 Q 7 S 2 V 5 Q 2 9 s d W 1 u T m F t Z X M m c X V v d D s 6 W 1 0 s J n F 1 b 3 Q 7 Q 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U m V s Y X R p b 2 5 z a G l w S W 5 m b y Z x d W 9 0 O z p b X X 0 i I C 8 + P E V u d H J 5 I F R 5 c G U 9 I k Z p b G x F c n J v c k N v d W 5 0 I i B W Y W x 1 Z T 0 i b D A i I C 8 + P E V u d H J 5 I F R 5 c G U 9 I k Z p b G x D b 3 V u d C I g V m F s d W U 9 I m w 4 M T Y 1 I i A v P j x F b n R y e S B U e X B l P S J G a W x s U 3 R h d H V z I i B W Y W x 1 Z T 0 i c 0 N v b X B s Z X R l 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D R h 6 U g a 3 t b R 4 n 5 E q 7 / l f k O A A A A A A I A A A A A A A N m A A D A A A A A E A A A A I 5 P X w N X V Y o C G K 3 8 G S S g G k A A A A A A B I A A A K A A A A A Q A A A A n c y 6 4 + p a E G E m z 8 u X G a T Z S V A A A A B Z c f t E J X e v i T j + h Y W J 8 s c Q H g Q S T V f 2 g g r 9 J u 6 / c w 2 W n Y e X D d e i o 9 1 t 6 E s p H U 3 r f h 5 I R O P j L 3 e t K x Y C A T O M h O u 9 j 8 W J L y j p S / Y L B i F W e O A O w h Q A A A B i b g G j + f D g 3 n 5 x 9 n k g 7 j o 7 k S F 4 m g = = < / 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2020-123998358-377</_dlc_DocId>
    <_dlc_DocIdUrl xmlns="6edf9311-6556-4af2-85ff-d57844cfe120">
      <Url>https://finansnorge.sharepoint.com/sites/intranett/arkiv/_layouts/15/DocIdRedir.aspx?ID=2020-123998358-377</Url>
      <Description>2020-123998358-377</Description>
    </_dlc_DocIdUrl>
  </documentManagement>
</p:properties>
</file>

<file path=customXml/itemProps1.xml><?xml version="1.0" encoding="utf-8"?>
<ds:datastoreItem xmlns:ds="http://schemas.openxmlformats.org/officeDocument/2006/customXml" ds:itemID="{3E838CDB-7DC2-42FE-91DD-11DCF3497501}">
  <ds:schemaRefs>
    <ds:schemaRef ds:uri="http://schemas.microsoft.com/DataMashup"/>
  </ds:schemaRefs>
</ds:datastoreItem>
</file>

<file path=customXml/itemProps2.xml><?xml version="1.0" encoding="utf-8"?>
<ds:datastoreItem xmlns:ds="http://schemas.openxmlformats.org/officeDocument/2006/customXml" ds:itemID="{71D8A23A-6EAC-42A4-88B0-2E446204378B}"/>
</file>

<file path=customXml/itemProps3.xml><?xml version="1.0" encoding="utf-8"?>
<ds:datastoreItem xmlns:ds="http://schemas.openxmlformats.org/officeDocument/2006/customXml" ds:itemID="{296CDA62-A70D-4C55-9784-C828D52684D6}"/>
</file>

<file path=customXml/itemProps4.xml><?xml version="1.0" encoding="utf-8"?>
<ds:datastoreItem xmlns:ds="http://schemas.openxmlformats.org/officeDocument/2006/customXml" ds:itemID="{9B3CBC55-1138-41DA-92B1-024AFFE3CA79}"/>
</file>

<file path=customXml/itemProps5.xml><?xml version="1.0" encoding="utf-8"?>
<ds:datastoreItem xmlns:ds="http://schemas.openxmlformats.org/officeDocument/2006/customXml" ds:itemID="{832BF623-8FD2-43E6-BA9C-536636B85D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4</vt:i4>
      </vt:variant>
    </vt:vector>
  </HeadingPairs>
  <TitlesOfParts>
    <vt:vector size="38"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Silver Pensjonsforsikring AS</vt:lpstr>
      <vt:lpstr>Sparebank 1</vt:lpstr>
      <vt:lpstr>Storebrand Livsforsikring</vt:lpstr>
      <vt:lpstr>Telenor Forsikring</vt:lpstr>
      <vt:lpstr>Tryg Forsikring</vt:lpstr>
      <vt:lpstr>Tabell 4</vt:lpstr>
      <vt:lpstr>Tabell 6</vt:lpstr>
      <vt:lpstr>Tabell 8</vt:lpstr>
      <vt:lpstr>Noter og kommentarer</vt:lpstr>
      <vt:lpstr>'ACE European Group'!Utskriftsområde</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2017-09-12T15:54:41Z</cp:lastPrinted>
  <dcterms:created xsi:type="dcterms:W3CDTF">2010-12-15T10:21:26Z</dcterms:created>
  <dcterms:modified xsi:type="dcterms:W3CDTF">2017-11-17T07:58:44Z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d472aacb-6d17-4d24-a9b9-0123028bd912</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